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35" yWindow="3915" windowWidth="15420" windowHeight="6975" tabRatio="589" activeTab="5"/>
  </bookViews>
  <sheets>
    <sheet name="P1" sheetId="1" r:id="rId1"/>
    <sheet name="P2" sheetId="31" r:id="rId2"/>
    <sheet name="PUHT" sheetId="34" r:id="rId3"/>
    <sheet name="AH" sheetId="29" r:id="rId4"/>
    <sheet name="BASE DE DONNEES" sheetId="35" r:id="rId5"/>
    <sheet name="DQE" sheetId="36" r:id="rId6"/>
    <sheet name="Repertoire des temps unitaires" sheetId="30" state="hidden" r:id="rId7"/>
    <sheet name="Fiche de descente de charge" sheetId="28" state="hidden" r:id="rId8"/>
    <sheet name="Charges G" sheetId="27" state="hidden" r:id="rId9"/>
    <sheet name="Charges Q" sheetId="26" state="hidden" r:id="rId10"/>
    <sheet name="Sections d'aciers" sheetId="25" state="hidden" r:id="rId11"/>
    <sheet name="Combinaison d'acier" sheetId="24" state="hidden" r:id="rId12"/>
    <sheet name="Semelle filante_section béton" sheetId="23" state="hidden" r:id="rId13"/>
    <sheet name="Semelle isolée_section béton" sheetId="22" state="hidden" r:id="rId14"/>
    <sheet name="Semelle filante_section acier" sheetId="21" state="hidden" r:id="rId15"/>
    <sheet name="Semelle isolée_section acier" sheetId="20" state="hidden" r:id="rId16"/>
    <sheet name="Tirants_traction simple" sheetId="19" state="hidden" r:id="rId17"/>
    <sheet name="Poteau_compression simple" sheetId="18" state="hidden" r:id="rId18"/>
    <sheet name="Flexion simple_sect rect ELUR" sheetId="17" state="hidden" r:id="rId19"/>
    <sheet name="Flexion simple_sect rect ELS" sheetId="16" state="hidden" r:id="rId20"/>
    <sheet name="Flexion simple_sect TE ELUR" sheetId="15" state="hidden" r:id="rId21"/>
    <sheet name="Flexion simple_sect TE ELS" sheetId="14" state="hidden" r:id="rId22"/>
    <sheet name="Vérification poutre ELS" sheetId="13" state="hidden" r:id="rId23"/>
    <sheet name="Justification effort tranchant" sheetId="12" state="hidden" r:id="rId24"/>
  </sheets>
  <externalReferences>
    <externalReference r:id="rId25"/>
  </externalReferences>
  <definedNames>
    <definedName name="_xlnm._FilterDatabase" localSheetId="3" hidden="1">AH!$E$2:$F$32</definedName>
    <definedName name="_xlnm._FilterDatabase" localSheetId="6" hidden="1">'Repertoire des temps unitaires'!$C$1:$C$301</definedName>
    <definedName name="_xlnm.Print_Titles" localSheetId="3">AH!$1:$2</definedName>
    <definedName name="_xlnm.Print_Titles" localSheetId="7">'Fiche de descente de charge'!$6:$7</definedName>
    <definedName name="_xlnm.Print_Titles" localSheetId="6">'Repertoire des temps unitaires'!$1:$1</definedName>
    <definedName name="_xlnm.Print_Titles" localSheetId="22">'Vérification poutre ELS'!$A:$A</definedName>
    <definedName name="_xlnm.Print_Area" localSheetId="3">AH!$A$1:$N$33</definedName>
    <definedName name="_xlnm.Print_Area" localSheetId="8">'Charges G'!$A$1:$C$81</definedName>
    <definedName name="_xlnm.Print_Area" localSheetId="9">'Charges Q'!$A$1:$C$47</definedName>
    <definedName name="_xlnm.Print_Area" localSheetId="11">'Combinaison d''acier'!$A$1:$AM$43</definedName>
    <definedName name="_xlnm.Print_Area" localSheetId="7">'Fiche de descente de charge'!$A$1:$L$88</definedName>
    <definedName name="_xlnm.Print_Area" localSheetId="19">'Flexion simple_sect rect ELS'!$A$1:$D$32</definedName>
    <definedName name="_xlnm.Print_Area" localSheetId="18">'Flexion simple_sect rect ELUR'!$A$1:$D$33</definedName>
    <definedName name="_xlnm.Print_Area" localSheetId="21">'Flexion simple_sect TE ELS'!$A$1:$D$61</definedName>
    <definedName name="_xlnm.Print_Area" localSheetId="20">'Flexion simple_sect TE ELUR'!$A$1:$D$50</definedName>
    <definedName name="_xlnm.Print_Area" localSheetId="23">'Justification effort tranchant'!$A$1:$D$44</definedName>
    <definedName name="_xlnm.Print_Area" localSheetId="0">'P1'!$A$12:$M$114</definedName>
    <definedName name="_xlnm.Print_Area" localSheetId="17">'Poteau_compression simple'!$A$1:$D$40</definedName>
    <definedName name="_xlnm.Print_Area" localSheetId="6">'Repertoire des temps unitaires'!$A$1:$I$301</definedName>
    <definedName name="_xlnm.Print_Area" localSheetId="10">'Sections d''aciers'!$A$1:$L$39</definedName>
    <definedName name="_xlnm.Print_Area" localSheetId="14">'Semelle filante_section acier'!$A$1:$D$32</definedName>
    <definedName name="_xlnm.Print_Area" localSheetId="12">'Semelle filante_section béton'!$A$1:$D$36</definedName>
    <definedName name="_xlnm.Print_Area" localSheetId="15">'Semelle isolée_section acier'!$A$1:$D$34</definedName>
    <definedName name="_xlnm.Print_Area" localSheetId="13">'Semelle isolée_section béton'!$A$1:$D$36</definedName>
    <definedName name="_xlnm.Print_Area" localSheetId="16">'Tirants_traction simple'!$A$1:$D$42</definedName>
    <definedName name="_xlnm.Print_Area" localSheetId="22">'Vérification poutre ELS'!$A$1:$D$105</definedName>
  </definedNames>
  <calcPr calcId="145621"/>
</workbook>
</file>

<file path=xl/calcChain.xml><?xml version="1.0" encoding="utf-8"?>
<calcChain xmlns="http://schemas.openxmlformats.org/spreadsheetml/2006/main">
  <c r="C34" i="35" l="1"/>
  <c r="F62" i="1" l="1"/>
  <c r="K8" i="1" l="1"/>
  <c r="H6" i="1" l="1"/>
  <c r="F67" i="1"/>
  <c r="F68" i="1" s="1"/>
  <c r="F5" i="1"/>
  <c r="K5" i="1" s="1"/>
  <c r="F6" i="1"/>
  <c r="K6" i="1" s="1"/>
  <c r="H14" i="1"/>
  <c r="F13" i="1"/>
  <c r="F14" i="1" s="1"/>
  <c r="G13" i="1"/>
  <c r="F107" i="1" l="1"/>
  <c r="G27" i="1" l="1"/>
  <c r="H24" i="1"/>
  <c r="G23" i="1"/>
  <c r="G24" i="1" s="1"/>
  <c r="F23" i="1"/>
  <c r="F24" i="1" s="1"/>
  <c r="H19" i="1"/>
  <c r="G22" i="1"/>
  <c r="F22" i="1"/>
  <c r="H23" i="1" l="1"/>
  <c r="H12" i="1"/>
  <c r="H13" i="1" s="1"/>
  <c r="K13" i="1" s="1"/>
  <c r="F75" i="1"/>
  <c r="W26" i="31" l="1"/>
  <c r="V26" i="31"/>
  <c r="W22" i="31"/>
  <c r="W19" i="31"/>
  <c r="W16" i="31"/>
  <c r="W7" i="31"/>
  <c r="W10" i="31" l="1"/>
  <c r="M3" i="31"/>
  <c r="T26" i="31"/>
  <c r="R26" i="31"/>
  <c r="P26" i="31"/>
  <c r="N26" i="31"/>
  <c r="U26" i="31"/>
  <c r="S26" i="31"/>
  <c r="Q26" i="31"/>
  <c r="T25" i="31"/>
  <c r="S25" i="31"/>
  <c r="R25" i="31"/>
  <c r="Q25" i="31"/>
  <c r="P25" i="31"/>
  <c r="N25" i="31"/>
  <c r="U38" i="1" l="1"/>
  <c r="E8" i="31" l="1"/>
  <c r="C8" i="31"/>
  <c r="E11" i="31"/>
  <c r="E12" i="31"/>
  <c r="E13" i="31"/>
  <c r="E14" i="31"/>
  <c r="F7" i="1"/>
  <c r="K7" i="1" s="1"/>
  <c r="D50" i="31"/>
  <c r="D49" i="31"/>
  <c r="D42" i="31"/>
  <c r="D41" i="31"/>
  <c r="C30" i="31"/>
  <c r="C28" i="31"/>
  <c r="C27" i="31"/>
  <c r="D20" i="31"/>
  <c r="K31" i="31"/>
  <c r="J31" i="31"/>
  <c r="M31" i="31"/>
  <c r="C29" i="31" s="1"/>
  <c r="L31" i="31"/>
  <c r="N24" i="31"/>
  <c r="P24" i="31"/>
  <c r="R24" i="31"/>
  <c r="T24" i="31"/>
  <c r="T21" i="31"/>
  <c r="R21" i="31"/>
  <c r="P21" i="31"/>
  <c r="N21" i="31"/>
  <c r="N18" i="31"/>
  <c r="P18" i="31"/>
  <c r="R18" i="31"/>
  <c r="T18" i="31"/>
  <c r="T15" i="31"/>
  <c r="R15" i="31"/>
  <c r="P15" i="31"/>
  <c r="N15" i="31"/>
  <c r="N12" i="31"/>
  <c r="P12" i="31"/>
  <c r="R12" i="31"/>
  <c r="T12" i="31"/>
  <c r="T9" i="31"/>
  <c r="R9" i="31"/>
  <c r="P9" i="31"/>
  <c r="N9" i="31"/>
  <c r="T16" i="31"/>
  <c r="R16" i="31"/>
  <c r="P16" i="31"/>
  <c r="N16" i="31"/>
  <c r="C22" i="31" l="1"/>
  <c r="C21" i="31"/>
  <c r="F41" i="31" s="1"/>
  <c r="D10" i="31"/>
  <c r="G4" i="1" s="1"/>
  <c r="C24" i="31"/>
  <c r="C26" i="31" s="1"/>
  <c r="C23" i="31"/>
  <c r="F46" i="31" s="1"/>
  <c r="F42" i="31"/>
  <c r="G46" i="31"/>
  <c r="F37" i="31"/>
  <c r="G50" i="31"/>
  <c r="E37" i="31"/>
  <c r="C10" i="31"/>
  <c r="G42" i="31"/>
  <c r="E38" i="31"/>
  <c r="F38" i="31"/>
  <c r="E41" i="31"/>
  <c r="G49" i="31"/>
  <c r="G41" i="31"/>
  <c r="E42" i="31"/>
  <c r="F49" i="31"/>
  <c r="G38" i="31"/>
  <c r="E50" i="31"/>
  <c r="C25" i="31" l="1"/>
  <c r="E10" i="31"/>
  <c r="E15" i="31" s="1"/>
  <c r="F4" i="1"/>
  <c r="K4" i="1" s="1"/>
  <c r="F45" i="31"/>
  <c r="E46" i="31"/>
  <c r="H46" i="31" s="1"/>
  <c r="F50" i="31"/>
  <c r="H50" i="31"/>
  <c r="H52" i="31" s="1"/>
  <c r="D52" i="31" s="1"/>
  <c r="D39" i="31"/>
  <c r="H38" i="31"/>
  <c r="H41" i="31"/>
  <c r="G45" i="31"/>
  <c r="G37" i="31"/>
  <c r="H37" i="31" s="1"/>
  <c r="H42" i="31"/>
  <c r="I76" i="1" l="1"/>
  <c r="G75" i="1"/>
  <c r="H108" i="1"/>
  <c r="H107" i="1"/>
  <c r="K98" i="1"/>
  <c r="U9" i="31" l="1"/>
  <c r="U10" i="31"/>
  <c r="U11" i="31" s="1"/>
  <c r="U12" i="31"/>
  <c r="U13" i="31"/>
  <c r="U14" i="31" s="1"/>
  <c r="U25" i="31" s="1"/>
  <c r="V25" i="31" s="1"/>
  <c r="U15" i="31"/>
  <c r="U16" i="31"/>
  <c r="U17" i="31" s="1"/>
  <c r="U18" i="31"/>
  <c r="U19" i="31"/>
  <c r="U20" i="31" s="1"/>
  <c r="U21" i="31"/>
  <c r="U22" i="31"/>
  <c r="U23" i="31" s="1"/>
  <c r="U24" i="31"/>
  <c r="U7" i="31"/>
  <c r="U8" i="31" s="1"/>
  <c r="S9" i="31"/>
  <c r="S10" i="31"/>
  <c r="S11" i="31" s="1"/>
  <c r="S12" i="31"/>
  <c r="S13" i="31"/>
  <c r="S14" i="31" s="1"/>
  <c r="S15" i="31"/>
  <c r="S16" i="31"/>
  <c r="S17" i="31" s="1"/>
  <c r="S18" i="31"/>
  <c r="S19" i="31"/>
  <c r="S20" i="31" s="1"/>
  <c r="S21" i="31"/>
  <c r="S22" i="31"/>
  <c r="S23" i="31" s="1"/>
  <c r="S24" i="31"/>
  <c r="S7" i="31"/>
  <c r="S8" i="31" s="1"/>
  <c r="Q9" i="31"/>
  <c r="Q10" i="31"/>
  <c r="Q11" i="31" s="1"/>
  <c r="Q12" i="31"/>
  <c r="Q13" i="31"/>
  <c r="Q14" i="31" s="1"/>
  <c r="Q15" i="31"/>
  <c r="Q16" i="31"/>
  <c r="Q17" i="31" s="1"/>
  <c r="Q18" i="31"/>
  <c r="Q19" i="31"/>
  <c r="Q20" i="31" s="1"/>
  <c r="Q21" i="31"/>
  <c r="Q22" i="31"/>
  <c r="Q23" i="31" s="1"/>
  <c r="Q24" i="31"/>
  <c r="Q7" i="31"/>
  <c r="Q8" i="31" s="1"/>
  <c r="O10" i="31"/>
  <c r="O12" i="31"/>
  <c r="O13" i="31"/>
  <c r="O14" i="31" s="1"/>
  <c r="O15" i="31"/>
  <c r="O16" i="31"/>
  <c r="O17" i="31" s="1"/>
  <c r="O18" i="31"/>
  <c r="O19" i="31"/>
  <c r="O20" i="31" s="1"/>
  <c r="O21" i="31"/>
  <c r="O22" i="31"/>
  <c r="O23" i="31" s="1"/>
  <c r="O24" i="31"/>
  <c r="O9" i="31"/>
  <c r="O7" i="31"/>
  <c r="O8" i="31" s="1"/>
  <c r="K15" i="1" l="1"/>
  <c r="O15" i="1" s="1"/>
  <c r="K9" i="1"/>
  <c r="W25" i="31"/>
  <c r="O26" i="31"/>
  <c r="V17" i="31"/>
  <c r="V23" i="31"/>
  <c r="V10" i="31"/>
  <c r="O11" i="31"/>
  <c r="V11" i="31" s="1"/>
  <c r="V8" i="31"/>
  <c r="V9" i="31"/>
  <c r="V18" i="31"/>
  <c r="V22" i="31"/>
  <c r="V14" i="31"/>
  <c r="V21" i="31"/>
  <c r="V13" i="31"/>
  <c r="W13" i="31" s="1"/>
  <c r="V15" i="31"/>
  <c r="V20" i="31"/>
  <c r="V12" i="31"/>
  <c r="V19" i="31"/>
  <c r="V24" i="31"/>
  <c r="V16" i="31"/>
  <c r="V7" i="31"/>
  <c r="I57" i="1"/>
  <c r="F57" i="1"/>
  <c r="I55" i="1"/>
  <c r="I95" i="1" s="1"/>
  <c r="F56" i="1"/>
  <c r="K56" i="1" s="1"/>
  <c r="F55" i="1"/>
  <c r="F52" i="1"/>
  <c r="K52" i="1" s="1"/>
  <c r="H44" i="1"/>
  <c r="G35" i="1"/>
  <c r="H22" i="1"/>
  <c r="K27" i="1"/>
  <c r="K25" i="1"/>
  <c r="I24" i="1"/>
  <c r="I23" i="1"/>
  <c r="G21" i="1"/>
  <c r="G14" i="1" s="1"/>
  <c r="K14" i="1" s="1"/>
  <c r="O14" i="1" s="1"/>
  <c r="G20" i="1"/>
  <c r="F21" i="1"/>
  <c r="K21" i="1" s="1"/>
  <c r="F20" i="1"/>
  <c r="F19" i="1"/>
  <c r="F44" i="1" s="1"/>
  <c r="G44" i="1" s="1"/>
  <c r="H54" i="1" l="1"/>
  <c r="H68" i="1" s="1"/>
  <c r="O25" i="31"/>
  <c r="F95" i="1"/>
  <c r="F97" i="1"/>
  <c r="K19" i="1"/>
  <c r="F54" i="1"/>
  <c r="K24" i="1"/>
  <c r="K20" i="1"/>
  <c r="K106" i="1"/>
  <c r="O106" i="1" s="1"/>
  <c r="K104" i="1"/>
  <c r="K99" i="1"/>
  <c r="K93" i="1"/>
  <c r="L106" i="1"/>
  <c r="L105" i="1"/>
  <c r="L21" i="1"/>
  <c r="H67" i="1" l="1"/>
  <c r="K23" i="1"/>
  <c r="M106" i="1"/>
  <c r="N94" i="1"/>
  <c r="P94" i="1"/>
  <c r="R94" i="1"/>
  <c r="L94" i="1"/>
  <c r="L92" i="1"/>
  <c r="K30" i="1"/>
  <c r="K66" i="1" l="1"/>
  <c r="M66" i="1" s="1"/>
  <c r="P56" i="1"/>
  <c r="N56" i="1"/>
  <c r="P23" i="1"/>
  <c r="O66" i="1" l="1"/>
  <c r="R27" i="1" l="1"/>
  <c r="N23" i="1"/>
  <c r="L29" i="1"/>
  <c r="L28" i="1"/>
  <c r="L27" i="1"/>
  <c r="L26" i="1"/>
  <c r="L25" i="1"/>
  <c r="L95" i="1" s="1"/>
  <c r="L96" i="1" s="1"/>
  <c r="L24" i="1"/>
  <c r="L23" i="1"/>
  <c r="K12" i="1" l="1"/>
  <c r="O12" i="1" s="1"/>
  <c r="F92" i="1"/>
  <c r="K92" i="1" l="1"/>
  <c r="K76" i="1"/>
  <c r="Q92" i="1" l="1"/>
  <c r="O92" i="1"/>
  <c r="S92" i="1"/>
  <c r="M92" i="1"/>
  <c r="K105" i="1" l="1"/>
  <c r="H84" i="1"/>
  <c r="M105" i="1" l="1"/>
  <c r="O105" i="1" s="1"/>
  <c r="I105" i="1"/>
  <c r="F84" i="1"/>
  <c r="I93" i="1"/>
  <c r="M93" i="1" s="1"/>
  <c r="O93" i="1" s="1"/>
  <c r="F94" i="1" l="1"/>
  <c r="K61" i="1"/>
  <c r="I63" i="1"/>
  <c r="I62" i="1"/>
  <c r="G63" i="1"/>
  <c r="F63" i="1"/>
  <c r="G62" i="1"/>
  <c r="F103" i="1"/>
  <c r="I103" i="1"/>
  <c r="I102" i="1"/>
  <c r="G102" i="1"/>
  <c r="M61" i="1" l="1"/>
  <c r="O61" i="1"/>
  <c r="Q61" i="1"/>
  <c r="S61" i="1"/>
  <c r="F85" i="1"/>
  <c r="I85" i="1" s="1"/>
  <c r="K63" i="1"/>
  <c r="G85" i="1"/>
  <c r="K62" i="1"/>
  <c r="K60" i="1" l="1"/>
  <c r="H85" i="1"/>
  <c r="K85" i="1" s="1"/>
  <c r="S62" i="1"/>
  <c r="M62" i="1"/>
  <c r="O62" i="1"/>
  <c r="Q62" i="1"/>
  <c r="M63" i="1"/>
  <c r="O63" i="1"/>
  <c r="Q63" i="1"/>
  <c r="S63" i="1"/>
  <c r="F45" i="1"/>
  <c r="I45" i="1" s="1"/>
  <c r="E47" i="31" s="1"/>
  <c r="G45" i="1"/>
  <c r="E49" i="31" l="1"/>
  <c r="E45" i="31"/>
  <c r="H45" i="31" s="1"/>
  <c r="H45" i="1"/>
  <c r="K45" i="1" s="1"/>
  <c r="I36" i="1"/>
  <c r="K38" i="1"/>
  <c r="H49" i="31" l="1"/>
  <c r="H51" i="31" s="1"/>
  <c r="H53" i="31"/>
  <c r="K65" i="1"/>
  <c r="I65" i="1" l="1"/>
  <c r="M65" i="1" s="1"/>
  <c r="O65" i="1" s="1"/>
  <c r="H36" i="1"/>
  <c r="M104" i="1"/>
  <c r="S104" i="1"/>
  <c r="Q104" i="1"/>
  <c r="O104" i="1"/>
  <c r="K39" i="1"/>
  <c r="K40" i="1"/>
  <c r="K41" i="1"/>
  <c r="K42" i="1"/>
  <c r="K48" i="1"/>
  <c r="K49" i="1"/>
  <c r="K50" i="1"/>
  <c r="K51" i="1"/>
  <c r="K47" i="1"/>
  <c r="K79" i="1"/>
  <c r="K80" i="1"/>
  <c r="K82" i="1"/>
  <c r="K81" i="1"/>
  <c r="K88" i="1"/>
  <c r="K89" i="1"/>
  <c r="K90" i="1"/>
  <c r="K91" i="1"/>
  <c r="K87" i="1"/>
  <c r="K107" i="1" s="1"/>
  <c r="K64" i="1"/>
  <c r="K53" i="1"/>
  <c r="I53" i="1" s="1"/>
  <c r="M53" i="1" s="1"/>
  <c r="O53" i="1" s="1"/>
  <c r="K67" i="1" l="1"/>
  <c r="K36" i="1"/>
  <c r="U36" i="1"/>
  <c r="T36" i="1"/>
  <c r="T34" i="1" s="1"/>
  <c r="T39" i="1"/>
  <c r="U39" i="1"/>
  <c r="T38" i="1"/>
  <c r="S98" i="1"/>
  <c r="Q98" i="1"/>
  <c r="O98" i="1"/>
  <c r="M98" i="1"/>
  <c r="Q64" i="1"/>
  <c r="O64" i="1"/>
  <c r="M64" i="1"/>
  <c r="S64" i="1"/>
  <c r="K86" i="1"/>
  <c r="K84" i="1" s="1"/>
  <c r="I84" i="1" s="1"/>
  <c r="M84" i="1" s="1"/>
  <c r="O84" i="1" s="1"/>
  <c r="K77" i="1"/>
  <c r="K37" i="1"/>
  <c r="K46" i="1"/>
  <c r="K44" i="1" s="1"/>
  <c r="K43" i="1" s="1"/>
  <c r="K58" i="1"/>
  <c r="K18" i="1"/>
  <c r="K26" i="1"/>
  <c r="K29" i="1"/>
  <c r="K28" i="1"/>
  <c r="K35" i="1" l="1"/>
  <c r="U44" i="1"/>
  <c r="S58" i="1"/>
  <c r="Q58" i="1"/>
  <c r="O58" i="1"/>
  <c r="M58" i="1"/>
  <c r="M19" i="1"/>
  <c r="Q19" i="1"/>
  <c r="O19" i="1"/>
  <c r="S18" i="1"/>
  <c r="O18" i="1"/>
  <c r="Q18" i="1"/>
  <c r="M18" i="1"/>
  <c r="Q26" i="1"/>
  <c r="S26" i="1"/>
  <c r="M26" i="1"/>
  <c r="O26" i="1"/>
  <c r="O30" i="1"/>
  <c r="M30" i="1"/>
  <c r="S29" i="1"/>
  <c r="O29" i="1"/>
  <c r="Q29" i="1"/>
  <c r="M29" i="1"/>
  <c r="Q28" i="1"/>
  <c r="O28" i="1"/>
  <c r="S28" i="1"/>
  <c r="M28" i="1"/>
  <c r="G54" i="1"/>
  <c r="K75" i="1"/>
  <c r="I75" i="1" s="1"/>
  <c r="M75" i="1" s="1"/>
  <c r="O75" i="1" s="1"/>
  <c r="K83" i="1"/>
  <c r="I83" i="1" s="1"/>
  <c r="M83" i="1" s="1"/>
  <c r="O83" i="1" s="1"/>
  <c r="K54" i="1" l="1"/>
  <c r="G94" i="1"/>
  <c r="K94" i="1" s="1"/>
  <c r="I43" i="1"/>
  <c r="T43" i="1"/>
  <c r="M67" i="1"/>
  <c r="O67" i="1"/>
  <c r="I44" i="1"/>
  <c r="M44" i="1" s="1"/>
  <c r="O44" i="1" s="1"/>
  <c r="M27" i="1"/>
  <c r="S27" i="1"/>
  <c r="Q27" i="1"/>
  <c r="O27" i="1"/>
  <c r="K59" i="1"/>
  <c r="K68" i="1" l="1"/>
  <c r="M68" i="1" s="1"/>
  <c r="F108" i="1"/>
  <c r="K108" i="1" s="1"/>
  <c r="M43" i="1"/>
  <c r="O43" i="1" s="1"/>
  <c r="M59" i="1"/>
  <c r="S59" i="1"/>
  <c r="Q59" i="1"/>
  <c r="O59" i="1"/>
  <c r="S54" i="1"/>
  <c r="Q54" i="1"/>
  <c r="O54" i="1"/>
  <c r="M54" i="1"/>
  <c r="O68" i="1" l="1"/>
  <c r="O108" i="1"/>
  <c r="M108" i="1"/>
  <c r="O107" i="1"/>
  <c r="M107" i="1"/>
  <c r="K34" i="1"/>
  <c r="K69" i="1" s="1"/>
  <c r="H2" i="30"/>
  <c r="I2" i="30" s="1"/>
  <c r="H3" i="30"/>
  <c r="I3" i="30" s="1"/>
  <c r="H4" i="30"/>
  <c r="I4" i="30" s="1"/>
  <c r="H5" i="30"/>
  <c r="I5" i="30" s="1"/>
  <c r="H6" i="30"/>
  <c r="I6" i="30" s="1"/>
  <c r="H7" i="30"/>
  <c r="I7" i="30" s="1"/>
  <c r="H8" i="30"/>
  <c r="I8" i="30" s="1"/>
  <c r="H9" i="30"/>
  <c r="I9" i="30" s="1"/>
  <c r="H10" i="30"/>
  <c r="I10" i="30" s="1"/>
  <c r="H11" i="30"/>
  <c r="I11" i="30" s="1"/>
  <c r="H12" i="30"/>
  <c r="I12" i="30" s="1"/>
  <c r="H13" i="30"/>
  <c r="I13" i="30" s="1"/>
  <c r="H14" i="30"/>
  <c r="I14" i="30" s="1"/>
  <c r="H15" i="30"/>
  <c r="I15" i="30" s="1"/>
  <c r="H16" i="30"/>
  <c r="I16" i="30" s="1"/>
  <c r="H17" i="30"/>
  <c r="I17" i="30" s="1"/>
  <c r="H18" i="30"/>
  <c r="I18" i="30" s="1"/>
  <c r="H19" i="30"/>
  <c r="I19" i="30" s="1"/>
  <c r="H20" i="30"/>
  <c r="I20" i="30" s="1"/>
  <c r="H21" i="30"/>
  <c r="I21" i="30" s="1"/>
  <c r="H22" i="30"/>
  <c r="I22" i="30" s="1"/>
  <c r="H23" i="30"/>
  <c r="I23" i="30" s="1"/>
  <c r="H24" i="30"/>
  <c r="I24" i="30" s="1"/>
  <c r="H25" i="30"/>
  <c r="I25" i="30" s="1"/>
  <c r="H26" i="30"/>
  <c r="I26" i="30" s="1"/>
  <c r="H27" i="30"/>
  <c r="I27" i="30" s="1"/>
  <c r="H28" i="30"/>
  <c r="I28" i="30" s="1"/>
  <c r="H29" i="30"/>
  <c r="I29" i="30" s="1"/>
  <c r="H30" i="30"/>
  <c r="I30" i="30" s="1"/>
  <c r="H31" i="30"/>
  <c r="I31" i="30" s="1"/>
  <c r="H32" i="30"/>
  <c r="I32" i="30" s="1"/>
  <c r="H33" i="30"/>
  <c r="I33" i="30" s="1"/>
  <c r="H34" i="30"/>
  <c r="I34" i="30" s="1"/>
  <c r="H35" i="30"/>
  <c r="I35" i="30" s="1"/>
  <c r="H36" i="30"/>
  <c r="I36" i="30" s="1"/>
  <c r="H37" i="30"/>
  <c r="I37" i="30" s="1"/>
  <c r="H38" i="30"/>
  <c r="I38" i="30" s="1"/>
  <c r="H39" i="30"/>
  <c r="I39" i="30" s="1"/>
  <c r="H40" i="30"/>
  <c r="I40" i="30" s="1"/>
  <c r="H41" i="30"/>
  <c r="I41" i="30" s="1"/>
  <c r="H42" i="30"/>
  <c r="I42" i="30" s="1"/>
  <c r="H43" i="30"/>
  <c r="I43" i="30" s="1"/>
  <c r="H44" i="30"/>
  <c r="I44" i="30" s="1"/>
  <c r="H45" i="30"/>
  <c r="I45" i="30" s="1"/>
  <c r="H46" i="30"/>
  <c r="I46" i="30" s="1"/>
  <c r="H47" i="30"/>
  <c r="I47" i="30" s="1"/>
  <c r="H48" i="30"/>
  <c r="I48" i="30" s="1"/>
  <c r="H49" i="30"/>
  <c r="I49" i="30" s="1"/>
  <c r="H50" i="30"/>
  <c r="I50" i="30" s="1"/>
  <c r="H51" i="30"/>
  <c r="I51" i="30" s="1"/>
  <c r="H52" i="30"/>
  <c r="I52" i="30" s="1"/>
  <c r="H53" i="30"/>
  <c r="I53" i="30" s="1"/>
  <c r="H54" i="30"/>
  <c r="I54" i="30" s="1"/>
  <c r="H55" i="30"/>
  <c r="I55" i="30" s="1"/>
  <c r="H56" i="30"/>
  <c r="I56" i="30" s="1"/>
  <c r="H57" i="30"/>
  <c r="I57" i="30" s="1"/>
  <c r="H58" i="30"/>
  <c r="I58" i="30" s="1"/>
  <c r="H59" i="30"/>
  <c r="I59" i="30" s="1"/>
  <c r="H60" i="30"/>
  <c r="I60" i="30" s="1"/>
  <c r="H61" i="30"/>
  <c r="I61" i="30" s="1"/>
  <c r="H62" i="30"/>
  <c r="I62" i="30" s="1"/>
  <c r="H63" i="30"/>
  <c r="I63" i="30" s="1"/>
  <c r="H64" i="30"/>
  <c r="I64" i="30" s="1"/>
  <c r="H65" i="30"/>
  <c r="I65" i="30" s="1"/>
  <c r="H66" i="30"/>
  <c r="I66" i="30" s="1"/>
  <c r="H67" i="30"/>
  <c r="I67" i="30" s="1"/>
  <c r="H68" i="30"/>
  <c r="I68" i="30" s="1"/>
  <c r="H69" i="30"/>
  <c r="I69" i="30" s="1"/>
  <c r="H70" i="30"/>
  <c r="I70" i="30" s="1"/>
  <c r="H71" i="30"/>
  <c r="I71" i="30" s="1"/>
  <c r="H72" i="30"/>
  <c r="I72" i="30" s="1"/>
  <c r="H73" i="30"/>
  <c r="I73" i="30" s="1"/>
  <c r="H74" i="30"/>
  <c r="I74" i="30" s="1"/>
  <c r="H75" i="30"/>
  <c r="I75" i="30" s="1"/>
  <c r="H76" i="30"/>
  <c r="I76" i="30" s="1"/>
  <c r="H77" i="30"/>
  <c r="I77" i="30" s="1"/>
  <c r="H78" i="30"/>
  <c r="I78" i="30" s="1"/>
  <c r="H79" i="30"/>
  <c r="I79" i="30" s="1"/>
  <c r="H80" i="30"/>
  <c r="I80" i="30" s="1"/>
  <c r="H81" i="30"/>
  <c r="I81" i="30" s="1"/>
  <c r="H82" i="30"/>
  <c r="I82" i="30" s="1"/>
  <c r="H83" i="30"/>
  <c r="I83" i="30" s="1"/>
  <c r="H84" i="30"/>
  <c r="I84" i="30" s="1"/>
  <c r="H85" i="30"/>
  <c r="I85" i="30" s="1"/>
  <c r="H86" i="30"/>
  <c r="I86" i="30" s="1"/>
  <c r="H87" i="30"/>
  <c r="I87" i="30" s="1"/>
  <c r="H88" i="30"/>
  <c r="I88" i="30" s="1"/>
  <c r="H89" i="30"/>
  <c r="I89" i="30" s="1"/>
  <c r="H90" i="30"/>
  <c r="I90" i="30" s="1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H109" i="30"/>
  <c r="I109" i="30" s="1"/>
  <c r="H110" i="30"/>
  <c r="I110" i="30" s="1"/>
  <c r="H111" i="30"/>
  <c r="I111" i="30" s="1"/>
  <c r="H112" i="30"/>
  <c r="I112" i="30" s="1"/>
  <c r="H113" i="30"/>
  <c r="I113" i="30" s="1"/>
  <c r="H114" i="30"/>
  <c r="I114" i="30" s="1"/>
  <c r="H115" i="30"/>
  <c r="I115" i="30" s="1"/>
  <c r="H116" i="30"/>
  <c r="I116" i="30" s="1"/>
  <c r="H117" i="30"/>
  <c r="I117" i="30" s="1"/>
  <c r="H118" i="30"/>
  <c r="I118" i="30" s="1"/>
  <c r="H119" i="30"/>
  <c r="I119" i="30" s="1"/>
  <c r="H120" i="30"/>
  <c r="I120" i="30" s="1"/>
  <c r="H121" i="30"/>
  <c r="I121" i="30" s="1"/>
  <c r="H122" i="30"/>
  <c r="I122" i="30" s="1"/>
  <c r="H123" i="30"/>
  <c r="I123" i="30" s="1"/>
  <c r="H124" i="30"/>
  <c r="I124" i="30" s="1"/>
  <c r="H125" i="30"/>
  <c r="I125" i="30" s="1"/>
  <c r="H126" i="30"/>
  <c r="I126" i="30" s="1"/>
  <c r="H127" i="30"/>
  <c r="I127" i="30" s="1"/>
  <c r="H128" i="30"/>
  <c r="I128" i="30" s="1"/>
  <c r="H129" i="30"/>
  <c r="I129" i="30" s="1"/>
  <c r="H130" i="30"/>
  <c r="I130" i="30" s="1"/>
  <c r="H131" i="30"/>
  <c r="I131" i="30" s="1"/>
  <c r="H132" i="30"/>
  <c r="I132" i="30" s="1"/>
  <c r="H133" i="30"/>
  <c r="I133" i="30" s="1"/>
  <c r="H134" i="30"/>
  <c r="I134" i="30" s="1"/>
  <c r="H135" i="30"/>
  <c r="I135" i="30" s="1"/>
  <c r="H136" i="30"/>
  <c r="I136" i="30" s="1"/>
  <c r="H137" i="30"/>
  <c r="I137" i="30" s="1"/>
  <c r="H138" i="30"/>
  <c r="I138" i="30" s="1"/>
  <c r="H139" i="30"/>
  <c r="I139" i="30" s="1"/>
  <c r="H140" i="30"/>
  <c r="I140" i="30" s="1"/>
  <c r="H141" i="30"/>
  <c r="I141" i="30" s="1"/>
  <c r="H142" i="30"/>
  <c r="I142" i="30" s="1"/>
  <c r="H143" i="30"/>
  <c r="I143" i="30" s="1"/>
  <c r="H144" i="30"/>
  <c r="I144" i="30" s="1"/>
  <c r="H145" i="30"/>
  <c r="I145" i="30" s="1"/>
  <c r="H146" i="30"/>
  <c r="I146" i="30" s="1"/>
  <c r="H147" i="30"/>
  <c r="I147" i="30" s="1"/>
  <c r="H148" i="30"/>
  <c r="I148" i="30" s="1"/>
  <c r="H149" i="30"/>
  <c r="I149" i="30" s="1"/>
  <c r="H150" i="30"/>
  <c r="I150" i="30" s="1"/>
  <c r="H151" i="30"/>
  <c r="I151" i="30" s="1"/>
  <c r="H152" i="30"/>
  <c r="I152" i="30" s="1"/>
  <c r="H153" i="30"/>
  <c r="I153" i="30" s="1"/>
  <c r="H154" i="30"/>
  <c r="I154" i="30" s="1"/>
  <c r="H155" i="30"/>
  <c r="I155" i="30" s="1"/>
  <c r="H156" i="30"/>
  <c r="I156" i="30" s="1"/>
  <c r="H157" i="30"/>
  <c r="I157" i="30" s="1"/>
  <c r="H158" i="30"/>
  <c r="I158" i="30" s="1"/>
  <c r="H159" i="30"/>
  <c r="I159" i="30" s="1"/>
  <c r="H160" i="30"/>
  <c r="I160" i="30" s="1"/>
  <c r="H161" i="30"/>
  <c r="I161" i="30" s="1"/>
  <c r="H162" i="30"/>
  <c r="I162" i="30" s="1"/>
  <c r="H163" i="30"/>
  <c r="I163" i="30" s="1"/>
  <c r="H164" i="30"/>
  <c r="I164" i="30" s="1"/>
  <c r="H165" i="30"/>
  <c r="I165" i="30" s="1"/>
  <c r="H166" i="30"/>
  <c r="I166" i="30" s="1"/>
  <c r="H167" i="30"/>
  <c r="I167" i="30" s="1"/>
  <c r="H168" i="30"/>
  <c r="I168" i="30" s="1"/>
  <c r="H169" i="30"/>
  <c r="I169" i="30" s="1"/>
  <c r="H170" i="30"/>
  <c r="I170" i="30" s="1"/>
  <c r="H171" i="30"/>
  <c r="I171" i="30" s="1"/>
  <c r="H172" i="30"/>
  <c r="I172" i="30" s="1"/>
  <c r="H173" i="30"/>
  <c r="I173" i="30" s="1"/>
  <c r="H174" i="30"/>
  <c r="I174" i="30" s="1"/>
  <c r="H175" i="30"/>
  <c r="I175" i="30" s="1"/>
  <c r="H176" i="30"/>
  <c r="I176" i="30" s="1"/>
  <c r="H177" i="30"/>
  <c r="I177" i="30" s="1"/>
  <c r="H178" i="30"/>
  <c r="I178" i="30" s="1"/>
  <c r="H179" i="30"/>
  <c r="I179" i="30" s="1"/>
  <c r="H180" i="30"/>
  <c r="I180" i="30" s="1"/>
  <c r="H181" i="30"/>
  <c r="I181" i="30" s="1"/>
  <c r="H182" i="30"/>
  <c r="I182" i="30" s="1"/>
  <c r="H183" i="30"/>
  <c r="I183" i="30" s="1"/>
  <c r="H184" i="30"/>
  <c r="I184" i="30" s="1"/>
  <c r="H185" i="30"/>
  <c r="I185" i="30" s="1"/>
  <c r="H186" i="30"/>
  <c r="I186" i="30" s="1"/>
  <c r="H187" i="30"/>
  <c r="I187" i="30" s="1"/>
  <c r="H188" i="30"/>
  <c r="I188" i="30" s="1"/>
  <c r="H189" i="30"/>
  <c r="I189" i="30" s="1"/>
  <c r="H190" i="30"/>
  <c r="I190" i="30" s="1"/>
  <c r="H191" i="30"/>
  <c r="I191" i="30" s="1"/>
  <c r="H192" i="30"/>
  <c r="I192" i="30" s="1"/>
  <c r="H193" i="30"/>
  <c r="I193" i="30" s="1"/>
  <c r="H194" i="30"/>
  <c r="I194" i="30" s="1"/>
  <c r="H195" i="30"/>
  <c r="I195" i="30" s="1"/>
  <c r="H196" i="30"/>
  <c r="I196" i="30" s="1"/>
  <c r="H197" i="30"/>
  <c r="I197" i="30" s="1"/>
  <c r="H198" i="30"/>
  <c r="I198" i="30" s="1"/>
  <c r="H199" i="30"/>
  <c r="I199" i="30" s="1"/>
  <c r="H200" i="30"/>
  <c r="I200" i="30" s="1"/>
  <c r="H201" i="30"/>
  <c r="I201" i="30" s="1"/>
  <c r="H202" i="30"/>
  <c r="I202" i="30" s="1"/>
  <c r="H203" i="30"/>
  <c r="I203" i="30" s="1"/>
  <c r="H204" i="30"/>
  <c r="I204" i="30" s="1"/>
  <c r="H205" i="30"/>
  <c r="I205" i="30" s="1"/>
  <c r="H206" i="30"/>
  <c r="I206" i="30" s="1"/>
  <c r="H207" i="30"/>
  <c r="I207" i="30" s="1"/>
  <c r="H208" i="30"/>
  <c r="I208" i="30" s="1"/>
  <c r="H209" i="30"/>
  <c r="I209" i="30" s="1"/>
  <c r="H210" i="30"/>
  <c r="I210" i="30" s="1"/>
  <c r="H211" i="30"/>
  <c r="I211" i="30" s="1"/>
  <c r="H212" i="30"/>
  <c r="I212" i="30" s="1"/>
  <c r="H213" i="30"/>
  <c r="I213" i="30" s="1"/>
  <c r="H214" i="30"/>
  <c r="I214" i="30" s="1"/>
  <c r="H215" i="30"/>
  <c r="I215" i="30" s="1"/>
  <c r="H216" i="30"/>
  <c r="I216" i="30" s="1"/>
  <c r="H217" i="30"/>
  <c r="I217" i="30" s="1"/>
  <c r="H218" i="30"/>
  <c r="I218" i="30" s="1"/>
  <c r="H219" i="30"/>
  <c r="I219" i="30" s="1"/>
  <c r="H220" i="30"/>
  <c r="I220" i="30" s="1"/>
  <c r="H221" i="30"/>
  <c r="I221" i="30" s="1"/>
  <c r="H222" i="30"/>
  <c r="I222" i="30" s="1"/>
  <c r="H223" i="30"/>
  <c r="I223" i="30" s="1"/>
  <c r="H224" i="30"/>
  <c r="I224" i="30" s="1"/>
  <c r="H225" i="30"/>
  <c r="I225" i="30" s="1"/>
  <c r="H226" i="30"/>
  <c r="I226" i="30" s="1"/>
  <c r="H227" i="30"/>
  <c r="I227" i="30" s="1"/>
  <c r="H228" i="30"/>
  <c r="I228" i="30" s="1"/>
  <c r="H229" i="30"/>
  <c r="I229" i="30" s="1"/>
  <c r="H230" i="30"/>
  <c r="I230" i="30" s="1"/>
  <c r="H231" i="30"/>
  <c r="I231" i="30" s="1"/>
  <c r="H232" i="30"/>
  <c r="I232" i="30" s="1"/>
  <c r="H233" i="30"/>
  <c r="I233" i="30" s="1"/>
  <c r="H234" i="30"/>
  <c r="I234" i="30" s="1"/>
  <c r="H235" i="30"/>
  <c r="I235" i="30" s="1"/>
  <c r="H236" i="30"/>
  <c r="I236" i="30" s="1"/>
  <c r="H237" i="30"/>
  <c r="I237" i="30" s="1"/>
  <c r="H238" i="30"/>
  <c r="I238" i="30" s="1"/>
  <c r="H239" i="30"/>
  <c r="I239" i="30" s="1"/>
  <c r="H240" i="30"/>
  <c r="I240" i="30" s="1"/>
  <c r="H241" i="30"/>
  <c r="I241" i="30" s="1"/>
  <c r="H242" i="30"/>
  <c r="I242" i="30" s="1"/>
  <c r="H243" i="30"/>
  <c r="I243" i="30" s="1"/>
  <c r="H244" i="30"/>
  <c r="I244" i="30" s="1"/>
  <c r="H245" i="30"/>
  <c r="I245" i="30" s="1"/>
  <c r="H246" i="30"/>
  <c r="I246" i="30" s="1"/>
  <c r="H247" i="30"/>
  <c r="I247" i="30" s="1"/>
  <c r="H248" i="30"/>
  <c r="I248" i="30" s="1"/>
  <c r="H249" i="30"/>
  <c r="I249" i="30" s="1"/>
  <c r="H250" i="30"/>
  <c r="I250" i="30" s="1"/>
  <c r="H251" i="30"/>
  <c r="I251" i="30" s="1"/>
  <c r="H252" i="30"/>
  <c r="I252" i="30" s="1"/>
  <c r="H253" i="30"/>
  <c r="I253" i="30" s="1"/>
  <c r="H254" i="30"/>
  <c r="I254" i="30" s="1"/>
  <c r="H255" i="30"/>
  <c r="I255" i="30" s="1"/>
  <c r="H256" i="30"/>
  <c r="I256" i="30" s="1"/>
  <c r="H257" i="30"/>
  <c r="I257" i="30" s="1"/>
  <c r="H258" i="30"/>
  <c r="I258" i="30" s="1"/>
  <c r="H259" i="30"/>
  <c r="I259" i="30" s="1"/>
  <c r="H260" i="30"/>
  <c r="I260" i="30" s="1"/>
  <c r="H261" i="30"/>
  <c r="I261" i="30" s="1"/>
  <c r="H262" i="30"/>
  <c r="I262" i="30" s="1"/>
  <c r="H263" i="30"/>
  <c r="I263" i="30" s="1"/>
  <c r="H264" i="30"/>
  <c r="I264" i="30" s="1"/>
  <c r="H265" i="30"/>
  <c r="I265" i="30" s="1"/>
  <c r="H266" i="30"/>
  <c r="I266" i="30" s="1"/>
  <c r="H267" i="30"/>
  <c r="I267" i="30" s="1"/>
  <c r="H268" i="30"/>
  <c r="I268" i="30" s="1"/>
  <c r="H269" i="30"/>
  <c r="I269" i="30" s="1"/>
  <c r="H270" i="30"/>
  <c r="I270" i="30" s="1"/>
  <c r="H271" i="30"/>
  <c r="I271" i="30" s="1"/>
  <c r="H272" i="30"/>
  <c r="I272" i="30" s="1"/>
  <c r="H273" i="30"/>
  <c r="I273" i="30" s="1"/>
  <c r="H274" i="30"/>
  <c r="I274" i="30" s="1"/>
  <c r="H275" i="30"/>
  <c r="I275" i="30" s="1"/>
  <c r="H276" i="30"/>
  <c r="I276" i="30" s="1"/>
  <c r="H277" i="30"/>
  <c r="I277" i="30" s="1"/>
  <c r="H278" i="30"/>
  <c r="I278" i="30" s="1"/>
  <c r="H279" i="30"/>
  <c r="I279" i="30" s="1"/>
  <c r="H280" i="30"/>
  <c r="I280" i="30" s="1"/>
  <c r="H281" i="30"/>
  <c r="I281" i="30" s="1"/>
  <c r="H282" i="30"/>
  <c r="I282" i="30" s="1"/>
  <c r="H283" i="30"/>
  <c r="I283" i="30" s="1"/>
  <c r="H284" i="30"/>
  <c r="I284" i="30" s="1"/>
  <c r="H285" i="30"/>
  <c r="I285" i="30" s="1"/>
  <c r="H286" i="30"/>
  <c r="I286" i="30" s="1"/>
  <c r="H287" i="30"/>
  <c r="I287" i="30" s="1"/>
  <c r="H288" i="30"/>
  <c r="I288" i="30" s="1"/>
  <c r="H289" i="30"/>
  <c r="I289" i="30" s="1"/>
  <c r="H290" i="30"/>
  <c r="I290" i="30" s="1"/>
  <c r="H291" i="30"/>
  <c r="I291" i="30" s="1"/>
  <c r="H292" i="30"/>
  <c r="I292" i="30" s="1"/>
  <c r="H293" i="30"/>
  <c r="I293" i="30" s="1"/>
  <c r="H294" i="30"/>
  <c r="I294" i="30" s="1"/>
  <c r="H295" i="30"/>
  <c r="I295" i="30" s="1"/>
  <c r="H296" i="30"/>
  <c r="I296" i="30" s="1"/>
  <c r="H297" i="30"/>
  <c r="I297" i="30" s="1"/>
  <c r="H298" i="30"/>
  <c r="I298" i="30" s="1"/>
  <c r="H299" i="30"/>
  <c r="I299" i="30" s="1"/>
  <c r="H300" i="30"/>
  <c r="I300" i="30" s="1"/>
  <c r="H301" i="30"/>
  <c r="I301" i="30" s="1"/>
  <c r="G88" i="28"/>
  <c r="L88" i="28"/>
  <c r="G87" i="28"/>
  <c r="L87" i="28"/>
  <c r="I3" i="29"/>
  <c r="L3" i="29" s="1"/>
  <c r="J3" i="29"/>
  <c r="M3" i="29" s="1"/>
  <c r="I4" i="29"/>
  <c r="L4" i="29" s="1"/>
  <c r="J4" i="29"/>
  <c r="M4" i="29" s="1"/>
  <c r="I5" i="29"/>
  <c r="L5" i="29" s="1"/>
  <c r="J5" i="29"/>
  <c r="M5" i="29" s="1"/>
  <c r="I6" i="29"/>
  <c r="L6" i="29" s="1"/>
  <c r="J6" i="29"/>
  <c r="M6" i="29" s="1"/>
  <c r="I7" i="29"/>
  <c r="L7" i="29" s="1"/>
  <c r="J7" i="29"/>
  <c r="M7" i="29" s="1"/>
  <c r="I8" i="29"/>
  <c r="L8" i="29" s="1"/>
  <c r="J8" i="29"/>
  <c r="M8" i="29" s="1"/>
  <c r="K8" i="29"/>
  <c r="N8" i="29" s="1"/>
  <c r="I9" i="29"/>
  <c r="L9" i="29" s="1"/>
  <c r="J9" i="29"/>
  <c r="M9" i="29" s="1"/>
  <c r="I10" i="29"/>
  <c r="L10" i="29" s="1"/>
  <c r="J10" i="29"/>
  <c r="M10" i="29" s="1"/>
  <c r="I11" i="29"/>
  <c r="L11" i="29" s="1"/>
  <c r="J11" i="29"/>
  <c r="M11" i="29" s="1"/>
  <c r="I12" i="29"/>
  <c r="L12" i="29" s="1"/>
  <c r="J12" i="29"/>
  <c r="M12" i="29" s="1"/>
  <c r="I13" i="29"/>
  <c r="L13" i="29" s="1"/>
  <c r="J13" i="29"/>
  <c r="M13" i="29" s="1"/>
  <c r="I14" i="29"/>
  <c r="L14" i="29" s="1"/>
  <c r="J14" i="29"/>
  <c r="M14" i="29" s="1"/>
  <c r="I15" i="29"/>
  <c r="L15" i="29" s="1"/>
  <c r="J15" i="29"/>
  <c r="M15" i="29" s="1"/>
  <c r="I16" i="29"/>
  <c r="L16" i="29" s="1"/>
  <c r="J16" i="29"/>
  <c r="M16" i="29" s="1"/>
  <c r="I17" i="29"/>
  <c r="L17" i="29" s="1"/>
  <c r="J17" i="29"/>
  <c r="M17" i="29" s="1"/>
  <c r="I18" i="29"/>
  <c r="L18" i="29" s="1"/>
  <c r="J18" i="29"/>
  <c r="M18" i="29" s="1"/>
  <c r="I19" i="29"/>
  <c r="L19" i="29" s="1"/>
  <c r="J19" i="29"/>
  <c r="M19" i="29" s="1"/>
  <c r="I20" i="29"/>
  <c r="L20" i="29" s="1"/>
  <c r="J20" i="29"/>
  <c r="M20" i="29" s="1"/>
  <c r="I21" i="29"/>
  <c r="L21" i="29" s="1"/>
  <c r="J21" i="29"/>
  <c r="M21" i="29" s="1"/>
  <c r="I22" i="29"/>
  <c r="L22" i="29" s="1"/>
  <c r="J22" i="29"/>
  <c r="M22" i="29" s="1"/>
  <c r="I23" i="29"/>
  <c r="L23" i="29" s="1"/>
  <c r="J23" i="29"/>
  <c r="M23" i="29" s="1"/>
  <c r="I24" i="29"/>
  <c r="L24" i="29" s="1"/>
  <c r="J24" i="29"/>
  <c r="M24" i="29" s="1"/>
  <c r="K24" i="29"/>
  <c r="N24" i="29" s="1"/>
  <c r="I25" i="29"/>
  <c r="L25" i="29" s="1"/>
  <c r="J25" i="29"/>
  <c r="M25" i="29" s="1"/>
  <c r="I26" i="29"/>
  <c r="L26" i="29" s="1"/>
  <c r="J26" i="29"/>
  <c r="M26" i="29" s="1"/>
  <c r="I27" i="29"/>
  <c r="L27" i="29" s="1"/>
  <c r="J27" i="29"/>
  <c r="M27" i="29" s="1"/>
  <c r="I28" i="29"/>
  <c r="L28" i="29" s="1"/>
  <c r="J28" i="29"/>
  <c r="M28" i="29" s="1"/>
  <c r="I29" i="29"/>
  <c r="L29" i="29" s="1"/>
  <c r="J29" i="29"/>
  <c r="M29" i="29" s="1"/>
  <c r="I30" i="29"/>
  <c r="L30" i="29" s="1"/>
  <c r="J30" i="29"/>
  <c r="M30" i="29" s="1"/>
  <c r="I31" i="29"/>
  <c r="L31" i="29" s="1"/>
  <c r="J31" i="29"/>
  <c r="M31" i="29" s="1"/>
  <c r="I32" i="29"/>
  <c r="L32" i="29" s="1"/>
  <c r="J32" i="29"/>
  <c r="M32" i="29" s="1"/>
  <c r="O23" i="1" l="1"/>
  <c r="K16" i="29"/>
  <c r="N16" i="29" s="1"/>
  <c r="K32" i="29"/>
  <c r="N32" i="29" s="1"/>
  <c r="K28" i="29"/>
  <c r="N28" i="29" s="1"/>
  <c r="K12" i="29"/>
  <c r="N12" i="29" s="1"/>
  <c r="K20" i="29"/>
  <c r="N20" i="29" s="1"/>
  <c r="K30" i="29"/>
  <c r="N30" i="29" s="1"/>
  <c r="K26" i="29"/>
  <c r="N26" i="29" s="1"/>
  <c r="K22" i="29"/>
  <c r="N22" i="29" s="1"/>
  <c r="K18" i="29"/>
  <c r="N18" i="29" s="1"/>
  <c r="K14" i="29"/>
  <c r="N14" i="29" s="1"/>
  <c r="K10" i="29"/>
  <c r="N10" i="29" s="1"/>
  <c r="K6" i="29"/>
  <c r="N6" i="29" s="1"/>
  <c r="K31" i="29"/>
  <c r="N31" i="29" s="1"/>
  <c r="K29" i="29"/>
  <c r="N29" i="29" s="1"/>
  <c r="K27" i="29"/>
  <c r="N27" i="29" s="1"/>
  <c r="K25" i="29"/>
  <c r="N25" i="29" s="1"/>
  <c r="K23" i="29"/>
  <c r="N23" i="29" s="1"/>
  <c r="K21" i="29"/>
  <c r="N21" i="29" s="1"/>
  <c r="K19" i="29"/>
  <c r="N19" i="29" s="1"/>
  <c r="K17" i="29"/>
  <c r="N17" i="29" s="1"/>
  <c r="K15" i="29"/>
  <c r="N15" i="29" s="1"/>
  <c r="K13" i="29"/>
  <c r="N13" i="29" s="1"/>
  <c r="K11" i="29"/>
  <c r="N11" i="29" s="1"/>
  <c r="K9" i="29"/>
  <c r="N9" i="29" s="1"/>
  <c r="K7" i="29"/>
  <c r="N7" i="29" s="1"/>
  <c r="K5" i="29"/>
  <c r="N5" i="29" s="1"/>
  <c r="K4" i="29"/>
  <c r="N4" i="29" s="1"/>
  <c r="K3" i="29"/>
  <c r="N3" i="29" s="1"/>
  <c r="H8" i="28"/>
  <c r="L8" i="28"/>
  <c r="G9" i="28"/>
  <c r="L9" i="28"/>
  <c r="G10" i="28"/>
  <c r="L10" i="28"/>
  <c r="G11" i="28"/>
  <c r="L11" i="28"/>
  <c r="G12" i="28"/>
  <c r="L12" i="28"/>
  <c r="G13" i="28"/>
  <c r="L13" i="28"/>
  <c r="G14" i="28"/>
  <c r="L14" i="28"/>
  <c r="G15" i="28"/>
  <c r="L15" i="28"/>
  <c r="G16" i="28"/>
  <c r="L16" i="28"/>
  <c r="G17" i="28"/>
  <c r="L17" i="28"/>
  <c r="G18" i="28"/>
  <c r="L18" i="28"/>
  <c r="G19" i="28"/>
  <c r="L19" i="28"/>
  <c r="G20" i="28"/>
  <c r="L20" i="28"/>
  <c r="G21" i="28"/>
  <c r="L21" i="28"/>
  <c r="G22" i="28"/>
  <c r="L22" i="28"/>
  <c r="G23" i="28"/>
  <c r="L23" i="28"/>
  <c r="G24" i="28"/>
  <c r="L24" i="28"/>
  <c r="G25" i="28"/>
  <c r="L25" i="28"/>
  <c r="G26" i="28"/>
  <c r="L26" i="28"/>
  <c r="G27" i="28"/>
  <c r="L27" i="28"/>
  <c r="G28" i="28"/>
  <c r="L28" i="28"/>
  <c r="G29" i="28"/>
  <c r="L29" i="28"/>
  <c r="G30" i="28"/>
  <c r="L30" i="28"/>
  <c r="G31" i="28"/>
  <c r="L31" i="28"/>
  <c r="G32" i="28"/>
  <c r="L32" i="28"/>
  <c r="G33" i="28"/>
  <c r="L33" i="28"/>
  <c r="G34" i="28"/>
  <c r="L34" i="28"/>
  <c r="G35" i="28"/>
  <c r="L35" i="28"/>
  <c r="G36" i="28"/>
  <c r="L36" i="28"/>
  <c r="G37" i="28"/>
  <c r="L37" i="28"/>
  <c r="G38" i="28"/>
  <c r="L38" i="28"/>
  <c r="G39" i="28"/>
  <c r="L39" i="28"/>
  <c r="G40" i="28"/>
  <c r="L40" i="28"/>
  <c r="G41" i="28"/>
  <c r="L41" i="28"/>
  <c r="G42" i="28"/>
  <c r="L42" i="28"/>
  <c r="G43" i="28"/>
  <c r="L43" i="28"/>
  <c r="G44" i="28"/>
  <c r="L44" i="28"/>
  <c r="G45" i="28"/>
  <c r="L45" i="28"/>
  <c r="G46" i="28"/>
  <c r="L46" i="28"/>
  <c r="G47" i="28"/>
  <c r="L47" i="28"/>
  <c r="G48" i="28"/>
  <c r="L48" i="28"/>
  <c r="G49" i="28"/>
  <c r="L49" i="28"/>
  <c r="G50" i="28"/>
  <c r="L50" i="28"/>
  <c r="G51" i="28"/>
  <c r="L51" i="28"/>
  <c r="G52" i="28"/>
  <c r="L52" i="28"/>
  <c r="G53" i="28"/>
  <c r="L53" i="28"/>
  <c r="G54" i="28"/>
  <c r="L54" i="28"/>
  <c r="G55" i="28"/>
  <c r="L55" i="28"/>
  <c r="G56" i="28"/>
  <c r="L56" i="28"/>
  <c r="G57" i="28"/>
  <c r="L57" i="28"/>
  <c r="G58" i="28"/>
  <c r="L58" i="28"/>
  <c r="G59" i="28"/>
  <c r="L59" i="28"/>
  <c r="G60" i="28"/>
  <c r="L60" i="28"/>
  <c r="G61" i="28"/>
  <c r="L61" i="28"/>
  <c r="G62" i="28"/>
  <c r="L62" i="28"/>
  <c r="G63" i="28"/>
  <c r="L63" i="28"/>
  <c r="G64" i="28"/>
  <c r="L64" i="28"/>
  <c r="G65" i="28"/>
  <c r="L65" i="28"/>
  <c r="G66" i="28"/>
  <c r="L66" i="28"/>
  <c r="G67" i="28"/>
  <c r="L67" i="28"/>
  <c r="G68" i="28"/>
  <c r="L68" i="28"/>
  <c r="G69" i="28"/>
  <c r="L69" i="28"/>
  <c r="G70" i="28"/>
  <c r="L70" i="28"/>
  <c r="G71" i="28"/>
  <c r="L71" i="28"/>
  <c r="G72" i="28"/>
  <c r="L72" i="28"/>
  <c r="G73" i="28"/>
  <c r="L73" i="28"/>
  <c r="G74" i="28"/>
  <c r="L74" i="28"/>
  <c r="G75" i="28"/>
  <c r="L75" i="28"/>
  <c r="G76" i="28"/>
  <c r="L76" i="28"/>
  <c r="G77" i="28"/>
  <c r="L77" i="28"/>
  <c r="G78" i="28"/>
  <c r="L78" i="28"/>
  <c r="G79" i="28"/>
  <c r="L79" i="28"/>
  <c r="G80" i="28"/>
  <c r="L80" i="28"/>
  <c r="G81" i="28"/>
  <c r="L81" i="28"/>
  <c r="G82" i="28"/>
  <c r="L82" i="28"/>
  <c r="G83" i="28"/>
  <c r="L83" i="28"/>
  <c r="G84" i="28"/>
  <c r="L84" i="28"/>
  <c r="G85" i="28"/>
  <c r="L85" i="28"/>
  <c r="G86" i="28"/>
  <c r="L86" i="28"/>
  <c r="G89" i="28"/>
  <c r="L89" i="28"/>
  <c r="G90" i="28"/>
  <c r="L90" i="28"/>
  <c r="G91" i="28"/>
  <c r="L91" i="28"/>
  <c r="G92" i="28"/>
  <c r="L92" i="28"/>
  <c r="G93" i="28"/>
  <c r="L93" i="28"/>
  <c r="G94" i="28"/>
  <c r="L94" i="28"/>
  <c r="G95" i="28"/>
  <c r="L95" i="28"/>
  <c r="G96" i="28"/>
  <c r="L96" i="28"/>
  <c r="G97" i="28"/>
  <c r="L97" i="28"/>
  <c r="G98" i="28"/>
  <c r="L98" i="28"/>
  <c r="G99" i="28"/>
  <c r="L99" i="28"/>
  <c r="G100" i="28"/>
  <c r="L100" i="28"/>
  <c r="G101" i="28"/>
  <c r="L101" i="28"/>
  <c r="G102" i="28"/>
  <c r="L102" i="28"/>
  <c r="G103" i="28"/>
  <c r="L103" i="28"/>
  <c r="G104" i="28"/>
  <c r="L104" i="28"/>
  <c r="G105" i="28"/>
  <c r="L105" i="28"/>
  <c r="G106" i="28"/>
  <c r="L106" i="28"/>
  <c r="G107" i="28"/>
  <c r="L107" i="28"/>
  <c r="G108" i="28"/>
  <c r="L108" i="28"/>
  <c r="G109" i="28"/>
  <c r="L109" i="28"/>
  <c r="G110" i="28"/>
  <c r="L110" i="28"/>
  <c r="G111" i="28"/>
  <c r="L111" i="28"/>
  <c r="G112" i="28"/>
  <c r="L112" i="28"/>
  <c r="G113" i="28"/>
  <c r="L113" i="28"/>
  <c r="G114" i="28"/>
  <c r="L114" i="28"/>
  <c r="G115" i="28"/>
  <c r="L115" i="28"/>
  <c r="G116" i="28"/>
  <c r="L116" i="28"/>
  <c r="G117" i="28"/>
  <c r="L117" i="28"/>
  <c r="G118" i="28"/>
  <c r="L118" i="28"/>
  <c r="G119" i="28"/>
  <c r="L119" i="28"/>
  <c r="G120" i="28"/>
  <c r="L120" i="28"/>
  <c r="G121" i="28"/>
  <c r="L121" i="28"/>
  <c r="G122" i="28"/>
  <c r="L122" i="28"/>
  <c r="G123" i="28"/>
  <c r="L123" i="28"/>
  <c r="G124" i="28"/>
  <c r="L124" i="28"/>
  <c r="G125" i="28"/>
  <c r="L125" i="28"/>
  <c r="G126" i="28"/>
  <c r="L126" i="28"/>
  <c r="G127" i="28"/>
  <c r="L127" i="28"/>
  <c r="G128" i="28"/>
  <c r="L128" i="28"/>
  <c r="G129" i="28"/>
  <c r="L129" i="28"/>
  <c r="G130" i="28"/>
  <c r="L130" i="28"/>
  <c r="G131" i="28"/>
  <c r="L131" i="28"/>
  <c r="G132" i="28"/>
  <c r="L132" i="28"/>
  <c r="G133" i="28"/>
  <c r="L133" i="28"/>
  <c r="G134" i="28"/>
  <c r="L134" i="28"/>
  <c r="G135" i="28"/>
  <c r="L135" i="28"/>
  <c r="G136" i="28"/>
  <c r="L136" i="28"/>
  <c r="G137" i="28"/>
  <c r="L137" i="28"/>
  <c r="G138" i="28"/>
  <c r="L138" i="28"/>
  <c r="G139" i="28"/>
  <c r="L139" i="28"/>
  <c r="G140" i="28"/>
  <c r="L140" i="28"/>
  <c r="G141" i="28"/>
  <c r="L141" i="28"/>
  <c r="G142" i="28"/>
  <c r="L142" i="28"/>
  <c r="G143" i="28"/>
  <c r="L143" i="28"/>
  <c r="G144" i="28"/>
  <c r="L144" i="28"/>
  <c r="G145" i="28"/>
  <c r="L145" i="28"/>
  <c r="G146" i="28"/>
  <c r="L146" i="28"/>
  <c r="G147" i="28"/>
  <c r="L147" i="28"/>
  <c r="G148" i="28"/>
  <c r="L148" i="28"/>
  <c r="G149" i="28"/>
  <c r="L149" i="28"/>
  <c r="G150" i="28"/>
  <c r="L150" i="28"/>
  <c r="G151" i="28"/>
  <c r="L151" i="28"/>
  <c r="G152" i="28"/>
  <c r="L152" i="28"/>
  <c r="G153" i="28"/>
  <c r="L153" i="28"/>
  <c r="G154" i="28"/>
  <c r="L154" i="28"/>
  <c r="G155" i="28"/>
  <c r="L155" i="28"/>
  <c r="G156" i="28"/>
  <c r="L156" i="28"/>
  <c r="G157" i="28"/>
  <c r="L157" i="28"/>
  <c r="G158" i="28"/>
  <c r="L158" i="28"/>
  <c r="G159" i="28"/>
  <c r="L159" i="28"/>
  <c r="G160" i="28"/>
  <c r="L160" i="28"/>
  <c r="G161" i="28"/>
  <c r="L161" i="28"/>
  <c r="G162" i="28"/>
  <c r="L162" i="28"/>
  <c r="G163" i="28"/>
  <c r="L163" i="28"/>
  <c r="G164" i="28"/>
  <c r="L164" i="28"/>
  <c r="G165" i="28"/>
  <c r="L165" i="28"/>
  <c r="G166" i="28"/>
  <c r="L166" i="28"/>
  <c r="G167" i="28"/>
  <c r="L167" i="28"/>
  <c r="G168" i="28"/>
  <c r="L168" i="28"/>
  <c r="G169" i="28"/>
  <c r="L169" i="28"/>
  <c r="G170" i="28"/>
  <c r="L170" i="28"/>
  <c r="G171" i="28"/>
  <c r="L171" i="28"/>
  <c r="G172" i="28"/>
  <c r="L172" i="28"/>
  <c r="G173" i="28"/>
  <c r="L173" i="28"/>
  <c r="G174" i="28"/>
  <c r="L174" i="28"/>
  <c r="G175" i="28"/>
  <c r="L175" i="28"/>
  <c r="G176" i="28"/>
  <c r="L176" i="28"/>
  <c r="G177" i="28"/>
  <c r="L177" i="28"/>
  <c r="G178" i="28"/>
  <c r="L178" i="28"/>
  <c r="G179" i="28"/>
  <c r="L179" i="28"/>
  <c r="G180" i="28"/>
  <c r="L180" i="28"/>
  <c r="G181" i="28"/>
  <c r="L181" i="28"/>
  <c r="G182" i="28"/>
  <c r="L182" i="28"/>
  <c r="G183" i="28"/>
  <c r="L183" i="28"/>
  <c r="G184" i="28"/>
  <c r="L184" i="28"/>
  <c r="G185" i="28"/>
  <c r="L185" i="28"/>
  <c r="G186" i="28"/>
  <c r="L186" i="28"/>
  <c r="G187" i="28"/>
  <c r="L187" i="28"/>
  <c r="G188" i="28"/>
  <c r="L188" i="28"/>
  <c r="G189" i="28"/>
  <c r="L189" i="28"/>
  <c r="G190" i="28"/>
  <c r="L190" i="28"/>
  <c r="G191" i="28"/>
  <c r="L191" i="28"/>
  <c r="G192" i="28"/>
  <c r="L192" i="28"/>
  <c r="G193" i="28"/>
  <c r="L193" i="28"/>
  <c r="G194" i="28"/>
  <c r="L194" i="28"/>
  <c r="G195" i="28"/>
  <c r="L195" i="28"/>
  <c r="G196" i="28"/>
  <c r="L196" i="28"/>
  <c r="G197" i="28"/>
  <c r="L197" i="28"/>
  <c r="G198" i="28"/>
  <c r="L198" i="28"/>
  <c r="G199" i="28"/>
  <c r="L199" i="28"/>
  <c r="G200" i="28"/>
  <c r="L200" i="28"/>
  <c r="G201" i="28"/>
  <c r="L201" i="28"/>
  <c r="G202" i="28"/>
  <c r="L202" i="28"/>
  <c r="G203" i="28"/>
  <c r="L203" i="28"/>
  <c r="G204" i="28"/>
  <c r="L204" i="28"/>
  <c r="G205" i="28"/>
  <c r="L205" i="28"/>
  <c r="G206" i="28"/>
  <c r="L206" i="28"/>
  <c r="G207" i="28"/>
  <c r="L207" i="28"/>
  <c r="G208" i="28"/>
  <c r="L208" i="28"/>
  <c r="G209" i="28"/>
  <c r="L209" i="28"/>
  <c r="C20" i="25"/>
  <c r="D20" i="25"/>
  <c r="E20" i="25"/>
  <c r="F20" i="25"/>
  <c r="G20" i="25"/>
  <c r="H20" i="25"/>
  <c r="I20" i="25"/>
  <c r="J20" i="25"/>
  <c r="K20" i="25"/>
  <c r="L20" i="25"/>
  <c r="C21" i="25"/>
  <c r="D21" i="25"/>
  <c r="E21" i="25"/>
  <c r="F21" i="25"/>
  <c r="G21" i="25"/>
  <c r="H21" i="25"/>
  <c r="I21" i="25"/>
  <c r="J21" i="25"/>
  <c r="K21" i="25"/>
  <c r="L21" i="25"/>
  <c r="C22" i="25"/>
  <c r="D22" i="25"/>
  <c r="E22" i="25"/>
  <c r="F22" i="25"/>
  <c r="G22" i="25"/>
  <c r="H22" i="25"/>
  <c r="I22" i="25"/>
  <c r="J22" i="25"/>
  <c r="K22" i="25"/>
  <c r="L22" i="25"/>
  <c r="C23" i="25"/>
  <c r="D23" i="25"/>
  <c r="E23" i="25"/>
  <c r="F23" i="25"/>
  <c r="G23" i="25"/>
  <c r="H23" i="25"/>
  <c r="I23" i="25"/>
  <c r="J23" i="25"/>
  <c r="K23" i="25"/>
  <c r="L23" i="25"/>
  <c r="C24" i="25"/>
  <c r="D24" i="25"/>
  <c r="E24" i="25"/>
  <c r="F24" i="25"/>
  <c r="G24" i="25"/>
  <c r="H24" i="25"/>
  <c r="I24" i="25"/>
  <c r="J24" i="25"/>
  <c r="K24" i="25"/>
  <c r="L24" i="25"/>
  <c r="C25" i="25"/>
  <c r="D25" i="25"/>
  <c r="E25" i="25"/>
  <c r="F25" i="25"/>
  <c r="G25" i="25"/>
  <c r="H25" i="25"/>
  <c r="I25" i="25"/>
  <c r="J25" i="25"/>
  <c r="K25" i="25"/>
  <c r="L25" i="25"/>
  <c r="C26" i="25"/>
  <c r="D26" i="25"/>
  <c r="E26" i="25"/>
  <c r="F26" i="25"/>
  <c r="G26" i="25"/>
  <c r="H26" i="25"/>
  <c r="I26" i="25"/>
  <c r="J26" i="25"/>
  <c r="K26" i="25"/>
  <c r="L26" i="25"/>
  <c r="C27" i="25"/>
  <c r="D27" i="25"/>
  <c r="E27" i="25"/>
  <c r="F27" i="25"/>
  <c r="G27" i="25"/>
  <c r="H27" i="25"/>
  <c r="I27" i="25"/>
  <c r="J27" i="25"/>
  <c r="K27" i="25"/>
  <c r="L27" i="25"/>
  <c r="C28" i="25"/>
  <c r="D28" i="25"/>
  <c r="E28" i="25"/>
  <c r="F28" i="25"/>
  <c r="G28" i="25"/>
  <c r="H28" i="25"/>
  <c r="I28" i="25"/>
  <c r="J28" i="25"/>
  <c r="K28" i="25"/>
  <c r="L28" i="25"/>
  <c r="C29" i="25"/>
  <c r="D29" i="25"/>
  <c r="E29" i="25"/>
  <c r="F29" i="25"/>
  <c r="G29" i="25"/>
  <c r="H29" i="25"/>
  <c r="I29" i="25"/>
  <c r="J29" i="25"/>
  <c r="K29" i="25"/>
  <c r="L29" i="25"/>
  <c r="C30" i="25"/>
  <c r="D30" i="25"/>
  <c r="E30" i="25"/>
  <c r="F30" i="25"/>
  <c r="G30" i="25"/>
  <c r="H30" i="25"/>
  <c r="I30" i="25"/>
  <c r="J30" i="25"/>
  <c r="K30" i="25"/>
  <c r="L30" i="25"/>
  <c r="C12" i="23"/>
  <c r="C14" i="23" s="1"/>
  <c r="C20" i="23"/>
  <c r="C13" i="22"/>
  <c r="C15" i="22"/>
  <c r="C26" i="22" s="1"/>
  <c r="C16" i="22"/>
  <c r="C27" i="22" s="1"/>
  <c r="C17" i="22"/>
  <c r="C18" i="22" s="1"/>
  <c r="C28" i="22" s="1"/>
  <c r="C22" i="22"/>
  <c r="C15" i="21"/>
  <c r="C16" i="21"/>
  <c r="C17" i="21"/>
  <c r="C18" i="21"/>
  <c r="C18" i="20"/>
  <c r="C19" i="20"/>
  <c r="C20" i="20"/>
  <c r="C27" i="20" s="1"/>
  <c r="C21" i="20"/>
  <c r="C6" i="19"/>
  <c r="C26" i="19" s="1"/>
  <c r="C7" i="19"/>
  <c r="C19" i="19"/>
  <c r="C20" i="19"/>
  <c r="D22" i="19" s="1"/>
  <c r="C21" i="19"/>
  <c r="C25" i="19"/>
  <c r="C29" i="19"/>
  <c r="C30" i="19" s="1"/>
  <c r="C19" i="18"/>
  <c r="C20" i="18"/>
  <c r="C35" i="18" s="1"/>
  <c r="C21" i="18"/>
  <c r="C22" i="18"/>
  <c r="C23" i="18"/>
  <c r="C24" i="18"/>
  <c r="C25" i="18"/>
  <c r="B26" i="18" s="1"/>
  <c r="B28" i="18"/>
  <c r="C29" i="18"/>
  <c r="C31" i="18"/>
  <c r="C33" i="18"/>
  <c r="C34" i="18" s="1"/>
  <c r="C19" i="17"/>
  <c r="C24" i="17" s="1"/>
  <c r="C20" i="17"/>
  <c r="C21" i="17"/>
  <c r="C22" i="17"/>
  <c r="C23" i="17"/>
  <c r="C15" i="16"/>
  <c r="C16" i="16"/>
  <c r="C17" i="16"/>
  <c r="C18" i="16"/>
  <c r="C21" i="15"/>
  <c r="C22" i="15"/>
  <c r="C23" i="15"/>
  <c r="C24" i="15"/>
  <c r="C25" i="15"/>
  <c r="C26" i="15"/>
  <c r="C27" i="15" s="1"/>
  <c r="C17" i="14"/>
  <c r="C18" i="14"/>
  <c r="C20" i="14"/>
  <c r="C19" i="14" s="1"/>
  <c r="C21" i="14"/>
  <c r="C22" i="14"/>
  <c r="C24" i="14" s="1"/>
  <c r="A1" i="13"/>
  <c r="B25" i="13"/>
  <c r="C30" i="13" s="1"/>
  <c r="C26" i="13"/>
  <c r="C27" i="13"/>
  <c r="C28" i="13"/>
  <c r="C36" i="13"/>
  <c r="C39" i="13"/>
  <c r="C43" i="13"/>
  <c r="C22" i="12"/>
  <c r="C23" i="12"/>
  <c r="C32" i="12" s="1"/>
  <c r="C33" i="12" s="1"/>
  <c r="C24" i="12"/>
  <c r="C25" i="12"/>
  <c r="C27" i="12"/>
  <c r="C28" i="12"/>
  <c r="C29" i="12"/>
  <c r="C35" i="12"/>
  <c r="C36" i="12"/>
  <c r="C37" i="12"/>
  <c r="B38" i="12" s="1"/>
  <c r="C39" i="12" s="1"/>
  <c r="Q23" i="1" l="1"/>
  <c r="M23" i="1"/>
  <c r="C77" i="13"/>
  <c r="B78" i="13" s="1"/>
  <c r="C71" i="13"/>
  <c r="C55" i="13"/>
  <c r="C34" i="13"/>
  <c r="C29" i="13"/>
  <c r="C32" i="13" s="1"/>
  <c r="C33" i="13" s="1"/>
  <c r="C19" i="16"/>
  <c r="C39" i="18"/>
  <c r="C25" i="20"/>
  <c r="C30" i="20" s="1"/>
  <c r="C73" i="13"/>
  <c r="C59" i="13"/>
  <c r="C31" i="13"/>
  <c r="B30" i="12"/>
  <c r="C72" i="13"/>
  <c r="C58" i="13"/>
  <c r="C28" i="15"/>
  <c r="C31" i="15"/>
  <c r="C40" i="15" s="1"/>
  <c r="C41" i="15" s="1"/>
  <c r="C42" i="15" s="1"/>
  <c r="B19" i="21"/>
  <c r="C21" i="21" s="1"/>
  <c r="B32" i="15"/>
  <c r="C23" i="14"/>
  <c r="C33" i="19"/>
  <c r="C20" i="16"/>
  <c r="C25" i="16" s="1"/>
  <c r="C26" i="16" s="1"/>
  <c r="C27" i="16" s="1"/>
  <c r="C29" i="16" s="1"/>
  <c r="C30" i="16" s="1"/>
  <c r="C31" i="16" s="1"/>
  <c r="B32" i="16" s="1"/>
  <c r="C25" i="17"/>
  <c r="C36" i="18"/>
  <c r="C37" i="18" s="1"/>
  <c r="B38" i="18" s="1"/>
  <c r="C27" i="18"/>
  <c r="B34" i="19"/>
  <c r="C22" i="19"/>
  <c r="B22" i="20"/>
  <c r="B23" i="20" s="1"/>
  <c r="C20" i="22"/>
  <c r="C21" i="22" s="1"/>
  <c r="B23" i="22" s="1"/>
  <c r="C42" i="12"/>
  <c r="C41" i="12"/>
  <c r="C43" i="12"/>
  <c r="C80" i="13"/>
  <c r="C81" i="13" s="1"/>
  <c r="C87" i="13"/>
  <c r="C88" i="13" s="1"/>
  <c r="C89" i="13" s="1"/>
  <c r="C24" i="21"/>
  <c r="C26" i="21" s="1"/>
  <c r="B22" i="21"/>
  <c r="C15" i="23"/>
  <c r="C16" i="23" s="1"/>
  <c r="C25" i="23" s="1"/>
  <c r="C24" i="23"/>
  <c r="C29" i="15"/>
  <c r="B36" i="19"/>
  <c r="C32" i="20"/>
  <c r="H9" i="28"/>
  <c r="H10" i="28" s="1"/>
  <c r="H11" i="28" s="1"/>
  <c r="H12" i="28" s="1"/>
  <c r="H13" i="28" s="1"/>
  <c r="H14" i="28" s="1"/>
  <c r="H15" i="28" s="1"/>
  <c r="H16" i="28" s="1"/>
  <c r="H17" i="28" s="1"/>
  <c r="H18" i="28" s="1"/>
  <c r="H19" i="28" s="1"/>
  <c r="H20" i="28" s="1"/>
  <c r="H21" i="28" s="1"/>
  <c r="H22" i="28" s="1"/>
  <c r="H23" i="28" s="1"/>
  <c r="H24" i="28" s="1"/>
  <c r="H25" i="28" s="1"/>
  <c r="H26" i="28" s="1"/>
  <c r="H27" i="28" s="1"/>
  <c r="H28" i="28" s="1"/>
  <c r="H29" i="28" s="1"/>
  <c r="H30" i="28" s="1"/>
  <c r="H31" i="28" s="1"/>
  <c r="H32" i="28" s="1"/>
  <c r="H33" i="28" s="1"/>
  <c r="H34" i="28" s="1"/>
  <c r="H35" i="28" s="1"/>
  <c r="H36" i="28" s="1"/>
  <c r="H37" i="28" s="1"/>
  <c r="H38" i="28" s="1"/>
  <c r="H39" i="28" s="1"/>
  <c r="H40" i="28" s="1"/>
  <c r="H41" i="28" s="1"/>
  <c r="H42" i="28" s="1"/>
  <c r="H43" i="28" s="1"/>
  <c r="H44" i="28" s="1"/>
  <c r="H45" i="28" s="1"/>
  <c r="H46" i="28" s="1"/>
  <c r="H47" i="28" s="1"/>
  <c r="H48" i="28" s="1"/>
  <c r="H49" i="28" s="1"/>
  <c r="H50" i="28" s="1"/>
  <c r="H51" i="28" s="1"/>
  <c r="H52" i="28" s="1"/>
  <c r="H53" i="28" s="1"/>
  <c r="H54" i="28" s="1"/>
  <c r="H55" i="28" s="1"/>
  <c r="H56" i="28" s="1"/>
  <c r="H57" i="28" s="1"/>
  <c r="H58" i="28" s="1"/>
  <c r="H59" i="28" s="1"/>
  <c r="H60" i="28" s="1"/>
  <c r="H61" i="28" s="1"/>
  <c r="H62" i="28" s="1"/>
  <c r="H63" i="28" s="1"/>
  <c r="H64" i="28" s="1"/>
  <c r="H65" i="28" s="1"/>
  <c r="H66" i="28" s="1"/>
  <c r="H67" i="28" s="1"/>
  <c r="H68" i="28" s="1"/>
  <c r="H69" i="28" s="1"/>
  <c r="H70" i="28" s="1"/>
  <c r="H71" i="28" s="1"/>
  <c r="H72" i="28" s="1"/>
  <c r="H73" i="28" s="1"/>
  <c r="H74" i="28" s="1"/>
  <c r="H75" i="28" s="1"/>
  <c r="H76" i="28" s="1"/>
  <c r="H77" i="28" s="1"/>
  <c r="H78" i="28" s="1"/>
  <c r="H79" i="28" s="1"/>
  <c r="H80" i="28" s="1"/>
  <c r="H81" i="28" s="1"/>
  <c r="H82" i="28" s="1"/>
  <c r="H83" i="28" s="1"/>
  <c r="H84" i="28" s="1"/>
  <c r="H85" i="28" s="1"/>
  <c r="H86" i="28" s="1"/>
  <c r="H87" i="28" s="1"/>
  <c r="H88" i="28" s="1"/>
  <c r="H89" i="28" s="1"/>
  <c r="H90" i="28" s="1"/>
  <c r="H91" i="28" s="1"/>
  <c r="H92" i="28" s="1"/>
  <c r="H93" i="28" s="1"/>
  <c r="H94" i="28" s="1"/>
  <c r="H95" i="28" s="1"/>
  <c r="H96" i="28" s="1"/>
  <c r="H97" i="28" s="1"/>
  <c r="H98" i="28" s="1"/>
  <c r="H99" i="28" s="1"/>
  <c r="H100" i="28" s="1"/>
  <c r="H101" i="28" s="1"/>
  <c r="H102" i="28" s="1"/>
  <c r="H103" i="28" s="1"/>
  <c r="H104" i="28" s="1"/>
  <c r="H105" i="28" s="1"/>
  <c r="H106" i="28" s="1"/>
  <c r="H107" i="28" s="1"/>
  <c r="H108" i="28" s="1"/>
  <c r="H109" i="28" s="1"/>
  <c r="H110" i="28" s="1"/>
  <c r="H111" i="28" s="1"/>
  <c r="H112" i="28" s="1"/>
  <c r="H113" i="28" s="1"/>
  <c r="H114" i="28" s="1"/>
  <c r="H115" i="28" s="1"/>
  <c r="H116" i="28" s="1"/>
  <c r="H117" i="28" s="1"/>
  <c r="H118" i="28" s="1"/>
  <c r="H119" i="28" s="1"/>
  <c r="H120" i="28" s="1"/>
  <c r="H121" i="28" s="1"/>
  <c r="H122" i="28" s="1"/>
  <c r="H123" i="28" s="1"/>
  <c r="H124" i="28" s="1"/>
  <c r="H125" i="28" s="1"/>
  <c r="H126" i="28" s="1"/>
  <c r="H127" i="28" s="1"/>
  <c r="H128" i="28" s="1"/>
  <c r="H129" i="28" s="1"/>
  <c r="H130" i="28" s="1"/>
  <c r="H131" i="28" s="1"/>
  <c r="H132" i="28" s="1"/>
  <c r="H133" i="28" s="1"/>
  <c r="H134" i="28" s="1"/>
  <c r="H135" i="28" s="1"/>
  <c r="H136" i="28" s="1"/>
  <c r="H137" i="28" s="1"/>
  <c r="H138" i="28" s="1"/>
  <c r="H139" i="28" s="1"/>
  <c r="H140" i="28" s="1"/>
  <c r="H141" i="28" s="1"/>
  <c r="H142" i="28" s="1"/>
  <c r="H143" i="28" s="1"/>
  <c r="H144" i="28" s="1"/>
  <c r="H145" i="28" s="1"/>
  <c r="H146" i="28" s="1"/>
  <c r="H147" i="28" s="1"/>
  <c r="H148" i="28" s="1"/>
  <c r="H149" i="28" s="1"/>
  <c r="H150" i="28" s="1"/>
  <c r="H151" i="28" s="1"/>
  <c r="H152" i="28" s="1"/>
  <c r="H153" i="28" s="1"/>
  <c r="H154" i="28" s="1"/>
  <c r="H155" i="28" s="1"/>
  <c r="H156" i="28" s="1"/>
  <c r="H157" i="28" s="1"/>
  <c r="H158" i="28" s="1"/>
  <c r="H159" i="28" s="1"/>
  <c r="H160" i="28" s="1"/>
  <c r="H161" i="28" s="1"/>
  <c r="H162" i="28" s="1"/>
  <c r="H163" i="28" s="1"/>
  <c r="H164" i="28" s="1"/>
  <c r="H165" i="28" s="1"/>
  <c r="H166" i="28" s="1"/>
  <c r="H167" i="28" s="1"/>
  <c r="H168" i="28" s="1"/>
  <c r="H169" i="28" s="1"/>
  <c r="H170" i="28" s="1"/>
  <c r="H171" i="28" s="1"/>
  <c r="H172" i="28" s="1"/>
  <c r="H173" i="28" s="1"/>
  <c r="H174" i="28" s="1"/>
  <c r="H175" i="28" s="1"/>
  <c r="H176" i="28" s="1"/>
  <c r="H177" i="28" s="1"/>
  <c r="H178" i="28" s="1"/>
  <c r="H179" i="28" s="1"/>
  <c r="H180" i="28" s="1"/>
  <c r="H181" i="28" s="1"/>
  <c r="H182" i="28" s="1"/>
  <c r="H183" i="28" s="1"/>
  <c r="H184" i="28" s="1"/>
  <c r="H185" i="28" s="1"/>
  <c r="H186" i="28" s="1"/>
  <c r="H187" i="28" s="1"/>
  <c r="H188" i="28" s="1"/>
  <c r="H189" i="28" s="1"/>
  <c r="H190" i="28" s="1"/>
  <c r="H191" i="28" s="1"/>
  <c r="H192" i="28" s="1"/>
  <c r="H193" i="28" s="1"/>
  <c r="H194" i="28" s="1"/>
  <c r="H195" i="28" s="1"/>
  <c r="H196" i="28" s="1"/>
  <c r="H197" i="28" s="1"/>
  <c r="H198" i="28" s="1"/>
  <c r="H199" i="28" s="1"/>
  <c r="H200" i="28" s="1"/>
  <c r="H201" i="28" s="1"/>
  <c r="H202" i="28" s="1"/>
  <c r="H203" i="28" s="1"/>
  <c r="H204" i="28" s="1"/>
  <c r="H205" i="28" s="1"/>
  <c r="H206" i="28" s="1"/>
  <c r="H207" i="28" s="1"/>
  <c r="H208" i="28" s="1"/>
  <c r="H209" i="28" s="1"/>
  <c r="F3" i="28"/>
  <c r="K3" i="28" s="1"/>
  <c r="F2" i="28"/>
  <c r="K2" i="28" s="1"/>
  <c r="C26" i="14"/>
  <c r="C27" i="14" s="1"/>
  <c r="B43" i="15" l="1"/>
  <c r="C44" i="15"/>
  <c r="C47" i="15" s="1"/>
  <c r="C44" i="13"/>
  <c r="C40" i="13"/>
  <c r="C37" i="13"/>
  <c r="B38" i="13" s="1"/>
  <c r="C34" i="15"/>
  <c r="C35" i="15" s="1"/>
  <c r="C36" i="15" s="1"/>
  <c r="C37" i="15" s="1"/>
  <c r="B60" i="13"/>
  <c r="C61" i="13"/>
  <c r="C74" i="13"/>
  <c r="C75" i="13"/>
  <c r="C76" i="13" s="1"/>
  <c r="B28" i="20"/>
  <c r="K4" i="28"/>
  <c r="C18" i="23"/>
  <c r="C19" i="23" s="1"/>
  <c r="B21" i="23" s="1"/>
  <c r="B40" i="18"/>
  <c r="B26" i="17"/>
  <c r="C27" i="17"/>
  <c r="B28" i="17" s="1"/>
  <c r="C21" i="16"/>
  <c r="C22" i="16" s="1"/>
  <c r="B23" i="16" s="1"/>
  <c r="B45" i="13"/>
  <c r="C51" i="13"/>
  <c r="C50" i="13"/>
  <c r="B41" i="13"/>
  <c r="B90" i="13"/>
  <c r="C91" i="13"/>
  <c r="B92" i="13" s="1"/>
  <c r="B44" i="12"/>
  <c r="C83" i="13"/>
  <c r="C84" i="13" s="1"/>
  <c r="B85" i="13" s="1"/>
  <c r="C82" i="13"/>
  <c r="F4" i="28"/>
  <c r="B28" i="14"/>
  <c r="C29" i="14"/>
  <c r="C32" i="14" s="1"/>
  <c r="C30" i="14"/>
  <c r="C31" i="14"/>
  <c r="C63" i="13" l="1"/>
  <c r="B62" i="13"/>
  <c r="C46" i="15"/>
  <c r="C48" i="15" s="1"/>
  <c r="C49" i="15" s="1"/>
  <c r="C30" i="15" s="1"/>
  <c r="B38" i="15" s="1"/>
  <c r="C49" i="13"/>
  <c r="B45" i="15"/>
  <c r="C29" i="17"/>
  <c r="C99" i="13"/>
  <c r="C100" i="13"/>
  <c r="C103" i="13"/>
  <c r="B52" i="13"/>
  <c r="C54" i="13"/>
  <c r="B56" i="13" s="1"/>
  <c r="C93" i="13"/>
  <c r="C33" i="14"/>
  <c r="C34" i="14" s="1"/>
  <c r="C65" i="13" l="1"/>
  <c r="C67" i="13" s="1"/>
  <c r="C66" i="13" s="1"/>
  <c r="B68" i="13" s="1"/>
  <c r="C64" i="13"/>
  <c r="C31" i="17"/>
  <c r="C32" i="17" s="1"/>
  <c r="B33" i="17" s="1"/>
  <c r="C30" i="17"/>
  <c r="B101" i="13"/>
  <c r="C104" i="13"/>
  <c r="B105" i="13" s="1"/>
  <c r="C94" i="13"/>
  <c r="C95" i="13"/>
  <c r="B50" i="15"/>
  <c r="B35" i="14"/>
  <c r="C36" i="14"/>
  <c r="C37" i="14" s="1"/>
  <c r="C38" i="14" s="1"/>
  <c r="C53" i="14" s="1"/>
  <c r="C54" i="14" s="1"/>
  <c r="C55" i="14" s="1"/>
  <c r="C57" i="14" s="1"/>
  <c r="C96" i="13" l="1"/>
  <c r="B97" i="13" s="1"/>
  <c r="B58" i="14"/>
  <c r="C59" i="14"/>
  <c r="C60" i="14" s="1"/>
  <c r="C41" i="14"/>
  <c r="B39" i="14"/>
  <c r="C44" i="14" l="1"/>
  <c r="C45" i="14"/>
  <c r="C42" i="14"/>
  <c r="C43" i="14"/>
  <c r="C46" i="14" l="1"/>
  <c r="C48" i="14"/>
  <c r="C49" i="14" s="1"/>
  <c r="B47" i="14"/>
  <c r="H102" i="1"/>
  <c r="F100" i="1"/>
  <c r="G103" i="1" s="1"/>
  <c r="G101" i="1"/>
  <c r="H101" i="1"/>
  <c r="H103" i="1"/>
  <c r="K103" i="1" l="1"/>
  <c r="K101" i="1"/>
  <c r="O56" i="1"/>
  <c r="M56" i="1"/>
  <c r="S56" i="1"/>
  <c r="Q56" i="1"/>
  <c r="F102" i="1"/>
  <c r="F115" i="1"/>
  <c r="F113" i="1"/>
  <c r="F114" i="1"/>
  <c r="C25" i="14"/>
  <c r="B61" i="14" s="1"/>
  <c r="F96" i="1"/>
  <c r="K96" i="1" s="1"/>
  <c r="I97" i="1"/>
  <c r="G57" i="1"/>
  <c r="G55" i="1"/>
  <c r="K55" i="1" l="1"/>
  <c r="G95" i="1"/>
  <c r="K95" i="1" s="1"/>
  <c r="G97" i="1"/>
  <c r="K97" i="1" s="1"/>
  <c r="K57" i="1"/>
  <c r="I21" i="1"/>
  <c r="K31" i="1"/>
  <c r="S96" i="1"/>
  <c r="O99" i="1"/>
  <c r="S99" i="1"/>
  <c r="Q99" i="1"/>
  <c r="M99" i="1"/>
  <c r="Q96" i="1"/>
  <c r="O96" i="1"/>
  <c r="M52" i="1"/>
  <c r="S52" i="1"/>
  <c r="Q52" i="1"/>
  <c r="O52" i="1"/>
  <c r="K22" i="1"/>
  <c r="S22" i="1" s="1"/>
  <c r="S20" i="1"/>
  <c r="Q20" i="1"/>
  <c r="O20" i="1"/>
  <c r="M20" i="1"/>
  <c r="Q25" i="1"/>
  <c r="M25" i="1"/>
  <c r="O25" i="1"/>
  <c r="S25" i="1"/>
  <c r="O13" i="1"/>
  <c r="O16" i="1" s="1"/>
  <c r="K102" i="1"/>
  <c r="K100" i="1" s="1"/>
  <c r="B50" i="14"/>
  <c r="M22" i="1" l="1"/>
  <c r="O22" i="1"/>
  <c r="M96" i="1"/>
  <c r="M21" i="1"/>
  <c r="O21" i="1" s="1"/>
  <c r="O31" i="1"/>
  <c r="M31" i="1"/>
  <c r="Q22" i="1"/>
  <c r="O57" i="1"/>
  <c r="M57" i="1"/>
  <c r="S57" i="1"/>
  <c r="Q57" i="1"/>
  <c r="S55" i="1"/>
  <c r="Q55" i="1"/>
  <c r="O55" i="1"/>
  <c r="M55" i="1"/>
  <c r="Q24" i="1"/>
  <c r="S24" i="1"/>
  <c r="S32" i="1" s="1"/>
  <c r="O24" i="1"/>
  <c r="M24" i="1"/>
  <c r="M32" i="1" l="1"/>
  <c r="Q70" i="1"/>
  <c r="O32" i="1"/>
  <c r="S70" i="1"/>
  <c r="M70" i="1"/>
  <c r="O70" i="1"/>
  <c r="M97" i="1"/>
  <c r="S97" i="1"/>
  <c r="Q97" i="1"/>
  <c r="O97" i="1"/>
  <c r="Q32" i="1"/>
  <c r="K74" i="1"/>
  <c r="K109" i="1" s="1"/>
  <c r="S94" i="1" l="1"/>
  <c r="O109" i="1"/>
  <c r="I74" i="1"/>
  <c r="M74" i="1" s="1"/>
  <c r="O74" i="1" s="1"/>
  <c r="S95" i="1"/>
  <c r="M95" i="1"/>
  <c r="Q95" i="1"/>
  <c r="O95" i="1"/>
  <c r="M109" i="1" l="1"/>
  <c r="S110" i="1"/>
  <c r="Q94" i="1"/>
  <c r="Q110" i="1" s="1"/>
  <c r="O94" i="1"/>
  <c r="O110" i="1" s="1"/>
  <c r="M94" i="1"/>
  <c r="M110" i="1" s="1"/>
  <c r="I35" i="1" l="1"/>
  <c r="M35" i="1" s="1"/>
  <c r="O35" i="1" s="1"/>
  <c r="I34" i="1" l="1"/>
  <c r="M34" i="1" l="1"/>
  <c r="O34" i="1" s="1"/>
  <c r="M38" i="1"/>
  <c r="O69" i="1"/>
  <c r="M69" i="1"/>
  <c r="M60" i="1"/>
  <c r="O60" i="1"/>
  <c r="Q60" i="1"/>
  <c r="S60" i="1"/>
</calcChain>
</file>

<file path=xl/comments1.xml><?xml version="1.0" encoding="utf-8"?>
<comments xmlns="http://schemas.openxmlformats.org/spreadsheetml/2006/main">
  <authors>
    <author>Auteur</author>
    <author>SD-TRAVAUX</author>
    <author>Momo de BKOU</author>
  </authors>
  <commentList>
    <comment ref="F5" authorId="0">
      <text>
        <r>
          <rPr>
            <b/>
            <sz val="10"/>
            <color indexed="81"/>
            <rFont val="Arial Narrow"/>
            <family val="2"/>
          </rPr>
          <t>∑(Perimètre des salles d'eau)-∑largeur des portes</t>
        </r>
      </text>
    </comment>
    <comment ref="H5" authorId="0">
      <text>
        <r>
          <rPr>
            <b/>
            <sz val="10"/>
            <color indexed="81"/>
            <rFont val="Arial Narrow"/>
            <family val="2"/>
          </rPr>
          <t>Hauteur de pose des carreaux dans SDE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∑ ( linéaire des murs interieurs terrasse)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∑(Linéaire total des Murs y compris les bais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1">
      <text>
        <r>
          <rPr>
            <b/>
            <sz val="9"/>
            <color indexed="81"/>
            <rFont val="Tahoma"/>
            <family val="2"/>
          </rPr>
          <t>largeur de fouille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1">
      <text>
        <r>
          <rPr>
            <b/>
            <sz val="12"/>
            <color indexed="81"/>
            <rFont val="Arial Narrow"/>
            <family val="2"/>
          </rPr>
          <t>profondeur de fouille</t>
        </r>
      </text>
    </comment>
    <comment ref="F13" authorId="1">
      <text>
        <r>
          <rPr>
            <b/>
            <sz val="12"/>
            <color indexed="81"/>
            <rFont val="Arial Narrow"/>
            <family val="2"/>
          </rPr>
          <t>longeur de trou</t>
        </r>
      </text>
    </comment>
    <comment ref="G13" authorId="1">
      <text>
        <r>
          <rPr>
            <b/>
            <sz val="12"/>
            <color indexed="81"/>
            <rFont val="Arial Narrow"/>
            <family val="2"/>
          </rPr>
          <t>largeur de trou</t>
        </r>
      </text>
    </comment>
    <comment ref="H13" authorId="1">
      <text>
        <r>
          <rPr>
            <b/>
            <sz val="12"/>
            <color indexed="81"/>
            <rFont val="Arial Narrow"/>
            <family val="2"/>
          </rPr>
          <t>profondeur de trou</t>
        </r>
      </text>
    </comment>
    <comment ref="I13" authorId="1">
      <text>
        <r>
          <rPr>
            <b/>
            <sz val="12"/>
            <color indexed="81"/>
            <rFont val="Arial Narrow"/>
            <family val="2"/>
          </rPr>
          <t>Nombre de trou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2">
      <text>
        <r>
          <rPr>
            <sz val="8"/>
            <color indexed="81"/>
            <rFont val="Tahoma"/>
            <family val="2"/>
          </rPr>
          <t>Cliquer sur "Mur de soubassement" pour choisir une épaisseur de mur</t>
        </r>
      </text>
    </comment>
    <comment ref="G27" authorId="1">
      <text>
        <r>
          <rPr>
            <b/>
            <sz val="12"/>
            <color indexed="81"/>
            <rFont val="Arial Narrow"/>
            <family val="2"/>
          </rPr>
          <t>largeur raidisseur ou chainage vertical = largeur du mur ou brique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2">
      <text>
        <r>
          <rPr>
            <sz val="8"/>
            <color indexed="81"/>
            <rFont val="Tahoma"/>
            <family val="2"/>
          </rPr>
          <t>Nombre de portion de dalle identique</t>
        </r>
      </text>
    </comment>
    <comment ref="F35" authorId="2">
      <text>
        <r>
          <rPr>
            <b/>
            <sz val="11"/>
            <color indexed="81"/>
            <rFont val="Arial Narrow"/>
            <family val="2"/>
          </rPr>
          <t>Soustraire de cette longueur les parties du soubassement inexistante en superstructure</t>
        </r>
      </text>
    </comment>
    <comment ref="H35" authorId="1">
      <text>
        <r>
          <rPr>
            <b/>
            <sz val="10"/>
            <color indexed="81"/>
            <rFont val="Arial Narrow"/>
            <family val="2"/>
          </rPr>
          <t>Hauteur sous plafon</t>
        </r>
        <r>
          <rPr>
            <sz val="10"/>
            <color indexed="81"/>
            <rFont val="Arial Narrow"/>
            <family val="2"/>
          </rPr>
          <t xml:space="preserve">
</t>
        </r>
      </text>
    </comment>
    <comment ref="F36" author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G36" authorId="0">
      <text>
        <r>
          <rPr>
            <b/>
            <sz val="10"/>
            <color indexed="81"/>
            <rFont val="Arial Narrow"/>
            <family val="2"/>
          </rPr>
          <t>Largeur total du batiment</t>
        </r>
      </text>
    </comment>
    <comment ref="I60" authorId="1">
      <text>
        <r>
          <rPr>
            <b/>
            <sz val="9"/>
            <color indexed="81"/>
            <rFont val="Tahoma"/>
            <family val="2"/>
          </rPr>
          <t>Nbre de volet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1" authorId="1">
      <text>
        <r>
          <rPr>
            <b/>
            <sz val="9"/>
            <color indexed="81"/>
            <rFont val="Tahoma"/>
            <family val="2"/>
          </rPr>
          <t>Long marche ou
Emmarchement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1">
      <text>
        <r>
          <rPr>
            <b/>
            <sz val="9"/>
            <color indexed="81"/>
            <rFont val="Tahoma"/>
            <family val="2"/>
          </rPr>
          <t>Giron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1" authorId="1">
      <text>
        <r>
          <rPr>
            <b/>
            <sz val="9"/>
            <color indexed="81"/>
            <rFont val="Tahoma"/>
            <family val="2"/>
          </rPr>
          <t>Ht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" authorId="2">
      <text>
        <r>
          <rPr>
            <b/>
            <sz val="11"/>
            <color indexed="81"/>
            <rFont val="Arial Narrow"/>
            <family val="2"/>
          </rPr>
          <t>Nombre de portion de dalle identique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∑ ( linéaire des murs exterieurs)</t>
        </r>
      </text>
    </comment>
    <comment ref="G67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∑ (linéaire des murs interieurs)</t>
        </r>
      </text>
    </comment>
    <comment ref="G68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2" authorId="2">
      <text>
        <r>
          <rPr>
            <b/>
            <sz val="10"/>
            <color indexed="81"/>
            <rFont val="Tahoma"/>
            <family val="2"/>
          </rPr>
          <t>Choisissez  le nombre d'étage</t>
        </r>
      </text>
    </comment>
    <comment ref="H75" authorId="2">
      <text>
        <r>
          <rPr>
            <sz val="10"/>
            <color indexed="81"/>
            <rFont val="Arial Narrow"/>
            <family val="2"/>
          </rPr>
          <t>Hauteur sous plancher (En cas de plusieurs hauteurs, faites une moyenne)</t>
        </r>
      </text>
    </comment>
    <comment ref="F76" author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G76" author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F101" authorId="1">
      <text>
        <r>
          <rPr>
            <b/>
            <sz val="9"/>
            <color indexed="81"/>
            <rFont val="Tahoma"/>
            <family val="2"/>
          </rPr>
          <t>Long/Larg de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1">
      <text>
        <r>
          <rPr>
            <b/>
            <sz val="9"/>
            <color indexed="81"/>
            <rFont val="Tahoma"/>
            <family val="2"/>
          </rPr>
          <t>Giron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1" authorId="1">
      <text>
        <r>
          <rPr>
            <b/>
            <sz val="9"/>
            <color indexed="81"/>
            <rFont val="Tahoma"/>
            <family val="2"/>
          </rPr>
          <t>Ht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1" authorId="1">
      <text>
        <r>
          <rPr>
            <b/>
            <sz val="9"/>
            <color indexed="81"/>
            <rFont val="Tahoma"/>
            <family val="2"/>
          </rPr>
          <t>Nbre de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4" authorId="2">
      <text>
        <r>
          <rPr>
            <b/>
            <sz val="10"/>
            <color indexed="81"/>
            <rFont val="Arial Narrow"/>
            <family val="2"/>
          </rPr>
          <t>Nombre de portion de dalle identique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∑ ( linéaire des murs exterieurs)</t>
        </r>
      </text>
    </comment>
    <comment ref="G107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∑ (linéaire des murs interieurs)</t>
        </r>
      </text>
    </comment>
    <comment ref="G108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SD-TRAVAUX</author>
    <author>Auteur</author>
  </authors>
  <commentList>
    <comment ref="O5" authorId="0">
      <text>
        <r>
          <rPr>
            <b/>
            <sz val="10"/>
            <color indexed="81"/>
            <rFont val="Arial Narrow"/>
            <family val="2"/>
          </rPr>
          <t>Nombre de Studio de même dimension</t>
        </r>
      </text>
    </comment>
    <comment ref="Q5" authorId="0">
      <text>
        <r>
          <rPr>
            <b/>
            <sz val="10"/>
            <color indexed="81"/>
            <rFont val="Arial Narrow"/>
            <family val="2"/>
          </rPr>
          <t>Nombre de 2 Pièces de même dimension</t>
        </r>
      </text>
    </comment>
    <comment ref="S5" authorId="0">
      <text>
        <r>
          <rPr>
            <b/>
            <sz val="10"/>
            <color indexed="81"/>
            <rFont val="Arial Narrow"/>
            <family val="2"/>
          </rPr>
          <t>Nombre de 3 Pièces de même dimension</t>
        </r>
      </text>
    </comment>
    <comment ref="U5" authorId="0">
      <text>
        <r>
          <rPr>
            <b/>
            <sz val="10"/>
            <color indexed="81"/>
            <rFont val="Arial Narrow"/>
            <family val="2"/>
          </rPr>
          <t>Nombre de 4 Pièces de même dimension</t>
        </r>
      </text>
    </comment>
    <comment ref="N10" author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1">
      <text>
        <r>
          <rPr>
            <b/>
            <sz val="11"/>
            <color indexed="81"/>
            <rFont val="Tahoma"/>
            <family val="2"/>
          </rPr>
          <t>L1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1</t>
        </r>
      </text>
    </comment>
    <comment ref="R11" authorId="1">
      <text>
        <r>
          <rPr>
            <b/>
            <sz val="11"/>
            <color indexed="81"/>
            <rFont val="Arial Narrow"/>
            <family val="2"/>
          </rPr>
          <t>Surface de la Terrasse du studio</t>
        </r>
      </text>
    </comment>
    <comment ref="T11" authorId="1">
      <text>
        <r>
          <rPr>
            <b/>
            <sz val="11"/>
            <color indexed="81"/>
            <rFont val="Arial Narrow"/>
            <family val="2"/>
          </rPr>
          <t>Surface de la Terrasse du studio</t>
        </r>
      </text>
    </comment>
    <comment ref="C12" authorId="1">
      <text>
        <r>
          <rPr>
            <b/>
            <sz val="11"/>
            <color indexed="81"/>
            <rFont val="Tahoma"/>
            <family val="2"/>
          </rPr>
          <t>L2</t>
        </r>
      </text>
    </comment>
    <comment ref="D12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2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C13" authorId="1">
      <text>
        <r>
          <rPr>
            <b/>
            <sz val="11"/>
            <color indexed="81"/>
            <rFont val="Tahoma"/>
            <family val="2"/>
          </rPr>
          <t>L3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3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N13" authorId="0">
      <text>
        <r>
          <rPr>
            <b/>
            <sz val="10"/>
            <color indexed="81"/>
            <rFont val="Arial Narrow"/>
            <family val="2"/>
          </rPr>
          <t>Nombre de salon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1">
      <text>
        <r>
          <rPr>
            <b/>
            <sz val="11"/>
            <color indexed="81"/>
            <rFont val="Tahoma"/>
            <family val="2"/>
          </rPr>
          <t>L4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4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N19" author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2" author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- Roches peu fissurées saines non désagrégées et de stratification favorable ⇒ 0,75 à 4,50 MPa
- Terrains non cohérents à bonne compacité ⇒ 0,35 à 0,75 MPa
- Terrains non cohérents à compacité moyenne ⇒ 0,20 à 0,40 MPa
- Argiles ⇒ 0,10 à 0,30 MPa
</t>
        </r>
      </text>
    </comment>
    <comment ref="C6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- Roches peu fissurées saines non désagrégées et de stratification favorable ⇒ 0,75 à 4,50 MPa
- Terrains non cohérents à bonne compacité ⇒ 0,35 à 0,75 MPa
- Terrains non cohérents à compacité moyenne ⇒ 0,20 à 0,40 MPa
- Argiles ⇒ 0,10 à 0,30 MPa
</t>
        </r>
      </text>
    </comment>
    <comment ref="C6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9" authorId="0">
      <text>
        <r>
          <rPr>
            <sz val="8"/>
            <color indexed="81"/>
            <rFont val="Tahoma"/>
            <family val="2"/>
          </rPr>
          <t xml:space="preserve">Possibilité de remplir directement le champ 'd'.
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12" authorId="0">
      <text>
        <r>
          <rPr>
            <sz val="8"/>
            <color indexed="81"/>
            <rFont val="Tahoma"/>
            <family val="2"/>
          </rPr>
          <t xml:space="preserve">Possibilité de remplir directement le champ 'd'.
</t>
        </r>
      </text>
    </comment>
  </commentList>
</comments>
</file>

<file path=xl/comments7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12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16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>" : éléments devant assurer une étanchéité ou éléments exposés à un milieu agressif (eau de mer, atmosphère marine telle que embruns et brouillards salins, eau très pure, gaz ou sols particulièrement corrosifs).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5" authorId="0">
      <text>
        <r>
          <rPr>
            <sz val="8"/>
            <color indexed="81"/>
            <rFont val="Tahoma"/>
            <family val="2"/>
          </rPr>
          <t xml:space="preserve">"90 jours ou plus "est le cas général
</t>
        </r>
      </text>
    </comment>
    <comment ref="C14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24" authorId="0">
      <text>
        <r>
          <rPr>
            <sz val="8"/>
            <color indexed="81"/>
            <rFont val="Tahoma"/>
            <family val="2"/>
          </rPr>
          <t xml:space="preserve">Vous pouvez entrer directement la longueur de flambement ici.
</t>
        </r>
      </text>
    </comment>
  </commentList>
</comments>
</file>

<file path=xl/comments9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3" authorId="0">
      <text>
        <r>
          <rPr>
            <sz val="8"/>
            <color indexed="81"/>
            <rFont val="Tahoma"/>
            <family val="2"/>
          </rPr>
          <t>- 16 MPa (dosage faible)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- 20 MPa (dosage 300 à 325 kg/m3)
- 25 MPa (dosage 350 à 375 kg/m3)
- 30 MPa (à justifier)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sz val="8"/>
            <color indexed="81"/>
            <rFont val="Tahoma"/>
            <family val="2"/>
          </rPr>
          <t>"t &gt; 24 h" est le cas général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>" : éléments devant assurer une étanchéité ou éléments exposés à un milieu agressif (eau de mer, atmosphère marine telle que embruns et brouillards salins, eau très pure, gaz ou sols particulièrement corrosifs).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7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2" authorId="0">
      <text>
        <r>
          <rPr>
            <sz val="8"/>
            <color indexed="81"/>
            <rFont val="Tahoma"/>
            <family val="2"/>
          </rPr>
          <t>- 16 MPa (dosage faible)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- 20 MPa (dosage 300 à 325 kg/m3)
- 25 MPa (dosage 350 à 375 kg/m3)
- 30 MPa (à justifier)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 xml:space="preserve">" : cas des éléments couverts ou exposés à un milieu faiblement agressif.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7" authorId="0">
      <text>
        <r>
          <rPr>
            <sz val="8"/>
            <color indexed="81"/>
            <rFont val="Tahoma"/>
            <family val="2"/>
          </rPr>
          <t>b = 2b₁ + b₀
avec b₁ ≤ min( ly / 10 ; lx / 2 )
où :
- ly = portée de la poutre
- lx = distance entre deux poutres voisines</t>
        </r>
      </text>
    </comment>
    <comment ref="C9" authorId="0">
      <text>
        <r>
          <rPr>
            <sz val="8"/>
            <color indexed="81"/>
            <rFont val="Tahoma"/>
            <family val="2"/>
          </rPr>
          <t>Il est possible de remplir directement le champ "Hauteur utile  d" plus  bas si vous l'avez déjà déterminer et laisser  celui-ci vide.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16" authorId="0">
      <text>
        <r>
          <rPr>
            <sz val="8"/>
            <color indexed="81"/>
            <rFont val="Tahoma"/>
            <family val="2"/>
          </rPr>
          <t xml:space="preserve">"t &gt; 24 h" est le cas général
</t>
        </r>
      </text>
    </comment>
  </commentList>
</comments>
</file>

<file path=xl/comments12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6" authorId="0">
      <text>
        <r>
          <rPr>
            <sz val="8"/>
            <color indexed="81"/>
            <rFont val="Tahoma"/>
            <family val="2"/>
          </rPr>
          <t xml:space="preserve">b = 2b₁ + b₀
avec b₁ ≤ min( ly / 10 ; lx / 2 )
où :
- ly = portée de la poutre
- lx = distance entre deux poutres voisines
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4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</commentList>
</comments>
</file>

<file path=xl/comments13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b = 2b₁ + b₀
avec b₁ ≤ min( ly / 10 ; lx / 2 )
où :
- ly = portée de la poutre
- lx = distance entre deux poutres voisines
</t>
        </r>
      </text>
    </comment>
    <comment ref="C10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9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20" authorId="0">
      <text>
        <r>
          <rPr>
            <sz val="8"/>
            <color indexed="81"/>
            <rFont val="Tahoma"/>
            <family val="2"/>
          </rPr>
          <t xml:space="preserve">"t &gt; 24 h" est le cas général
</t>
        </r>
      </text>
    </comment>
  </commentList>
</comments>
</file>

<file path=xl/comments14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3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5" authorId="0">
      <text>
        <r>
          <rPr>
            <sz val="8"/>
            <color indexed="81"/>
            <rFont val="Tahoma"/>
            <family val="2"/>
          </rPr>
          <t xml:space="preserve">K = 1 ⇒ pas de reprise de bétonnage (cas général)
</t>
        </r>
        <r>
          <rPr>
            <sz val="8"/>
            <color indexed="81"/>
            <rFont val="Tahoma"/>
            <family val="2"/>
          </rPr>
          <t xml:space="preserve">
K = 0 ⇒ reprise de bétonnage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5" authorId="0">
      <text>
        <r>
          <rPr>
            <sz val="8"/>
            <color indexed="81"/>
            <rFont val="Tahoma"/>
            <family val="2"/>
          </rPr>
          <t xml:space="preserve">cadre = 2 brins
étrier = 2 brins
épingle = 1 brin
cadre + étrier = 4 brins
cadre + épingle = 3 brins...
</t>
        </r>
      </text>
    </comment>
    <comment ref="C18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33" authorId="0">
      <text>
        <r>
          <rPr>
            <sz val="8"/>
            <color indexed="81"/>
            <rFont val="Tahoma"/>
            <family val="2"/>
          </rPr>
          <t xml:space="preserve">α (réel) = appui - c - 2
</t>
        </r>
      </text>
    </comment>
    <comment ref="C42" authorId="0">
      <text>
        <r>
          <rPr>
            <u/>
            <sz val="8"/>
            <color indexed="81"/>
            <rFont val="Tahoma"/>
            <family val="2"/>
          </rPr>
          <t xml:space="preserve">REPARTITION SELON LA METHODE DE CAQUOT
</t>
        </r>
        <r>
          <rPr>
            <sz val="8"/>
            <color indexed="81"/>
            <rFont val="Tahoma"/>
            <family val="2"/>
          </rPr>
          <t xml:space="preserve">(Cas de poutre uniformement chargée)
</t>
        </r>
        <r>
          <rPr>
            <u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- Position du premier cadre : St/2
- Les espacements successifs sont pris dans la liste suivante et disposés autant de fois qu'il y'a de mètre dans la demi-portée de la poutre :
7 - 8 - 9 - 11 - 13 - 16 - 20 - 25 - 35 - 40.
</t>
        </r>
      </text>
    </comment>
  </commentList>
</comments>
</file>

<file path=xl/sharedStrings.xml><?xml version="1.0" encoding="utf-8"?>
<sst xmlns="http://schemas.openxmlformats.org/spreadsheetml/2006/main" count="8568" uniqueCount="3172">
  <si>
    <t>INFRASTRUCTURE</t>
  </si>
  <si>
    <t>Béton de propreté semelles filantes</t>
  </si>
  <si>
    <t>Semelles filantes</t>
  </si>
  <si>
    <t>Mur de soubassement 15</t>
  </si>
  <si>
    <t>Mur de soubassement 20</t>
  </si>
  <si>
    <t>Chaînage bas</t>
  </si>
  <si>
    <t>Béton de propreté semelles isolées</t>
  </si>
  <si>
    <t>Semelles isolées</t>
  </si>
  <si>
    <t>Longrines</t>
  </si>
  <si>
    <t>Amorces de raidisseurs verticaux</t>
  </si>
  <si>
    <t>Voiles en BA</t>
  </si>
  <si>
    <t>Dallage</t>
  </si>
  <si>
    <t>n°1</t>
  </si>
  <si>
    <t>n°2</t>
  </si>
  <si>
    <t>n°3</t>
  </si>
  <si>
    <t>n°4</t>
  </si>
  <si>
    <t>n°5</t>
  </si>
  <si>
    <t>Claustras</t>
  </si>
  <si>
    <t>Chaînage haut</t>
  </si>
  <si>
    <t>Poteaux</t>
  </si>
  <si>
    <t>Raidisseurs verticaux</t>
  </si>
  <si>
    <t>Poutres en BA</t>
  </si>
  <si>
    <t>Escaliers</t>
  </si>
  <si>
    <t>ETAGE</t>
  </si>
  <si>
    <t>DESIGNATION</t>
  </si>
  <si>
    <t>UNITE</t>
  </si>
  <si>
    <t>TOTAL</t>
  </si>
  <si>
    <t>(tonne)</t>
  </si>
  <si>
    <t>SUPERSTRUCTURE / RDC</t>
  </si>
  <si>
    <t>Radier</t>
  </si>
  <si>
    <t>Longueur</t>
  </si>
  <si>
    <t>Linteaux</t>
  </si>
  <si>
    <t>© Copyright Mohamed KAMAGATE</t>
  </si>
  <si>
    <t>Côte d'Ivoire</t>
  </si>
  <si>
    <t>Chape sur dallage</t>
  </si>
  <si>
    <t>Chape sur plancher haut étage</t>
  </si>
  <si>
    <t>Choisir un type de toiture :</t>
  </si>
  <si>
    <t>avec plancher</t>
  </si>
  <si>
    <t>sans plancher</t>
  </si>
  <si>
    <t>Niveau</t>
  </si>
  <si>
    <t>cm</t>
  </si>
  <si>
    <r>
      <t>- Espacement maximum S</t>
    </r>
    <r>
      <rPr>
        <vertAlign val="subscript"/>
        <sz val="11"/>
        <color theme="1"/>
        <rFont val="Calibri"/>
        <family val="2"/>
        <scheme val="minor"/>
      </rPr>
      <t>t max</t>
    </r>
    <r>
      <rPr>
        <sz val="11"/>
        <color theme="1"/>
        <rFont val="Calibri"/>
        <family val="2"/>
        <scheme val="minor"/>
      </rPr>
      <t xml:space="preserve"> ≤</t>
    </r>
  </si>
  <si>
    <r>
      <t>- Espacement initial à l'appui St</t>
    </r>
    <r>
      <rPr>
        <vertAlign val="subscript"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=</t>
    </r>
  </si>
  <si>
    <r>
      <t>- Condition de non-fragilité S</t>
    </r>
    <r>
      <rPr>
        <vertAlign val="subscript"/>
        <sz val="11"/>
        <color theme="1"/>
        <rFont val="Calibri"/>
        <family val="2"/>
        <scheme val="minor"/>
      </rPr>
      <t>t max</t>
    </r>
    <r>
      <rPr>
        <sz val="11"/>
        <color theme="1"/>
        <rFont val="Calibri"/>
        <family val="2"/>
        <scheme val="minor"/>
      </rPr>
      <t xml:space="preserve"> ≤</t>
    </r>
  </si>
  <si>
    <t>Espacement des cours de cadre ou etrier</t>
  </si>
  <si>
    <t>cm²</t>
  </si>
  <si>
    <r>
      <t>- Section d'un brin de Ø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</t>
    </r>
  </si>
  <si>
    <t>mm</t>
  </si>
  <si>
    <r>
      <t>- Diamètre choisit Ø</t>
    </r>
    <r>
      <rPr>
        <vertAlign val="subscript"/>
        <sz val="11"/>
        <rFont val="Calibri"/>
        <family val="2"/>
        <scheme val="minor"/>
      </rPr>
      <t xml:space="preserve">t </t>
    </r>
    <r>
      <rPr>
        <sz val="11"/>
        <rFont val="Calibri"/>
        <family val="2"/>
        <scheme val="minor"/>
      </rPr>
      <t>=</t>
    </r>
  </si>
  <si>
    <r>
      <t>- Diamètre minimum Ø</t>
    </r>
    <r>
      <rPr>
        <vertAlign val="subscript"/>
        <sz val="11"/>
        <rFont val="Calibri"/>
        <family val="2"/>
        <scheme val="minor"/>
      </rPr>
      <t xml:space="preserve">t min </t>
    </r>
    <r>
      <rPr>
        <sz val="11"/>
        <rFont val="Cambria"/>
        <family val="1"/>
        <scheme val="major"/>
      </rPr>
      <t>≥</t>
    </r>
  </si>
  <si>
    <r>
      <t>- Diamètre maximum Ø</t>
    </r>
    <r>
      <rPr>
        <vertAlign val="subscript"/>
        <sz val="11"/>
        <rFont val="Calibri"/>
        <family val="2"/>
        <scheme val="minor"/>
      </rPr>
      <t xml:space="preserve">t max </t>
    </r>
    <r>
      <rPr>
        <sz val="11"/>
        <rFont val="Cambria"/>
        <family val="1"/>
        <scheme val="major"/>
      </rPr>
      <t>≤</t>
    </r>
  </si>
  <si>
    <r>
      <t>Diamètre des cours de cadre ou etrier</t>
    </r>
    <r>
      <rPr>
        <sz val="11"/>
        <color rgb="FF3333CC"/>
        <rFont val="Calibri"/>
        <family val="2"/>
        <scheme val="minor"/>
      </rPr>
      <t xml:space="preserve"> Ø</t>
    </r>
    <r>
      <rPr>
        <vertAlign val="subscript"/>
        <sz val="11"/>
        <color theme="1"/>
        <rFont val="Calibri"/>
        <family val="2"/>
        <scheme val="minor"/>
      </rPr>
      <t>t</t>
    </r>
  </si>
  <si>
    <r>
      <t>- Profondeur minimale d'appui α</t>
    </r>
    <r>
      <rPr>
        <vertAlign val="subscript"/>
        <sz val="11"/>
        <color theme="1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≥</t>
    </r>
  </si>
  <si>
    <r>
      <t>- Section d'aciers longitudinaux minimum sur appuis A</t>
    </r>
    <r>
      <rPr>
        <vertAlign val="subscript"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≥</t>
    </r>
  </si>
  <si>
    <t>Justification aux appuis simples d'about</t>
  </si>
  <si>
    <t>MPa</t>
  </si>
  <si>
    <r>
      <t xml:space="preserve">- Contrainte limite de cisaillement (cadre incliné) </t>
    </r>
    <r>
      <rPr>
        <sz val="11"/>
        <color rgb="FFFF0000"/>
        <rFont val="Calibri"/>
        <family val="2"/>
      </rPr>
      <t>τ</t>
    </r>
    <r>
      <rPr>
        <vertAlign val="superscript"/>
        <sz val="11"/>
        <color rgb="FFFF0000"/>
        <rFont val="Calibri"/>
        <family val="2"/>
      </rPr>
      <t>-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</si>
  <si>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r>
      <t xml:space="preserve">- Contrainte limite de cisaillement (cadre droit) </t>
    </r>
    <r>
      <rPr>
        <sz val="11"/>
        <color rgb="FFFF0000"/>
        <rFont val="Calibri"/>
        <family val="2"/>
      </rPr>
      <t>τ</t>
    </r>
    <r>
      <rPr>
        <vertAlign val="superscript"/>
        <sz val="11"/>
        <color rgb="FFFF0000"/>
        <rFont val="Calibri"/>
        <family val="2"/>
      </rPr>
      <t>-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</si>
  <si>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r>
      <t xml:space="preserve">- Contrainte de cisaillement </t>
    </r>
    <r>
      <rPr>
        <sz val="11"/>
        <color rgb="FFFF0000"/>
        <rFont val="Calibri"/>
        <family val="2"/>
      </rPr>
      <t>τ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</si>
  <si>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t>E.L.U. de cisaillement du béton</t>
  </si>
  <si>
    <r>
      <t xml:space="preserve">- Contrainte de traction du béton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tj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</si>
  <si>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des cadres et étriers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</si>
  <si>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des aciers tendus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</si>
  <si>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Hauteur utile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:</t>
    </r>
  </si>
  <si>
    <t>ARMATURES TRANSVERSALES ET DISPOSITION CONSTRUCTIVE</t>
  </si>
  <si>
    <r>
      <t xml:space="preserve">- Coefficient de sécurité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b</t>
    </r>
    <r>
      <rPr>
        <sz val="11"/>
        <color theme="1"/>
        <rFont val="Calibri"/>
        <family val="2"/>
      </rPr>
      <t xml:space="preserve"> et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s</t>
    </r>
    <r>
      <rPr>
        <sz val="11"/>
        <color theme="1"/>
        <rFont val="Calibri"/>
        <family val="2"/>
      </rPr>
      <t xml:space="preserve"> :</t>
    </r>
  </si>
  <si>
    <r>
      <t xml:space="preserve">- Résistance caractéristique du béton à 28 jours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c28</t>
    </r>
    <r>
      <rPr>
        <sz val="11"/>
        <color theme="1"/>
        <rFont val="Calibri"/>
        <family val="2"/>
        <scheme val="minor"/>
      </rPr>
      <t xml:space="preserve"> :</t>
    </r>
  </si>
  <si>
    <t>té</t>
  </si>
  <si>
    <t>rectangulaire</t>
  </si>
  <si>
    <r>
      <t xml:space="preserve">- Limite d'élasticité garantie cadres et étriers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</si>
  <si>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Nombre de brins d'armatures transversaux </t>
    </r>
    <r>
      <rPr>
        <sz val="11"/>
        <color rgb="FFFF0000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:</t>
    </r>
  </si>
  <si>
    <t>non</t>
  </si>
  <si>
    <r>
      <t xml:space="preserve">- Diamètre des aciers transversaux </t>
    </r>
    <r>
      <rPr>
        <sz val="11"/>
        <color rgb="FFFF0000"/>
        <rFont val="Calibri"/>
        <family val="2"/>
        <scheme val="minor"/>
      </rPr>
      <t>Ø</t>
    </r>
    <r>
      <rPr>
        <vertAlign val="subscript"/>
        <sz val="11"/>
        <color rgb="FFFF0000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</t>
    </r>
  </si>
  <si>
    <t>oui</t>
  </si>
  <si>
    <t>Paramètre des cours transversaux</t>
  </si>
  <si>
    <r>
      <t xml:space="preserve">- Limite d'élasticité garantie aciers tendus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</si>
  <si>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combinaisons accidentelles</t>
  </si>
  <si>
    <r>
      <t xml:space="preserve">- Diamètre des armatures longitudinales inférieures </t>
    </r>
    <r>
      <rPr>
        <sz val="11"/>
        <color rgb="FFFF0000"/>
        <rFont val="Calibri"/>
        <family val="2"/>
        <scheme val="minor"/>
      </rPr>
      <t>Ø</t>
    </r>
    <r>
      <rPr>
        <vertAlign val="subscript"/>
        <sz val="11"/>
        <color rgb="FFFF0000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=</t>
    </r>
  </si>
  <si>
    <t>cas général</t>
  </si>
  <si>
    <t>Paramètre des aciers longitudinaux</t>
  </si>
  <si>
    <r>
      <t xml:space="preserve">- Enrobage des armatures </t>
    </r>
    <r>
      <rPr>
        <sz val="11"/>
        <color rgb="FFFF0000"/>
        <rFont val="Calibri"/>
        <family val="2"/>
        <scheme val="minor"/>
      </rPr>
      <t>(c)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</si>
  <si>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Hauteur de la poutre </t>
    </r>
    <r>
      <rPr>
        <sz val="11"/>
        <color rgb="FFFF0000"/>
        <rFont val="Calibri"/>
        <family val="2"/>
        <scheme val="minor"/>
      </rPr>
      <t>h :</t>
    </r>
  </si>
  <si>
    <r>
      <t xml:space="preserve">- Largeur de l'âme </t>
    </r>
    <r>
      <rPr>
        <sz val="11"/>
        <color rgb="FFFF0000"/>
        <rFont val="Calibri"/>
        <family val="2"/>
        <scheme val="minor"/>
      </rPr>
      <t>b</t>
    </r>
    <r>
      <rPr>
        <vertAlign val="subscript"/>
        <sz val="11"/>
        <color rgb="FFFF0000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:</t>
    </r>
  </si>
  <si>
    <t>- Type de poutre :</t>
  </si>
  <si>
    <r>
      <t>- Reprise de bétonnage</t>
    </r>
    <r>
      <rPr>
        <sz val="11"/>
        <color theme="1"/>
        <rFont val="Calibri"/>
        <family val="2"/>
        <scheme val="minor"/>
      </rPr>
      <t xml:space="preserve"> :</t>
    </r>
  </si>
  <si>
    <t>Paramètres de la poutre</t>
  </si>
  <si>
    <t>très préjudiciable</t>
  </si>
  <si>
    <t>N</t>
  </si>
  <si>
    <r>
      <t xml:space="preserve">- Efort tranchant </t>
    </r>
    <r>
      <rPr>
        <sz val="11"/>
        <color rgb="FFFF0000"/>
        <rFont val="Calibri"/>
        <family val="2"/>
        <scheme val="minor"/>
      </rPr>
      <t>V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rFont val="Calibri"/>
        <family val="2"/>
        <scheme val="minor"/>
      </rPr>
      <t xml:space="preserve"> à l'E.L.U. :</t>
    </r>
  </si>
  <si>
    <t>préjudiciable</t>
  </si>
  <si>
    <t>- Cas de fissuration :</t>
  </si>
  <si>
    <t>peu préjudiciable</t>
  </si>
  <si>
    <t>DONNEES DE BASE</t>
  </si>
  <si>
    <t>E.L.U.R. : JUSTIFICATION DE L'EFFORT TRANCHANT ©Copyright Mohamed KAMAGATE</t>
  </si>
  <si>
    <t>N.m</t>
  </si>
  <si>
    <r>
      <t xml:space="preserve">- Moment interne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</si>
  <si>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Moment externe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rgb="FFFF0000"/>
        <rFont val="Calibri"/>
        <family val="2"/>
        <scheme val="minor"/>
      </rPr>
      <t xml:space="preserve"> = </t>
    </r>
    <r>
      <rPr>
        <sz val="11"/>
        <rFont val="Calibri"/>
        <family val="2"/>
        <scheme val="minor"/>
      </rPr>
      <t>M (1,35 G) + M (1,50 Q) :</t>
    </r>
  </si>
  <si>
    <t>Equilibre des moments externes et internes à l'E.L.U.R.</t>
  </si>
  <si>
    <r>
      <t>- Effort normal de traction de l'acier N</t>
    </r>
    <r>
      <rPr>
        <vertAlign val="sub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=</t>
    </r>
  </si>
  <si>
    <r>
      <t>- Effort normal de compression du béton N</t>
    </r>
    <r>
      <rPr>
        <vertAlign val="subscript"/>
        <sz val="11"/>
        <color theme="1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=</t>
    </r>
  </si>
  <si>
    <t>Equilibre des efforts normaux</t>
  </si>
  <si>
    <r>
      <t>- Section théorique d'armature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A</t>
    </r>
    <r>
      <rPr>
        <vertAlign val="subscript"/>
        <sz val="11"/>
        <color rgb="FF3333CC"/>
        <rFont val="Calibri"/>
        <family val="2"/>
      </rPr>
      <t>s</t>
    </r>
    <r>
      <rPr>
        <sz val="11"/>
        <color rgb="FF3333CC"/>
        <rFont val="Calibri"/>
        <family val="2"/>
      </rPr>
      <t xml:space="preserve"> =</t>
    </r>
  </si>
  <si>
    <r>
      <t>- Effort normal dans la nervure N</t>
    </r>
    <r>
      <rPr>
        <vertAlign val="subscript"/>
        <sz val="11"/>
        <color theme="1"/>
        <rFont val="Calibri"/>
        <family val="2"/>
        <scheme val="minor"/>
      </rPr>
      <t>s2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=</t>
    </r>
  </si>
  <si>
    <r>
      <t>- Effort normal dans la table N</t>
    </r>
    <r>
      <rPr>
        <vertAlign val="subscript"/>
        <sz val="11"/>
        <color theme="1"/>
        <rFont val="Calibri"/>
        <family val="2"/>
        <scheme val="minor"/>
      </rPr>
      <t>s1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</si>
  <si>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vertAlign val="subscript"/>
        <sz val="11"/>
        <color rgb="FF3333CC"/>
        <rFont val="Calibri"/>
        <family val="2"/>
      </rPr>
      <t>2</t>
    </r>
    <r>
      <rPr>
        <sz val="11"/>
        <color rgb="FF3333CC"/>
        <rFont val="Calibri"/>
        <family val="2"/>
      </rPr>
      <t xml:space="preserve"> =</t>
    </r>
  </si>
  <si>
    <r>
      <t>- Moment critique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c</t>
    </r>
    <r>
      <rPr>
        <sz val="11"/>
        <color rgb="FF3333CC"/>
        <rFont val="Calibri"/>
        <family val="2"/>
        <scheme val="minor"/>
      </rPr>
      <t xml:space="preserve"> =</t>
    </r>
  </si>
  <si>
    <r>
      <t>- Moment réduit dans la section µ</t>
    </r>
    <r>
      <rPr>
        <vertAlign val="subscript"/>
        <sz val="11"/>
        <rFont val="Calibri"/>
        <family val="2"/>
      </rPr>
      <t>2</t>
    </r>
    <r>
      <rPr>
        <sz val="11"/>
        <rFont val="Calibri"/>
        <family val="2"/>
      </rPr>
      <t xml:space="preserve">  =</t>
    </r>
  </si>
  <si>
    <r>
      <t>- Moment sollicitant dans la nervure M</t>
    </r>
    <r>
      <rPr>
        <vertAlign val="subscript"/>
        <sz val="11"/>
        <rFont val="Calibri"/>
        <family val="2"/>
      </rPr>
      <t>u2</t>
    </r>
    <r>
      <rPr>
        <sz val="11"/>
        <rFont val="Calibri"/>
        <family val="2"/>
      </rPr>
      <t xml:space="preserve"> =</t>
    </r>
  </si>
  <si>
    <r>
      <t>- Moment sollicitant dans la table M</t>
    </r>
    <r>
      <rPr>
        <vertAlign val="subscript"/>
        <sz val="11"/>
        <rFont val="Calibri"/>
        <family val="2"/>
      </rPr>
      <t>u1</t>
    </r>
    <r>
      <rPr>
        <sz val="11"/>
        <rFont val="Calibri"/>
        <family val="2"/>
      </rPr>
      <t xml:space="preserve"> =</t>
    </r>
  </si>
  <si>
    <r>
      <t>Table et nervure comprimées</t>
    </r>
    <r>
      <rPr>
        <sz val="11"/>
        <color rgb="FF3333CC"/>
        <rFont val="Calibri"/>
        <family val="2"/>
        <scheme val="minor"/>
      </rPr>
      <t xml:space="preserve"> : poutre TE</t>
    </r>
  </si>
  <si>
    <r>
      <t>- Bras de levier (aciers tendus-béton comprimé)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z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</si>
  <si>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 xml:space="preserve">- Hauteur de béton comprimée </t>
    </r>
    <r>
      <rPr>
        <sz val="11"/>
        <color rgb="FF3333CC"/>
        <rFont val="Calibri"/>
        <family val="2"/>
      </rPr>
      <t>y</t>
    </r>
    <r>
      <rPr>
        <vertAlign val="subscript"/>
        <sz val="11"/>
        <color rgb="FF3333CC"/>
        <rFont val="Calibri"/>
        <family val="2"/>
      </rPr>
      <t>u</t>
    </r>
    <r>
      <rPr>
        <sz val="11"/>
        <rFont val="Calibri"/>
        <family val="2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</si>
  <si>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sz val="11"/>
        <color rgb="FF3333CC"/>
        <rFont val="Calibri"/>
        <family val="2"/>
      </rPr>
      <t xml:space="preserve"> =</t>
    </r>
  </si>
  <si>
    <r>
      <t>- Calcul du moment ultime réduit</t>
    </r>
    <r>
      <rPr>
        <sz val="11"/>
        <color rgb="FF3333CC"/>
        <rFont val="Calibri"/>
        <family val="2"/>
        <scheme val="minor"/>
      </rPr>
      <t xml:space="preserve"> µ</t>
    </r>
    <r>
      <rPr>
        <sz val="11"/>
        <color rgb="FF3333CC"/>
        <rFont val="Calibri"/>
        <family val="2"/>
        <scheme val="minor"/>
      </rPr>
      <t xml:space="preserve"> =</t>
    </r>
  </si>
  <si>
    <r>
      <t>Table seule comprimée</t>
    </r>
    <r>
      <rPr>
        <sz val="11"/>
        <color rgb="FF3333CC"/>
        <rFont val="Calibri"/>
        <family val="2"/>
        <scheme val="minor"/>
      </rPr>
      <t xml:space="preserve"> : section rectangulaire</t>
    </r>
  </si>
  <si>
    <r>
      <t>- Moment résistant de la table M</t>
    </r>
    <r>
      <rPr>
        <vertAlign val="subscript"/>
        <sz val="11"/>
        <rFont val="Calibri"/>
        <family val="2"/>
      </rPr>
      <t>tu</t>
    </r>
    <r>
      <rPr>
        <sz val="11"/>
        <rFont val="Calibri"/>
        <family val="2"/>
      </rPr>
      <t xml:space="preserve"> 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</si>
  <si>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≥</t>
    </r>
  </si>
  <si>
    <r>
      <t>cm</t>
    </r>
    <r>
      <rPr>
        <vertAlign val="superscript"/>
        <sz val="11"/>
        <color theme="1"/>
        <rFont val="Calibri"/>
        <family val="2"/>
        <scheme val="minor"/>
      </rPr>
      <t>4</t>
    </r>
  </si>
  <si>
    <t>Moment quadratique par rapport au C.d.G. =</t>
  </si>
  <si>
    <r>
      <t>Position de l'axe neutre par rapport à la section d'acier tendue y'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</si>
  <si>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r>
      <t>Position de l'axe neutre par rapport à la fibre la plus comprimée de  béton y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</si>
  <si>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Section de béton B =</t>
  </si>
  <si>
    <r>
      <t xml:space="preserve">- Rapport des moments </t>
    </r>
    <r>
      <rPr>
        <sz val="11"/>
        <color rgb="FFFF0000"/>
        <rFont val="Calibri"/>
        <family val="2"/>
      </rPr>
      <t>γ</t>
    </r>
    <r>
      <rPr>
        <sz val="11"/>
        <color theme="1"/>
        <rFont val="Calibri"/>
        <family val="2"/>
      </rPr>
      <t xml:space="preserve"> :</t>
    </r>
  </si>
  <si>
    <r>
      <t>Contrôle de l'acier à l'E.L.U.R.</t>
    </r>
    <r>
      <rPr>
        <sz val="11"/>
        <rFont val="Calibri"/>
        <family val="2"/>
        <scheme val="minor"/>
      </rPr>
      <t xml:space="preserve"> (pas d'acier comprimé)</t>
    </r>
  </si>
  <si>
    <t>POUTRE EN TE</t>
  </si>
  <si>
    <r>
      <t>- Section théorique d'armature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A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</si>
  <si>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≥</t>
    </r>
  </si>
  <si>
    <r>
      <t>- Hauteur de béton comprimé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y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</si>
  <si>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</si>
  <si>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Calcul du moment critique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c</t>
    </r>
    <r>
      <rPr>
        <sz val="11"/>
        <color rgb="FF3333CC"/>
        <rFont val="Calibri"/>
        <family val="2"/>
        <scheme val="minor"/>
      </rPr>
      <t xml:space="preserve"> =</t>
    </r>
  </si>
  <si>
    <r>
      <t>- Calcul du moment ultime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bu</t>
    </r>
    <r>
      <rPr>
        <sz val="11"/>
        <color rgb="FF3333CC"/>
        <rFont val="Calibri"/>
        <family val="2"/>
        <scheme val="minor"/>
      </rPr>
      <t xml:space="preserve"> =</t>
    </r>
  </si>
  <si>
    <r>
      <t xml:space="preserve">- Moment interne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</si>
  <si>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Moment externe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 M (G) + M (Q) :</t>
    </r>
  </si>
  <si>
    <t>Equilibre des moments externes et internes</t>
  </si>
  <si>
    <r>
      <t>- Effort normal de compression de l'acier N</t>
    </r>
    <r>
      <rPr>
        <vertAlign val="subscript"/>
        <sz val="11"/>
        <color theme="1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=</t>
    </r>
  </si>
  <si>
    <t xml:space="preserve">SECTION RECTANGULAIRE </t>
  </si>
  <si>
    <t>CONTRÔLE DES RESULTATS</t>
  </si>
  <si>
    <r>
      <t xml:space="preserve">- Contrainte de traction de l'acier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</si>
  <si>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traction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</si>
  <si>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t>Contrainte de traction</t>
  </si>
  <si>
    <r>
      <t xml:space="preserve">- Contrainte de compression du l'acier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</si>
  <si>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compression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</si>
  <si>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compression du béton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</si>
  <si>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compression du béton 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</si>
  <si>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t>Contrainte de compression</t>
  </si>
  <si>
    <r>
      <t>- Moment quadratique  I</t>
    </r>
    <r>
      <rPr>
        <vertAlign val="subscript"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=</t>
    </r>
  </si>
  <si>
    <r>
      <t>- Position de l'axe neutre y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</si>
  <si>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Δ =</t>
  </si>
  <si>
    <t>C =</t>
  </si>
  <si>
    <t>B =</t>
  </si>
  <si>
    <t>A =</t>
  </si>
  <si>
    <r>
      <t xml:space="preserve">- Résistance à la traction du béton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tj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</si>
  <si>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</si>
  <si>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du béton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bu</t>
    </r>
    <r>
      <rPr>
        <sz val="11"/>
        <color theme="1"/>
        <rFont val="Calibri"/>
        <family val="2"/>
        <scheme val="minor"/>
      </rPr>
      <t xml:space="preserve"> :</t>
    </r>
  </si>
  <si>
    <t>VERIFICATION DES CONTRAINTES A L'ELS</t>
  </si>
  <si>
    <r>
      <t xml:space="preserve">- Durée d'application des charges </t>
    </r>
    <r>
      <rPr>
        <sz val="11"/>
        <color rgb="FFFF0000"/>
        <rFont val="Calibri"/>
        <family val="2"/>
      </rPr>
      <t>t</t>
    </r>
    <r>
      <rPr>
        <sz val="11"/>
        <color theme="1"/>
        <rFont val="Calibri"/>
        <family val="2"/>
      </rPr>
      <t xml:space="preserve"> :</t>
    </r>
  </si>
  <si>
    <r>
      <t xml:space="preserve">- Limite d'élasticité garantie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</si>
  <si>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Paramètre matériaux</t>
  </si>
  <si>
    <r>
      <t xml:space="preserve">- Section d'aciers comprimés </t>
    </r>
    <r>
      <rPr>
        <b/>
        <sz val="11"/>
        <color rgb="FF3333CC"/>
        <rFont val="Calibri"/>
        <family val="2"/>
        <scheme val="minor"/>
      </rPr>
      <t>A'</t>
    </r>
    <r>
      <rPr>
        <b/>
        <vertAlign val="subscript"/>
        <sz val="11"/>
        <color rgb="FF3333CC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</si>
  <si>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Section d'aciers tendus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</t>
    </r>
  </si>
  <si>
    <t>Sections des aciers</t>
  </si>
  <si>
    <t>t &lt; 1 h</t>
  </si>
  <si>
    <r>
      <t xml:space="preserve">- Hauteur utile aciers comprimés </t>
    </r>
    <r>
      <rPr>
        <b/>
        <sz val="11"/>
        <color rgb="FF3333CC"/>
        <rFont val="Calibri"/>
        <family val="2"/>
        <scheme val="minor"/>
      </rPr>
      <t>d'</t>
    </r>
    <r>
      <rPr>
        <sz val="11"/>
        <color theme="1"/>
        <rFont val="Calibri"/>
        <family val="2"/>
        <scheme val="minor"/>
      </rPr>
      <t xml:space="preserve"> :</t>
    </r>
  </si>
  <si>
    <t>1 h ≤ t ≤ 24 h</t>
  </si>
  <si>
    <r>
      <t xml:space="preserve">- Hauteur utile aciers tendus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:</t>
    </r>
  </si>
  <si>
    <t>t &gt; 24 h</t>
  </si>
  <si>
    <r>
      <t>- Hauteur de la table (h</t>
    </r>
    <r>
      <rPr>
        <b/>
        <vertAlign val="subscript"/>
        <sz val="11"/>
        <color rgb="FF00B050"/>
        <rFont val="Calibri"/>
        <family val="2"/>
        <scheme val="minor"/>
      </rPr>
      <t>0</t>
    </r>
    <r>
      <rPr>
        <b/>
        <sz val="11"/>
        <color rgb="FF00B050"/>
        <rFont val="Calibri"/>
        <family val="2"/>
        <scheme val="minor"/>
      </rPr>
      <t>) :</t>
    </r>
  </si>
  <si>
    <r>
      <t xml:space="preserve">- Hauteur de la poutre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</si>
  <si>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>- Largeur de la nervure (b</t>
    </r>
    <r>
      <rPr>
        <b/>
        <vertAlign val="subscript"/>
        <sz val="11"/>
        <color rgb="FF00B050"/>
        <rFont val="Calibri"/>
        <family val="2"/>
        <scheme val="minor"/>
      </rPr>
      <t>0</t>
    </r>
    <r>
      <rPr>
        <b/>
        <sz val="11"/>
        <color rgb="FF00B050"/>
        <rFont val="Calibri"/>
        <family val="2"/>
        <scheme val="minor"/>
      </rPr>
      <t>) :</t>
    </r>
  </si>
  <si>
    <r>
      <t xml:space="preserve">- Largeur de la table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</si>
  <si>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Dimensions de la poutre</t>
  </si>
  <si>
    <r>
      <t xml:space="preserve">-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= M (1,35 G) + M (1,50 Q) :</t>
    </r>
  </si>
  <si>
    <r>
      <t xml:space="preserve">-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 M (G) + M (Q) :</t>
    </r>
  </si>
  <si>
    <t>Moments agissants</t>
  </si>
  <si>
    <r>
      <t xml:space="preserve">- Section réelle d'armature tendue </t>
    </r>
    <r>
      <rPr>
        <sz val="11"/>
        <rFont val="Calibri"/>
        <family val="2"/>
      </rPr>
      <t>A</t>
    </r>
    <r>
      <rPr>
        <vertAlign val="subscript"/>
        <sz val="11"/>
        <rFont val="Calibri"/>
        <family val="2"/>
      </rPr>
      <t>ser réel</t>
    </r>
    <r>
      <rPr>
        <sz val="11"/>
        <rFont val="Calibri"/>
        <family val="2"/>
      </rPr>
      <t xml:space="preserve"> =</t>
    </r>
  </si>
  <si>
    <r>
      <t xml:space="preserve">- Bras de levier (aciers tendus-béton comprimé) </t>
    </r>
    <r>
      <rPr>
        <sz val="11"/>
        <rFont val="Calibri"/>
        <family val="2"/>
      </rPr>
      <t>z</t>
    </r>
    <r>
      <rPr>
        <vertAlign val="subscript"/>
        <sz val="11"/>
        <rFont val="Calibri"/>
        <family val="2"/>
      </rPr>
      <t>1 réel</t>
    </r>
    <r>
      <rPr>
        <sz val="11"/>
        <rFont val="Calibri"/>
        <family val="2"/>
      </rPr>
      <t xml:space="preserve"> =</t>
    </r>
  </si>
  <si>
    <r>
      <t>- Hauteur de béton comprimé y</t>
    </r>
    <r>
      <rPr>
        <vertAlign val="subscript"/>
        <sz val="11"/>
        <rFont val="Calibri"/>
        <family val="2"/>
        <scheme val="minor"/>
      </rPr>
      <t>1 réel</t>
    </r>
    <r>
      <rPr>
        <sz val="11"/>
        <rFont val="Calibri"/>
        <family val="2"/>
        <scheme val="minor"/>
      </rPr>
      <t xml:space="preserve"> =</t>
    </r>
  </si>
  <si>
    <t>2 Calcul réel</t>
  </si>
  <si>
    <r>
      <t xml:space="preserve">- Section approchée d'armature tendue </t>
    </r>
    <r>
      <rPr>
        <sz val="11"/>
        <rFont val="Calibri"/>
        <family val="2"/>
      </rPr>
      <t>A</t>
    </r>
    <r>
      <rPr>
        <vertAlign val="subscript"/>
        <sz val="11"/>
        <rFont val="Calibri"/>
        <family val="2"/>
      </rPr>
      <t>ser app</t>
    </r>
    <r>
      <rPr>
        <sz val="11"/>
        <rFont val="Calibri"/>
        <family val="2"/>
      </rPr>
      <t xml:space="preserve"> =</t>
    </r>
  </si>
  <si>
    <r>
      <t xml:space="preserve">- Bras de levier initial (aciers tendus-béton comprimé) </t>
    </r>
    <r>
      <rPr>
        <sz val="11"/>
        <rFont val="Calibri"/>
        <family val="2"/>
      </rPr>
      <t>z</t>
    </r>
    <r>
      <rPr>
        <vertAlign val="subscript"/>
        <sz val="11"/>
        <rFont val="Calibri"/>
        <family val="2"/>
      </rPr>
      <t>1 app</t>
    </r>
    <r>
      <rPr>
        <sz val="11"/>
        <rFont val="Calibri"/>
        <family val="2"/>
      </rPr>
      <t xml:space="preserve"> =</t>
    </r>
  </si>
  <si>
    <r>
      <t>- Hauteur de béton comprimé y</t>
    </r>
    <r>
      <rPr>
        <vertAlign val="subscript"/>
        <sz val="11"/>
        <rFont val="Calibri"/>
        <family val="2"/>
        <scheme val="minor"/>
      </rPr>
      <t>1 app</t>
    </r>
    <r>
      <rPr>
        <sz val="11"/>
        <rFont val="Calibri"/>
        <family val="2"/>
        <scheme val="minor"/>
      </rPr>
      <t xml:space="preserve"> =</t>
    </r>
  </si>
  <si>
    <t>1 Calcul approché</t>
  </si>
  <si>
    <t>POUTRE RECTANGULAIRE</t>
  </si>
  <si>
    <r>
      <t xml:space="preserve">- Moment résistant de béton M </t>
    </r>
    <r>
      <rPr>
        <vertAlign val="subscript"/>
        <sz val="11"/>
        <rFont val="Calibri"/>
        <family val="2"/>
        <scheme val="minor"/>
      </rPr>
      <t>app</t>
    </r>
    <r>
      <rPr>
        <sz val="11"/>
        <rFont val="Calibri"/>
        <family val="2"/>
        <scheme val="minor"/>
      </rPr>
      <t xml:space="preserve"> =</t>
    </r>
  </si>
  <si>
    <r>
      <t>- Effort normal sur béton fictif sous table N</t>
    </r>
    <r>
      <rPr>
        <vertAlign val="subscript"/>
        <sz val="11"/>
        <rFont val="Calibri"/>
        <family val="2"/>
        <scheme val="minor"/>
      </rPr>
      <t>b2 app</t>
    </r>
    <r>
      <rPr>
        <sz val="11"/>
        <rFont val="Calibri"/>
        <family val="2"/>
        <scheme val="minor"/>
      </rPr>
      <t xml:space="preserve"> =</t>
    </r>
  </si>
  <si>
    <r>
      <t>- Effort normal sur poutre fictive rectangulaire N</t>
    </r>
    <r>
      <rPr>
        <vertAlign val="subscript"/>
        <sz val="11"/>
        <rFont val="Calibri"/>
        <family val="2"/>
        <scheme val="minor"/>
      </rPr>
      <t>b1 app</t>
    </r>
    <r>
      <rPr>
        <sz val="11"/>
        <rFont val="Calibri"/>
        <family val="2"/>
        <scheme val="minor"/>
      </rPr>
      <t xml:space="preserve"> =</t>
    </r>
  </si>
  <si>
    <r>
      <t>- Bras de levier béton fictif sous table z</t>
    </r>
    <r>
      <rPr>
        <vertAlign val="subscript"/>
        <sz val="11"/>
        <rFont val="Calibri"/>
        <family val="2"/>
        <scheme val="minor"/>
      </rPr>
      <t>1app</t>
    </r>
    <r>
      <rPr>
        <sz val="11"/>
        <rFont val="Calibri"/>
        <family val="2"/>
        <scheme val="minor"/>
      </rPr>
      <t xml:space="preserve"> =</t>
    </r>
  </si>
  <si>
    <r>
      <t>- Bras de levier poutre fictive rectangulaire z</t>
    </r>
    <r>
      <rPr>
        <vertAlign val="subscript"/>
        <sz val="11"/>
        <rFont val="Calibri"/>
        <family val="2"/>
        <scheme val="minor"/>
      </rPr>
      <t>1app</t>
    </r>
    <r>
      <rPr>
        <sz val="11"/>
        <rFont val="Calibri"/>
        <family val="2"/>
        <scheme val="minor"/>
      </rPr>
      <t xml:space="preserve"> =</t>
    </r>
  </si>
  <si>
    <r>
      <t>- Moment résistant de la table M</t>
    </r>
    <r>
      <rPr>
        <vertAlign val="subscript"/>
        <sz val="11"/>
        <rFont val="Calibri"/>
        <family val="2"/>
        <scheme val="minor"/>
      </rPr>
      <t>tser</t>
    </r>
    <r>
      <rPr>
        <sz val="11"/>
        <rFont val="Calibri"/>
        <family val="2"/>
        <scheme val="minor"/>
      </rPr>
      <t xml:space="preserve"> =</t>
    </r>
  </si>
  <si>
    <r>
      <t>- Effort normal dans la table comprimée N</t>
    </r>
    <r>
      <rPr>
        <vertAlign val="subscript"/>
        <sz val="11"/>
        <rFont val="Calibri"/>
        <family val="2"/>
        <scheme val="minor"/>
      </rPr>
      <t>b</t>
    </r>
    <r>
      <rPr>
        <sz val="11"/>
        <rFont val="Calibri"/>
        <family val="2"/>
        <scheme val="minor"/>
      </rPr>
      <t xml:space="preserve"> =</t>
    </r>
  </si>
  <si>
    <r>
      <t>- Contrainte dans la table comprimée σ</t>
    </r>
    <r>
      <rPr>
        <vertAlign val="subscript"/>
        <sz val="11"/>
        <rFont val="Calibri"/>
        <family val="2"/>
        <scheme val="minor"/>
      </rPr>
      <t>b</t>
    </r>
    <r>
      <rPr>
        <sz val="11"/>
        <rFont val="Calibri"/>
        <family val="2"/>
        <scheme val="minor"/>
      </rPr>
      <t xml:space="preserve"> =</t>
    </r>
  </si>
  <si>
    <r>
      <t xml:space="preserve">- Moment résistant de béton </t>
    </r>
    <r>
      <rPr>
        <sz val="11"/>
        <rFont val="Calibri"/>
        <family val="2"/>
      </rPr>
      <t xml:space="preserve">M </t>
    </r>
    <r>
      <rPr>
        <vertAlign val="subscript"/>
        <sz val="11"/>
        <rFont val="Calibri"/>
        <family val="2"/>
      </rPr>
      <t>lim</t>
    </r>
    <r>
      <rPr>
        <sz val="11"/>
        <rFont val="Calibri"/>
        <family val="2"/>
      </rPr>
      <t xml:space="preserve"> =</t>
    </r>
  </si>
  <si>
    <r>
      <t>- Effort normal sur béton fictif sous table N</t>
    </r>
    <r>
      <rPr>
        <vertAlign val="subscript"/>
        <sz val="11"/>
        <rFont val="Calibri"/>
        <family val="2"/>
        <scheme val="minor"/>
      </rPr>
      <t>b2</t>
    </r>
    <r>
      <rPr>
        <sz val="11"/>
        <rFont val="Calibri"/>
        <family val="2"/>
        <scheme val="minor"/>
      </rPr>
      <t xml:space="preserve"> =</t>
    </r>
  </si>
  <si>
    <r>
      <t>- Effort normal sur poutre fictive rectangulaire N</t>
    </r>
    <r>
      <rPr>
        <vertAlign val="subscript"/>
        <sz val="11"/>
        <rFont val="Calibri"/>
        <family val="2"/>
        <scheme val="minor"/>
      </rPr>
      <t>b1</t>
    </r>
    <r>
      <rPr>
        <sz val="11"/>
        <rFont val="Calibri"/>
        <family val="2"/>
        <scheme val="minor"/>
      </rPr>
      <t xml:space="preserve"> =</t>
    </r>
  </si>
  <si>
    <r>
      <t>- Contrainte sur béton fictif σ</t>
    </r>
    <r>
      <rPr>
        <vertAlign val="sub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=</t>
    </r>
  </si>
  <si>
    <r>
      <t>- Section de béton fictif sous table S</t>
    </r>
    <r>
      <rPr>
        <vertAlign val="subscript"/>
        <sz val="11"/>
        <rFont val="Calibri"/>
        <family val="2"/>
        <scheme val="minor"/>
      </rPr>
      <t xml:space="preserve">2 </t>
    </r>
    <r>
      <rPr>
        <sz val="11"/>
        <rFont val="Calibri"/>
        <family val="2"/>
        <scheme val="minor"/>
      </rPr>
      <t>=</t>
    </r>
  </si>
  <si>
    <r>
      <t>- Section de poutre fictive rectangulaire S</t>
    </r>
    <r>
      <rPr>
        <vertAlign val="subscript"/>
        <sz val="11"/>
        <rFont val="Calibri"/>
        <family val="2"/>
        <scheme val="minor"/>
      </rPr>
      <t xml:space="preserve">1 </t>
    </r>
    <r>
      <rPr>
        <sz val="11"/>
        <rFont val="Calibri"/>
        <family val="2"/>
        <scheme val="minor"/>
      </rPr>
      <t>=</t>
    </r>
  </si>
  <si>
    <r>
      <t>- Hauteur relative de béton comprimé y</t>
    </r>
    <r>
      <rPr>
        <vertAlign val="sub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=</t>
    </r>
  </si>
  <si>
    <r>
      <t>- Position relative de la fibre neutre α</t>
    </r>
    <r>
      <rPr>
        <sz val="11"/>
        <rFont val="Calibri"/>
        <family val="2"/>
        <scheme val="minor"/>
      </rPr>
      <t xml:space="preserve">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</si>
  <si>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=</t>
    </r>
  </si>
  <si>
    <r>
      <t xml:space="preserve">- Contrainte de calcul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</si>
  <si>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du béton 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</si>
  <si>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JUSTIFICATION DE SECTION RECTANGULAIRE
</t>
    </r>
    <r>
      <rPr>
        <u/>
        <sz val="11"/>
        <color rgb="FFFF0000"/>
        <rFont val="Calibri"/>
        <family val="2"/>
        <scheme val="minor"/>
      </rPr>
      <t>Section sans armature comprimée</t>
    </r>
  </si>
  <si>
    <t>Paramètre du béton</t>
  </si>
  <si>
    <t>Paramètre de l'acier</t>
  </si>
  <si>
    <t>Moment fléchissant</t>
  </si>
  <si>
    <t>E.L.S. : FLEXION SIMPLE. JUSTIFICATION DES SECTIONS EN TE SANS ARMATURE COMPRIMEE ©Copyright Mohamed KAMAGATE</t>
  </si>
  <si>
    <r>
      <t>- Efforts normaux dans la nervure N</t>
    </r>
    <r>
      <rPr>
        <vertAlign val="subscript"/>
        <sz val="11"/>
        <color theme="1"/>
        <rFont val="Calibri"/>
        <family val="2"/>
        <scheme val="minor"/>
      </rPr>
      <t>s2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=</t>
    </r>
  </si>
  <si>
    <r>
      <t>- Efforts normaux dans la table N</t>
    </r>
    <r>
      <rPr>
        <vertAlign val="subscript"/>
        <sz val="11"/>
        <color theme="1"/>
        <rFont val="Calibri"/>
        <family val="2"/>
        <scheme val="minor"/>
      </rPr>
      <t>s1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=</t>
    </r>
  </si>
  <si>
    <r>
      <t>- Bras de levier (aciers tendus-béton comprimé)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z</t>
    </r>
    <r>
      <rPr>
        <sz val="11"/>
        <color rgb="FF3333CC"/>
        <rFont val="Calibri"/>
        <family val="2"/>
      </rPr>
      <t xml:space="preserve"> =</t>
    </r>
  </si>
  <si>
    <r>
      <t xml:space="preserve">JUSTIFICATION DE SECTION EN TE
</t>
    </r>
    <r>
      <rPr>
        <u/>
        <sz val="11"/>
        <color rgb="FFFF0000"/>
        <rFont val="Calibri"/>
        <family val="2"/>
        <scheme val="minor"/>
      </rPr>
      <t>Section sans armature comprimée</t>
    </r>
  </si>
  <si>
    <r>
      <t xml:space="preserve">- Durée d'application </t>
    </r>
    <r>
      <rPr>
        <sz val="11"/>
        <color rgb="FFFF0000"/>
        <rFont val="Calibri"/>
        <family val="2"/>
      </rPr>
      <t>t</t>
    </r>
    <r>
      <rPr>
        <sz val="11"/>
        <color theme="1"/>
        <rFont val="Calibri"/>
        <family val="2"/>
      </rPr>
      <t xml:space="preserve"> des charges :</t>
    </r>
  </si>
  <si>
    <t>E.L.U.R. : FLEXION SIMPLE. JJUSTIFICATION DESSECTIONS EN TE SANS ARMATURE COMPRIMEE ©Copyright Mohamed KAMAGATE</t>
  </si>
  <si>
    <t>Calcul réel</t>
  </si>
  <si>
    <t>Calcul approché</t>
  </si>
  <si>
    <t>- Coefficient K =</t>
  </si>
  <si>
    <r>
      <t xml:space="preserve">- Hauteur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</si>
  <si>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Largeur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</si>
  <si>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E.L.S. : FLEXION SIMPLE. JUSTIFICATION  DES  SECTIONS RECTANGULAIRES SANS ARMATURE COMPRIMEE ©Copyright Mohamed KAMAGATE</t>
  </si>
  <si>
    <t>E.L.U.R. : FLEXION SIMPLE. JJUSTIFICATION DESSECTIONS RECTANGULAIRES SANS ARMATURE COMPRIMEE ©Copyright Mohamed KAMAGATE</t>
  </si>
  <si>
    <t>- Pourcentage réglementaire d'acier (5% B) =</t>
  </si>
  <si>
    <r>
      <t xml:space="preserve">- Section d'acier </t>
    </r>
    <r>
      <rPr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vertAlign val="subscript"/>
        <sz val="11"/>
        <color rgb="FFFF0000"/>
        <rFont val="Calibri"/>
        <family val="2"/>
        <scheme val="minor"/>
      </rPr>
      <t>s calc</t>
    </r>
    <r>
      <rPr>
        <sz val="11"/>
        <color theme="1"/>
        <rFont val="Calibri"/>
        <family val="2"/>
        <scheme val="minor"/>
      </rPr>
      <t xml:space="preserve"> = sup (A </t>
    </r>
    <r>
      <rPr>
        <vertAlign val="subscript"/>
        <sz val="11"/>
        <color theme="1"/>
        <rFont val="Calibri"/>
        <family val="2"/>
        <scheme val="minor"/>
      </rPr>
      <t>théorique</t>
    </r>
    <r>
      <rPr>
        <sz val="11"/>
        <color theme="1"/>
        <rFont val="Calibri"/>
        <family val="2"/>
        <scheme val="minor"/>
      </rPr>
      <t xml:space="preserve"> ; A </t>
    </r>
    <r>
      <rPr>
        <vertAlign val="subscript"/>
        <sz val="11"/>
        <color theme="1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>) =</t>
    </r>
  </si>
  <si>
    <r>
      <t xml:space="preserve">- </t>
    </r>
    <r>
      <rPr>
        <sz val="11"/>
        <color rgb="FFFF0000"/>
        <rFont val="Calibri"/>
        <family val="2"/>
        <scheme val="minor"/>
      </rPr>
      <t xml:space="preserve">A 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 = sup (A (4u) ; A (0,2%)) =</t>
    </r>
  </si>
  <si>
    <r>
      <t xml:space="preserve">- A </t>
    </r>
    <r>
      <rPr>
        <sz val="11"/>
        <color rgb="FFFF0000"/>
        <rFont val="Calibri"/>
        <family val="2"/>
        <scheme val="minor"/>
      </rPr>
      <t>(0,2%)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</si>
  <si>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A </t>
    </r>
    <r>
      <rPr>
        <sz val="11"/>
        <color rgb="FFFF0000"/>
        <rFont val="Calibri"/>
        <family val="2"/>
        <scheme val="minor"/>
      </rPr>
      <t>(4u)</t>
    </r>
    <r>
      <rPr>
        <sz val="11"/>
        <color theme="1"/>
        <rFont val="Calibri"/>
        <family val="2"/>
        <scheme val="minor"/>
      </rPr>
      <t xml:space="preserve"> exprimé en cm² =</t>
    </r>
  </si>
  <si>
    <t>m</t>
  </si>
  <si>
    <r>
      <t xml:space="preserve">- Périmètre </t>
    </r>
    <r>
      <rPr>
        <sz val="11"/>
        <color rgb="FFFF0000"/>
        <rFont val="Calibri"/>
        <family val="2"/>
        <scheme val="minor"/>
      </rPr>
      <t>(u)</t>
    </r>
    <r>
      <rPr>
        <sz val="11"/>
        <color theme="1"/>
        <rFont val="Calibri"/>
        <family val="2"/>
        <scheme val="minor"/>
      </rPr>
      <t xml:space="preserve"> donné en m =</t>
    </r>
  </si>
  <si>
    <r>
      <t>Section minimale d'aciers</t>
    </r>
    <r>
      <rPr>
        <sz val="11"/>
        <color rgb="FF3333CC"/>
        <rFont val="Calibri"/>
        <family val="2"/>
        <scheme val="minor"/>
      </rPr>
      <t xml:space="preserve"> A </t>
    </r>
    <r>
      <rPr>
        <vertAlign val="subscript"/>
        <sz val="11"/>
        <color rgb="FF3333CC"/>
        <rFont val="Calibri"/>
        <family val="2"/>
        <scheme val="minor"/>
      </rPr>
      <t>min</t>
    </r>
  </si>
  <si>
    <r>
      <t xml:space="preserve">- Section théorique d'aciers A </t>
    </r>
    <r>
      <rPr>
        <vertAlign val="subscript"/>
        <sz val="11"/>
        <rFont val="Calibri"/>
        <family val="2"/>
        <scheme val="minor"/>
      </rPr>
      <t>théorique</t>
    </r>
  </si>
  <si>
    <r>
      <t>- Coefficient de réduction α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</si>
  <si>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Coefficient de flambement </t>
    </r>
    <r>
      <rPr>
        <sz val="11"/>
        <color rgb="FFFF0000"/>
        <rFont val="Calibri"/>
        <family val="2"/>
        <scheme val="minor"/>
      </rPr>
      <t>α</t>
    </r>
    <r>
      <rPr>
        <vertAlign val="subscript"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</si>
  <si>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- Elancement mécanique (λ) =</t>
  </si>
  <si>
    <r>
      <t xml:space="preserve">- Longueur de flambement </t>
    </r>
    <r>
      <rPr>
        <sz val="11"/>
        <color rgb="FFFF0000"/>
        <rFont val="Calibri"/>
        <family val="2"/>
        <scheme val="minor"/>
      </rPr>
      <t>(l</t>
    </r>
    <r>
      <rPr>
        <vertAlign val="subscript"/>
        <sz val="11"/>
        <color rgb="FFFF0000"/>
        <rFont val="Calibri"/>
        <family val="2"/>
        <scheme val="minor"/>
      </rPr>
      <t>f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</si>
  <si>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Rayon de giration minimum du béton seul </t>
    </r>
    <r>
      <rPr>
        <sz val="11"/>
        <color rgb="FFFF0000"/>
        <rFont val="Calibri"/>
        <family val="2"/>
        <scheme val="minor"/>
      </rPr>
      <t>(i)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</si>
  <si>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Moment quadratique de la section droite </t>
    </r>
    <r>
      <rPr>
        <sz val="11"/>
        <color rgb="FFFF0000"/>
        <rFont val="Calibri"/>
        <family val="2"/>
        <scheme val="minor"/>
      </rPr>
      <t>(I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</si>
  <si>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Section réduite du béton </t>
    </r>
    <r>
      <rPr>
        <sz val="11"/>
        <color rgb="FFFF0000"/>
        <rFont val="Calibri"/>
        <family val="2"/>
        <scheme val="minor"/>
      </rPr>
      <t>(B</t>
    </r>
    <r>
      <rPr>
        <vertAlign val="subscript"/>
        <sz val="11"/>
        <color rgb="FFFF0000"/>
        <rFont val="Calibri"/>
        <family val="2"/>
        <scheme val="minor"/>
      </rPr>
      <t>r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</si>
  <si>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Section de béton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</si>
  <si>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- Type d'acier à utiliser :</t>
  </si>
  <si>
    <r>
      <t xml:space="preserve">RESULTAT POUR LE CALCUL DES ARMATURES LONGITUDINALES
</t>
    </r>
    <r>
      <rPr>
        <u/>
        <sz val="11"/>
        <color rgb="FFFF0000"/>
        <rFont val="Calibri"/>
        <family val="2"/>
        <scheme val="minor"/>
      </rPr>
      <t>Méthode forfaitaire</t>
    </r>
  </si>
  <si>
    <r>
      <t xml:space="preserve">- Longueur de flambement ; cas des bâtiments </t>
    </r>
    <r>
      <rPr>
        <sz val="11"/>
        <color rgb="FFFF0000"/>
        <rFont val="Calibri"/>
        <family val="2"/>
        <scheme val="minor"/>
      </rPr>
      <t>(l</t>
    </r>
    <r>
      <rPr>
        <vertAlign val="subscript"/>
        <sz val="11"/>
        <color rgb="FFFF0000"/>
        <rFont val="Calibri"/>
        <family val="2"/>
        <scheme val="minor"/>
      </rPr>
      <t>f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</si>
  <si>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t>- Hauteur libre de plancher à plancher (l₀) :</t>
  </si>
  <si>
    <r>
      <t xml:space="preserve">- Grand côté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</si>
  <si>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ou diamètre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</si>
  <si>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t>- Forme géométrique :</t>
  </si>
  <si>
    <t>Paramètres du poteu</t>
  </si>
  <si>
    <t>l₀</t>
  </si>
  <si>
    <t>jrs</t>
  </si>
  <si>
    <r>
      <t>- Délai d'application de la majorité des charges N</t>
    </r>
    <r>
      <rPr>
        <vertAlign val="subscript"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>/2 :</t>
    </r>
  </si>
  <si>
    <t>0,7 l₀</t>
  </si>
  <si>
    <t>- Variables 1,50 Q :</t>
  </si>
  <si>
    <t>- Permanentes 1,35 G :</t>
  </si>
  <si>
    <t>circulaire</t>
  </si>
  <si>
    <r>
      <t>Charges appliquées N</t>
    </r>
    <r>
      <rPr>
        <vertAlign val="subscript"/>
        <sz val="11"/>
        <color rgb="FF3333CC"/>
        <rFont val="Calibri"/>
        <family val="2"/>
        <scheme val="minor"/>
      </rPr>
      <t>u</t>
    </r>
  </si>
  <si>
    <t>rect./carré</t>
  </si>
  <si>
    <t>ARMATURE POUR POTEAU ©Copyright Mohamed KAMAGATE</t>
  </si>
  <si>
    <r>
      <rPr>
        <sz val="11"/>
        <color rgb="FFFF0000"/>
        <rFont val="Calibri"/>
        <family val="2"/>
        <scheme val="minor"/>
      </rPr>
      <t xml:space="preserve">A </t>
    </r>
    <r>
      <rPr>
        <vertAlign val="subscript"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 sup (A </t>
    </r>
    <r>
      <rPr>
        <vertAlign val="subscript"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; A </t>
    </r>
    <r>
      <rPr>
        <vertAlign val="subscript"/>
        <sz val="11"/>
        <color theme="1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>) :</t>
    </r>
  </si>
  <si>
    <t>Section d'aciers determinant</t>
  </si>
  <si>
    <r>
      <t xml:space="preserve">- Section théorique d'armature tendue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</si>
  <si>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</si>
  <si>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t>CALCUL A L'E.L.S.</t>
  </si>
  <si>
    <r>
      <t xml:space="preserve">- Section théorique d'armature tendue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</si>
  <si>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</si>
  <si>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t>CALCUL A L'E.L.U.R.</t>
  </si>
  <si>
    <r>
      <t>- Condition de non-fragilité A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≥</t>
    </r>
  </si>
  <si>
    <t>DETERMINATION DES SECTIONS D'ARMATURES</t>
  </si>
  <si>
    <r>
      <t xml:space="preserve">- Coefficient de sécurité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s</t>
    </r>
    <r>
      <rPr>
        <sz val="11"/>
        <color theme="1"/>
        <rFont val="Calibri"/>
        <family val="2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</si>
  <si>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:</t>
    </r>
  </si>
  <si>
    <t>Dimensions du tirant</t>
  </si>
  <si>
    <r>
      <t>Charges appliquées N</t>
    </r>
    <r>
      <rPr>
        <u/>
        <vertAlign val="subscript"/>
        <sz val="11"/>
        <color rgb="FF3333CC"/>
        <rFont val="Calibri"/>
        <family val="2"/>
        <scheme val="minor"/>
      </rPr>
      <t>u</t>
    </r>
  </si>
  <si>
    <t>- Variables Q :</t>
  </si>
  <si>
    <t>- Permanentes G :</t>
  </si>
  <si>
    <r>
      <t>Charges appliquées N</t>
    </r>
    <r>
      <rPr>
        <u/>
        <vertAlign val="subscript"/>
        <sz val="11"/>
        <color rgb="FF3333CC"/>
        <rFont val="Calibri"/>
        <family val="2"/>
        <scheme val="minor"/>
      </rPr>
      <t>ser</t>
    </r>
  </si>
  <si>
    <t>SECTION D'ACIER EN TRACTION SIMPLE ©Copyright Mohamed KAMAGATE</t>
  </si>
  <si>
    <r>
      <t>A</t>
    </r>
    <r>
      <rPr>
        <vertAlign val="subscript"/>
        <sz val="11"/>
        <color rgb="FFFF0000"/>
        <rFont val="Calibri"/>
        <family val="2"/>
        <scheme val="minor"/>
      </rPr>
      <t>y</t>
    </r>
    <r>
      <rPr>
        <sz val="11"/>
        <color rgb="FFFF0000"/>
        <rFont val="Calibri"/>
        <family val="2"/>
        <scheme val="minor"/>
      </rPr>
      <t xml:space="preserve"> =</t>
    </r>
  </si>
  <si>
    <r>
      <rPr>
        <u/>
        <sz val="11"/>
        <rFont val="Calibri"/>
        <family val="2"/>
        <scheme val="minor"/>
      </rPr>
      <t>2 Nappe supérieur // A</t>
    </r>
    <r>
      <rPr>
        <sz val="11"/>
        <rFont val="Calibri"/>
        <family val="2"/>
        <scheme val="minor"/>
      </rPr>
      <t xml:space="preserve"> (petit côté de la semelle)</t>
    </r>
  </si>
  <si>
    <r>
      <t>A</t>
    </r>
    <r>
      <rPr>
        <vertAlign val="subscript"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=</t>
    </r>
  </si>
  <si>
    <r>
      <rPr>
        <u/>
        <sz val="11"/>
        <rFont val="Calibri"/>
        <family val="2"/>
        <scheme val="minor"/>
      </rPr>
      <t>1 Nappe inférieur // B</t>
    </r>
    <r>
      <rPr>
        <sz val="11"/>
        <rFont val="Calibri"/>
        <family val="2"/>
        <scheme val="minor"/>
      </rPr>
      <t xml:space="preserve"> (grand côté de la semelle)</t>
    </r>
  </si>
  <si>
    <r>
      <t>A</t>
    </r>
    <r>
      <rPr>
        <vertAlign val="subscript"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</si>
  <si>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</t>
    </r>
    <r>
      <rPr>
        <u/>
        <sz val="11"/>
        <color rgb="FF3333CC"/>
        <rFont val="Calibri"/>
        <family val="2"/>
        <scheme val="minor"/>
      </rPr>
      <t>2 Nappe supérieur // A</t>
    </r>
    <r>
      <rPr>
        <sz val="11"/>
        <rFont val="Calibri"/>
        <family val="2"/>
        <scheme val="minor"/>
      </rPr>
      <t xml:space="preserve"> (petit côté de la semelle)</t>
    </r>
  </si>
  <si>
    <r>
      <t>A</t>
    </r>
    <r>
      <rPr>
        <vertAlign val="subscript"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</si>
  <si>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</t>
    </r>
    <r>
      <rPr>
        <u/>
        <sz val="11"/>
        <color rgb="FF3333CC"/>
        <rFont val="Calibri"/>
        <family val="2"/>
        <scheme val="minor"/>
      </rPr>
      <t>1 Nappe inférieur // B</t>
    </r>
    <r>
      <rPr>
        <sz val="11"/>
        <rFont val="Calibri"/>
        <family val="2"/>
        <scheme val="minor"/>
      </rPr>
      <t xml:space="preserve"> (grand côté de la semelle)</t>
    </r>
  </si>
  <si>
    <r>
      <t xml:space="preserve">- Condition de rigidité </t>
    </r>
    <r>
      <rPr>
        <sz val="11"/>
        <color rgb="FFFF0000"/>
        <rFont val="Calibri"/>
        <family val="2"/>
        <scheme val="minor"/>
      </rPr>
      <t>d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mbria"/>
        <family val="1"/>
        <scheme val="major"/>
      </rPr>
      <t>≥</t>
    </r>
  </si>
  <si>
    <r>
      <t>- Hauteur utile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</si>
  <si>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</si>
  <si>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RESULTAT POUR LE CALCUL DES ACIERS
</t>
    </r>
    <r>
      <rPr>
        <sz val="11"/>
        <color rgb="FFFF0000"/>
        <rFont val="Calibri"/>
        <family val="2"/>
        <scheme val="minor"/>
      </rPr>
      <t>Méthode des bielles comprimées</t>
    </r>
  </si>
  <si>
    <r>
      <t xml:space="preserve">- Limite d'élasticité garantie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</si>
  <si>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Paramètres de l'acier</t>
  </si>
  <si>
    <r>
      <t xml:space="preserve">- Hauteur </t>
    </r>
    <r>
      <rPr>
        <sz val="11"/>
        <color rgb="FFFF0000"/>
        <rFont val="Calibri"/>
        <family val="2"/>
        <scheme val="minor"/>
      </rPr>
      <t>(h)</t>
    </r>
    <r>
      <rPr>
        <sz val="11"/>
        <rFont val="Calibri"/>
        <family val="2"/>
        <scheme val="minor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</si>
  <si>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:</t>
    </r>
  </si>
  <si>
    <r>
      <t xml:space="preserve">- Grand côté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</si>
  <si>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t>Dimensions de la semelle</t>
  </si>
  <si>
    <t>cas courants</t>
  </si>
  <si>
    <t>Dimensions du poteau</t>
  </si>
  <si>
    <r>
      <t>Charges appliquées</t>
    </r>
    <r>
      <rPr>
        <sz val="11"/>
        <color rgb="FF3333CC"/>
        <rFont val="Calibri"/>
        <family val="2"/>
        <scheme val="minor"/>
      </rPr>
      <t xml:space="preserve"> : N</t>
    </r>
    <r>
      <rPr>
        <vertAlign val="subscript"/>
        <sz val="11"/>
        <color rgb="FF3333CC"/>
        <rFont val="Calibri"/>
        <family val="2"/>
        <scheme val="minor"/>
      </rPr>
      <t>u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(poids propre de la semelle exclu)</t>
    </r>
  </si>
  <si>
    <t>SECTION D'ACIER POUR SEMELLE ISOLEE ©Copyright Mohamed KAMAGATE</t>
  </si>
  <si>
    <t>cm²/m</t>
  </si>
  <si>
    <r>
      <t xml:space="preserve">- </t>
    </r>
    <r>
      <rPr>
        <u/>
        <sz val="11"/>
        <color rgb="FF3333CC"/>
        <rFont val="Calibri"/>
        <family val="2"/>
        <scheme val="minor"/>
      </rPr>
      <t>2 Nappe supérieur ┴ B</t>
    </r>
    <r>
      <rPr>
        <sz val="11"/>
        <color rgb="FF3333CC"/>
        <rFont val="Calibri"/>
        <family val="2"/>
        <scheme val="minor"/>
      </rPr>
      <t xml:space="preserve"> :</t>
    </r>
  </si>
  <si>
    <t xml:space="preserve">1 Nappe inférieur // B (p. m.) </t>
  </si>
  <si>
    <r>
      <t>- 1 Nappe inférieur // B (p. m.)</t>
    </r>
    <r>
      <rPr>
        <sz val="11"/>
        <color rgb="FF3333CC"/>
        <rFont val="Calibri"/>
        <family val="2"/>
        <scheme val="minor"/>
      </rPr>
      <t xml:space="preserve"> </t>
    </r>
  </si>
  <si>
    <r>
      <t xml:space="preserve">- Hauteur de la semelle </t>
    </r>
    <r>
      <rPr>
        <sz val="11"/>
        <color rgb="FFFF0000"/>
        <rFont val="Calibri"/>
        <family val="2"/>
        <scheme val="minor"/>
      </rPr>
      <t>h</t>
    </r>
    <r>
      <rPr>
        <sz val="11"/>
        <rFont val="Calibri"/>
        <family val="2"/>
        <scheme val="minor"/>
      </rPr>
      <t xml:space="preserve"> :</t>
    </r>
  </si>
  <si>
    <r>
      <t xml:space="preserve">- Largeur de la semelle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</si>
  <si>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r>
      <t xml:space="preserve">- Epaisseur de mur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</si>
  <si>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t>Paramètres de la semelle et du mur</t>
  </si>
  <si>
    <t>CALCUL DES SECTIONS D'ACIERS ©Copyright Mohamed KAMAGATE</t>
  </si>
  <si>
    <r>
      <t xml:space="preserve">- Hauteur de la semelle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</si>
  <si>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Petit côté de la semelle </t>
    </r>
    <r>
      <rPr>
        <sz val="11"/>
        <color rgb="FFFF0000"/>
        <rFont val="Calibri"/>
        <family val="2"/>
        <scheme val="minor"/>
      </rPr>
      <t>(A)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</si>
  <si>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Grand côté de la semelle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</si>
  <si>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RECAPITULATIF POUR LA SEMELLE</t>
  </si>
  <si>
    <r>
      <t xml:space="preserve">- Contrainte admise sur le sol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</si>
  <si>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Pression exercée sur le sol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</si>
  <si>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t>- Poids propre de la semelle :</t>
  </si>
  <si>
    <r>
      <t>Vérification de la condition</t>
    </r>
    <r>
      <rPr>
        <sz val="11"/>
        <color rgb="FF3333CC"/>
        <rFont val="Calibri"/>
        <family val="2"/>
        <scheme val="minor"/>
      </rPr>
      <t xml:space="preserve"> : σ</t>
    </r>
    <r>
      <rPr>
        <vertAlign val="subscript"/>
        <sz val="11"/>
        <color rgb="FF3333CC"/>
        <rFont val="Calibri"/>
        <family val="2"/>
        <scheme val="minor"/>
      </rPr>
      <t>sol</t>
    </r>
    <r>
      <rPr>
        <sz val="11"/>
        <color rgb="FF3333CC"/>
        <rFont val="Calibri"/>
        <family val="2"/>
        <scheme val="minor"/>
      </rPr>
      <t xml:space="preserve"> ≤ σ</t>
    </r>
    <r>
      <rPr>
        <vertAlign val="superscript"/>
        <sz val="11"/>
        <color rgb="FF3333CC"/>
        <rFont val="Calibri"/>
        <family val="2"/>
        <scheme val="minor"/>
      </rPr>
      <t>-</t>
    </r>
    <r>
      <rPr>
        <vertAlign val="subscript"/>
        <sz val="11"/>
        <color rgb="FF3333CC"/>
        <rFont val="Calibri"/>
        <family val="2"/>
        <scheme val="minor"/>
      </rPr>
      <t>sol</t>
    </r>
  </si>
  <si>
    <r>
      <t xml:space="preserve">- Hauteur utile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</si>
  <si>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t>Dimension de la semelle isolée</t>
  </si>
  <si>
    <r>
      <t>- Aire approchée S</t>
    </r>
    <r>
      <rPr>
        <vertAlign val="subscript"/>
        <sz val="11"/>
        <color theme="1"/>
        <rFont val="Calibri"/>
        <family val="2"/>
        <scheme val="minor"/>
      </rPr>
      <t>app</t>
    </r>
    <r>
      <rPr>
        <sz val="11"/>
        <color theme="1"/>
        <rFont val="Calibri"/>
        <family val="2"/>
        <scheme val="minor"/>
      </rPr>
      <t xml:space="preserve"> =</t>
    </r>
  </si>
  <si>
    <t>RESULTAT POUR LE DIMENSIONNEMENT GEOMETRIQUE</t>
  </si>
  <si>
    <t>- Profondeur du bon sol :</t>
  </si>
  <si>
    <r>
      <t xml:space="preserve">- Contrainte limite sur le sol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</si>
  <si>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t>Données géotechniques</t>
  </si>
  <si>
    <t>DIMENSIONNEMENT GEOMETRIQUE ©Copyright Mohamed KAMAGATE</t>
  </si>
  <si>
    <r>
      <t>- Largeur de la semelle filante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</si>
  <si>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exercée sur le sol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</si>
  <si>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Largeur de la semelle filante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</si>
  <si>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Dimensions de la semelle filante</t>
  </si>
  <si>
    <r>
      <t>- Calcul de l'aire approchée</t>
    </r>
    <r>
      <rPr>
        <sz val="11"/>
        <color theme="1"/>
        <rFont val="Calibri"/>
        <family val="2"/>
        <scheme val="minor"/>
      </rPr>
      <t xml:space="preserve"> :</t>
    </r>
  </si>
  <si>
    <t>Paramètre du mur</t>
  </si>
  <si>
    <t>4 Ø 32</t>
  </si>
  <si>
    <t>3 Ø 32</t>
  </si>
  <si>
    <t>2 Ø 32</t>
  </si>
  <si>
    <t>1 Ø 32</t>
  </si>
  <si>
    <t>4 Ø 25</t>
  </si>
  <si>
    <t>3 Ø 25</t>
  </si>
  <si>
    <t>2 Ø 25</t>
  </si>
  <si>
    <t>1 Ø 25</t>
  </si>
  <si>
    <t>4 Ø 20</t>
  </si>
  <si>
    <t>3 Ø 20</t>
  </si>
  <si>
    <t>2 Ø 20</t>
  </si>
  <si>
    <t>1 Ø 20</t>
  </si>
  <si>
    <t>4 Ø 16</t>
  </si>
  <si>
    <t>3 Ø 16</t>
  </si>
  <si>
    <t>2 Ø 16</t>
  </si>
  <si>
    <t>1 Ø 16</t>
  </si>
  <si>
    <t>4 Ø 14</t>
  </si>
  <si>
    <t>3 Ø 14</t>
  </si>
  <si>
    <t>2 Ø 14</t>
  </si>
  <si>
    <t>1 Ø 14</t>
  </si>
  <si>
    <t>4 Ø 12</t>
  </si>
  <si>
    <t>3 Ø 12</t>
  </si>
  <si>
    <t>2 Ø 12</t>
  </si>
  <si>
    <t>4 Ø 10</t>
  </si>
  <si>
    <t>3 Ø 10</t>
  </si>
  <si>
    <t>2 Ø 10</t>
  </si>
  <si>
    <t>1 Ø 10</t>
  </si>
  <si>
    <t>4 Ø 8</t>
  </si>
  <si>
    <t>3 Ø 8</t>
  </si>
  <si>
    <t>2 Ø 8</t>
  </si>
  <si>
    <t>Les sections lues sur ce tableau correspondent à la somme des armatures indiquées en-tête de colonne et en fin de ligne.</t>
  </si>
  <si>
    <t>1 Ø 8</t>
  </si>
  <si>
    <t>Combinaison d'armature en cm² pour béton armé</t>
  </si>
  <si>
    <t>Ø 12</t>
  </si>
  <si>
    <t>Ø 10</t>
  </si>
  <si>
    <t>Ø 8</t>
  </si>
  <si>
    <t>Ø 6</t>
  </si>
  <si>
    <r>
      <t>Diamètre Ø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en mm</t>
    </r>
  </si>
  <si>
    <t>Ø 40</t>
  </si>
  <si>
    <t>Ø 32</t>
  </si>
  <si>
    <t>Ø 25</t>
  </si>
  <si>
    <t>Ø 20</t>
  </si>
  <si>
    <t>Ø 16</t>
  </si>
  <si>
    <t>Ø 14</t>
  </si>
  <si>
    <r>
      <t>Diamètre Ø</t>
    </r>
    <r>
      <rPr>
        <vertAlign val="subscript"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en mm</t>
    </r>
  </si>
  <si>
    <t>Diamètre Øt en fonction de Øl</t>
  </si>
  <si>
    <t>Ø 5</t>
  </si>
  <si>
    <t>Nombre de barres</t>
  </si>
  <si>
    <t>Diamètre Ø en mm</t>
  </si>
  <si>
    <t>Masse (kg/m)</t>
  </si>
  <si>
    <t>Section d'armature en cm² pour béton armé</t>
  </si>
  <si>
    <t>- Terrasses accessibles public</t>
  </si>
  <si>
    <t>- Terrasses accessibles privée</t>
  </si>
  <si>
    <t>- Terrasses non accessibles</t>
  </si>
  <si>
    <t>Terrasses</t>
  </si>
  <si>
    <t>- Locaux médicotechniques (salles de travail et d'opérations)</t>
  </si>
  <si>
    <t>- Circulation interne</t>
  </si>
  <si>
    <t>- Chambres</t>
  </si>
  <si>
    <t>Bâtiments hospitaliers et dispensaires</t>
  </si>
  <si>
    <t>- Cuisines collectives</t>
  </si>
  <si>
    <t>- Bibliothèques, salles de réunion</t>
  </si>
  <si>
    <t>- Circulation, escaliers</t>
  </si>
  <si>
    <t>- Ateliers, laboratoires (matériel lourd exclu)</t>
  </si>
  <si>
    <t>- Salles de classe, dortoirs, sanitaires collectifs</t>
  </si>
  <si>
    <t>Bâtiments scolaires et universitaires</t>
  </si>
  <si>
    <t>- Halls à guichet</t>
  </si>
  <si>
    <t>- Halls de réception</t>
  </si>
  <si>
    <t>- Circulations et escaliers</t>
  </si>
  <si>
    <t>- Bureaux proprement dits</t>
  </si>
  <si>
    <t>Bâtiments de bureaux</t>
  </si>
  <si>
    <t>- Greniers proprement dits</t>
  </si>
  <si>
    <t>- Escaliers (marches isolées exclues)</t>
  </si>
  <si>
    <t>- Balcons</t>
  </si>
  <si>
    <t>- Logemnt y compris combles aménageables</t>
  </si>
  <si>
    <t>Bâtiments à usage d'habitation</t>
  </si>
  <si>
    <t>Bâtiments</t>
  </si>
  <si>
    <t>CHARGES D'EXPLOITATION (N/m²)</t>
  </si>
  <si>
    <t>DESTINATION DU LOCAL</t>
  </si>
  <si>
    <t>NATURE</t>
  </si>
  <si>
    <t>- Cloison légères, non porteuses, de masses &lt; 2 500 N/m</t>
  </si>
  <si>
    <r>
      <t>POIDS (N/m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)</t>
    </r>
  </si>
  <si>
    <t>6 Cloisons de distribution</t>
  </si>
  <si>
    <t>- Couverture métallique (voligeage compris)</t>
  </si>
  <si>
    <t>500 à 750</t>
  </si>
  <si>
    <t>- Couverture en tuiles (lteaux compris)</t>
  </si>
  <si>
    <t>- Couverture en ardoises (lattis et voligeage compris)</t>
  </si>
  <si>
    <t>chevrons sapin (60 X 80)</t>
  </si>
  <si>
    <t>voligeage sapin</t>
  </si>
  <si>
    <t>liteaux sapin</t>
  </si>
  <si>
    <t>- Support de couverture :</t>
  </si>
  <si>
    <t>- Charpente bois</t>
  </si>
  <si>
    <t>Autres toitures</t>
  </si>
  <si>
    <t>- Gravillons pour protection d'étanchéité</t>
  </si>
  <si>
    <t>- Asphalte coulé sablé</t>
  </si>
  <si>
    <t>- étanchéité multicouche</t>
  </si>
  <si>
    <t>5 Toitures</t>
  </si>
  <si>
    <t>80 N/m²</t>
  </si>
  <si>
    <t>- Solsminces textiles (moquettes)</t>
  </si>
  <si>
    <t>250 N/m²</t>
  </si>
  <si>
    <t>- Parquets de 23 mm y compris lambourdes</t>
  </si>
  <si>
    <t>1 000 N/m²</t>
  </si>
  <si>
    <t>marbre épr 12 mm à 15 mm :</t>
  </si>
  <si>
    <t>900 N/m²</t>
  </si>
  <si>
    <t>grès cérame épr 9 mm :</t>
  </si>
  <si>
    <t>- Carrelages scellés y compris mortier de pose :</t>
  </si>
  <si>
    <t>200 N/m²/cm</t>
  </si>
  <si>
    <t>- Chape en mortier ou dalle flottante</t>
  </si>
  <si>
    <t>POIDS</t>
  </si>
  <si>
    <t>4 Revêtements des planchers</t>
  </si>
  <si>
    <t>20 + 4</t>
  </si>
  <si>
    <t>16 + 4</t>
  </si>
  <si>
    <t>12 + 4</t>
  </si>
  <si>
    <t>- Terre cuite</t>
  </si>
  <si>
    <t>- Polystyrène</t>
  </si>
  <si>
    <t>- Béton</t>
  </si>
  <si>
    <t>- Planchers courants avec :
poutrelles + entrevous + table de compression (épr 4 à 5 cm)</t>
  </si>
  <si>
    <t>- Planchers à poutrelles préfabriquées et entrevous :
(voir fiches des fabricants)</t>
  </si>
  <si>
    <t>250 N/m²/cm</t>
  </si>
  <si>
    <t>- Dalles pleines</t>
  </si>
  <si>
    <t>Type (épr en cm)</t>
  </si>
  <si>
    <t>3 Poids des éléments constitutifs des planchers</t>
  </si>
  <si>
    <t>- attaché</t>
  </si>
  <si>
    <t>- auto-portant</t>
  </si>
  <si>
    <t>- parois pleines</t>
  </si>
  <si>
    <t>- Pierre de taille :</t>
  </si>
  <si>
    <t>- Blocs pleins de béton cellulaire</t>
  </si>
  <si>
    <t>- Blocs creux en béton de gravillons lourds</t>
  </si>
  <si>
    <t>- Blocs pleins en béton de gravillons lourds</t>
  </si>
  <si>
    <t>- Briques creuses</t>
  </si>
  <si>
    <t>- Briques pleines</t>
  </si>
  <si>
    <t>EPAISSEUR (cm)</t>
  </si>
  <si>
    <t>2 Eléments constitutifs des maçonneries</t>
  </si>
  <si>
    <t>- Complexes isolants
(voir fiches des fabricants)</t>
  </si>
  <si>
    <t>180 N/m²/cm</t>
  </si>
  <si>
    <t>- Enduit de mortier hydraulique</t>
  </si>
  <si>
    <t>d°</t>
  </si>
  <si>
    <t>- Enduit de plâtre</t>
  </si>
  <si>
    <t>10 N/m²/cm</t>
  </si>
  <si>
    <t>- Carreaux de plâtre</t>
  </si>
  <si>
    <t>(poids par m² et par cm d'épaisseur)</t>
  </si>
  <si>
    <t>Autres éléments</t>
  </si>
  <si>
    <r>
      <t>10 000 N/m</t>
    </r>
    <r>
      <rPr>
        <vertAlign val="superscript"/>
        <sz val="11"/>
        <rFont val="Calibri"/>
        <family val="2"/>
        <scheme val="minor"/>
      </rPr>
      <t>3</t>
    </r>
  </si>
  <si>
    <t>tropicaux durs</t>
  </si>
  <si>
    <r>
      <t>8 000 N/m</t>
    </r>
    <r>
      <rPr>
        <vertAlign val="superscript"/>
        <sz val="11"/>
        <rFont val="Calibri"/>
        <family val="2"/>
        <scheme val="minor"/>
      </rPr>
      <t>3</t>
    </r>
  </si>
  <si>
    <t>feuillus</t>
  </si>
  <si>
    <r>
      <t>6 000 N/m</t>
    </r>
    <r>
      <rPr>
        <vertAlign val="superscript"/>
        <sz val="11"/>
        <rFont val="Calibri"/>
        <family val="2"/>
        <scheme val="minor"/>
      </rPr>
      <t>3</t>
    </r>
  </si>
  <si>
    <t>conifères</t>
  </si>
  <si>
    <t>- Bois</t>
  </si>
  <si>
    <r>
      <t>28 000 N/m</t>
    </r>
    <r>
      <rPr>
        <vertAlign val="superscript"/>
        <sz val="11"/>
        <rFont val="Calibri"/>
        <family val="2"/>
        <scheme val="minor"/>
      </rPr>
      <t>3</t>
    </r>
  </si>
  <si>
    <t>- Calcaire compact</t>
  </si>
  <si>
    <r>
      <t>23 000 N/m</t>
    </r>
    <r>
      <rPr>
        <vertAlign val="superscript"/>
        <sz val="11"/>
        <rFont val="Calibri"/>
        <family val="2"/>
        <scheme val="minor"/>
      </rPr>
      <t>3</t>
    </r>
  </si>
  <si>
    <t>- Maçonnerie de moellons</t>
  </si>
  <si>
    <r>
      <t>78 500 N/m</t>
    </r>
    <r>
      <rPr>
        <vertAlign val="superscript"/>
        <sz val="11"/>
        <rFont val="Calibri"/>
        <family val="2"/>
        <scheme val="minor"/>
      </rPr>
      <t>3</t>
    </r>
  </si>
  <si>
    <t>- Acier</t>
  </si>
  <si>
    <r>
      <t>25 000 N/m</t>
    </r>
    <r>
      <rPr>
        <vertAlign val="superscript"/>
        <sz val="11"/>
        <rFont val="Calibri"/>
        <family val="2"/>
        <scheme val="minor"/>
      </rPr>
      <t>3</t>
    </r>
  </si>
  <si>
    <t>- Béton armé</t>
  </si>
  <si>
    <r>
      <t>22 000 N/m</t>
    </r>
    <r>
      <rPr>
        <vertAlign val="superscript"/>
        <sz val="11"/>
        <rFont val="Calibri"/>
        <family val="2"/>
        <scheme val="minor"/>
      </rPr>
      <t>3</t>
    </r>
  </si>
  <si>
    <t>- Mortier</t>
  </si>
  <si>
    <t>1 Matériaux de construction</t>
  </si>
  <si>
    <t>Total</t>
  </si>
  <si>
    <t>Poids unité</t>
  </si>
  <si>
    <t>largeur / ht</t>
  </si>
  <si>
    <t>Cumul</t>
  </si>
  <si>
    <r>
      <t>Ht / ép</t>
    </r>
    <r>
      <rPr>
        <b/>
        <vertAlign val="superscript"/>
        <sz val="11"/>
        <color theme="1"/>
        <rFont val="Calibri"/>
        <family val="2"/>
        <scheme val="minor"/>
      </rPr>
      <t>r</t>
    </r>
  </si>
  <si>
    <t>largeur</t>
  </si>
  <si>
    <t>Charges variables Q</t>
  </si>
  <si>
    <t>Charges permanentes G</t>
  </si>
  <si>
    <t>Désignation des ouvrages</t>
  </si>
  <si>
    <r>
      <t>N</t>
    </r>
    <r>
      <rPr>
        <vertAlign val="subscript"/>
        <sz val="11"/>
        <rFont val="Calibri"/>
        <family val="2"/>
        <scheme val="minor"/>
      </rPr>
      <t>u</t>
    </r>
    <r>
      <rPr>
        <sz val="11"/>
        <rFont val="Calibri"/>
        <family val="2"/>
        <scheme val="minor"/>
      </rPr>
      <t xml:space="preserve"> :</t>
    </r>
  </si>
  <si>
    <r>
      <t>N</t>
    </r>
    <r>
      <rPr>
        <vertAlign val="subscript"/>
        <sz val="11"/>
        <rFont val="Calibri"/>
        <family val="2"/>
        <scheme val="minor"/>
      </rPr>
      <t>ser</t>
    </r>
    <r>
      <rPr>
        <sz val="11"/>
        <rFont val="Calibri"/>
        <family val="2"/>
        <scheme val="minor"/>
      </rPr>
      <t xml:space="preserve"> :</t>
    </r>
  </si>
  <si>
    <t>∑ 1,50 Q :</t>
  </si>
  <si>
    <t>∑ Q :</t>
  </si>
  <si>
    <t>∑ 1,35 G :</t>
  </si>
  <si>
    <t>∑ G :</t>
  </si>
  <si>
    <t>ELU</t>
  </si>
  <si>
    <t>ELS</t>
  </si>
  <si>
    <t>Ø</t>
  </si>
  <si>
    <t>HA</t>
  </si>
  <si>
    <t>Nombre de
botte de
100 Kg</t>
  </si>
  <si>
    <t>Masse
totale
(Kg)</t>
  </si>
  <si>
    <t>Masse 
(Kg/m)</t>
  </si>
  <si>
    <t>Linéaire 
total
(mètre)</t>
  </si>
  <si>
    <t>Nombre 
d'ouvrage identique</t>
  </si>
  <si>
    <t>Longueur 
développée (mètre)</t>
  </si>
  <si>
    <t>Diamètre 
Ø (mm)</t>
  </si>
  <si>
    <t>Nuance</t>
  </si>
  <si>
    <t>Nombre 
d'élément
par ouvrage</t>
  </si>
  <si>
    <t>Répère</t>
  </si>
  <si>
    <t>Désignation 
de l'ouvrage</t>
  </si>
  <si>
    <t>Nombre 
de barre
par botte</t>
  </si>
  <si>
    <t>NOMBRE DE PERSONNE
PAR EQUIPE</t>
  </si>
  <si>
    <t>DESIGNATION DES OPERATIONS</t>
  </si>
  <si>
    <t>CORPS D'ETAT</t>
  </si>
  <si>
    <t>N°</t>
  </si>
  <si>
    <r>
      <t xml:space="preserve">RENDEMENT JOURNALIER
DE L'EQUIPE </t>
    </r>
    <r>
      <rPr>
        <b/>
        <sz val="11"/>
        <color rgb="FFFF0000"/>
        <rFont val="Calibri"/>
        <family val="2"/>
        <scheme val="minor"/>
      </rPr>
      <t>(U/J)</t>
    </r>
  </si>
  <si>
    <r>
      <t xml:space="preserve">TEMPS DE TRAVAIL
JOURNALIER </t>
    </r>
    <r>
      <rPr>
        <b/>
        <sz val="11"/>
        <color rgb="FFFF0000"/>
        <rFont val="Calibri"/>
        <family val="2"/>
        <scheme val="minor"/>
      </rPr>
      <t>(H/J)</t>
    </r>
  </si>
  <si>
    <r>
      <t xml:space="preserve">TEMPS UNITAIRE
</t>
    </r>
    <r>
      <rPr>
        <b/>
        <sz val="11"/>
        <color rgb="FFFF0000"/>
        <rFont val="Calibri"/>
        <family val="2"/>
        <scheme val="minor"/>
      </rPr>
      <t>(H/U)</t>
    </r>
  </si>
  <si>
    <t>Nombre de barre de 12 m à commander</t>
  </si>
  <si>
    <t>Long</t>
  </si>
  <si>
    <t>Larg</t>
  </si>
  <si>
    <t>Haut / Ep</t>
  </si>
  <si>
    <t>Pignons</t>
  </si>
  <si>
    <t>Nbre</t>
  </si>
  <si>
    <t>Les baies à  déduire (Veuillez entrer les dimensions en cm)</t>
  </si>
  <si>
    <t>Marche</t>
  </si>
  <si>
    <t xml:space="preserve">paillasse </t>
  </si>
  <si>
    <t>palier</t>
  </si>
  <si>
    <t>Jour / Nbre de Volée</t>
  </si>
  <si>
    <t>Quantité</t>
  </si>
  <si>
    <t>etien14@yahoo.fr</t>
  </si>
  <si>
    <r>
      <rPr>
        <b/>
        <u/>
        <sz val="11"/>
        <color rgb="FFFF0000"/>
        <rFont val="Arial Narrow"/>
        <family val="2"/>
      </rPr>
      <t>Auteur</t>
    </r>
    <r>
      <rPr>
        <b/>
        <sz val="11"/>
        <color rgb="FFFF0000"/>
        <rFont val="Arial Narrow"/>
        <family val="2"/>
      </rPr>
      <t xml:space="preserve"> :ETIEN Kokola Michel</t>
    </r>
  </si>
  <si>
    <r>
      <rPr>
        <u/>
        <sz val="11"/>
        <color rgb="FFFF0000"/>
        <rFont val="Arial Narrow"/>
        <family val="2"/>
      </rPr>
      <t>E-mail</t>
    </r>
    <r>
      <rPr>
        <sz val="11"/>
        <color rgb="FFFF0000"/>
        <rFont val="Arial Narrow"/>
        <family val="2"/>
      </rPr>
      <t xml:space="preserve"> :</t>
    </r>
  </si>
  <si>
    <t>III</t>
  </si>
  <si>
    <t>II</t>
  </si>
  <si>
    <t>I</t>
  </si>
  <si>
    <t>Dalle de compression / nervures</t>
  </si>
  <si>
    <t xml:space="preserve">Hourdis </t>
  </si>
  <si>
    <t>unité</t>
  </si>
  <si>
    <t xml:space="preserve">Agglos 15 cm creux </t>
  </si>
  <si>
    <t xml:space="preserve">Agglos 10 cm creux </t>
  </si>
  <si>
    <t>© Copyright ETIEN Kokola Michel</t>
  </si>
  <si>
    <t>Mur en élévation 15            (sans pignons)</t>
  </si>
  <si>
    <t>Mur en élévation 10           (sans pignon)</t>
  </si>
  <si>
    <t>Mur Pignons 15 creux</t>
  </si>
  <si>
    <t>Mur Pignons 10 creux</t>
  </si>
  <si>
    <t>Mur en élévation 15  (sans pignon)</t>
  </si>
  <si>
    <t>Fouille en trou</t>
  </si>
  <si>
    <t>TERRASSEMENT</t>
  </si>
  <si>
    <t>TYPE DE CONSTRUCTION</t>
  </si>
  <si>
    <t>Dosage</t>
  </si>
  <si>
    <t>Ciment (tonne)</t>
  </si>
  <si>
    <t>Qte</t>
  </si>
  <si>
    <t>Fer (tonne)</t>
  </si>
  <si>
    <t>Gravier (tonne)</t>
  </si>
  <si>
    <t>Ratio</t>
  </si>
  <si>
    <r>
      <t>Sable (m</t>
    </r>
    <r>
      <rPr>
        <b/>
        <vertAlign val="superscript"/>
        <sz val="12"/>
        <color rgb="FFFFFF00"/>
        <rFont val="Arial Narrow"/>
        <family val="2"/>
      </rPr>
      <t>3</t>
    </r>
    <r>
      <rPr>
        <b/>
        <sz val="12"/>
        <color rgb="FFFFFF00"/>
        <rFont val="Arial Narrow"/>
        <family val="2"/>
      </rPr>
      <t>)</t>
    </r>
  </si>
  <si>
    <t>(m)</t>
  </si>
  <si>
    <t>TOTAL 0</t>
  </si>
  <si>
    <r>
      <t>Ratio /m</t>
    </r>
    <r>
      <rPr>
        <b/>
        <vertAlign val="superscript"/>
        <sz val="11"/>
        <rFont val="Arial Narrow"/>
        <family val="2"/>
      </rPr>
      <t xml:space="preserve">2 </t>
    </r>
    <r>
      <rPr>
        <b/>
        <sz val="11"/>
        <rFont val="Arial Narrow"/>
        <family val="2"/>
      </rPr>
      <t>=</t>
    </r>
  </si>
  <si>
    <t>Choisir le nombre d'étage :</t>
  </si>
  <si>
    <r>
      <t>(m</t>
    </r>
    <r>
      <rPr>
        <b/>
        <vertAlign val="superscript"/>
        <sz val="11"/>
        <color theme="1"/>
        <rFont val="Arial Narrow"/>
        <family val="2"/>
      </rPr>
      <t>3</t>
    </r>
    <r>
      <rPr>
        <b/>
        <sz val="11"/>
        <color theme="1"/>
        <rFont val="Arial Narrow"/>
        <family val="2"/>
      </rPr>
      <t>)</t>
    </r>
  </si>
  <si>
    <t>Quantité pour montage soubassement</t>
  </si>
  <si>
    <t>RECAPITULATIF AGGLOS</t>
  </si>
  <si>
    <t>TOTAL I (BETON ARME)</t>
  </si>
  <si>
    <t>TOTAL II (BETON ARME)</t>
  </si>
  <si>
    <t>Enduits exterieur                 (ETAGE)</t>
  </si>
  <si>
    <t>Enduits interieur                  (ETAGE)</t>
  </si>
  <si>
    <t>Quantité pour montage      (ETAGE)</t>
  </si>
  <si>
    <t>Chape sur plancher haut      RDC</t>
  </si>
  <si>
    <t>Enduits exterieur                    RDC</t>
  </si>
  <si>
    <t>Quantité pour montage         RDC</t>
  </si>
  <si>
    <t>Enduits interieur                     RDC</t>
  </si>
  <si>
    <t>NB: Les quantité sont pour le nbre total d'étage</t>
  </si>
  <si>
    <t>Fouille en rigole et en tranchée</t>
  </si>
  <si>
    <t>Amorces de poteaux  (semelles isolées)</t>
  </si>
  <si>
    <t>Remblais  sous dallage (Sable)</t>
  </si>
  <si>
    <r>
      <t>Ratio / m</t>
    </r>
    <r>
      <rPr>
        <b/>
        <vertAlign val="superscript"/>
        <sz val="11"/>
        <rFont val="Arial Narrow"/>
        <family val="2"/>
      </rPr>
      <t xml:space="preserve">2 </t>
    </r>
    <r>
      <rPr>
        <b/>
        <sz val="11"/>
        <rFont val="Arial Narrow"/>
        <family val="2"/>
      </rPr>
      <t>=&gt;</t>
    </r>
  </si>
  <si>
    <t>Studio</t>
  </si>
  <si>
    <t>2 Pièces</t>
  </si>
  <si>
    <t>3 Pièces</t>
  </si>
  <si>
    <t>4 Pièces</t>
  </si>
  <si>
    <t>Dégagement (couloir)</t>
  </si>
  <si>
    <t>Terrasse</t>
  </si>
  <si>
    <t>Salon</t>
  </si>
  <si>
    <t>Chambre</t>
  </si>
  <si>
    <t>Salle d'eau</t>
  </si>
  <si>
    <t>Largeur</t>
  </si>
  <si>
    <t>Dav</t>
  </si>
  <si>
    <t>Dar</t>
  </si>
  <si>
    <t>Dd</t>
  </si>
  <si>
    <t>Dg</t>
  </si>
  <si>
    <t>Choisir le type de Couverture</t>
  </si>
  <si>
    <t>Tôle Bac Aluzinc</t>
  </si>
  <si>
    <t>Calcul : surface de couverture</t>
  </si>
  <si>
    <t>Débord avant</t>
  </si>
  <si>
    <t>Débord arrière</t>
  </si>
  <si>
    <t>Debord gauche</t>
  </si>
  <si>
    <t>Debord droit</t>
  </si>
  <si>
    <t>Larg Total Bat</t>
  </si>
  <si>
    <t>SURFACES</t>
  </si>
  <si>
    <t>Resultat</t>
  </si>
  <si>
    <t xml:space="preserve">à deduire S1 </t>
  </si>
  <si>
    <t>à deduire S2</t>
  </si>
  <si>
    <t>à deduire S3</t>
  </si>
  <si>
    <t>à deduire S4</t>
  </si>
  <si>
    <t>Suface du toît</t>
  </si>
  <si>
    <t>Cuisine</t>
  </si>
  <si>
    <t>Nombre</t>
  </si>
  <si>
    <t>Surfaces (m²)</t>
  </si>
  <si>
    <t>Chévron pour plafon (m)</t>
  </si>
  <si>
    <t>PIECES</t>
  </si>
  <si>
    <t>Qté</t>
  </si>
  <si>
    <t xml:space="preserve"> APPARTEMENTS</t>
  </si>
  <si>
    <t>pente%</t>
  </si>
  <si>
    <r>
      <t>S</t>
    </r>
    <r>
      <rPr>
        <b/>
        <i/>
        <sz val="8"/>
        <color rgb="FFFFFF00"/>
        <rFont val="Arial Narrow"/>
        <family val="2"/>
      </rPr>
      <t>T</t>
    </r>
  </si>
  <si>
    <t xml:space="preserve">Dimensionnement de  charpente pour tôle ondulée à  </t>
  </si>
  <si>
    <t>Charges (kg/m²)</t>
  </si>
  <si>
    <t>L1</t>
  </si>
  <si>
    <t>L2</t>
  </si>
  <si>
    <r>
      <t>l</t>
    </r>
    <r>
      <rPr>
        <sz val="11"/>
        <color rgb="FFFFFF00"/>
        <rFont val="Arial Narrow"/>
        <family val="2"/>
      </rPr>
      <t>1</t>
    </r>
  </si>
  <si>
    <r>
      <t>l</t>
    </r>
    <r>
      <rPr>
        <sz val="11"/>
        <color rgb="FFFFFF00"/>
        <rFont val="Arial Narrow"/>
        <family val="2"/>
      </rPr>
      <t>2</t>
    </r>
  </si>
  <si>
    <t>D1</t>
  </si>
  <si>
    <t>D2</t>
  </si>
  <si>
    <t>F</t>
  </si>
  <si>
    <t>Versant 1</t>
  </si>
  <si>
    <t>Ecart desiré</t>
  </si>
  <si>
    <t>Nbre:</t>
  </si>
  <si>
    <t>Ecart imp(cm)</t>
  </si>
  <si>
    <t>Long 1</t>
  </si>
  <si>
    <t>Long T1</t>
  </si>
  <si>
    <t>Charge sur (F&amp;P)</t>
  </si>
  <si>
    <t>Versant 2</t>
  </si>
  <si>
    <t>Long 2</t>
  </si>
  <si>
    <t>Long T2</t>
  </si>
  <si>
    <t>RESULTAT FINAL (CAS DU BATIMENT DANS LE DEVIS)</t>
  </si>
  <si>
    <t>Murs Pignon</t>
  </si>
  <si>
    <t>Total chevrons(m)</t>
  </si>
  <si>
    <t>Total pannes(m)</t>
  </si>
  <si>
    <t>Nbre de points</t>
  </si>
  <si>
    <t>Renseignez les données pour l'évalution de la surface de toiture , des pannes et des chevrons pour ferme</t>
  </si>
  <si>
    <r>
      <t>Fermes (</t>
    </r>
    <r>
      <rPr>
        <i/>
        <sz val="16"/>
        <color rgb="FFFFFF00"/>
        <rFont val="Arial Narrow"/>
        <family val="2"/>
      </rPr>
      <t>e</t>
    </r>
    <r>
      <rPr>
        <b/>
        <i/>
        <sz val="8"/>
        <color rgb="FFFFFF00"/>
        <rFont val="Arial Narrow"/>
        <family val="2"/>
      </rPr>
      <t>c</t>
    </r>
    <r>
      <rPr>
        <b/>
        <i/>
        <sz val="11"/>
        <color rgb="FFFFFF00"/>
        <rFont val="Arial Narrow"/>
        <family val="2"/>
      </rPr>
      <t>)</t>
    </r>
  </si>
  <si>
    <r>
      <t>Pannes (</t>
    </r>
    <r>
      <rPr>
        <i/>
        <sz val="16"/>
        <color rgb="FFFFFF00"/>
        <rFont val="Arial Narrow"/>
        <family val="2"/>
      </rPr>
      <t>e</t>
    </r>
    <r>
      <rPr>
        <b/>
        <i/>
        <sz val="8"/>
        <color rgb="FFFFFF00"/>
        <rFont val="Arial Narrow"/>
        <family val="2"/>
      </rPr>
      <t>P</t>
    </r>
    <r>
      <rPr>
        <b/>
        <i/>
        <sz val="11"/>
        <color rgb="FFFFFF00"/>
        <rFont val="Arial Narrow"/>
        <family val="2"/>
      </rPr>
      <t>)</t>
    </r>
  </si>
  <si>
    <r>
      <t>m</t>
    </r>
    <r>
      <rPr>
        <vertAlign val="superscript"/>
        <sz val="11"/>
        <color rgb="FFFFFF00"/>
        <rFont val="Arial Narrow"/>
        <family val="2"/>
      </rPr>
      <t>2</t>
    </r>
  </si>
  <si>
    <r>
      <t>m</t>
    </r>
    <r>
      <rPr>
        <b/>
        <vertAlign val="superscript"/>
        <sz val="11"/>
        <color rgb="FFFFFF00"/>
        <rFont val="Arial Narrow"/>
        <family val="2"/>
      </rPr>
      <t>2</t>
    </r>
  </si>
  <si>
    <r>
      <t>m</t>
    </r>
    <r>
      <rPr>
        <b/>
        <vertAlign val="superscript"/>
        <sz val="11"/>
        <color rgb="FFFFFF00"/>
        <rFont val="Arial Narrow"/>
        <family val="2"/>
      </rPr>
      <t>3</t>
    </r>
    <r>
      <rPr>
        <sz val="12"/>
        <color theme="1"/>
        <rFont val="Arial Narrow"/>
        <family val="2"/>
      </rPr>
      <t/>
    </r>
  </si>
  <si>
    <r>
      <t>(m</t>
    </r>
    <r>
      <rPr>
        <b/>
        <vertAlign val="superscript"/>
        <sz val="11"/>
        <rFont val="Arial Narrow"/>
        <family val="2"/>
      </rPr>
      <t>3</t>
    </r>
    <r>
      <rPr>
        <b/>
        <sz val="11"/>
        <rFont val="Arial Narrow"/>
        <family val="2"/>
      </rPr>
      <t>)</t>
    </r>
  </si>
  <si>
    <t>IV</t>
  </si>
  <si>
    <r>
      <t>m</t>
    </r>
    <r>
      <rPr>
        <b/>
        <vertAlign val="superscript"/>
        <sz val="11"/>
        <color rgb="FFFFFF00"/>
        <rFont val="Arial Narrow"/>
        <family val="2"/>
      </rPr>
      <t>3</t>
    </r>
  </si>
  <si>
    <t>Carreaux  murale des salles d'eau</t>
  </si>
  <si>
    <t>Peinture des salles d'eau</t>
  </si>
  <si>
    <t>∑(linéaire Murs exterieur terrasse)</t>
  </si>
  <si>
    <t>Surface des  salles d'eau m²  (SDE)</t>
  </si>
  <si>
    <t>Surface total des pièces (m²)</t>
  </si>
  <si>
    <t>2 versants F=~0,2m</t>
  </si>
  <si>
    <t>1 versants F=0m</t>
  </si>
  <si>
    <t>Baie ext</t>
  </si>
  <si>
    <t>Baie int</t>
  </si>
  <si>
    <t>ext</t>
  </si>
  <si>
    <t>int</t>
  </si>
  <si>
    <t>Renseignez les données  pour l'évalutation des linéaires de Chévron (pour plafon) et le nombre des élements de plomberie et electricité</t>
  </si>
  <si>
    <t>Chevrons de 4 m</t>
  </si>
  <si>
    <t xml:space="preserve"> surface(1Type ;Tous les types)</t>
  </si>
  <si>
    <t>chevron(1Type ;Tous les types)</t>
  </si>
  <si>
    <t>Total Qte</t>
  </si>
  <si>
    <t>TOTAL PAR PIECE</t>
  </si>
  <si>
    <t>nombre totat des degagements</t>
  </si>
  <si>
    <t>surface totat des degagements</t>
  </si>
  <si>
    <t>Chevron totat des degagements</t>
  </si>
  <si>
    <t>surface totat des Terrases</t>
  </si>
  <si>
    <t>Chevron totat pour les Terrases</t>
  </si>
  <si>
    <t>surface totat des salons</t>
  </si>
  <si>
    <t>Chevron totat pour les salons</t>
  </si>
  <si>
    <t>surface totat des chambres</t>
  </si>
  <si>
    <t>Chevron totat pour les chambre</t>
  </si>
  <si>
    <t>surface totat des  salles d'eau</t>
  </si>
  <si>
    <t>Chevron totat pour  les salles d'eau</t>
  </si>
  <si>
    <t>nombre totat de cuisines</t>
  </si>
  <si>
    <t>surface totat des  cuisines</t>
  </si>
  <si>
    <t>Chevron totat pour les cuisines</t>
  </si>
  <si>
    <t>nombre totat de salle d'eau</t>
  </si>
  <si>
    <t>nombre totat de chambre</t>
  </si>
  <si>
    <t>nombre totat de Salon</t>
  </si>
  <si>
    <t>nombre totat de Terrase</t>
  </si>
  <si>
    <r>
      <t xml:space="preserve">    </t>
    </r>
    <r>
      <rPr>
        <b/>
        <sz val="14"/>
        <color rgb="FFFFFF00"/>
        <rFont val="Arial Narrow"/>
        <family val="2"/>
      </rPr>
      <t>OBSERVATION</t>
    </r>
    <r>
      <rPr>
        <b/>
        <sz val="18"/>
        <color rgb="FFFFFF00"/>
        <rFont val="Arial Narrow"/>
        <family val="2"/>
      </rPr>
      <t xml:space="preserve">          </t>
    </r>
    <r>
      <rPr>
        <b/>
        <sz val="12"/>
        <color rgb="FFFFFF00"/>
        <rFont val="Arial Narrow"/>
        <family val="2"/>
      </rPr>
      <t>pour toute la construction</t>
    </r>
  </si>
  <si>
    <t>NB</t>
  </si>
  <si>
    <t>Suface total des pieces de la construction</t>
  </si>
  <si>
    <t>Badarge</t>
  </si>
  <si>
    <t>Cell: 49564581</t>
  </si>
  <si>
    <t>Long Total Batiment</t>
  </si>
  <si>
    <t xml:space="preserve">Pignons </t>
  </si>
  <si>
    <t xml:space="preserve">                                                     n°4</t>
  </si>
  <si>
    <t xml:space="preserve">                                                     n°5</t>
  </si>
  <si>
    <t xml:space="preserve">                                                     n°3</t>
  </si>
  <si>
    <t xml:space="preserve">                                                     n°2</t>
  </si>
  <si>
    <t xml:space="preserve">                                                      n°1</t>
  </si>
  <si>
    <t xml:space="preserve"> Veillez precisez si les baies se trouve sur le Mur interieur ou exterieur</t>
  </si>
  <si>
    <t xml:space="preserve">Les baies à déduire </t>
  </si>
  <si>
    <t>Les baies à  déduire</t>
  </si>
  <si>
    <t xml:space="preserve">Remblais  des fouilles  </t>
  </si>
  <si>
    <t>La couverture du dernier niveau de votre bâtiment est-il un plancher : avec plancher  ou sans plancher (tôle; tuile;...) ?</t>
  </si>
  <si>
    <t>NB : Saisir que dans les cellules noires</t>
  </si>
  <si>
    <t>Ce dessin est un cas général ,il peut donc arriver qu'au moin l'un des surfaces à deduire soit nul ou même rien à deduire</t>
  </si>
  <si>
    <t>P.U HT</t>
  </si>
  <si>
    <t>Montant</t>
  </si>
  <si>
    <t>00</t>
  </si>
  <si>
    <t>0 -GENERALITES</t>
  </si>
  <si>
    <t>0.1</t>
  </si>
  <si>
    <r>
      <rPr>
        <sz val="11"/>
        <color theme="0"/>
        <rFont val="Arial Narrow"/>
        <family val="2"/>
      </rPr>
      <t>0.0-</t>
    </r>
    <r>
      <rPr>
        <sz val="11"/>
        <color theme="1"/>
        <rFont val="Arial Narrow"/>
        <family val="2"/>
      </rPr>
      <t>Généralités</t>
    </r>
  </si>
  <si>
    <t>0.1.1</t>
  </si>
  <si>
    <r>
      <rPr>
        <sz val="11"/>
        <color theme="0"/>
        <rFont val="Arial Narrow"/>
        <family val="2"/>
      </rPr>
      <t>0.1.1-</t>
    </r>
    <r>
      <rPr>
        <sz val="11"/>
        <color theme="1"/>
        <rFont val="Arial Narrow"/>
        <family val="2"/>
      </rPr>
      <t>Levés topographiques</t>
    </r>
  </si>
  <si>
    <t>ha</t>
  </si>
  <si>
    <t>0.1.2</t>
  </si>
  <si>
    <r>
      <rPr>
        <sz val="11"/>
        <color theme="0"/>
        <rFont val="Arial Narrow"/>
        <family val="2"/>
      </rPr>
      <t>0.1.2-</t>
    </r>
    <r>
      <rPr>
        <sz val="11"/>
        <color theme="1"/>
        <rFont val="Arial Narrow"/>
        <family val="2"/>
      </rPr>
      <t>Installation de chantier</t>
    </r>
  </si>
  <si>
    <r>
      <t>m</t>
    </r>
    <r>
      <rPr>
        <vertAlign val="superscript"/>
        <sz val="11"/>
        <color theme="1"/>
        <rFont val="Arial Narrow"/>
        <family val="2"/>
      </rPr>
      <t>2</t>
    </r>
  </si>
  <si>
    <t>0.1.3</t>
  </si>
  <si>
    <r>
      <rPr>
        <sz val="11"/>
        <color theme="0"/>
        <rFont val="Arial Narrow"/>
        <family val="2"/>
      </rPr>
      <t>0.1.3-</t>
    </r>
    <r>
      <rPr>
        <sz val="11"/>
        <color theme="1"/>
        <rFont val="Arial Narrow"/>
        <family val="2"/>
      </rPr>
      <t>Implantation des ouvrages</t>
    </r>
  </si>
  <si>
    <t>Lot n° 1 - TERRASSEMENTS</t>
  </si>
  <si>
    <t>1.1</t>
  </si>
  <si>
    <t>Préparation du terrain</t>
  </si>
  <si>
    <t>1.1.1</t>
  </si>
  <si>
    <t>Abattage d'arbres Ø &lt; 1m</t>
  </si>
  <si>
    <t>u</t>
  </si>
  <si>
    <t>1.1.2</t>
  </si>
  <si>
    <t>Abattage d'arbres 1,1m &lt; Ø &lt; 2m</t>
  </si>
  <si>
    <t>1.1.3</t>
  </si>
  <si>
    <t>Abattage d'arbres Ø &gt; 2,1m</t>
  </si>
  <si>
    <t>1.1.4</t>
  </si>
  <si>
    <t xml:space="preserve">Débroussaillage </t>
  </si>
  <si>
    <t>1.1.5</t>
  </si>
  <si>
    <t xml:space="preserve">Décapage de la terre végétale pour la  plate forme </t>
  </si>
  <si>
    <t>1.1.6</t>
  </si>
  <si>
    <t>Evacuation de la terre végétale mise à la décharge</t>
  </si>
  <si>
    <r>
      <t>m</t>
    </r>
    <r>
      <rPr>
        <vertAlign val="superscript"/>
        <sz val="11"/>
        <color theme="1"/>
        <rFont val="Arial Narrow"/>
        <family val="2"/>
      </rPr>
      <t>3</t>
    </r>
  </si>
  <si>
    <t>1.2</t>
  </si>
  <si>
    <t>Fouilles</t>
  </si>
  <si>
    <t>1.2.1</t>
  </si>
  <si>
    <t>Fouilles en excavation</t>
  </si>
  <si>
    <t>1.2.1.1</t>
  </si>
  <si>
    <t>1.2.1.2</t>
  </si>
  <si>
    <t>1.2.1.3</t>
  </si>
  <si>
    <t>1.2.1.4</t>
  </si>
  <si>
    <t>1.2.2</t>
  </si>
  <si>
    <t xml:space="preserve">Fouilles en puits </t>
  </si>
  <si>
    <t>1.2.2.1</t>
  </si>
  <si>
    <t>1.2.2.2</t>
  </si>
  <si>
    <t>1.2.2.3</t>
  </si>
  <si>
    <t>1.2.2.4</t>
  </si>
  <si>
    <t>1.2.3</t>
  </si>
  <si>
    <t>Fouilles en tranchée et en rigole</t>
  </si>
  <si>
    <t>1.2.3.1</t>
  </si>
  <si>
    <t>1.2.3.2</t>
  </si>
  <si>
    <t>1.2.3.3</t>
  </si>
  <si>
    <t>1.2.3.4</t>
  </si>
  <si>
    <t>1.3</t>
  </si>
  <si>
    <t xml:space="preserve">Remblais </t>
  </si>
  <si>
    <t>1.3.1</t>
  </si>
  <si>
    <t>Remblais des fouilles</t>
  </si>
  <si>
    <t>1.3.2</t>
  </si>
  <si>
    <t>Remblais compacté sous dallage</t>
  </si>
  <si>
    <t>1.3.3</t>
  </si>
  <si>
    <t>Apport de terre argilo-sableuse</t>
  </si>
  <si>
    <t>1.3.4</t>
  </si>
  <si>
    <t>Apport de terre graveleuse</t>
  </si>
  <si>
    <t>1.3.5</t>
  </si>
  <si>
    <t xml:space="preserve">Apport de sable sélectionné </t>
  </si>
  <si>
    <t>1.3.6</t>
  </si>
  <si>
    <t>Epandage des terres</t>
  </si>
  <si>
    <t>1.3.7</t>
  </si>
  <si>
    <t>Nivellement définitif sous dallage</t>
  </si>
  <si>
    <t>1.3.8</t>
  </si>
  <si>
    <t>Exécution de talus droit</t>
  </si>
  <si>
    <t>1.3.9</t>
  </si>
  <si>
    <t>Exécution de talus courbe</t>
  </si>
  <si>
    <t>1.3.10</t>
  </si>
  <si>
    <t>Evacuation des déblais excédentaires</t>
  </si>
  <si>
    <t>TOTAL 1</t>
  </si>
  <si>
    <t>Lot n° 2 - GROS-ŒUVRE</t>
  </si>
  <si>
    <t>2.1</t>
  </si>
  <si>
    <t>FONDATION</t>
  </si>
  <si>
    <t>2.1.1</t>
  </si>
  <si>
    <t>Béton de propreté</t>
  </si>
  <si>
    <t>2.1.1.1</t>
  </si>
  <si>
    <r>
      <t>Béton dosé 150 kg/m</t>
    </r>
    <r>
      <rPr>
        <vertAlign val="superscript"/>
        <sz val="11"/>
        <color theme="1"/>
        <rFont val="Arial Narrow"/>
        <family val="2"/>
      </rPr>
      <t>3</t>
    </r>
  </si>
  <si>
    <t>2.1.2</t>
  </si>
  <si>
    <t>2.1.2.1</t>
  </si>
  <si>
    <t>2.1.2.2</t>
  </si>
  <si>
    <t>2.1.2.3</t>
  </si>
  <si>
    <t>2.1.2.4</t>
  </si>
  <si>
    <t>2.1.2.5</t>
  </si>
  <si>
    <t>2.1.2.6</t>
  </si>
  <si>
    <t>2.1.2.7</t>
  </si>
  <si>
    <t>2.1.3</t>
  </si>
  <si>
    <t>2.1.3.1</t>
  </si>
  <si>
    <t>Poteaux et raidisseurs</t>
  </si>
  <si>
    <t>2.1.3.2</t>
  </si>
  <si>
    <t>Poutres, chaînages et linteaux</t>
  </si>
  <si>
    <t>2.1.3.3</t>
  </si>
  <si>
    <t>Dalle pleine</t>
  </si>
  <si>
    <t>2.1.3.4</t>
  </si>
  <si>
    <t>2.1.3.5</t>
  </si>
  <si>
    <t>Voiles</t>
  </si>
  <si>
    <t>2.1.3.6</t>
  </si>
  <si>
    <t>Plus value pour hauteur h: 6m &lt; h &lt; 12 m</t>
  </si>
  <si>
    <t>2.1.3.7</t>
  </si>
  <si>
    <t xml:space="preserve">Plus value pour hauteur h &gt; 12,1m </t>
  </si>
  <si>
    <t>2.2</t>
  </si>
  <si>
    <t>AGGLOMERES</t>
  </si>
  <si>
    <t>2.2.1</t>
  </si>
  <si>
    <t>Agglos pleins grain de riz</t>
  </si>
  <si>
    <t>2.2.1.1</t>
  </si>
  <si>
    <t xml:space="preserve">Agglos 20 cm pleins </t>
  </si>
  <si>
    <t>2.2.1.2</t>
  </si>
  <si>
    <t xml:space="preserve">Agglos 15 cm pleins </t>
  </si>
  <si>
    <t>2.2.1.3</t>
  </si>
  <si>
    <t xml:space="preserve">Agglos 10 cm pleins </t>
  </si>
  <si>
    <t>2.2.1.4</t>
  </si>
  <si>
    <t xml:space="preserve">Agglos 7 cm pleins </t>
  </si>
  <si>
    <t>2.2.2</t>
  </si>
  <si>
    <t>Agglos creux grain de riz</t>
  </si>
  <si>
    <t>2.2.2.1</t>
  </si>
  <si>
    <t xml:space="preserve">Agglos 20 cm creux </t>
  </si>
  <si>
    <t>2.2.2.2</t>
  </si>
  <si>
    <t>2.2.2.3</t>
  </si>
  <si>
    <t>2.2.2.4</t>
  </si>
  <si>
    <t>Agglos 7 cm creux</t>
  </si>
  <si>
    <t>2.2.3</t>
  </si>
  <si>
    <t>Agglos pleins ordinaire en mortier de ciment</t>
  </si>
  <si>
    <t>2.2.3.1</t>
  </si>
  <si>
    <t>2.2.3.2</t>
  </si>
  <si>
    <t>2.2.3.3</t>
  </si>
  <si>
    <t>2.2.3.4</t>
  </si>
  <si>
    <t>2.2.4</t>
  </si>
  <si>
    <t>Agglos creux ordinaire en mortier de ciment</t>
  </si>
  <si>
    <t>2.2.4.1</t>
  </si>
  <si>
    <t>2.2.4.2</t>
  </si>
  <si>
    <t>2.2.4.3</t>
  </si>
  <si>
    <t>2.2.4.4</t>
  </si>
  <si>
    <t>2.2.4.5</t>
  </si>
  <si>
    <t>2.2.4.6</t>
  </si>
  <si>
    <t>2.3</t>
  </si>
  <si>
    <t>SOLS</t>
  </si>
  <si>
    <t>2.3.1</t>
  </si>
  <si>
    <t>Forme de sol</t>
  </si>
  <si>
    <t>2.3.1.1</t>
  </si>
  <si>
    <t>en latérite concassée 0,20 d'épaisseur</t>
  </si>
  <si>
    <t>2.3.1.2</t>
  </si>
  <si>
    <t>en latérite concassée 0,15 d'épaisseur</t>
  </si>
  <si>
    <t>2.3.1.3</t>
  </si>
  <si>
    <t>en latérite concassée 0,10 d'épaisseur</t>
  </si>
  <si>
    <t>2.3.2</t>
  </si>
  <si>
    <t>Dallage et chape</t>
  </si>
  <si>
    <t>2.3.2.1</t>
  </si>
  <si>
    <t>Film polyane sous dallage</t>
  </si>
  <si>
    <t>2.3.2.2</t>
  </si>
  <si>
    <t>Dallage de forme d'épaisseur 10 cm</t>
  </si>
  <si>
    <t>m²</t>
  </si>
  <si>
    <t>2.3.2.3</t>
  </si>
  <si>
    <t>Dallage de forme d'épaisseur 12 cm</t>
  </si>
  <si>
    <t>2.3.2.4</t>
  </si>
  <si>
    <t>Dallage de forme d'épaisseur 15 cm</t>
  </si>
  <si>
    <t>2.3.2.5</t>
  </si>
  <si>
    <t>Chape incorporée au dallage</t>
  </si>
  <si>
    <t>2.3.2.6</t>
  </si>
  <si>
    <t>Chape étanche</t>
  </si>
  <si>
    <t>2.3.2.7</t>
  </si>
  <si>
    <t>Chape en ciment</t>
  </si>
  <si>
    <t>2.3.2.8</t>
  </si>
  <si>
    <t>Plus-value pour chape bouchardée</t>
  </si>
  <si>
    <t>2.3.2.9</t>
  </si>
  <si>
    <t>Plus-value pour lissage</t>
  </si>
  <si>
    <t>2.3.2.10</t>
  </si>
  <si>
    <t>Plus-value pour façon de joint</t>
  </si>
  <si>
    <t>2.3.2.11</t>
  </si>
  <si>
    <t>Plus-value pour  treillis soudé</t>
  </si>
  <si>
    <t>2.4</t>
  </si>
  <si>
    <t>PLANCHER</t>
  </si>
  <si>
    <t>2.4.1</t>
  </si>
  <si>
    <t>Planchers en corps creux y compris nervure et dalle de compression</t>
  </si>
  <si>
    <t>2.4.1.1</t>
  </si>
  <si>
    <t>Hourdis alphilaire 30 +  5</t>
  </si>
  <si>
    <t>2.4.1.2</t>
  </si>
  <si>
    <t>Hourdis alphilaire 25 +  5</t>
  </si>
  <si>
    <t>2.4.1.3</t>
  </si>
  <si>
    <t>Hourdis alphilaire 20 +  5</t>
  </si>
  <si>
    <t>2.4.1.4</t>
  </si>
  <si>
    <t>Hourdis alphilaire 16 +  4</t>
  </si>
  <si>
    <t>2.4.1.5</t>
  </si>
  <si>
    <t>Hourdis alphilaire 12 +  4</t>
  </si>
  <si>
    <t>2.4.1.6</t>
  </si>
  <si>
    <t>Hourdis alphilaire  7 +  4</t>
  </si>
  <si>
    <t>2.4.1.7</t>
  </si>
  <si>
    <t>Hourdis traditionnel 15 + 5</t>
  </si>
  <si>
    <t>2.4.1.8</t>
  </si>
  <si>
    <t>Hourdis traditionnel 20 + 5</t>
  </si>
  <si>
    <t>2.5</t>
  </si>
  <si>
    <t>ARMATURES</t>
  </si>
  <si>
    <t>2.5.1</t>
  </si>
  <si>
    <t>Acier doux (ADX)</t>
  </si>
  <si>
    <t>kg</t>
  </si>
  <si>
    <t>2.5.2</t>
  </si>
  <si>
    <t>Acier à haute adhérence (AHA)</t>
  </si>
  <si>
    <t>2.6</t>
  </si>
  <si>
    <t>COFFRAGE</t>
  </si>
  <si>
    <t>2.6.1</t>
  </si>
  <si>
    <t>Coffrage en fondation et en infrastructure</t>
  </si>
  <si>
    <t>2.6.1.1</t>
  </si>
  <si>
    <t>Coffrage de semelles</t>
  </si>
  <si>
    <t>2.6.1.2</t>
  </si>
  <si>
    <t>Coffrage de chaînages et longrines</t>
  </si>
  <si>
    <t>2.6.1.3</t>
  </si>
  <si>
    <t>Coffrage pour amorce de poteaux noyés</t>
  </si>
  <si>
    <t>2.6.1.4</t>
  </si>
  <si>
    <t>Coffrage pour amorce de poteaux isolés</t>
  </si>
  <si>
    <t>2.6.1.5</t>
  </si>
  <si>
    <t>Coffrage pour banchage</t>
  </si>
  <si>
    <t>2.6.2</t>
  </si>
  <si>
    <t>Coffrage en superstructure</t>
  </si>
  <si>
    <t>2.6.2.1</t>
  </si>
  <si>
    <t>Coffrage de raidisseurs et poteaux noyés</t>
  </si>
  <si>
    <t>2.6.2.2</t>
  </si>
  <si>
    <t>Coffrage de poteaux isolé</t>
  </si>
  <si>
    <t>2.6.2.3</t>
  </si>
  <si>
    <t>Coffrages de poutres et linteaux</t>
  </si>
  <si>
    <t>2.6.2.4</t>
  </si>
  <si>
    <t>Coffrage de dalles pleines et escaliers</t>
  </si>
  <si>
    <t>2.6.2.5</t>
  </si>
  <si>
    <t>Coffrage pour voile</t>
  </si>
  <si>
    <t>2.6.2.6</t>
  </si>
  <si>
    <t>2.6.2.7</t>
  </si>
  <si>
    <t>Plus-value pour coffrage soigné en contreplaqué</t>
  </si>
  <si>
    <t>2.6.2.8</t>
  </si>
  <si>
    <t>Plus-value pour planches rabotées</t>
  </si>
  <si>
    <t>2.6.2.9</t>
  </si>
  <si>
    <t>Plus-value pour surfaces cintrées</t>
  </si>
  <si>
    <t>2.7</t>
  </si>
  <si>
    <t>DIVERS</t>
  </si>
  <si>
    <t>2.7.1</t>
  </si>
  <si>
    <t>Claustras (épaisseur 15cm)</t>
  </si>
  <si>
    <t>2.7.2</t>
  </si>
  <si>
    <t>Claustras (épaisseur 20cm)</t>
  </si>
  <si>
    <t>2.7.3</t>
  </si>
  <si>
    <t>Paillasse</t>
  </si>
  <si>
    <t>2.7.4</t>
  </si>
  <si>
    <t>Appuis de fenêtre non- saillant</t>
  </si>
  <si>
    <t>ml</t>
  </si>
  <si>
    <t>2.7.5</t>
  </si>
  <si>
    <t>Appuis de fenêtre saillant</t>
  </si>
  <si>
    <t>2.7.6</t>
  </si>
  <si>
    <t>Socle de placard</t>
  </si>
  <si>
    <t>2.7.7</t>
  </si>
  <si>
    <t>Socle pour appareils de climatisation</t>
  </si>
  <si>
    <t>2.7.8</t>
  </si>
  <si>
    <t>Bac à laver 60x76x40</t>
  </si>
  <si>
    <t>2.7.9</t>
  </si>
  <si>
    <t>Bac à laver 70x90x40</t>
  </si>
  <si>
    <t>2.7.10</t>
  </si>
  <si>
    <t>Bac à laver 100x120x50</t>
  </si>
  <si>
    <t>2.7.11</t>
  </si>
  <si>
    <t>Bac à laver 60x120x40</t>
  </si>
  <si>
    <t>2.7.12</t>
  </si>
  <si>
    <t>Bac à laver 100x95x50</t>
  </si>
  <si>
    <t>2.7.13</t>
  </si>
  <si>
    <t>Bac à laver 120x95x50</t>
  </si>
  <si>
    <t>2.7.14</t>
  </si>
  <si>
    <t>Gargouille (largeur 30cm)</t>
  </si>
  <si>
    <t>2.7.15</t>
  </si>
  <si>
    <t>Boisseau (épaisseur 15cm)</t>
  </si>
  <si>
    <t>2.7.16</t>
  </si>
  <si>
    <t>Boisseau pour trop-plein (épaisseur 21cm)</t>
  </si>
  <si>
    <t>2.7.17</t>
  </si>
  <si>
    <t>Boisseau gouttière</t>
  </si>
  <si>
    <t>2.7.18</t>
  </si>
  <si>
    <t>Marche d'escalier préfabriquée n°1 type SIBM</t>
  </si>
  <si>
    <t>2.7.19</t>
  </si>
  <si>
    <t>Marche d'escalier préfabriquée n°2 type SIBM</t>
  </si>
  <si>
    <t>2.7.20</t>
  </si>
  <si>
    <t>Marche d'escalier préfabriquée n°3 type SIBM</t>
  </si>
  <si>
    <t>2.7.21</t>
  </si>
  <si>
    <t>Marche d'escalier préfabriquée n°4 type SIBM</t>
  </si>
  <si>
    <t>2.7.22</t>
  </si>
  <si>
    <t>Marche d'escalier préfabriquée n°5 type SIBM</t>
  </si>
  <si>
    <t>2.7.23</t>
  </si>
  <si>
    <t>Murs en géobéton 15cm</t>
  </si>
  <si>
    <t>2.8</t>
  </si>
  <si>
    <t>ENDUITS</t>
  </si>
  <si>
    <t>2.8.1</t>
  </si>
  <si>
    <r>
      <t>Enduit dosé à 250 kg/m</t>
    </r>
    <r>
      <rPr>
        <vertAlign val="superscript"/>
        <sz val="11"/>
        <color theme="1"/>
        <rFont val="Arial Narrow"/>
        <family val="2"/>
      </rPr>
      <t>3</t>
    </r>
  </si>
  <si>
    <t>2.8.2</t>
  </si>
  <si>
    <r>
      <t>Enduit dosé à 300 kg/m</t>
    </r>
    <r>
      <rPr>
        <vertAlign val="superscript"/>
        <sz val="11"/>
        <color theme="1"/>
        <rFont val="Arial Narrow"/>
        <family val="2"/>
      </rPr>
      <t>3</t>
    </r>
  </si>
  <si>
    <t>2.8.3</t>
  </si>
  <si>
    <r>
      <t>Enduit dosé à 350 kg/m</t>
    </r>
    <r>
      <rPr>
        <vertAlign val="superscript"/>
        <sz val="11"/>
        <color theme="1"/>
        <rFont val="Arial Narrow"/>
        <family val="2"/>
      </rPr>
      <t>3</t>
    </r>
  </si>
  <si>
    <t>2.8.4</t>
  </si>
  <si>
    <r>
      <t>Enduit dosé à 400 kg/m</t>
    </r>
    <r>
      <rPr>
        <vertAlign val="superscript"/>
        <sz val="11"/>
        <color theme="1"/>
        <rFont val="Arial Narrow"/>
        <family val="2"/>
      </rPr>
      <t>3</t>
    </r>
  </si>
  <si>
    <t>2.8.5</t>
  </si>
  <si>
    <t>Enduit tyrolien</t>
  </si>
  <si>
    <t>2.8.6</t>
  </si>
  <si>
    <t>Plus-value pour ciment blanc</t>
  </si>
  <si>
    <t>2.8.7</t>
  </si>
  <si>
    <t>Plus-value en plafond droit</t>
  </si>
  <si>
    <t>2.8.8</t>
  </si>
  <si>
    <t>Plus-value en plafond rampant</t>
  </si>
  <si>
    <t>2.8.9</t>
  </si>
  <si>
    <t>Plus-value lissage</t>
  </si>
  <si>
    <t>2.8.10</t>
  </si>
  <si>
    <t>Plus-value pour raies</t>
  </si>
  <si>
    <t>2.8.11</t>
  </si>
  <si>
    <t>Plus-value pour incorporation d'hydrofuge</t>
  </si>
  <si>
    <t>2.8.12</t>
  </si>
  <si>
    <t>Micro- enduit</t>
  </si>
  <si>
    <t>Lot n° 3 - ETANCHEITE</t>
  </si>
  <si>
    <t>3.1</t>
  </si>
  <si>
    <t>FORME DE PENTE</t>
  </si>
  <si>
    <t>3.1.1</t>
  </si>
  <si>
    <t>Forme de pente en béton maigre</t>
  </si>
  <si>
    <t>3.1.2</t>
  </si>
  <si>
    <t>Forme de pente au mortier de ciment</t>
  </si>
  <si>
    <t>3.2</t>
  </si>
  <si>
    <t>ETANCHEITE SUR ELEMENT PORTEUR</t>
  </si>
  <si>
    <t>3.2.1</t>
  </si>
  <si>
    <t>Terrasses inaccessibles avec protection lourde meuble</t>
  </si>
  <si>
    <t>3.2.1.1</t>
  </si>
  <si>
    <t>Etanchéïté en partie courant comprenant: 1 écran d'indépendance + 2 feuilles de bitume modifié SBS + 1 protection en gravillon</t>
  </si>
  <si>
    <t>3.2.1.2</t>
  </si>
  <si>
    <t>Relevés d'étanchéité dito ci-dessus</t>
  </si>
  <si>
    <t>3.2.1.3</t>
  </si>
  <si>
    <t>Etanchéïté en partie courant comprenant: 1 écran d'indépendance + 1 feuille de bitume modifié SBS + 1 protection en gravillon</t>
  </si>
  <si>
    <t>3.2.1.4</t>
  </si>
  <si>
    <t>3.2.2</t>
  </si>
  <si>
    <t>Terrasses inaccessibles autoprotégées</t>
  </si>
  <si>
    <t>3.2.2.1</t>
  </si>
  <si>
    <t>Etanchéïté en partie courant comprenant: 1 EIF + 1 écran de semi-indépendance + 1 feuille de bitume SBS + 1 feuille de bitume modifié SBS autoprotégée</t>
  </si>
  <si>
    <t>3.2.2.2</t>
  </si>
  <si>
    <t>3.2.2.3</t>
  </si>
  <si>
    <t>Etanchéïté en partie courant comprenant: 1 EIF + 1 écran de semi-indépendance + 1 feuille de bitume modifié SBS autoprotégé</t>
  </si>
  <si>
    <t>3.2.2.4</t>
  </si>
  <si>
    <t>3.2.3</t>
  </si>
  <si>
    <t>Support bois inaccessible</t>
  </si>
  <si>
    <t>3.2.3.1</t>
  </si>
  <si>
    <t xml:space="preserve">Etanchéité comprenant: 1 pare-vapeur +  1 feuille de bitume modifié SBS + 1 feuille de bitume modifié SBS autoprotégé </t>
  </si>
  <si>
    <t>3.2.4</t>
  </si>
  <si>
    <t>Terrasses accessibles</t>
  </si>
  <si>
    <t>3.2.4.1</t>
  </si>
  <si>
    <t xml:space="preserve">Etanchéité comprenant: 1 écran d'indépendance + 2 feuilles de bitume modifié SBS + 1 couche de désolidarisation </t>
  </si>
  <si>
    <t>3.2.5</t>
  </si>
  <si>
    <t>Terrasses jardins accessibles</t>
  </si>
  <si>
    <t>3.2.5.1</t>
  </si>
  <si>
    <t>Etanchéité comprenant: 1 écran d'indépendance + 2 feuilles de bitume modifié SBS + 1 couche drainante + 1 couche filtrante + terre végétale</t>
  </si>
  <si>
    <t>3.3</t>
  </si>
  <si>
    <t>ETANCHEITE SUR ISOLATION THERMIQUE</t>
  </si>
  <si>
    <t>3.3.1</t>
  </si>
  <si>
    <t>3.3.1.1</t>
  </si>
  <si>
    <t>Etanchéïté en partie courant comprenant: 1 enduit d'imprégnation à froid + 1 feutre 36S + 1 isolant thermique + 1 écran d'indépendance + 2 feuilles de bitume modifié SBS + 1 protection en gravillon</t>
  </si>
  <si>
    <t>3.3.1.2</t>
  </si>
  <si>
    <t>3.3.1.3</t>
  </si>
  <si>
    <t>Etanchéïté en partie courant comprenant: 1 EIF + 1 feutre 36S + 1 isolant thermique + 1 écran d'indépendance + 1 feuille de bitume modifié SBS + 1 protection en gravillon</t>
  </si>
  <si>
    <t>3.3.1.4</t>
  </si>
  <si>
    <t>3.3.2</t>
  </si>
  <si>
    <t>3.3.2.1</t>
  </si>
  <si>
    <t>Etanchéïté en partie courant comprenant: 1 EIF + 1 feutre 36S + 1 isolant thermique nu + 1 feuille de bitume SBS + 1 feuille de bitume modifié SBS autoprotégée</t>
  </si>
  <si>
    <t>3.3.2.2</t>
  </si>
  <si>
    <t>3.3.2.3</t>
  </si>
  <si>
    <t>Etanchéïté en partie courant comprenant: 1 EIF + 1 feutre 36S + 1 isolant thermique soudable + 1 feuille de bitume modifié SBS autoprotégé</t>
  </si>
  <si>
    <t>3.3.2.4</t>
  </si>
  <si>
    <t>3.3.3</t>
  </si>
  <si>
    <t>Support métallique inaccessible (tôle nervurée)</t>
  </si>
  <si>
    <t>3.3.3.1</t>
  </si>
  <si>
    <t>Etanchéité en partie courante comprenant: 1 pare-vapeur + 1 isolant soudable + 1 feuille de bitume modifié SBS + 1 feuille de bitume élastomérique SBS autoprotégé</t>
  </si>
  <si>
    <t>3.3.3.2</t>
  </si>
  <si>
    <t>Etanchéité des relevés comprenant: 1 EIF + 1 équerre de renfort + 1 feuille de bitume élastomérique SBS autoprotégé</t>
  </si>
  <si>
    <t>3.3.3.3</t>
  </si>
  <si>
    <t>Etanchéité des chéneaux comprenant: 1 feuille de bitume modifié + 1 feuille de bitume élastomérique autoprotégé</t>
  </si>
  <si>
    <t>3.3.4</t>
  </si>
  <si>
    <t>3.3.4.1</t>
  </si>
  <si>
    <t xml:space="preserve">Etanchéité comprenant: 1 pare-vapeur + 1 isolant thermique + 1 feuille de bitume modifié SBS + 1 feuille de bitume modifié SBS autoprotégé </t>
  </si>
  <si>
    <t>3.3.5</t>
  </si>
  <si>
    <t>3.3.5.1</t>
  </si>
  <si>
    <t xml:space="preserve">Etanchéité comprenant: 1 EIF + 1 pare-vapeur + 1 isolant thermique + 1 écran d'indépendance + 2 feuilles de bitume modifié SBS + 1 couche de désolidarisation </t>
  </si>
  <si>
    <t>3.3.6</t>
  </si>
  <si>
    <t>3.3.6.1</t>
  </si>
  <si>
    <t>Etanchéité comprenant: 1 EIF + 1 pare-vapeur + 1 isolant thermique + 1 écran d'indépendance + 2 feuilles de bitume modifié SBS + 1 couche drainante + 1 couche filtrante + terre végétale</t>
  </si>
  <si>
    <t>3.4</t>
  </si>
  <si>
    <t>ETANCHEITE SUR ANCIEN REVETEMENT</t>
  </si>
  <si>
    <t>3.4.1</t>
  </si>
  <si>
    <t>3.4.1.1</t>
  </si>
  <si>
    <t>Etanchéïté en partie courant comprenant: 2 écrans d'indépendance + 2 feuilles de bitume modifié SBS + 1 protection en gravillon</t>
  </si>
  <si>
    <t>3.4.1.2</t>
  </si>
  <si>
    <t xml:space="preserve">Relevés d'étanchéité </t>
  </si>
  <si>
    <t>3.4.1.3</t>
  </si>
  <si>
    <t>Etanchéïté en partie courant comprenant: 2 écrans d'indépendance + 1 feuille de bitume modifié SBS + 1 protection en gravillon</t>
  </si>
  <si>
    <t>3.4.1.4</t>
  </si>
  <si>
    <t>3.4.2</t>
  </si>
  <si>
    <t>3.4.2.1</t>
  </si>
  <si>
    <t>3.4.2.2</t>
  </si>
  <si>
    <t>3.4.2.3</t>
  </si>
  <si>
    <t>3.4.2.4</t>
  </si>
  <si>
    <t>3.4.3</t>
  </si>
  <si>
    <t>3.4.3.1</t>
  </si>
  <si>
    <t>Etanchéité en partie courante comprenant: 1 feuille de bitume modifié SBS fixé mécaniquement + 1 feuille de bitume élastomérique SBS autoprotégé</t>
  </si>
  <si>
    <t>3.4.4</t>
  </si>
  <si>
    <t>3.4.4.1</t>
  </si>
  <si>
    <t xml:space="preserve">Etanchéité comprenant: 1 feuille de bitume modifié SBS fixé mécaniquement + 1 feuille de bitume modifié SBS autoprotégé </t>
  </si>
  <si>
    <t>3.4.5</t>
  </si>
  <si>
    <t>3.4.5.1</t>
  </si>
  <si>
    <t>3.4.6</t>
  </si>
  <si>
    <t>3.4.6.1</t>
  </si>
  <si>
    <t>3.4.7</t>
  </si>
  <si>
    <t>Plus-value pour protection d'étanchéité</t>
  </si>
  <si>
    <t>3.4.7.1</t>
  </si>
  <si>
    <t>Protection par chape ciment</t>
  </si>
  <si>
    <t>3.4.7.2</t>
  </si>
  <si>
    <t>Protection par dallettes avec joint bitumineux</t>
  </si>
  <si>
    <t>3.5</t>
  </si>
  <si>
    <t>OUVRAGES DIVERS</t>
  </si>
  <si>
    <t>3.5.1</t>
  </si>
  <si>
    <t>Etanchéïté des murs</t>
  </si>
  <si>
    <t>3.5.2</t>
  </si>
  <si>
    <t>Etanchéité des joints de dilatation</t>
  </si>
  <si>
    <t>3.5.3</t>
  </si>
  <si>
    <t>Etanchéïté par pastillage sur tôle et tirfonds</t>
  </si>
  <si>
    <t>3.5.4</t>
  </si>
  <si>
    <t>Etanchéïté des salles d'eau</t>
  </si>
  <si>
    <t>3.5.5</t>
  </si>
  <si>
    <t>Entrée d'eau + crapaudine</t>
  </si>
  <si>
    <t>3.6</t>
  </si>
  <si>
    <t>ISOLATION THERMIQUE</t>
  </si>
  <si>
    <t>3.6.1</t>
  </si>
  <si>
    <t>Polystyrène expansé</t>
  </si>
  <si>
    <t>3.6.2</t>
  </si>
  <si>
    <t>Laine minérale</t>
  </si>
  <si>
    <t>3.6.3</t>
  </si>
  <si>
    <t>Verre cellulaire</t>
  </si>
  <si>
    <t>Lot n° 4 - MENUISERIE ALUMINIUM</t>
  </si>
  <si>
    <t>4.1</t>
  </si>
  <si>
    <t>MENUISERIE EN PROFILE ALU ANODISE SUR PRECADRE</t>
  </si>
  <si>
    <t>4.1.1</t>
  </si>
  <si>
    <t>Ensemble portes</t>
  </si>
  <si>
    <t>4.1.1.1</t>
  </si>
  <si>
    <t>Châssis alu ouvrant à la française(100x210)</t>
  </si>
  <si>
    <t>4.1.1.2</t>
  </si>
  <si>
    <t>Châssis alu coulissant (100x210)</t>
  </si>
  <si>
    <t>4.1.1.3</t>
  </si>
  <si>
    <t>Plus-value pour longueur supplémentaire du châssis</t>
  </si>
  <si>
    <t>4.1.2</t>
  </si>
  <si>
    <t>Ensemble fenêtres (vitrage simple)</t>
  </si>
  <si>
    <t>4.1.2.1</t>
  </si>
  <si>
    <t>Châssis alu ouvrant à la française (100x110)</t>
  </si>
  <si>
    <t>4.1.2.2</t>
  </si>
  <si>
    <t>Châssis alu coulissant (100x110)</t>
  </si>
  <si>
    <t>4.1.2.3</t>
  </si>
  <si>
    <t>Châssis alu fixe (100x110)</t>
  </si>
  <si>
    <t>4.1.2.4</t>
  </si>
  <si>
    <t>Châssis alu basculant (100x110)</t>
  </si>
  <si>
    <t>4.1.2.5</t>
  </si>
  <si>
    <t>Châssis alu type naco (100x110)</t>
  </si>
  <si>
    <t>4.1.2.6</t>
  </si>
  <si>
    <t>Châssis alu pivotant (100x110)</t>
  </si>
  <si>
    <t>4.1.2.7</t>
  </si>
  <si>
    <t>4.1.3</t>
  </si>
  <si>
    <t>Ensemble fenêtres double vitrage thermique (y compris vitrage)</t>
  </si>
  <si>
    <t>4.1.3.1</t>
  </si>
  <si>
    <t xml:space="preserve">Châssis alu coulissant </t>
  </si>
  <si>
    <t>4.1.3.1.1</t>
  </si>
  <si>
    <t>125 x 140</t>
  </si>
  <si>
    <t>4.1.3.1.2</t>
  </si>
  <si>
    <t>125 x 150</t>
  </si>
  <si>
    <t>4.1.3.1.3</t>
  </si>
  <si>
    <t>215 x 160</t>
  </si>
  <si>
    <t>4.1.3.1.4</t>
  </si>
  <si>
    <t>215 x 170</t>
  </si>
  <si>
    <t>4.1.4</t>
  </si>
  <si>
    <t>Volets roulants</t>
  </si>
  <si>
    <t>4.1.4.1</t>
  </si>
  <si>
    <t>Volets roulants manuels en alu anodisé</t>
  </si>
  <si>
    <t>4.1.4.2</t>
  </si>
  <si>
    <t>Plus-value pour moteur électrique</t>
  </si>
  <si>
    <t>4.1.4.3</t>
  </si>
  <si>
    <t>Volet roulant electrique avec télécommande</t>
  </si>
  <si>
    <t>4.2</t>
  </si>
  <si>
    <t>4.2.1</t>
  </si>
  <si>
    <t>Garde- corps alu</t>
  </si>
  <si>
    <t>4.2.2</t>
  </si>
  <si>
    <t>Grille extensible</t>
  </si>
  <si>
    <t>4.2.3</t>
  </si>
  <si>
    <t>Store intérieur type vénitien</t>
  </si>
  <si>
    <t>4.2.4</t>
  </si>
  <si>
    <t>Store intérieur en bambou</t>
  </si>
  <si>
    <t>4.2.5</t>
  </si>
  <si>
    <t>Store à lame verticale</t>
  </si>
  <si>
    <t>4.2.6</t>
  </si>
  <si>
    <t>Voilage de fenêtre</t>
  </si>
  <si>
    <t>4.2.7</t>
  </si>
  <si>
    <t>Moustiquaire recoupable (caissons et coulisses en aluminium)</t>
  </si>
  <si>
    <t>4.2.8</t>
  </si>
  <si>
    <t>Rideaux</t>
  </si>
  <si>
    <t>4.2.9</t>
  </si>
  <si>
    <t>Tringle à rideaux</t>
  </si>
  <si>
    <t>Lot n° 5 - VITRAGE</t>
  </si>
  <si>
    <t>5.1</t>
  </si>
  <si>
    <t>VERRE</t>
  </si>
  <si>
    <t>5.1.1</t>
  </si>
  <si>
    <t>Vitrage clair</t>
  </si>
  <si>
    <t>5.1.1.1</t>
  </si>
  <si>
    <t xml:space="preserve">Verre clair </t>
  </si>
  <si>
    <t>5.1.1.1.1</t>
  </si>
  <si>
    <t>3 mm</t>
  </si>
  <si>
    <t>5.1.1.1.2</t>
  </si>
  <si>
    <t>4 mm</t>
  </si>
  <si>
    <t>5.1.1.1.3</t>
  </si>
  <si>
    <t>5 mm</t>
  </si>
  <si>
    <t>5.1.1.1.4</t>
  </si>
  <si>
    <t>6 mm</t>
  </si>
  <si>
    <t>5.1.1.1.5</t>
  </si>
  <si>
    <t>8 mm</t>
  </si>
  <si>
    <t>5.1.1.1.6</t>
  </si>
  <si>
    <t>10 mm</t>
  </si>
  <si>
    <t>5.1.2</t>
  </si>
  <si>
    <t>Vitrage teinté</t>
  </si>
  <si>
    <t>5.1.2.1</t>
  </si>
  <si>
    <t xml:space="preserve">Verre teinté </t>
  </si>
  <si>
    <t>5.1.2.1.1</t>
  </si>
  <si>
    <t>5.1.2.1.2</t>
  </si>
  <si>
    <t>5.1.2.1.3</t>
  </si>
  <si>
    <t>5.1.2.1.4</t>
  </si>
  <si>
    <t>5.1.2.1.5</t>
  </si>
  <si>
    <t>5.1.2.1.6</t>
  </si>
  <si>
    <t>12 mm</t>
  </si>
  <si>
    <t>5.1.2.1.7</t>
  </si>
  <si>
    <t>15 mm</t>
  </si>
  <si>
    <t>5.1.2.1.8</t>
  </si>
  <si>
    <t>19 mm</t>
  </si>
  <si>
    <t>5.1.3</t>
  </si>
  <si>
    <t>Verre imprimé</t>
  </si>
  <si>
    <t>5.1.3.1</t>
  </si>
  <si>
    <t>Verre imprimé 5 mm</t>
  </si>
  <si>
    <t>5.1.4</t>
  </si>
  <si>
    <t>Verre réfléchissant</t>
  </si>
  <si>
    <t>5.1.4.1</t>
  </si>
  <si>
    <t>5.1.4.1.1</t>
  </si>
  <si>
    <t>5.1.4.1.2</t>
  </si>
  <si>
    <t>5.1.4.1.3</t>
  </si>
  <si>
    <t>5.1.5</t>
  </si>
  <si>
    <t>Verre listral</t>
  </si>
  <si>
    <t>5.1.5.1</t>
  </si>
  <si>
    <t>Verre listral 5 mm</t>
  </si>
  <si>
    <t>5.1.6</t>
  </si>
  <si>
    <t>Lame naco</t>
  </si>
  <si>
    <t>5.1.6.1</t>
  </si>
  <si>
    <t>Lame naco en verre clair</t>
  </si>
  <si>
    <t>5.1.6.1.1</t>
  </si>
  <si>
    <t>5.1.6.1.2</t>
  </si>
  <si>
    <t>5.1.6.1.3</t>
  </si>
  <si>
    <t>5.1.6.2</t>
  </si>
  <si>
    <t>Lame naco en verre teinté</t>
  </si>
  <si>
    <t>5.1.6.2.1</t>
  </si>
  <si>
    <t>5.1.6.2.2</t>
  </si>
  <si>
    <t>5.1.6.2.3</t>
  </si>
  <si>
    <t>5.1.6.3</t>
  </si>
  <si>
    <t>Lame naco en verre imprimé</t>
  </si>
  <si>
    <t>5.1.6.3.1</t>
  </si>
  <si>
    <t>5.1.7</t>
  </si>
  <si>
    <t>Verre triplex</t>
  </si>
  <si>
    <t>5.1.7.1</t>
  </si>
  <si>
    <t>Verre triplex clair</t>
  </si>
  <si>
    <t>5.1.7.1.1</t>
  </si>
  <si>
    <t>5.1.7.1.2</t>
  </si>
  <si>
    <t>5.1.7.2</t>
  </si>
  <si>
    <t>Verre triplex bronze</t>
  </si>
  <si>
    <t>5.1.7.2.1</t>
  </si>
  <si>
    <t>5.1.8</t>
  </si>
  <si>
    <t>Plexiglas</t>
  </si>
  <si>
    <t>5.1.8.1</t>
  </si>
  <si>
    <t>Fond teinté</t>
  </si>
  <si>
    <t>5.1.8.1.1</t>
  </si>
  <si>
    <t>5.1.8.1.2</t>
  </si>
  <si>
    <t>5.1.8.1.3</t>
  </si>
  <si>
    <t>5.2</t>
  </si>
  <si>
    <t>MIROIR</t>
  </si>
  <si>
    <t>5.2.1</t>
  </si>
  <si>
    <t>Miroir bronze ou gris en feuille</t>
  </si>
  <si>
    <t>5.2.1.1</t>
  </si>
  <si>
    <t>2 mm</t>
  </si>
  <si>
    <t>5.2.1.2</t>
  </si>
  <si>
    <t>5.2.1.3</t>
  </si>
  <si>
    <t>5.2.1.4</t>
  </si>
  <si>
    <t>5.2.1.5</t>
  </si>
  <si>
    <t>5.3</t>
  </si>
  <si>
    <t>VERRES SPECIAUX</t>
  </si>
  <si>
    <t>5.3.1</t>
  </si>
  <si>
    <t>Verre armé 6/7 mm</t>
  </si>
  <si>
    <t>5.3.2</t>
  </si>
  <si>
    <t>Verre cathédrale</t>
  </si>
  <si>
    <t>5.3.3</t>
  </si>
  <si>
    <t>Verre blindé 32mm</t>
  </si>
  <si>
    <t>Lot n° 6 - SERRURERIE</t>
  </si>
  <si>
    <t>6.1</t>
  </si>
  <si>
    <t>OUVRAGES METALLIQUES</t>
  </si>
  <si>
    <t>6.1.1</t>
  </si>
  <si>
    <t>Portes métalliques pleines</t>
  </si>
  <si>
    <t>6.1.1.1</t>
  </si>
  <si>
    <t>Porte pleine à 1 vantail</t>
  </si>
  <si>
    <t>6.1.1.2</t>
  </si>
  <si>
    <t>Porte pleine à 2 vantaux</t>
  </si>
  <si>
    <t>6.1.2</t>
  </si>
  <si>
    <t>Portes métalliques (tôlée sur une face)</t>
  </si>
  <si>
    <t>6.1.2.1</t>
  </si>
  <si>
    <t>Porte à 1 vantail</t>
  </si>
  <si>
    <t>6.1.2.2</t>
  </si>
  <si>
    <t>Porte à 2 vantaux</t>
  </si>
  <si>
    <t>6.1.3</t>
  </si>
  <si>
    <t>Portails métalliques pleines</t>
  </si>
  <si>
    <t>6.1.3.1</t>
  </si>
  <si>
    <t>Portail plein à 1 vantail</t>
  </si>
  <si>
    <t>6.1.3.2</t>
  </si>
  <si>
    <t>Portail plein à 2 vantaux</t>
  </si>
  <si>
    <t>6.1.4</t>
  </si>
  <si>
    <t>Portails métalliques (tôlée sur une face)</t>
  </si>
  <si>
    <t>6.1.4.1</t>
  </si>
  <si>
    <t>Portail à 1 vantail</t>
  </si>
  <si>
    <t>6.1.4.2</t>
  </si>
  <si>
    <t>Portail à 2 vantaux</t>
  </si>
  <si>
    <t>6.1.5</t>
  </si>
  <si>
    <t>Portes métalliques blindées</t>
  </si>
  <si>
    <t>6.1.5.1</t>
  </si>
  <si>
    <t>6.1.5.2</t>
  </si>
  <si>
    <t>6.1.6</t>
  </si>
  <si>
    <t xml:space="preserve">Grille de protection </t>
  </si>
  <si>
    <t>6.1.6.1</t>
  </si>
  <si>
    <t>Grille antivol en profilés pleins pour les fenêtres</t>
  </si>
  <si>
    <t>6.1.6.2</t>
  </si>
  <si>
    <t>Grille antivol en fers plats pour les fenêtres</t>
  </si>
  <si>
    <t>6.1.6.3</t>
  </si>
  <si>
    <t>Grille antivol en profilés pleins et fers plats pour les fenêtres</t>
  </si>
  <si>
    <t>6.1.6.4</t>
  </si>
  <si>
    <t>Grille antivol en profilés pleins pour les climatiseurs</t>
  </si>
  <si>
    <t>6.1.6.5</t>
  </si>
  <si>
    <t>Grille antivol en fers plats pour les climatiseurs</t>
  </si>
  <si>
    <t>6.1.6.6</t>
  </si>
  <si>
    <t>Grille antivol en profilés pleins et fers plats pour les climatiseurs</t>
  </si>
  <si>
    <t>6.1.7</t>
  </si>
  <si>
    <t xml:space="preserve">Garde - corps </t>
  </si>
  <si>
    <t>6.1.7.1</t>
  </si>
  <si>
    <t>Garde- corps simple barreaudé en profilés pleins</t>
  </si>
  <si>
    <t>6.1.7.2</t>
  </si>
  <si>
    <t>Garde- corps simple barreaudé en profilés pleins et fers plats</t>
  </si>
  <si>
    <t>6.1.7.3</t>
  </si>
  <si>
    <t>Garde- corps avec motif en profilés pleins</t>
  </si>
  <si>
    <t>6.1.7.4</t>
  </si>
  <si>
    <t>Garde- corps avec motif en profilés pleins et fers plats</t>
  </si>
  <si>
    <t>6.1.8</t>
  </si>
  <si>
    <t xml:space="preserve">Divers </t>
  </si>
  <si>
    <t>6.1.8.1</t>
  </si>
  <si>
    <t>Echelle 4,5m pour l'entretien</t>
  </si>
  <si>
    <t>6.1.8.2</t>
  </si>
  <si>
    <t>Barrière levante de portée 5m avec contrepoids</t>
  </si>
  <si>
    <t>Lot n° 7 - PLOMBERIE SANITAIRE</t>
  </si>
  <si>
    <t>7.1</t>
  </si>
  <si>
    <t>ALIMENTATION EN EAU</t>
  </si>
  <si>
    <t>7.1.1</t>
  </si>
  <si>
    <t>Généralités</t>
  </si>
  <si>
    <t>7.1.1.1</t>
  </si>
  <si>
    <t>Branchement ordinaire SODECI</t>
  </si>
  <si>
    <t>forf.</t>
  </si>
  <si>
    <t>7.1.1.2</t>
  </si>
  <si>
    <t>Branchement subventionné SODECI</t>
  </si>
  <si>
    <t>7.1.1.3</t>
  </si>
  <si>
    <t>Abonnement SODECI sur branchement existant</t>
  </si>
  <si>
    <t>7.1.2</t>
  </si>
  <si>
    <t>Tube galvanisé</t>
  </si>
  <si>
    <t>7.1.2.1</t>
  </si>
  <si>
    <t>Ø12x17 mm</t>
  </si>
  <si>
    <t>7.1.2.2</t>
  </si>
  <si>
    <t>Ø15x21 mm</t>
  </si>
  <si>
    <t>7.1.2.3</t>
  </si>
  <si>
    <t>Ø20x27 mm</t>
  </si>
  <si>
    <t>7.1.2.4</t>
  </si>
  <si>
    <t>Ø26x34 mm</t>
  </si>
  <si>
    <t>7.1.2.5</t>
  </si>
  <si>
    <t>Ø33x42 mm</t>
  </si>
  <si>
    <t>7.1.2.6</t>
  </si>
  <si>
    <t>Ø40x49 mm</t>
  </si>
  <si>
    <t>7.1.2.7</t>
  </si>
  <si>
    <t>Ø50x60 mm</t>
  </si>
  <si>
    <t>7.1.2.8</t>
  </si>
  <si>
    <t>Ø66x76 mm</t>
  </si>
  <si>
    <t>7.1.3</t>
  </si>
  <si>
    <t>Tube PVC pression</t>
  </si>
  <si>
    <t>7.1.3.1</t>
  </si>
  <si>
    <t>Ø14,8x20 mm</t>
  </si>
  <si>
    <t>7.1.3.2</t>
  </si>
  <si>
    <t>Ø16,8x20 mm</t>
  </si>
  <si>
    <t>7.1.3.3</t>
  </si>
  <si>
    <t>Ø21x25 mm</t>
  </si>
  <si>
    <t>7.1.3.4</t>
  </si>
  <si>
    <t>Ø26,8x32 mm</t>
  </si>
  <si>
    <t>7.1.3.5</t>
  </si>
  <si>
    <t>Ø33,6x40 mm</t>
  </si>
  <si>
    <t>7.1.3.6</t>
  </si>
  <si>
    <t>Ø42x50 mm</t>
  </si>
  <si>
    <t>7.1.3.7</t>
  </si>
  <si>
    <t>Ø53x63 mm</t>
  </si>
  <si>
    <t>7.1.3.8</t>
  </si>
  <si>
    <t>Ø63,2x75 mm</t>
  </si>
  <si>
    <t>7.1.3.9</t>
  </si>
  <si>
    <t>Ø75,8x90 mm</t>
  </si>
  <si>
    <t>7.1.4</t>
  </si>
  <si>
    <t>Distribution Eau froide - Eau chaude</t>
  </si>
  <si>
    <t>7.1.4.1</t>
  </si>
  <si>
    <t>Tube cuivre Ø6x8</t>
  </si>
  <si>
    <t>7.1.4.2</t>
  </si>
  <si>
    <t>Tube cuivre Ø8x10</t>
  </si>
  <si>
    <t>7.1.4.3</t>
  </si>
  <si>
    <t>Tube cuivre Ø10x12</t>
  </si>
  <si>
    <t>7.1.4.4</t>
  </si>
  <si>
    <t>Tube cuivre Ø12x14</t>
  </si>
  <si>
    <t>7.1.4.5</t>
  </si>
  <si>
    <t>Tube cuivre Ø14x16</t>
  </si>
  <si>
    <t>7.1.4.6</t>
  </si>
  <si>
    <t>Tube cuivre Ø16x18</t>
  </si>
  <si>
    <t>7.1.4.7</t>
  </si>
  <si>
    <t>Tube cuivre Ø18x20</t>
  </si>
  <si>
    <t>7.1.4.8</t>
  </si>
  <si>
    <t>Tube cuivre Ø20x22</t>
  </si>
  <si>
    <t>7.2</t>
  </si>
  <si>
    <t>EVACUATION DES EAUX EU-EV</t>
  </si>
  <si>
    <t>7.2.1</t>
  </si>
  <si>
    <t>Tube PVC Evacuation</t>
  </si>
  <si>
    <t>7.2.1.1</t>
  </si>
  <si>
    <t>Ø25,6x32 mm</t>
  </si>
  <si>
    <t>7.2.1.2</t>
  </si>
  <si>
    <t>7.2.1.3</t>
  </si>
  <si>
    <t>Ø43,6x50 mm</t>
  </si>
  <si>
    <t>7.2.1.4</t>
  </si>
  <si>
    <t>Ø56,6x63 mm</t>
  </si>
  <si>
    <t>7.2.1.5</t>
  </si>
  <si>
    <t>Ø83,6x90 mm</t>
  </si>
  <si>
    <t>7.2.1.6</t>
  </si>
  <si>
    <t>Ø93,6x100 mm</t>
  </si>
  <si>
    <t>7.2.1.7</t>
  </si>
  <si>
    <t>Ø103,6x110 mm</t>
  </si>
  <si>
    <t>7.2.1.8</t>
  </si>
  <si>
    <t>Ø118,6x125 mm</t>
  </si>
  <si>
    <t>7.2.1.9</t>
  </si>
  <si>
    <t>Ø153,2x160 mm</t>
  </si>
  <si>
    <t>7.2.1.10</t>
  </si>
  <si>
    <t>Ø190x200 mm</t>
  </si>
  <si>
    <t>7.3</t>
  </si>
  <si>
    <t>ROBINETTERIE</t>
  </si>
  <si>
    <t>7.3.1</t>
  </si>
  <si>
    <t>Vannes d'arrêt</t>
  </si>
  <si>
    <t>7.3.1.1</t>
  </si>
  <si>
    <t>Vannes d'arrêt Ø12x17</t>
  </si>
  <si>
    <t>7.3.1.2</t>
  </si>
  <si>
    <t>Vannes d'arrêt Ø15x21</t>
  </si>
  <si>
    <t>7.3.1.3</t>
  </si>
  <si>
    <t>Vannes d'arrêt Ø20x27</t>
  </si>
  <si>
    <t>7.3.1.4</t>
  </si>
  <si>
    <t>Vannes d'arrêt Ø26x34</t>
  </si>
  <si>
    <t>7.3.1.5</t>
  </si>
  <si>
    <t>Vannes d'arrêt Ø33x42</t>
  </si>
  <si>
    <t>7.3.2</t>
  </si>
  <si>
    <t>Robinetterie</t>
  </si>
  <si>
    <t>7.3.2.1</t>
  </si>
  <si>
    <t>Robinet de puisage 15/21</t>
  </si>
  <si>
    <t>7.3.2.2</t>
  </si>
  <si>
    <t>Robinet d'arrêt</t>
  </si>
  <si>
    <t>7.3.2.3</t>
  </si>
  <si>
    <t>Bouche d'arrosage</t>
  </si>
  <si>
    <t>7.4</t>
  </si>
  <si>
    <t>EQUIPEMENTS SANITAIRES</t>
  </si>
  <si>
    <t>7.4.1</t>
  </si>
  <si>
    <r>
      <t>Appareils sanitaires 1</t>
    </r>
    <r>
      <rPr>
        <i/>
        <vertAlign val="superscript"/>
        <sz val="11"/>
        <color theme="1"/>
        <rFont val="Arial Narrow"/>
        <family val="2"/>
      </rPr>
      <t>er</t>
    </r>
    <r>
      <rPr>
        <i/>
        <sz val="11"/>
        <color theme="1"/>
        <rFont val="Arial Narrow"/>
        <family val="2"/>
      </rPr>
      <t xml:space="preserve"> choix (couleur blanche pour les céramiques)</t>
    </r>
  </si>
  <si>
    <t>7.4.1.1</t>
  </si>
  <si>
    <t>WC à l'anglaise</t>
  </si>
  <si>
    <t>7.4.1.2</t>
  </si>
  <si>
    <t xml:space="preserve">WC économique à double réservoir </t>
  </si>
  <si>
    <t>7.4.1.3</t>
  </si>
  <si>
    <t xml:space="preserve">WC à la turque </t>
  </si>
  <si>
    <t>7.4.1.4</t>
  </si>
  <si>
    <t>Abattant de WC</t>
  </si>
  <si>
    <t>7.4.1.5</t>
  </si>
  <si>
    <t>Abattant de WC en céramique</t>
  </si>
  <si>
    <t>7.4.1.6</t>
  </si>
  <si>
    <t>Bidet</t>
  </si>
  <si>
    <t>7.4.1.7</t>
  </si>
  <si>
    <t xml:space="preserve">Bidet en céramique avec robinetterie chromé </t>
  </si>
  <si>
    <t>7.4.1.8</t>
  </si>
  <si>
    <t>Vidoir complet</t>
  </si>
  <si>
    <t>7.4.1.9</t>
  </si>
  <si>
    <t>Urinoir en applique</t>
  </si>
  <si>
    <t>7.4.1.10</t>
  </si>
  <si>
    <t>Ensemble lavabo</t>
  </si>
  <si>
    <t>7.4.1.11</t>
  </si>
  <si>
    <t>Ensemble lavabo sur colonne</t>
  </si>
  <si>
    <t>7.4.1.12</t>
  </si>
  <si>
    <t>Ensemble lavabo collectif</t>
  </si>
  <si>
    <t>7.4.1.13</t>
  </si>
  <si>
    <t>Ensemble lave-mains</t>
  </si>
  <si>
    <t>7.4.1.14</t>
  </si>
  <si>
    <t>Ensemble lavabo-vasque</t>
  </si>
  <si>
    <t>7.4.1.15</t>
  </si>
  <si>
    <t>Baignoire en fonte émaillée avec robinetterie chromée</t>
  </si>
  <si>
    <t>7.4.1.16</t>
  </si>
  <si>
    <t>Baignoire en acrylique blanc avec robinetterie chromée</t>
  </si>
  <si>
    <t>7.4.1.17</t>
  </si>
  <si>
    <t>Ensemble évier avec égouttoir</t>
  </si>
  <si>
    <t>7.4.1.18</t>
  </si>
  <si>
    <t xml:space="preserve">Evier 2 cuves en acier inox à encastrer </t>
  </si>
  <si>
    <t>7.4.1.19</t>
  </si>
  <si>
    <t xml:space="preserve">Evier une cuve en acier inox à encastrer </t>
  </si>
  <si>
    <t>7.4.1.20</t>
  </si>
  <si>
    <t>Evier en céramique</t>
  </si>
  <si>
    <t>7.4.1.21</t>
  </si>
  <si>
    <t>Receveur de douche 70x70</t>
  </si>
  <si>
    <t>7.4.1.22</t>
  </si>
  <si>
    <t>Robinet poussoir</t>
  </si>
  <si>
    <t>7.4.1.23</t>
  </si>
  <si>
    <t>Colonne de douche rigide</t>
  </si>
  <si>
    <t>7.4.1.24</t>
  </si>
  <si>
    <t>Colonne de douche flexible</t>
  </si>
  <si>
    <t>7.4.1.25</t>
  </si>
  <si>
    <t>Mélangeur de lavabo EF/EC</t>
  </si>
  <si>
    <t>7.4.1.26</t>
  </si>
  <si>
    <t>Mélangeur de bidet</t>
  </si>
  <si>
    <t>7.4.1.27</t>
  </si>
  <si>
    <t>Mélangeur de baignoire</t>
  </si>
  <si>
    <t>7.4.1.28</t>
  </si>
  <si>
    <t>Mélangeur d'évier</t>
  </si>
  <si>
    <t>7.4.1.29</t>
  </si>
  <si>
    <t>Mélangeur de douche</t>
  </si>
  <si>
    <t>7.4.1.30</t>
  </si>
  <si>
    <t>Mitigeur thermostatique pour bain- douche</t>
  </si>
  <si>
    <t>7.4.1.31</t>
  </si>
  <si>
    <t>Mitigeur pour lavabo et évier</t>
  </si>
  <si>
    <t>7.4.1.32</t>
  </si>
  <si>
    <t>Mitigeur pour bain- douche</t>
  </si>
  <si>
    <t>7.4.1.33</t>
  </si>
  <si>
    <t>Plan vasque en céramique</t>
  </si>
  <si>
    <t>7.4.1.34</t>
  </si>
  <si>
    <t>Plus-value pour couleurs des appareils en céramique</t>
  </si>
  <si>
    <t>7.4.2</t>
  </si>
  <si>
    <r>
      <t>Appareils sanitaires 2</t>
    </r>
    <r>
      <rPr>
        <i/>
        <vertAlign val="superscript"/>
        <sz val="11"/>
        <color theme="1"/>
        <rFont val="Arial Narrow"/>
        <family val="2"/>
      </rPr>
      <t>ème</t>
    </r>
    <r>
      <rPr>
        <i/>
        <sz val="11"/>
        <color theme="1"/>
        <rFont val="Arial Narrow"/>
        <family val="2"/>
      </rPr>
      <t xml:space="preserve"> Choix (couleur blanche pour les céramiques)</t>
    </r>
  </si>
  <si>
    <t>7.4.2.1</t>
  </si>
  <si>
    <t>7.4.2.2</t>
  </si>
  <si>
    <t>7.4.2.3</t>
  </si>
  <si>
    <t>7.4.2.4</t>
  </si>
  <si>
    <t>7.4.2.5</t>
  </si>
  <si>
    <t>7.4.2.6</t>
  </si>
  <si>
    <t>7.4.2.7</t>
  </si>
  <si>
    <t>Baignoire en fonte émaillée</t>
  </si>
  <si>
    <t>7.4.2.8</t>
  </si>
  <si>
    <t>Baignoire en acrylique blanc</t>
  </si>
  <si>
    <t>7.4.2.9</t>
  </si>
  <si>
    <t>7.4.2.10</t>
  </si>
  <si>
    <t xml:space="preserve">Evier 2 cuves </t>
  </si>
  <si>
    <t>7.4.2.11</t>
  </si>
  <si>
    <t>7.4.2.12</t>
  </si>
  <si>
    <t>7.4.2.13</t>
  </si>
  <si>
    <t>7.4.2.14</t>
  </si>
  <si>
    <t>7.4.2.15</t>
  </si>
  <si>
    <t>7.4.2.16</t>
  </si>
  <si>
    <t>7.4.2.17</t>
  </si>
  <si>
    <t>7.4.2.18</t>
  </si>
  <si>
    <t>7.4.3</t>
  </si>
  <si>
    <t>Accessoires</t>
  </si>
  <si>
    <t>7.4.3.1</t>
  </si>
  <si>
    <t>Porte-savon chromé</t>
  </si>
  <si>
    <t>7.4.3.2</t>
  </si>
  <si>
    <t>Porte-savon en plastique</t>
  </si>
  <si>
    <t>7.4.3.3</t>
  </si>
  <si>
    <t>Dévidoir de papier chromé</t>
  </si>
  <si>
    <t>7.4.3.4</t>
  </si>
  <si>
    <t>Dévidoir de papier en plastique</t>
  </si>
  <si>
    <t>7.4.3.5</t>
  </si>
  <si>
    <t>Porte-serviette 1 branche</t>
  </si>
  <si>
    <t>7.4.3.6</t>
  </si>
  <si>
    <t>Porte-serviette 2 branches</t>
  </si>
  <si>
    <t>7.4.3.7</t>
  </si>
  <si>
    <t xml:space="preserve">Porte-verre chromé double </t>
  </si>
  <si>
    <t>7.4.3.8</t>
  </si>
  <si>
    <t>Porte-verre chromé simple</t>
  </si>
  <si>
    <t>7.4.3.9</t>
  </si>
  <si>
    <t>Tablette de lavabo en plastique</t>
  </si>
  <si>
    <t>7.4.3.10</t>
  </si>
  <si>
    <t>Tablette de lavabo en porcelaine</t>
  </si>
  <si>
    <t>7.4.3.11</t>
  </si>
  <si>
    <t>Glace de lavabo</t>
  </si>
  <si>
    <t>7.4.3.12</t>
  </si>
  <si>
    <t>Distributeur de savon liquide</t>
  </si>
  <si>
    <t>7.4.3.13</t>
  </si>
  <si>
    <t>Siphon de sol plastique</t>
  </si>
  <si>
    <t>7.4.4</t>
  </si>
  <si>
    <t>Divers</t>
  </si>
  <si>
    <t>7.4.4.1</t>
  </si>
  <si>
    <t>Meuble sur plan vasque en céramique avec 2 portes et un mitigeur de lavabo</t>
  </si>
  <si>
    <t>7.4.4.2</t>
  </si>
  <si>
    <t>Meuble sur pied en céramique avec miroir, lampe halogène, prise interne, plan vasque et étagères</t>
  </si>
  <si>
    <t>7.4.4.3</t>
  </si>
  <si>
    <t>Chauffe-eau électrique 50 litres</t>
  </si>
  <si>
    <t>7.4.4.4</t>
  </si>
  <si>
    <t>Chauffe-eau électrique 75 litres</t>
  </si>
  <si>
    <t>7.4.4.5</t>
  </si>
  <si>
    <t>Chauffe-eau électrique 100 litres</t>
  </si>
  <si>
    <t>7.4.4.6</t>
  </si>
  <si>
    <t>Chauffe-eau électrique 150 litres</t>
  </si>
  <si>
    <t>7.4.4.7</t>
  </si>
  <si>
    <t>Chauffe-eau instantané au gaz 50 litres</t>
  </si>
  <si>
    <t>Lot n° 8 - ASSAINISSEMENT</t>
  </si>
  <si>
    <t>8.1</t>
  </si>
  <si>
    <t>CANALISATIONS</t>
  </si>
  <si>
    <t>8.1.1</t>
  </si>
  <si>
    <t>Tuyau en fibrociment</t>
  </si>
  <si>
    <t>8.1.1.1</t>
  </si>
  <si>
    <t>Tuyau en fibrociment Ø80</t>
  </si>
  <si>
    <t>8.1.1.2</t>
  </si>
  <si>
    <t>Tuyau en fibrociment Ø100</t>
  </si>
  <si>
    <t>8.1.1.3</t>
  </si>
  <si>
    <t>Tuyau en fibrociment Ø150</t>
  </si>
  <si>
    <t>8.1.1.4</t>
  </si>
  <si>
    <t>Tuyau en fibrociment Ø200</t>
  </si>
  <si>
    <t>8.1.2</t>
  </si>
  <si>
    <t>Tuyau en ciment comprimé</t>
  </si>
  <si>
    <t>8.1.2.1</t>
  </si>
  <si>
    <t>Tuyau en ciment comprimé Ø100</t>
  </si>
  <si>
    <t>8.1.2.2</t>
  </si>
  <si>
    <t>Tuyau en ciment comprimé Ø150</t>
  </si>
  <si>
    <t>8.1.2.3</t>
  </si>
  <si>
    <t>Tuyau en ciment comprimé Ø200</t>
  </si>
  <si>
    <t>8.1.2.4</t>
  </si>
  <si>
    <t>Tuyau en ciment comprimé Ø250</t>
  </si>
  <si>
    <t>8.1.2.5</t>
  </si>
  <si>
    <t>Tuyau en ciment comprimé Ø300</t>
  </si>
  <si>
    <t>8.1.2.6</t>
  </si>
  <si>
    <t>Tuyau en ciment comprimé Ø400</t>
  </si>
  <si>
    <t>8.1.2.7</t>
  </si>
  <si>
    <t>Tuyau en ciment comprimé Ø500</t>
  </si>
  <si>
    <t>8.1.2.8</t>
  </si>
  <si>
    <t>Tuyau en ciment comprimé Ø600</t>
  </si>
  <si>
    <t>8.1.2.9</t>
  </si>
  <si>
    <t>Tuyau en ciment comprimé armé Ø500</t>
  </si>
  <si>
    <t>8.1.2.10</t>
  </si>
  <si>
    <t>Tuyau en ciment comprimé armé Ø600</t>
  </si>
  <si>
    <t>8.1.2.11</t>
  </si>
  <si>
    <t>Tuyau en ciment comprimé armé Ø800</t>
  </si>
  <si>
    <t>8.1.2.12</t>
  </si>
  <si>
    <t>Tuyau en ciment comprimé armé Ø1000</t>
  </si>
  <si>
    <t>8.1.3</t>
  </si>
  <si>
    <t>Tuyau en PVC Série EU/EV</t>
  </si>
  <si>
    <t>8.1.3.1</t>
  </si>
  <si>
    <t>Tuyau PVC Ø125</t>
  </si>
  <si>
    <t>8.1.3.2</t>
  </si>
  <si>
    <t>Tuyau PVC Ø160</t>
  </si>
  <si>
    <t>8.1.3.3</t>
  </si>
  <si>
    <t>Tuyau PVC Ø200</t>
  </si>
  <si>
    <t>8.1.3.4</t>
  </si>
  <si>
    <t>Tuyau PVC Ø315</t>
  </si>
  <si>
    <t>8.1.3.5</t>
  </si>
  <si>
    <t>Tuyau PVC Ø400</t>
  </si>
  <si>
    <t>8.1.4</t>
  </si>
  <si>
    <t>Tuyau en PVC Série EP</t>
  </si>
  <si>
    <t>8.1.4.1</t>
  </si>
  <si>
    <t>Tuyau PVC Ø110</t>
  </si>
  <si>
    <t>8.1.4.2</t>
  </si>
  <si>
    <t>8.1.4.3</t>
  </si>
  <si>
    <t>8.1.4.4</t>
  </si>
  <si>
    <t>8.2</t>
  </si>
  <si>
    <t>8.2.1</t>
  </si>
  <si>
    <t>Regards</t>
  </si>
  <si>
    <t>8.2.1.1</t>
  </si>
  <si>
    <t>Regard maçonné en agglos pleins</t>
  </si>
  <si>
    <t>8.2.1.1.1</t>
  </si>
  <si>
    <t>dim: 40x40x50</t>
  </si>
  <si>
    <t>8.2.1.1.2</t>
  </si>
  <si>
    <t>dim: 50x50x50</t>
  </si>
  <si>
    <t>8.2.1.1.3</t>
  </si>
  <si>
    <t>dim: 60x60x50</t>
  </si>
  <si>
    <t>8.2.1.1.4</t>
  </si>
  <si>
    <t>dim: 70x70x50</t>
  </si>
  <si>
    <t>8.2.1.1.5</t>
  </si>
  <si>
    <t>dim: 80x80x50</t>
  </si>
  <si>
    <t>8.2.1.1.6</t>
  </si>
  <si>
    <t>dim: 60x60x80</t>
  </si>
  <si>
    <t>8.2.1.1.7</t>
  </si>
  <si>
    <t>dim: 70x70x100</t>
  </si>
  <si>
    <t>8.2.1.1.8</t>
  </si>
  <si>
    <t>dim: 80x80x100</t>
  </si>
  <si>
    <t>8.2.1.2</t>
  </si>
  <si>
    <t>Regard en béton</t>
  </si>
  <si>
    <t>8.2.1.2.1</t>
  </si>
  <si>
    <t>8.2.1.2.2</t>
  </si>
  <si>
    <t>8.2.1.2.3</t>
  </si>
  <si>
    <t>8.2.1.2.4</t>
  </si>
  <si>
    <t>8.2.1.2.5</t>
  </si>
  <si>
    <t>8.2.1.2.6</t>
  </si>
  <si>
    <t>8.2.1.2.7</t>
  </si>
  <si>
    <t>8.2.1.2.8</t>
  </si>
  <si>
    <t>8.2.1.3</t>
  </si>
  <si>
    <t>Plus-value pour raccordement sur regard</t>
  </si>
  <si>
    <t>8.2.1.3.1</t>
  </si>
  <si>
    <t>diam 60 à 150mm</t>
  </si>
  <si>
    <t>8.2.1.3.2</t>
  </si>
  <si>
    <t>diam 160 à 200mm</t>
  </si>
  <si>
    <t>8.2.1.3.3</t>
  </si>
  <si>
    <t>diam 250 à 400mm</t>
  </si>
  <si>
    <t>8.2.1.3.4</t>
  </si>
  <si>
    <t>diam 500 à 600mm</t>
  </si>
  <si>
    <t>8.2.1.4</t>
  </si>
  <si>
    <t>Regard avaloir avec tampon en fonte</t>
  </si>
  <si>
    <t>8.2.1.4.1</t>
  </si>
  <si>
    <t>Profil A</t>
  </si>
  <si>
    <t>8.2.1.4.2</t>
  </si>
  <si>
    <t>Profil T</t>
  </si>
  <si>
    <t>8.2.1.5</t>
  </si>
  <si>
    <t>Réceptacle d'eau pluviale</t>
  </si>
  <si>
    <t>8.2.2</t>
  </si>
  <si>
    <t>Fosse septique</t>
  </si>
  <si>
    <t>8.2.2.1</t>
  </si>
  <si>
    <t>Fosse septique en maçonnerie</t>
  </si>
  <si>
    <t>8.2.2.1.1</t>
  </si>
  <si>
    <t>5 usagers</t>
  </si>
  <si>
    <t>8.2.2.1.2</t>
  </si>
  <si>
    <t>10 usagers</t>
  </si>
  <si>
    <t>8.2.2.1.3</t>
  </si>
  <si>
    <t>15 usagers</t>
  </si>
  <si>
    <t>8.2.2.1.4</t>
  </si>
  <si>
    <t>20 usagers</t>
  </si>
  <si>
    <t>8.2.2.1.5</t>
  </si>
  <si>
    <t>30 usagers</t>
  </si>
  <si>
    <t>8.2.2.1.6</t>
  </si>
  <si>
    <t>40 usagers</t>
  </si>
  <si>
    <t>8.2.2.1.7</t>
  </si>
  <si>
    <t>50 usagers</t>
  </si>
  <si>
    <t>8.2.2.1.8</t>
  </si>
  <si>
    <t>70 usagers</t>
  </si>
  <si>
    <t>8.2.2.1.9</t>
  </si>
  <si>
    <t>90 usagers</t>
  </si>
  <si>
    <t>8.2.2.1.10</t>
  </si>
  <si>
    <t>100 usagers</t>
  </si>
  <si>
    <t>8.2.3</t>
  </si>
  <si>
    <t>Puits perdus</t>
  </si>
  <si>
    <t>8.2.3.1</t>
  </si>
  <si>
    <t>8.2.3.1.1</t>
  </si>
  <si>
    <t>4 à 10 usagers</t>
  </si>
  <si>
    <t>8.2.3.1.2</t>
  </si>
  <si>
    <t>11 à 20 usagers</t>
  </si>
  <si>
    <t>8.2.3.1.3</t>
  </si>
  <si>
    <t>21 à 30 usagers</t>
  </si>
  <si>
    <t>8.2.3.1.4</t>
  </si>
  <si>
    <t>31 à 50 usagers</t>
  </si>
  <si>
    <t>8.2.3.1.5</t>
  </si>
  <si>
    <t>51 à 100 usagers</t>
  </si>
  <si>
    <t>8.2.4</t>
  </si>
  <si>
    <t>Système d'assainissement autonome en polyester armé</t>
  </si>
  <si>
    <t>8.2.4.1</t>
  </si>
  <si>
    <t>Fosses toutes eaux sans préfiltre</t>
  </si>
  <si>
    <t>8.2.4.1.1</t>
  </si>
  <si>
    <t>1 000 litres</t>
  </si>
  <si>
    <t>8.2.4.1.2</t>
  </si>
  <si>
    <t>2 000 litres</t>
  </si>
  <si>
    <t>8.2.4.1.3</t>
  </si>
  <si>
    <t>3 000 litres</t>
  </si>
  <si>
    <t>8.2.4.1.4</t>
  </si>
  <si>
    <t>5 000 litres</t>
  </si>
  <si>
    <t>8.2.4.2</t>
  </si>
  <si>
    <t>Fosses toutes eaux avec préfiltre</t>
  </si>
  <si>
    <t>8.2.4.2.1</t>
  </si>
  <si>
    <t>8.2.4.2.2</t>
  </si>
  <si>
    <t>8.2.4.2.3</t>
  </si>
  <si>
    <t>8.2.4.2.4</t>
  </si>
  <si>
    <t>8.2.4.3</t>
  </si>
  <si>
    <t>Plus-value pour pose avec rehaussée ancrée dans le béton</t>
  </si>
  <si>
    <t>8.2.4.3.1</t>
  </si>
  <si>
    <t>Moins de 3000 litres</t>
  </si>
  <si>
    <t>8.2.4.3.2</t>
  </si>
  <si>
    <t>Plus de 3100 litres</t>
  </si>
  <si>
    <t>8.2.4.4</t>
  </si>
  <si>
    <t>Séparateur à graisse</t>
  </si>
  <si>
    <t>8.2.4.4.1</t>
  </si>
  <si>
    <t>200 litres</t>
  </si>
  <si>
    <t>8.2.4.4.2</t>
  </si>
  <si>
    <t>500 litres</t>
  </si>
  <si>
    <t>8.2.4.4.3</t>
  </si>
  <si>
    <t>8.2.4.5</t>
  </si>
  <si>
    <t>Epurateur - percolateur</t>
  </si>
  <si>
    <t>8.2.4.5.1</t>
  </si>
  <si>
    <t>8.2.4.5.2</t>
  </si>
  <si>
    <t>8.2.4.5.3</t>
  </si>
  <si>
    <t>8.2.4.6</t>
  </si>
  <si>
    <t>Puits d'infiltration</t>
  </si>
  <si>
    <t>8.2.4.6.1</t>
  </si>
  <si>
    <t>8.2.4.6.2</t>
  </si>
  <si>
    <t>8.2.4.6.3</t>
  </si>
  <si>
    <t>8.2.4.6.4</t>
  </si>
  <si>
    <t>8.2.5</t>
  </si>
  <si>
    <t>Caniveaux</t>
  </si>
  <si>
    <t>8.2.5.1</t>
  </si>
  <si>
    <t>Caniveau épaisseur 10 cm sans couverture</t>
  </si>
  <si>
    <t>8.2.5.1.1</t>
  </si>
  <si>
    <t>Section 40x40</t>
  </si>
  <si>
    <t>8.2.5.1.2</t>
  </si>
  <si>
    <t>Section 50x50</t>
  </si>
  <si>
    <t>8.2.5.1.3</t>
  </si>
  <si>
    <t>Section 60x60</t>
  </si>
  <si>
    <t>8.2.5.1.4</t>
  </si>
  <si>
    <t>Section 80x80</t>
  </si>
  <si>
    <t>8.2.5.2</t>
  </si>
  <si>
    <t>Caniveau épaisseur 15 cm sans couverture</t>
  </si>
  <si>
    <t>8.2.5.2.1</t>
  </si>
  <si>
    <t>Section 100x100</t>
  </si>
  <si>
    <t>8.2.5.2.2</t>
  </si>
  <si>
    <t>Section 150x150</t>
  </si>
  <si>
    <t>8.2.5.3</t>
  </si>
  <si>
    <t>Caniveau épaisseur 20 cm sans couverture</t>
  </si>
  <si>
    <t>8.2.5.3.1</t>
  </si>
  <si>
    <t>Section 200x200</t>
  </si>
  <si>
    <t>8.2.5.3.2</t>
  </si>
  <si>
    <t>Section 300x150</t>
  </si>
  <si>
    <t>8.2.5.4</t>
  </si>
  <si>
    <t>Dallettes de couverture</t>
  </si>
  <si>
    <t>8.2.5.4.1</t>
  </si>
  <si>
    <t>Dallettes ajourées épaisseur 6 cm</t>
  </si>
  <si>
    <t>8.2.5.4.2</t>
  </si>
  <si>
    <t>Dallettes ajourées épaisseur 10 cm</t>
  </si>
  <si>
    <t>8.2.5.4.3</t>
  </si>
  <si>
    <t>Dallettes ajourées épaisseur 15 cm</t>
  </si>
  <si>
    <t>8.2.5.5</t>
  </si>
  <si>
    <t>Cunettes en béton</t>
  </si>
  <si>
    <t>8.2.6</t>
  </si>
  <si>
    <t>Dalots</t>
  </si>
  <si>
    <t>8.2.6.1</t>
  </si>
  <si>
    <t>Dalots en béton armé avec épaisseur 15 cm</t>
  </si>
  <si>
    <t>8.2.6.1.1</t>
  </si>
  <si>
    <t>Section intérieur 60x60</t>
  </si>
  <si>
    <t>8.2.6.1.2</t>
  </si>
  <si>
    <t>Section intérieur 80x80</t>
  </si>
  <si>
    <t>8.2.6.1.3</t>
  </si>
  <si>
    <t>Section intérieur 100x100</t>
  </si>
  <si>
    <t>8.2.6.2</t>
  </si>
  <si>
    <t>Dalots en béton armé avec épaisseur 20 cm</t>
  </si>
  <si>
    <t>8.2.6.2.1</t>
  </si>
  <si>
    <t>Section intérieur 150x100</t>
  </si>
  <si>
    <t>8.2.6.2.2</t>
  </si>
  <si>
    <t>Section intérieur 150x150</t>
  </si>
  <si>
    <t>8.2.6.2.3</t>
  </si>
  <si>
    <t>Section intérieur 200x150</t>
  </si>
  <si>
    <t>8.2.6.2.4</t>
  </si>
  <si>
    <t>Section intérieur 200x200</t>
  </si>
  <si>
    <t>8.2.6.2.5</t>
  </si>
  <si>
    <t>Section intérieur 300x150</t>
  </si>
  <si>
    <t>8.2.6.2.6</t>
  </si>
  <si>
    <t>Section intérieur 300x200</t>
  </si>
  <si>
    <t>8.2.7</t>
  </si>
  <si>
    <t>Curage</t>
  </si>
  <si>
    <t>8.2.7.1</t>
  </si>
  <si>
    <t>Curage de caniveaux existants</t>
  </si>
  <si>
    <t>Lot n° 10 - ELECTRICITE</t>
  </si>
  <si>
    <t>10.1</t>
  </si>
  <si>
    <t>ALIMENTATION PRINCIPALE</t>
  </si>
  <si>
    <t>10.1.1</t>
  </si>
  <si>
    <t>Branchement CIE</t>
  </si>
  <si>
    <t>10.1.1.1</t>
  </si>
  <si>
    <t>Abonnement 5A</t>
  </si>
  <si>
    <t>10.1.1.2</t>
  </si>
  <si>
    <t>Abonnement 10A</t>
  </si>
  <si>
    <t>10.1.1.3</t>
  </si>
  <si>
    <t>Abonnement 15A</t>
  </si>
  <si>
    <t>10.1.1.4</t>
  </si>
  <si>
    <t>Abonnement 20A</t>
  </si>
  <si>
    <t>10.1.1.5</t>
  </si>
  <si>
    <t>Abonnement 30A</t>
  </si>
  <si>
    <t>10.1.2</t>
  </si>
  <si>
    <t>Groupe électrogène</t>
  </si>
  <si>
    <t>10.1.2.1</t>
  </si>
  <si>
    <t>Groupe portable 1,3kVA manuel</t>
  </si>
  <si>
    <t>10.1.2.2</t>
  </si>
  <si>
    <t>Groupe portable 2kVA manuel</t>
  </si>
  <si>
    <t>10.1.2.3</t>
  </si>
  <si>
    <t>Groupe portable 2,5kVA manuel</t>
  </si>
  <si>
    <t>10.1.2.4</t>
  </si>
  <si>
    <t>Groupe portable 4kVA manuel</t>
  </si>
  <si>
    <t>10.1.2.5</t>
  </si>
  <si>
    <t>Groupe portable 6kVA manuel</t>
  </si>
  <si>
    <t>10.1.3</t>
  </si>
  <si>
    <t>Raccordement électrique</t>
  </si>
  <si>
    <t>10.1.3.1</t>
  </si>
  <si>
    <r>
      <t>Câble armé HFG 1000 2x1,5mm</t>
    </r>
    <r>
      <rPr>
        <vertAlign val="superscript"/>
        <sz val="11"/>
        <color theme="1"/>
        <rFont val="Arial Narrow"/>
        <family val="2"/>
      </rPr>
      <t>2</t>
    </r>
  </si>
  <si>
    <t>10.1.3.2</t>
  </si>
  <si>
    <r>
      <t>Câble armé HFG 1000 3x1,5mm</t>
    </r>
    <r>
      <rPr>
        <vertAlign val="superscript"/>
        <sz val="11"/>
        <color theme="1"/>
        <rFont val="Arial Narrow"/>
        <family val="2"/>
      </rPr>
      <t>2</t>
    </r>
  </si>
  <si>
    <t>10.1.3.3</t>
  </si>
  <si>
    <r>
      <t>Câble armé HFG 1000 4x1,5mm</t>
    </r>
    <r>
      <rPr>
        <vertAlign val="superscript"/>
        <sz val="11"/>
        <color theme="1"/>
        <rFont val="Arial Narrow"/>
        <family val="2"/>
      </rPr>
      <t>2</t>
    </r>
  </si>
  <si>
    <t>10.1.3.4</t>
  </si>
  <si>
    <t>10.1.3.5</t>
  </si>
  <si>
    <t>10.1.3.6</t>
  </si>
  <si>
    <t>10.1.3.7</t>
  </si>
  <si>
    <t>10.1.3.8</t>
  </si>
  <si>
    <t>10.1.3.9</t>
  </si>
  <si>
    <t>10.1.3.10</t>
  </si>
  <si>
    <t>10.1.3.11</t>
  </si>
  <si>
    <t>10.1.3.12</t>
  </si>
  <si>
    <t>10.1.3.13</t>
  </si>
  <si>
    <t>10.1.3.14</t>
  </si>
  <si>
    <t>10.1.3.15</t>
  </si>
  <si>
    <t>10.1.3.16</t>
  </si>
  <si>
    <t>10.1.3.17</t>
  </si>
  <si>
    <t>10.1.3.18</t>
  </si>
  <si>
    <t>10.1.3.19</t>
  </si>
  <si>
    <t>10.1.3.20</t>
  </si>
  <si>
    <t>10.1.3.21</t>
  </si>
  <si>
    <t>10.1.3.22</t>
  </si>
  <si>
    <t>10.1.3.23</t>
  </si>
  <si>
    <t>10.1.3.24</t>
  </si>
  <si>
    <t>10.1.3.25</t>
  </si>
  <si>
    <t>10.1.3.26</t>
  </si>
  <si>
    <t>10.1.3.27</t>
  </si>
  <si>
    <t>10.1.3.28</t>
  </si>
  <si>
    <t>10.1.3.29</t>
  </si>
  <si>
    <t>10.1.3.30</t>
  </si>
  <si>
    <r>
      <t>Câble HG 1000 3x1,5mm</t>
    </r>
    <r>
      <rPr>
        <vertAlign val="superscript"/>
        <sz val="11"/>
        <color theme="1"/>
        <rFont val="Arial Narrow"/>
        <family val="2"/>
      </rPr>
      <t>2</t>
    </r>
  </si>
  <si>
    <t>10.1.3.31</t>
  </si>
  <si>
    <r>
      <t>Câble HG 1000 4x1,5mm</t>
    </r>
    <r>
      <rPr>
        <vertAlign val="superscript"/>
        <sz val="11"/>
        <color theme="1"/>
        <rFont val="Arial Narrow"/>
        <family val="2"/>
      </rPr>
      <t>2</t>
    </r>
  </si>
  <si>
    <t>10.1.3.32</t>
  </si>
  <si>
    <r>
      <t>Câble HG 1000 3x2,5mm</t>
    </r>
    <r>
      <rPr>
        <vertAlign val="superscript"/>
        <sz val="11"/>
        <color theme="1"/>
        <rFont val="Arial Narrow"/>
        <family val="2"/>
      </rPr>
      <t>2</t>
    </r>
  </si>
  <si>
    <t>10.1.3.33</t>
  </si>
  <si>
    <t>10.1.3.34</t>
  </si>
  <si>
    <t>10.1.3.35</t>
  </si>
  <si>
    <t>10.1.3.36</t>
  </si>
  <si>
    <t>10.1.3.37</t>
  </si>
  <si>
    <t>10.1.3.38</t>
  </si>
  <si>
    <t>10.1.3.39</t>
  </si>
  <si>
    <t>10.1.3.40</t>
  </si>
  <si>
    <t>10.1.3.41</t>
  </si>
  <si>
    <t>10.1.3.42</t>
  </si>
  <si>
    <t>10.1.3.43</t>
  </si>
  <si>
    <t>10.1.3.44</t>
  </si>
  <si>
    <r>
      <t>Câble PRC torsade 2x16mm</t>
    </r>
    <r>
      <rPr>
        <vertAlign val="superscript"/>
        <sz val="11"/>
        <color theme="1"/>
        <rFont val="Arial Narrow"/>
        <family val="2"/>
      </rPr>
      <t>2</t>
    </r>
  </si>
  <si>
    <t>10.1.3.45</t>
  </si>
  <si>
    <r>
      <t>Câble PRC torsade 2x25mm</t>
    </r>
    <r>
      <rPr>
        <vertAlign val="superscript"/>
        <sz val="11"/>
        <color theme="1"/>
        <rFont val="Arial Narrow"/>
        <family val="2"/>
      </rPr>
      <t>2</t>
    </r>
  </si>
  <si>
    <t>10.1.3.46</t>
  </si>
  <si>
    <r>
      <t>Câble PRC torsade 4x16mm</t>
    </r>
    <r>
      <rPr>
        <vertAlign val="superscript"/>
        <sz val="11"/>
        <color theme="1"/>
        <rFont val="Arial Narrow"/>
        <family val="2"/>
      </rPr>
      <t>2</t>
    </r>
  </si>
  <si>
    <t>10.1.3.47</t>
  </si>
  <si>
    <t>10.1.3.48</t>
  </si>
  <si>
    <r>
      <t>Câble cuivre nu 1x25mm</t>
    </r>
    <r>
      <rPr>
        <vertAlign val="superscript"/>
        <sz val="11"/>
        <color theme="1"/>
        <rFont val="Arial Narrow"/>
        <family val="2"/>
      </rPr>
      <t>2</t>
    </r>
  </si>
  <si>
    <t>10.1.3.49</t>
  </si>
  <si>
    <r>
      <t>Câble cuivre nu 1x29mm</t>
    </r>
    <r>
      <rPr>
        <vertAlign val="superscript"/>
        <sz val="11"/>
        <color theme="1"/>
        <rFont val="Arial Narrow"/>
        <family val="2"/>
      </rPr>
      <t>2</t>
    </r>
  </si>
  <si>
    <t>10.1.3.50</t>
  </si>
  <si>
    <r>
      <t>Câble cuivre nu 1x38mm</t>
    </r>
    <r>
      <rPr>
        <vertAlign val="superscript"/>
        <sz val="11"/>
        <color theme="1"/>
        <rFont val="Arial Narrow"/>
        <family val="2"/>
      </rPr>
      <t>2</t>
    </r>
  </si>
  <si>
    <t>10.1.3.51</t>
  </si>
  <si>
    <t>10.1.3.52</t>
  </si>
  <si>
    <t>10.1.3.53</t>
  </si>
  <si>
    <t>Barrette de contrôle</t>
  </si>
  <si>
    <t>10.1.3.54</t>
  </si>
  <si>
    <t>Raccordement aux tableaux généraux</t>
  </si>
  <si>
    <t>ens.</t>
  </si>
  <si>
    <t>10.1.3.55</t>
  </si>
  <si>
    <t>Grillage avertisseur</t>
  </si>
  <si>
    <t>10.1.3.56</t>
  </si>
  <si>
    <t>Tube isorange 9</t>
  </si>
  <si>
    <t>10.1.3.57</t>
  </si>
  <si>
    <t>Tube isorange 11</t>
  </si>
  <si>
    <t>10.1.3.58</t>
  </si>
  <si>
    <t>Tube isorange 13</t>
  </si>
  <si>
    <t>10.1.3.59</t>
  </si>
  <si>
    <t>Tube isorange 16</t>
  </si>
  <si>
    <t>10.1.3.60</t>
  </si>
  <si>
    <t>Tube isorange 21</t>
  </si>
  <si>
    <t>10.1.3.61</t>
  </si>
  <si>
    <t>Tube isorange 29</t>
  </si>
  <si>
    <t>10.1.3.62</t>
  </si>
  <si>
    <t>Tube isorange 36</t>
  </si>
  <si>
    <t>10.1.4</t>
  </si>
  <si>
    <t>Mise à la terre et liaison équipotentielle</t>
  </si>
  <si>
    <t>10.1.4.1</t>
  </si>
  <si>
    <r>
      <t>Mise à la terre en câble cuivre nu 29 mm</t>
    </r>
    <r>
      <rPr>
        <vertAlign val="superscript"/>
        <sz val="11"/>
        <color theme="1"/>
        <rFont val="Arial Narrow"/>
        <family val="2"/>
      </rPr>
      <t xml:space="preserve">2 </t>
    </r>
    <r>
      <rPr>
        <sz val="11"/>
        <color theme="1"/>
        <rFont val="Arial Narrow"/>
        <family val="2"/>
      </rPr>
      <t>y compris liaison par raccords bimétalliques avec poteaux de structure</t>
    </r>
  </si>
  <si>
    <t>10.1.4.2</t>
  </si>
  <si>
    <t>Mise à la terre en piquet de terre cuivrée</t>
  </si>
  <si>
    <t>10.1.4.3</t>
  </si>
  <si>
    <t>Exécution d'une mise à la terre</t>
  </si>
  <si>
    <t>10.1.5</t>
  </si>
  <si>
    <t>Tableaux de distribution</t>
  </si>
  <si>
    <t>10.1.5.1</t>
  </si>
  <si>
    <t>Coffret 13 modules</t>
  </si>
  <si>
    <t>10.1.5.2</t>
  </si>
  <si>
    <t>Coffret 4 modules</t>
  </si>
  <si>
    <t>10.1.5.3</t>
  </si>
  <si>
    <t>Coffret 7 modules</t>
  </si>
  <si>
    <t>10.1.5.4</t>
  </si>
  <si>
    <t>Coffret 8 modules</t>
  </si>
  <si>
    <t>10.1.5.5</t>
  </si>
  <si>
    <t>Coffret 8 modules encastrés</t>
  </si>
  <si>
    <t>10.1.5.6</t>
  </si>
  <si>
    <t>Coffret à fusible 4x30/60A</t>
  </si>
  <si>
    <t>10.1.5.7</t>
  </si>
  <si>
    <t>Coffret Atlantic 400x300x200</t>
  </si>
  <si>
    <t>10.1.5.8</t>
  </si>
  <si>
    <t>Coffret Marina 1000x800x300</t>
  </si>
  <si>
    <t>10.1.5.9</t>
  </si>
  <si>
    <t>Coffret métallique 600x400x250</t>
  </si>
  <si>
    <t>10.1.5.10</t>
  </si>
  <si>
    <t>Coffret Prisma 7 modules</t>
  </si>
  <si>
    <t>10.1.5.11</t>
  </si>
  <si>
    <t>Coffret régulé</t>
  </si>
  <si>
    <t>10.1.5.12</t>
  </si>
  <si>
    <t>Coffret répartiteur comprenant un interrupteur différentiel 4x25A et de 2 disjoncteurs 2x10A</t>
  </si>
  <si>
    <t>10.1.5.13</t>
  </si>
  <si>
    <t>Coffret répartiteur comprenant un interrupteur différentiel 4x40A et de 2 disjoncteurs 2x20A</t>
  </si>
  <si>
    <t>10.1.5.14</t>
  </si>
  <si>
    <t>Coffret répartiteur comprenant un interrupteur différentiel 4x63A et de 3 disjoncteurs 2x32A</t>
  </si>
  <si>
    <t>10.1.5.15</t>
  </si>
  <si>
    <t>Disjoncteur 2x10/30A</t>
  </si>
  <si>
    <t>10.1.5.16</t>
  </si>
  <si>
    <t>Disjoncteur 2x30/60A</t>
  </si>
  <si>
    <t>10.1.5.17</t>
  </si>
  <si>
    <t>Disjoncteur 3x30/60A</t>
  </si>
  <si>
    <t>10.1.5.18</t>
  </si>
  <si>
    <t>Disjoncteur 4x10/30A</t>
  </si>
  <si>
    <t>10.1.5.19</t>
  </si>
  <si>
    <t>Disjoncteur 4x30/60A</t>
  </si>
  <si>
    <t>10.1.5.20</t>
  </si>
  <si>
    <t>Disjoncteur de protection tête de câble 4x100A</t>
  </si>
  <si>
    <t>10.1.5.21</t>
  </si>
  <si>
    <t>Disjoncteur différentiel 4x10/30A</t>
  </si>
  <si>
    <t>10.1.5.22</t>
  </si>
  <si>
    <t>Disjoncteur différentiel 4x30/60A</t>
  </si>
  <si>
    <t>10.1.5.23</t>
  </si>
  <si>
    <t>Disjoncteur dismatic 15A</t>
  </si>
  <si>
    <t>10.1.5.24</t>
  </si>
  <si>
    <t>Disjoncteur dismatic 20A</t>
  </si>
  <si>
    <t>10.1.5.25</t>
  </si>
  <si>
    <t>Grille de dérivation</t>
  </si>
  <si>
    <t>10.1.5.26</t>
  </si>
  <si>
    <t>Interrupteur différentiel 2x25A</t>
  </si>
  <si>
    <t>10.1.5.27</t>
  </si>
  <si>
    <t>Interrupteur différentiel 2x40A</t>
  </si>
  <si>
    <t>10.1.5.28</t>
  </si>
  <si>
    <t>Interrupteur différentiel 2x63A</t>
  </si>
  <si>
    <t>10.1.5.29</t>
  </si>
  <si>
    <t>Interrupteur différentiel 2x80A</t>
  </si>
  <si>
    <t>10.1.5.30</t>
  </si>
  <si>
    <t>Interrupteur différentiel 4x25A</t>
  </si>
  <si>
    <t>10.1.5.31</t>
  </si>
  <si>
    <t>Interrupteur différentiel 4x40A</t>
  </si>
  <si>
    <t>10.1.5.32</t>
  </si>
  <si>
    <t>Interrupteur différentiel 4x63A</t>
  </si>
  <si>
    <t>10.1.5.33</t>
  </si>
  <si>
    <t>Interrupteur général 4x100A</t>
  </si>
  <si>
    <t>10.1.5.34</t>
  </si>
  <si>
    <t>Interrupteur général 4x32A</t>
  </si>
  <si>
    <t>10.1.5.35</t>
  </si>
  <si>
    <t>Interrupteur général 4x63A</t>
  </si>
  <si>
    <t>10.1.5.36</t>
  </si>
  <si>
    <t>Tableau général comprenant coupe-circuit 10A, disjoncteur général 5-10A et accessoires de câblage</t>
  </si>
  <si>
    <t>10.1.5.37</t>
  </si>
  <si>
    <t>Tableau général comprenant coupe-circuit 20A, disjoncteur général 15-20A et accessoires de câblage</t>
  </si>
  <si>
    <t>10.1.5.38</t>
  </si>
  <si>
    <t>Tableau général comprenant coupe-circuit 30A, disjoncteur général 25-30A et accessoires de câblage</t>
  </si>
  <si>
    <t>10.1.5.39</t>
  </si>
  <si>
    <t>Plus- value pour frais de contrôle SECUREL - abonnement ≤ 10A</t>
  </si>
  <si>
    <t>10.1.5.40</t>
  </si>
  <si>
    <t>Plus- value pour frais de contrôle SECUREL - abonnement &gt;10A</t>
  </si>
  <si>
    <t>10.2</t>
  </si>
  <si>
    <t>DISTRIBUTION SECONDAIRE</t>
  </si>
  <si>
    <t>10.2.1</t>
  </si>
  <si>
    <t>Câblages électriques</t>
  </si>
  <si>
    <t>10.2.1.1</t>
  </si>
  <si>
    <r>
      <t>Câble U500 VGV 2x1,5mm</t>
    </r>
    <r>
      <rPr>
        <vertAlign val="superscript"/>
        <sz val="11"/>
        <color theme="1"/>
        <rFont val="Arial Narrow"/>
        <family val="2"/>
      </rPr>
      <t>2</t>
    </r>
  </si>
  <si>
    <t>10.2.1.2</t>
  </si>
  <si>
    <r>
      <t>Câble U500 VGV 2x2,5mm</t>
    </r>
    <r>
      <rPr>
        <vertAlign val="superscript"/>
        <sz val="11"/>
        <color theme="1"/>
        <rFont val="Arial Narrow"/>
        <family val="2"/>
      </rPr>
      <t>2</t>
    </r>
  </si>
  <si>
    <t>10.2.1.3</t>
  </si>
  <si>
    <r>
      <t>Câble U500 VGV 2x4mm</t>
    </r>
    <r>
      <rPr>
        <vertAlign val="superscript"/>
        <sz val="11"/>
        <color theme="1"/>
        <rFont val="Arial Narrow"/>
        <family val="2"/>
      </rPr>
      <t>2</t>
    </r>
  </si>
  <si>
    <t>10.2.1.4</t>
  </si>
  <si>
    <r>
      <t>Câble U500 VGV 2x6mm</t>
    </r>
    <r>
      <rPr>
        <vertAlign val="superscript"/>
        <sz val="11"/>
        <color theme="1"/>
        <rFont val="Arial Narrow"/>
        <family val="2"/>
      </rPr>
      <t>2</t>
    </r>
  </si>
  <si>
    <t>10.2.1.5</t>
  </si>
  <si>
    <r>
      <t>Câble U500 VGV 3x1,5mm</t>
    </r>
    <r>
      <rPr>
        <vertAlign val="superscript"/>
        <sz val="11"/>
        <color theme="1"/>
        <rFont val="Arial Narrow"/>
        <family val="2"/>
      </rPr>
      <t>2</t>
    </r>
  </si>
  <si>
    <t>10.2.1.6</t>
  </si>
  <si>
    <r>
      <t>Câble U500 VGV 3x2,5mm</t>
    </r>
    <r>
      <rPr>
        <vertAlign val="superscript"/>
        <sz val="11"/>
        <color theme="1"/>
        <rFont val="Arial Narrow"/>
        <family val="2"/>
      </rPr>
      <t>2</t>
    </r>
  </si>
  <si>
    <t>10.2.1.7</t>
  </si>
  <si>
    <r>
      <t>Câble U500 VGV 3x4mm</t>
    </r>
    <r>
      <rPr>
        <vertAlign val="superscript"/>
        <sz val="11"/>
        <color theme="1"/>
        <rFont val="Arial Narrow"/>
        <family val="2"/>
      </rPr>
      <t>2</t>
    </r>
  </si>
  <si>
    <t>10.2.1.8</t>
  </si>
  <si>
    <r>
      <t>Câble U500 VGV 3x6mm</t>
    </r>
    <r>
      <rPr>
        <vertAlign val="superscript"/>
        <sz val="11"/>
        <color theme="1"/>
        <rFont val="Arial Narrow"/>
        <family val="2"/>
      </rPr>
      <t>2</t>
    </r>
  </si>
  <si>
    <t>10.2.1.9</t>
  </si>
  <si>
    <r>
      <t>Câble U500 VGV 4x1,5mm</t>
    </r>
    <r>
      <rPr>
        <vertAlign val="superscript"/>
        <sz val="11"/>
        <color theme="1"/>
        <rFont val="Arial Narrow"/>
        <family val="2"/>
      </rPr>
      <t>2</t>
    </r>
  </si>
  <si>
    <t>10.2.1.10</t>
  </si>
  <si>
    <r>
      <t>Câble U500 VGV 4x2,5mm</t>
    </r>
    <r>
      <rPr>
        <vertAlign val="superscript"/>
        <sz val="11"/>
        <color theme="1"/>
        <rFont val="Arial Narrow"/>
        <family val="2"/>
      </rPr>
      <t>2</t>
    </r>
  </si>
  <si>
    <t>10.2.1.11</t>
  </si>
  <si>
    <r>
      <t>Câble U500 VGV 4x4mm</t>
    </r>
    <r>
      <rPr>
        <vertAlign val="superscript"/>
        <sz val="11"/>
        <color theme="1"/>
        <rFont val="Arial Narrow"/>
        <family val="2"/>
      </rPr>
      <t>2</t>
    </r>
  </si>
  <si>
    <t>10.2.1.12</t>
  </si>
  <si>
    <r>
      <t>Câble U500 VGV 4x6mm</t>
    </r>
    <r>
      <rPr>
        <vertAlign val="superscript"/>
        <sz val="11"/>
        <color theme="1"/>
        <rFont val="Arial Narrow"/>
        <family val="2"/>
      </rPr>
      <t>2</t>
    </r>
  </si>
  <si>
    <t>10.2.1.13</t>
  </si>
  <si>
    <r>
      <t>Câble U500 VGV 4x10mm</t>
    </r>
    <r>
      <rPr>
        <vertAlign val="superscript"/>
        <sz val="11"/>
        <color theme="1"/>
        <rFont val="Arial Narrow"/>
        <family val="2"/>
      </rPr>
      <t>2</t>
    </r>
  </si>
  <si>
    <t>10.2.1.14</t>
  </si>
  <si>
    <r>
      <t>Câble U500 VGV 5x1,5mm</t>
    </r>
    <r>
      <rPr>
        <vertAlign val="superscript"/>
        <sz val="11"/>
        <color theme="1"/>
        <rFont val="Arial Narrow"/>
        <family val="2"/>
      </rPr>
      <t>2</t>
    </r>
  </si>
  <si>
    <t>10.2.1.15</t>
  </si>
  <si>
    <r>
      <t>Câble U500 VGV 5x2,5mm</t>
    </r>
    <r>
      <rPr>
        <vertAlign val="superscript"/>
        <sz val="11"/>
        <color theme="1"/>
        <rFont val="Arial Narrow"/>
        <family val="2"/>
      </rPr>
      <t>2</t>
    </r>
  </si>
  <si>
    <t>10.2.1.16</t>
  </si>
  <si>
    <r>
      <t>Câble U500 VGV 5x4mm</t>
    </r>
    <r>
      <rPr>
        <vertAlign val="superscript"/>
        <sz val="11"/>
        <color theme="1"/>
        <rFont val="Arial Narrow"/>
        <family val="2"/>
      </rPr>
      <t>2</t>
    </r>
  </si>
  <si>
    <t>10.2.1.17</t>
  </si>
  <si>
    <r>
      <t>Câble U500 VGV 5x6mm</t>
    </r>
    <r>
      <rPr>
        <vertAlign val="superscript"/>
        <sz val="11"/>
        <color theme="1"/>
        <rFont val="Arial Narrow"/>
        <family val="2"/>
      </rPr>
      <t>2</t>
    </r>
  </si>
  <si>
    <t>10.2.2</t>
  </si>
  <si>
    <t>Points lumineux sur simple allumage (SA)</t>
  </si>
  <si>
    <t>10.2.2.1</t>
  </si>
  <si>
    <t>1 point lumineux</t>
  </si>
  <si>
    <t>10.2.2.2</t>
  </si>
  <si>
    <t>Plus-value pour point lumineux supplémentaire</t>
  </si>
  <si>
    <t>10.2.3</t>
  </si>
  <si>
    <t>Points lumineux sur va-et-vient (VV)</t>
  </si>
  <si>
    <t>10.2.3.1</t>
  </si>
  <si>
    <t>10.2.3.2</t>
  </si>
  <si>
    <t>10.2.4</t>
  </si>
  <si>
    <t>Points lumineux sur double allumage (DA)</t>
  </si>
  <si>
    <t>10.2.4.1</t>
  </si>
  <si>
    <t>10.2.4.2</t>
  </si>
  <si>
    <t>10.2.5</t>
  </si>
  <si>
    <t>Eclairage extérieur</t>
  </si>
  <si>
    <t>10.2.5.1</t>
  </si>
  <si>
    <t>Mâts en fer galvanisé à une branche pour l'éclairage périphérique</t>
  </si>
  <si>
    <t>10.2.5.2</t>
  </si>
  <si>
    <t>Mâts en fer galvanisé à deux branches pour l'éclairage central</t>
  </si>
  <si>
    <t>10.2.5.3</t>
  </si>
  <si>
    <t>Support mural de globe en console</t>
  </si>
  <si>
    <t>10.2.5.4</t>
  </si>
  <si>
    <t>Alimentation électrique des mâts</t>
  </si>
  <si>
    <t>10.2.6</t>
  </si>
  <si>
    <t>10.2.6.1</t>
  </si>
  <si>
    <t>Alimentation de prise de courant</t>
  </si>
  <si>
    <t>10.2.6.2</t>
  </si>
  <si>
    <t>Alimentation de climatiseur</t>
  </si>
  <si>
    <t>10.2.6.3</t>
  </si>
  <si>
    <t>Alimentation des coffrets régulés</t>
  </si>
  <si>
    <t>10.2.6.4</t>
  </si>
  <si>
    <t>Alimentation de bloc autonome de sécurité</t>
  </si>
  <si>
    <t>10.2.6.5</t>
  </si>
  <si>
    <t>Alimentation chauffe- eau</t>
  </si>
  <si>
    <t>10.2.6.6</t>
  </si>
  <si>
    <t>Câble TV</t>
  </si>
  <si>
    <t>10.2.6.7</t>
  </si>
  <si>
    <t>Goulotte</t>
  </si>
  <si>
    <t>10.2.6.8</t>
  </si>
  <si>
    <t>Goulotte DLP 50x75</t>
  </si>
  <si>
    <t>10.2.6.9</t>
  </si>
  <si>
    <t>Goulotte DLP 34x100</t>
  </si>
  <si>
    <t>10.2.6.10</t>
  </si>
  <si>
    <t>Goulotte DLP 50x100</t>
  </si>
  <si>
    <t>10.2.6.11</t>
  </si>
  <si>
    <t>Goulotte Lina 25 37,5x87,5</t>
  </si>
  <si>
    <t>10.3</t>
  </si>
  <si>
    <t>PETITS APPAREILLAGES</t>
  </si>
  <si>
    <t>10.3.1</t>
  </si>
  <si>
    <t>Prises de courant</t>
  </si>
  <si>
    <t>10.3.1.1</t>
  </si>
  <si>
    <t>Prise de courant + Terre</t>
  </si>
  <si>
    <t>10.3.1.2</t>
  </si>
  <si>
    <t>Prise de courant + Terre étanche</t>
  </si>
  <si>
    <t>10.3.1.3</t>
  </si>
  <si>
    <t>Plaque de recouvrement pour prise de courant</t>
  </si>
  <si>
    <t>10.3.2</t>
  </si>
  <si>
    <t>Interrupteurs</t>
  </si>
  <si>
    <t>10.3.2.1</t>
  </si>
  <si>
    <t>Interrupteur SA</t>
  </si>
  <si>
    <t>10.3.2.2</t>
  </si>
  <si>
    <t>Interrupteur VV</t>
  </si>
  <si>
    <t>10.3.2.3</t>
  </si>
  <si>
    <t>Interrupteur DA</t>
  </si>
  <si>
    <t>10.3.2.4</t>
  </si>
  <si>
    <t>Interrupteur SA étanche</t>
  </si>
  <si>
    <t>10.3.2.5</t>
  </si>
  <si>
    <t>Interrupteur VV étanche</t>
  </si>
  <si>
    <t>10.3.2.6</t>
  </si>
  <si>
    <t>Interrupteur DA étanche</t>
  </si>
  <si>
    <t>10.3.2.7</t>
  </si>
  <si>
    <t>Bouton poussoir</t>
  </si>
  <si>
    <t>10.3.2.8</t>
  </si>
  <si>
    <t>Bouton poussoir pour sonnerie</t>
  </si>
  <si>
    <t>10.3.2.9</t>
  </si>
  <si>
    <t>Bouton poussoir avec télérupteur</t>
  </si>
  <si>
    <t>10.3.2.10</t>
  </si>
  <si>
    <t>Bouton poussoir pour minuterie</t>
  </si>
  <si>
    <t>10.3.2.11</t>
  </si>
  <si>
    <t>Bouton poussoir lumineux</t>
  </si>
  <si>
    <t>10.4</t>
  </si>
  <si>
    <t>APPAREILS D'ECLAIRAGE</t>
  </si>
  <si>
    <t>10.4.1</t>
  </si>
  <si>
    <t>Lustrerie</t>
  </si>
  <si>
    <t>10.4.1.1</t>
  </si>
  <si>
    <t>Ampoule 100W</t>
  </si>
  <si>
    <t>10.4.1.2</t>
  </si>
  <si>
    <t>Ampoule 75W</t>
  </si>
  <si>
    <t>10.4.1.3</t>
  </si>
  <si>
    <t>Applique murale</t>
  </si>
  <si>
    <t>10.4.1.4</t>
  </si>
  <si>
    <t>Applique sanitaire 0,30 + prise incorporée</t>
  </si>
  <si>
    <t>10.4.1.5</t>
  </si>
  <si>
    <t>Ballast</t>
  </si>
  <si>
    <t>10.4.1.6</t>
  </si>
  <si>
    <t>Bloc autonome de sécurité 300 lm</t>
  </si>
  <si>
    <t>10.4.1.7</t>
  </si>
  <si>
    <t>Bloc autonome de sécurité 60 lm</t>
  </si>
  <si>
    <t>10.4.1.8</t>
  </si>
  <si>
    <t>Borne jardin 80W</t>
  </si>
  <si>
    <t>10.4.1.9</t>
  </si>
  <si>
    <t>Douille E22</t>
  </si>
  <si>
    <t>10.4.1.10</t>
  </si>
  <si>
    <t>Douille nylon B22</t>
  </si>
  <si>
    <t>10.4.1.11</t>
  </si>
  <si>
    <t>Globe en verre opalin Ø150</t>
  </si>
  <si>
    <t>10.4.1.12</t>
  </si>
  <si>
    <t>Globe en verre opalin Ø200</t>
  </si>
  <si>
    <t>10.4.1.13</t>
  </si>
  <si>
    <t>Globe en verre opalin Ø250</t>
  </si>
  <si>
    <t>10.4.1.14</t>
  </si>
  <si>
    <t>Hublot carré 20x20</t>
  </si>
  <si>
    <t>10.4.1.15</t>
  </si>
  <si>
    <t>Hublot étanche + grille de protection</t>
  </si>
  <si>
    <t>10.4.1.16</t>
  </si>
  <si>
    <t>Hublot étanche Ø300 à douille B22</t>
  </si>
  <si>
    <t>10.4.1.17</t>
  </si>
  <si>
    <t>Lampe écononomique 15W</t>
  </si>
  <si>
    <t>10.4.1.18</t>
  </si>
  <si>
    <t>Lampe fluorescent 18W</t>
  </si>
  <si>
    <t>10.4.1.19</t>
  </si>
  <si>
    <t>Lampe fluorescent 36W</t>
  </si>
  <si>
    <t>10.4.1.20</t>
  </si>
  <si>
    <t>Lampe fluorescent 58W</t>
  </si>
  <si>
    <t>10.4.1.21</t>
  </si>
  <si>
    <t>Lampe halogène 500w</t>
  </si>
  <si>
    <t>10.4.1.22</t>
  </si>
  <si>
    <t>Lampe réflecteur 75W</t>
  </si>
  <si>
    <t>10.4.1.23</t>
  </si>
  <si>
    <t>Luminaire à grille 2x36w</t>
  </si>
  <si>
    <t>10.4.1.24</t>
  </si>
  <si>
    <t>Luminaire à vasque prismatique 2x36W</t>
  </si>
  <si>
    <t>10.4.1.25</t>
  </si>
  <si>
    <t>Réglette fluo-duo 1,20 étanche</t>
  </si>
  <si>
    <t>10.4.1.26</t>
  </si>
  <si>
    <t>Réglette fluo-duo nue 1,20</t>
  </si>
  <si>
    <t>10.4.1.27</t>
  </si>
  <si>
    <t>Réglette fluo-mono de 0,6 étanche</t>
  </si>
  <si>
    <t>10.4.1.28</t>
  </si>
  <si>
    <t>Réglette fluo-mono de 1,20 étanche</t>
  </si>
  <si>
    <t>10.4.1.29</t>
  </si>
  <si>
    <t>Réglette fluo-mono nue de 0,60</t>
  </si>
  <si>
    <t>10.4.1.30</t>
  </si>
  <si>
    <t>Réglette fluo-mono nue de 1,20</t>
  </si>
  <si>
    <t>10.4.1.31</t>
  </si>
  <si>
    <t>Réglette sanitaire 0,40</t>
  </si>
  <si>
    <t>10.4.1.32</t>
  </si>
  <si>
    <t>Spot cylindrique alu</t>
  </si>
  <si>
    <t>10.4.1.33</t>
  </si>
  <si>
    <t xml:space="preserve">Spot encastré type LITA </t>
  </si>
  <si>
    <t>10.4.1.34</t>
  </si>
  <si>
    <t>Starter</t>
  </si>
  <si>
    <t>10.4.1.35</t>
  </si>
  <si>
    <t>Tube fluo 36w</t>
  </si>
  <si>
    <t>Lot n° 11 - SECURITE INCENDIE</t>
  </si>
  <si>
    <t>11.1</t>
  </si>
  <si>
    <t>INSTALLATION DE DETECTION ET DE LUTTE</t>
  </si>
  <si>
    <t>11.1.1</t>
  </si>
  <si>
    <t>Fourniture et pose d'équipements y compris alimentation des circuits des commandes</t>
  </si>
  <si>
    <t>11.1.1.1</t>
  </si>
  <si>
    <t>Avertisseur sonore</t>
  </si>
  <si>
    <t>11.1.1.2</t>
  </si>
  <si>
    <t>Indicateur d'action</t>
  </si>
  <si>
    <t>11.1.1.3</t>
  </si>
  <si>
    <t>Déclencheur manuel</t>
  </si>
  <si>
    <t>11.1.1.4</t>
  </si>
  <si>
    <t>Détecteur ionique de fumée et de gaz combustible</t>
  </si>
  <si>
    <t>11.1.1.5</t>
  </si>
  <si>
    <t>Détecteur optique de fumée et de gaz combustible</t>
  </si>
  <si>
    <t>11.1.1.6</t>
  </si>
  <si>
    <t>Détecteur optique de flamme</t>
  </si>
  <si>
    <t>11.1.1.7</t>
  </si>
  <si>
    <t>Détecteur multi- ponctuel</t>
  </si>
  <si>
    <t>11.1.1.8</t>
  </si>
  <si>
    <t>Détecteur thermovélocimétrique</t>
  </si>
  <si>
    <t>11.1.1.9</t>
  </si>
  <si>
    <t>Tableau synoptique interactif</t>
  </si>
  <si>
    <t>11.1.2</t>
  </si>
  <si>
    <t>Appareils d'extinction</t>
  </si>
  <si>
    <t>11.1.2.1</t>
  </si>
  <si>
    <t>Extincteur à eau pulvérisée 9 litres</t>
  </si>
  <si>
    <t>11.1.2.2</t>
  </si>
  <si>
    <t>Extincteur type ABC 6kg</t>
  </si>
  <si>
    <t>11.1.2.3</t>
  </si>
  <si>
    <r>
      <t>Extincteur type CO</t>
    </r>
    <r>
      <rPr>
        <vertAlign val="subscript"/>
        <sz val="11"/>
        <color theme="1"/>
        <rFont val="Arial Narrow"/>
        <family val="2"/>
      </rPr>
      <t>2</t>
    </r>
    <r>
      <rPr>
        <sz val="11"/>
        <color theme="1"/>
        <rFont val="Arial Narrow"/>
        <family val="2"/>
      </rPr>
      <t xml:space="preserve"> 6kg</t>
    </r>
  </si>
  <si>
    <t>11.1.2.4</t>
  </si>
  <si>
    <t>Extincteur à roue type ABC 50kg</t>
  </si>
  <si>
    <t>11.1.2.5</t>
  </si>
  <si>
    <t>Porte coupe- feu manuel</t>
  </si>
  <si>
    <t>11.1.2.6</t>
  </si>
  <si>
    <t>Porte coupe- feu automatique</t>
  </si>
  <si>
    <t>11.1.3</t>
  </si>
  <si>
    <t>Signalisation de sécurité</t>
  </si>
  <si>
    <t>11.1.3.1</t>
  </si>
  <si>
    <t>Etiquette de signalisation</t>
  </si>
  <si>
    <t>11.1.3.2</t>
  </si>
  <si>
    <t>Pancarte de consignes</t>
  </si>
  <si>
    <t>11.1.3.3</t>
  </si>
  <si>
    <t>Plan d'évacuation et d'intervention</t>
  </si>
  <si>
    <t>Lot n° 12 - TELEPHONE</t>
  </si>
  <si>
    <t>12.1</t>
  </si>
  <si>
    <t>TELEPHONE</t>
  </si>
  <si>
    <t>12.1.1</t>
  </si>
  <si>
    <t>12.1.1.1</t>
  </si>
  <si>
    <t>Branchement CITELCOM</t>
  </si>
  <si>
    <t>12.1.2</t>
  </si>
  <si>
    <t>Alimentation</t>
  </si>
  <si>
    <t>12.1.2.1</t>
  </si>
  <si>
    <t>Câble 56 paires série 74</t>
  </si>
  <si>
    <t>12.1.2.2</t>
  </si>
  <si>
    <t>Câble 50 paires en sortie du central  et raccordement au répartiteur général</t>
  </si>
  <si>
    <t>12.1.2.3</t>
  </si>
  <si>
    <t>Câble 30 paires pour liaison des sous-répartiteurs au répartiteur général</t>
  </si>
  <si>
    <t>12.1.2.4</t>
  </si>
  <si>
    <t>Câble 15 paires</t>
  </si>
  <si>
    <t>12.1.2.5</t>
  </si>
  <si>
    <t>Câble 5 paires</t>
  </si>
  <si>
    <t>12.1.2.6</t>
  </si>
  <si>
    <t>Câble 4 paires</t>
  </si>
  <si>
    <t>12.1.2.7</t>
  </si>
  <si>
    <t>Câble 3 paires</t>
  </si>
  <si>
    <t>12.1.2.8</t>
  </si>
  <si>
    <t>Câble 2 paires</t>
  </si>
  <si>
    <t>12.1.2.9</t>
  </si>
  <si>
    <t>Boîtier Marina 300x200x160</t>
  </si>
  <si>
    <t>12.1.2.10</t>
  </si>
  <si>
    <t>Boîtier Marina 1000x800x300</t>
  </si>
  <si>
    <t>12.1.2.11</t>
  </si>
  <si>
    <t>Grille avertisseur</t>
  </si>
  <si>
    <t>12.1.3</t>
  </si>
  <si>
    <t>Equipements</t>
  </si>
  <si>
    <t>12.1.3.1</t>
  </si>
  <si>
    <t>Tableau de protection parafoudre et para-surtension</t>
  </si>
  <si>
    <t>12.1.3.2</t>
  </si>
  <si>
    <t>Répartiteur général 56 paires</t>
  </si>
  <si>
    <t>12.1.3.3</t>
  </si>
  <si>
    <t>Répartiteur général 50 paires</t>
  </si>
  <si>
    <t>12.1.3.4</t>
  </si>
  <si>
    <t>Sous-répartiteur 20 paires</t>
  </si>
  <si>
    <t>12.1.3.5</t>
  </si>
  <si>
    <t>Conjoncteur téléphone</t>
  </si>
  <si>
    <t>12.1.3.6</t>
  </si>
  <si>
    <t>Poste téléphonique analogique</t>
  </si>
  <si>
    <t>12.1.3.7</t>
  </si>
  <si>
    <t>Poste téléphonique numérique</t>
  </si>
  <si>
    <t>12.1.3.8</t>
  </si>
  <si>
    <t>Prise de téléphone</t>
  </si>
  <si>
    <t>Lot n° 13 - CLIMATISATION</t>
  </si>
  <si>
    <t>CLIMATISATION</t>
  </si>
  <si>
    <t>13.1</t>
  </si>
  <si>
    <t>Climatiseurs individuels</t>
  </si>
  <si>
    <t>13.1.1</t>
  </si>
  <si>
    <t>Climatiseur 1 CV</t>
  </si>
  <si>
    <t>13.1.2</t>
  </si>
  <si>
    <t>Climatiseur 1,5 CV</t>
  </si>
  <si>
    <t>13.1.3</t>
  </si>
  <si>
    <t>Climatiseur 2 CV</t>
  </si>
  <si>
    <t>13.2</t>
  </si>
  <si>
    <t>Split système</t>
  </si>
  <si>
    <t>13.2.1</t>
  </si>
  <si>
    <t>Split 1 CV</t>
  </si>
  <si>
    <t>13.2.2</t>
  </si>
  <si>
    <t>Split 1,5 CV</t>
  </si>
  <si>
    <t>13.2.3</t>
  </si>
  <si>
    <t>Split 2 CV</t>
  </si>
  <si>
    <t>13.2.4</t>
  </si>
  <si>
    <t>Split 3 CV</t>
  </si>
  <si>
    <t>Lot n° 14 - REVETEMENTS DURS</t>
  </si>
  <si>
    <t>14.1</t>
  </si>
  <si>
    <t>REVETEMENTS DES SOLS</t>
  </si>
  <si>
    <t>14.1.1</t>
  </si>
  <si>
    <t>Carreaux de ciment</t>
  </si>
  <si>
    <t>14.1.1.1</t>
  </si>
  <si>
    <t>Carreaux de ciment 20 x 20</t>
  </si>
  <si>
    <t>14.1.1.2</t>
  </si>
  <si>
    <t>Plinthe de 0,08</t>
  </si>
  <si>
    <t>14.1.1.3</t>
  </si>
  <si>
    <t>Plinthe de 0,10</t>
  </si>
  <si>
    <t>14.1.2</t>
  </si>
  <si>
    <t>Grès cérame</t>
  </si>
  <si>
    <t>14.1.2.1</t>
  </si>
  <si>
    <t>Carreaux de grès cérame type importé</t>
  </si>
  <si>
    <t>14.1.2.2</t>
  </si>
  <si>
    <t>Carreaux de grès cérame type local</t>
  </si>
  <si>
    <t>14.1.2.3</t>
  </si>
  <si>
    <t>Carreaux de grès cérame avec anti- dérapant</t>
  </si>
  <si>
    <t>14.1.2.4</t>
  </si>
  <si>
    <t>Carreaux de grès cérame émaillé</t>
  </si>
  <si>
    <t>14.1.2.5</t>
  </si>
  <si>
    <t>Carreaux de grès cérame vitrifié</t>
  </si>
  <si>
    <t>14.1.2.6</t>
  </si>
  <si>
    <t>Plinthe de 0,06</t>
  </si>
  <si>
    <t>14.1.2.7</t>
  </si>
  <si>
    <t>14.1.2.8</t>
  </si>
  <si>
    <t>14.1.3</t>
  </si>
  <si>
    <t>Granito</t>
  </si>
  <si>
    <t>14.1.3.1</t>
  </si>
  <si>
    <t>Chape granito coulé sur place</t>
  </si>
  <si>
    <t>14.1.3.2</t>
  </si>
  <si>
    <t>Granito 20x20</t>
  </si>
  <si>
    <t>14.1.3.3</t>
  </si>
  <si>
    <t>Eléments préfabriqués pour marches et contremarches</t>
  </si>
  <si>
    <t>14.1.3.4</t>
  </si>
  <si>
    <t>14.1.3.5</t>
  </si>
  <si>
    <t>14.1.4</t>
  </si>
  <si>
    <t>Marbre</t>
  </si>
  <si>
    <t>14.1.4.1</t>
  </si>
  <si>
    <t>Marbre qualité arabescate</t>
  </si>
  <si>
    <t>14.1.4.2</t>
  </si>
  <si>
    <t>Marbre qualité breccia</t>
  </si>
  <si>
    <t>14.1.4.3</t>
  </si>
  <si>
    <t>Plinthe à bord arrondi</t>
  </si>
  <si>
    <t>14.1.5</t>
  </si>
  <si>
    <t>Revêtement en gravillons lavés</t>
  </si>
  <si>
    <t>14.1.5.1</t>
  </si>
  <si>
    <t>Revêtement du sol</t>
  </si>
  <si>
    <t>14.1.6</t>
  </si>
  <si>
    <t>Revêtement en bois</t>
  </si>
  <si>
    <t>14.1.6.1</t>
  </si>
  <si>
    <t>Parquet en bois</t>
  </si>
  <si>
    <t>14.1.7</t>
  </si>
  <si>
    <t>Revêtement Buchtal</t>
  </si>
  <si>
    <t>14.1.7.1</t>
  </si>
  <si>
    <t>14.2</t>
  </si>
  <si>
    <t>REVETEMENTS MURAUX</t>
  </si>
  <si>
    <t>14.2.1</t>
  </si>
  <si>
    <t>14.2.1.1</t>
  </si>
  <si>
    <t>Faïence type local uni</t>
  </si>
  <si>
    <t>14.2.1.2</t>
  </si>
  <si>
    <t>Faïence type local fleuri</t>
  </si>
  <si>
    <t>14.2.1.3</t>
  </si>
  <si>
    <t>Faïence type importé</t>
  </si>
  <si>
    <t>14.2.2</t>
  </si>
  <si>
    <t>14.2.2.1</t>
  </si>
  <si>
    <t>Revêtement mural</t>
  </si>
  <si>
    <t>14.2.3</t>
  </si>
  <si>
    <t>Alucobond</t>
  </si>
  <si>
    <t>14.2.3.1</t>
  </si>
  <si>
    <t>Habillage en Alucobond</t>
  </si>
  <si>
    <t>14.3</t>
  </si>
  <si>
    <t>14.3.1</t>
  </si>
  <si>
    <t>Butée de porte</t>
  </si>
  <si>
    <t>14.3.2</t>
  </si>
  <si>
    <t>Tapis brosse</t>
  </si>
  <si>
    <t>14.3.3</t>
  </si>
  <si>
    <t>Seuil en laiton</t>
  </si>
  <si>
    <t>14.3.4</t>
  </si>
  <si>
    <t>Couvre- joint de dilatation</t>
  </si>
  <si>
    <t>14.3.5</t>
  </si>
  <si>
    <t>Cornière de protection des marches</t>
  </si>
  <si>
    <t>Lot n° 15 - REVETEMENTS SOUPLES</t>
  </si>
  <si>
    <t>15.1</t>
  </si>
  <si>
    <t>REVETEMENT THERMOPLASTIQUE</t>
  </si>
  <si>
    <t>15.1.1</t>
  </si>
  <si>
    <t>Dalle thermoplastique type Dalflex</t>
  </si>
  <si>
    <t>15.1.2</t>
  </si>
  <si>
    <t>Plinthe plastique</t>
  </si>
  <si>
    <t>15.1.3</t>
  </si>
  <si>
    <t>Baguette ébonite</t>
  </si>
  <si>
    <t>15.2</t>
  </si>
  <si>
    <t>MOQUETTE</t>
  </si>
  <si>
    <t>15.2.1</t>
  </si>
  <si>
    <t>Moquette ordinaire 4,4mm</t>
  </si>
  <si>
    <t>15.2.2</t>
  </si>
  <si>
    <t>Moquette type tapisson</t>
  </si>
  <si>
    <t>15.2.3</t>
  </si>
  <si>
    <t>Moquette velours 7,2mm</t>
  </si>
  <si>
    <t>15.2.4</t>
  </si>
  <si>
    <t>Plinthes bois à vernir</t>
  </si>
  <si>
    <t>Lot n° 16 - MENUISERIE - QUINCAILLERIE</t>
  </si>
  <si>
    <t>16.1</t>
  </si>
  <si>
    <t>MENUISERIE BOIS</t>
  </si>
  <si>
    <t>16.1.1</t>
  </si>
  <si>
    <t>Menuiserie bois persiennée</t>
  </si>
  <si>
    <t>16.1.1.1</t>
  </si>
  <si>
    <t>Châssis persienné à grandes lames 70/12 ouvrant à la française ou à l'italienne (y compris quincaillerie)</t>
  </si>
  <si>
    <t>16.1.1.2</t>
  </si>
  <si>
    <t>Châssis persienné à petites lames 60/10 ouvrant à la française ou à l'italienne (y compris quincaillerie)</t>
  </si>
  <si>
    <t>16.1.1.3</t>
  </si>
  <si>
    <t>Porte semi- persiennée, allège pleine, à grandes lames (y compris huisserie, quincaillerie)</t>
  </si>
  <si>
    <t>16.1.1.4</t>
  </si>
  <si>
    <t>Plus-value pour cadre plein</t>
  </si>
  <si>
    <t>16.1.2</t>
  </si>
  <si>
    <t>Porte pleine en bois massif</t>
  </si>
  <si>
    <t>16.1.2.1</t>
  </si>
  <si>
    <t>Porte pleine à barres et écharpes lames de 22mm</t>
  </si>
  <si>
    <t>16.1.2.2</t>
  </si>
  <si>
    <t>Porte pleine à frises de 22mm clouées sur bâtis de 34mm</t>
  </si>
  <si>
    <t>16.1.2.3</t>
  </si>
  <si>
    <t>Porte pleine taillée en pointe de diamant</t>
  </si>
  <si>
    <t>16.1.3</t>
  </si>
  <si>
    <t>Menuiserie isoplane</t>
  </si>
  <si>
    <t>16.1.3.1</t>
  </si>
  <si>
    <t>Porte isoplane 34mm alvéolée en CP 5mm</t>
  </si>
  <si>
    <t>16.1.3.2</t>
  </si>
  <si>
    <t>Porte isoplane pleine</t>
  </si>
  <si>
    <t>16.1.3.3</t>
  </si>
  <si>
    <t>Devant de placard en CP 20mm à peindre</t>
  </si>
  <si>
    <t>16.1.4</t>
  </si>
  <si>
    <t>Menuiserie  à vitrer</t>
  </si>
  <si>
    <t>16.1.4.1</t>
  </si>
  <si>
    <t>Châssis à vitrer ouvrant à la française</t>
  </si>
  <si>
    <t>16.1.4.2</t>
  </si>
  <si>
    <t>Châssis à vitrer coulissant sur rail</t>
  </si>
  <si>
    <t>16.1.4.3</t>
  </si>
  <si>
    <t xml:space="preserve">Châssis à vitrer fixe </t>
  </si>
  <si>
    <t>16.1.4.4</t>
  </si>
  <si>
    <t>Châssis à vitrer type naco</t>
  </si>
  <si>
    <t>16.1.5</t>
  </si>
  <si>
    <t>Menuiserie bois grillagée</t>
  </si>
  <si>
    <t>16.1.5.1</t>
  </si>
  <si>
    <t>Porte à grillager, bâti de 34mm avec baguettes rapportées</t>
  </si>
  <si>
    <t>16.1.6</t>
  </si>
  <si>
    <t>Menuiserie et ébénisterie diverses</t>
  </si>
  <si>
    <t>16.1.6.1</t>
  </si>
  <si>
    <t>Etagères en CP de 20mm</t>
  </si>
  <si>
    <t>16.1.6.2</t>
  </si>
  <si>
    <t>Etagères en planches de 22mm</t>
  </si>
  <si>
    <t>16.1.6.3</t>
  </si>
  <si>
    <t>Placards</t>
  </si>
  <si>
    <t>16.2</t>
  </si>
  <si>
    <t>QUINCAILLERIE</t>
  </si>
  <si>
    <t>16.2.1</t>
  </si>
  <si>
    <t>Serrure à condamnation</t>
  </si>
  <si>
    <t>16.2.2</t>
  </si>
  <si>
    <r>
      <t>Serrure ordinaire 2</t>
    </r>
    <r>
      <rPr>
        <vertAlign val="superscript"/>
        <sz val="11"/>
        <color theme="1"/>
        <rFont val="Arial Narrow"/>
        <family val="2"/>
      </rPr>
      <t>ème</t>
    </r>
    <r>
      <rPr>
        <sz val="11"/>
        <color theme="1"/>
        <rFont val="Arial Narrow"/>
        <family val="2"/>
      </rPr>
      <t xml:space="preserve"> choix</t>
    </r>
  </si>
  <si>
    <t>16.2.3</t>
  </si>
  <si>
    <r>
      <t>Serrure ordinaire 1</t>
    </r>
    <r>
      <rPr>
        <vertAlign val="superscript"/>
        <sz val="11"/>
        <color theme="1"/>
        <rFont val="Arial Narrow"/>
        <family val="2"/>
      </rPr>
      <t>er</t>
    </r>
    <r>
      <rPr>
        <sz val="11"/>
        <color theme="1"/>
        <rFont val="Arial Narrow"/>
        <family val="2"/>
      </rPr>
      <t xml:space="preserve"> choix</t>
    </r>
  </si>
  <si>
    <t>16.2.4</t>
  </si>
  <si>
    <t xml:space="preserve">Serrure de sûreté </t>
  </si>
  <si>
    <t>16.2.5</t>
  </si>
  <si>
    <t>Serrure de haute sûreté</t>
  </si>
  <si>
    <t>16.3</t>
  </si>
  <si>
    <t>MENUISERIE PVC</t>
  </si>
  <si>
    <t>16.3.1</t>
  </si>
  <si>
    <t>Ensemble portes (vitrage simple)</t>
  </si>
  <si>
    <t>16.3.1.1</t>
  </si>
  <si>
    <t>Châssis PVC ouvrant à la française</t>
  </si>
  <si>
    <t>16.3.1.2</t>
  </si>
  <si>
    <t>Châssis PVC coulissant</t>
  </si>
  <si>
    <t>16.3.2</t>
  </si>
  <si>
    <t>16.3.2.1</t>
  </si>
  <si>
    <t>16.3.2.2</t>
  </si>
  <si>
    <t>16.3.2.3</t>
  </si>
  <si>
    <t>Châssis PVC fixe</t>
  </si>
  <si>
    <t>16.3.2.4</t>
  </si>
  <si>
    <t>Châssis PVC basculant</t>
  </si>
  <si>
    <t>16.3.2.5</t>
  </si>
  <si>
    <t>Châssis PVC type naco</t>
  </si>
  <si>
    <t>16.3.2.6</t>
  </si>
  <si>
    <t>Châssis PVC pivotant</t>
  </si>
  <si>
    <t>16.3.3</t>
  </si>
  <si>
    <t>Ensemble portes double vitrage (y compris vitrage)</t>
  </si>
  <si>
    <t>16.3.3.1</t>
  </si>
  <si>
    <t>16.3.3.1.1</t>
  </si>
  <si>
    <t>215 x 120</t>
  </si>
  <si>
    <t>16.3.3.1.2</t>
  </si>
  <si>
    <t>215 x 130</t>
  </si>
  <si>
    <t>16.3.3.1.3</t>
  </si>
  <si>
    <t>215 x 140</t>
  </si>
  <si>
    <t>16.3.3.2</t>
  </si>
  <si>
    <t>Porte de service avec panneau plein alvéolé rainuré et occulus</t>
  </si>
  <si>
    <t>16.3.3.2.1</t>
  </si>
  <si>
    <t>215 x 80</t>
  </si>
  <si>
    <t>16.3.3.2.2</t>
  </si>
  <si>
    <t>215 x 90</t>
  </si>
  <si>
    <t>16.3.3.2.3</t>
  </si>
  <si>
    <t>215 x 100</t>
  </si>
  <si>
    <t>16.3.4</t>
  </si>
  <si>
    <t>Ensemble fenêtres double vitrage (y compris vitrage)</t>
  </si>
  <si>
    <t>16.3.4.1</t>
  </si>
  <si>
    <t>16.3.4.1.1</t>
  </si>
  <si>
    <t>105 x 100</t>
  </si>
  <si>
    <t>16.3.4.1.2</t>
  </si>
  <si>
    <t>115 x 110</t>
  </si>
  <si>
    <t>16.3.4.1.3</t>
  </si>
  <si>
    <t>125 x 120</t>
  </si>
  <si>
    <t>16.3.4.1.4</t>
  </si>
  <si>
    <t>125 x 130</t>
  </si>
  <si>
    <t>16.3.4.1.5</t>
  </si>
  <si>
    <t>16.3.5</t>
  </si>
  <si>
    <t>16.3.5.1</t>
  </si>
  <si>
    <t xml:space="preserve">Volets roulants manuels en PVC </t>
  </si>
  <si>
    <t>16.3.5.2</t>
  </si>
  <si>
    <t>Lot n° 17 - FAUX PLAFONDS</t>
  </si>
  <si>
    <t>17.1</t>
  </si>
  <si>
    <t>CONTREPLAQUE</t>
  </si>
  <si>
    <t>17.1.1</t>
  </si>
  <si>
    <t>Faux- Plafond en contreplaqué 5mm</t>
  </si>
  <si>
    <t>17.1.2</t>
  </si>
  <si>
    <t>Faux- Plafond en contreplaqué 8mm</t>
  </si>
  <si>
    <t>17.1.3</t>
  </si>
  <si>
    <t>Faux- Plafond en contreplaqué 10mm</t>
  </si>
  <si>
    <t>17.1.4</t>
  </si>
  <si>
    <t>Faux- Plafond en contreplaqué marine 5mm</t>
  </si>
  <si>
    <t>17.1.5</t>
  </si>
  <si>
    <t>Faux- Plafond en contreplaqué marine 8mm</t>
  </si>
  <si>
    <t>17.1.6</t>
  </si>
  <si>
    <t>Faux- Plafond en contreplaqué marine 12mm</t>
  </si>
  <si>
    <t>17.1.7</t>
  </si>
  <si>
    <t>Faux- Plafond en contreplaqué marine 15mm</t>
  </si>
  <si>
    <t>17.1.8</t>
  </si>
  <si>
    <t>Faux- Plafond en contreplaqué marine 18mm</t>
  </si>
  <si>
    <t>17.1.9</t>
  </si>
  <si>
    <t>Faux- Plafond en contreplaqué marine 20mm</t>
  </si>
  <si>
    <t>17.1.10</t>
  </si>
  <si>
    <t>Couvre- joint en bois rouge</t>
  </si>
  <si>
    <t>17.1.11</t>
  </si>
  <si>
    <t>Couvre- joint en bois blanc</t>
  </si>
  <si>
    <t>17.1.12</t>
  </si>
  <si>
    <t>Plus- value pour ossature de pose</t>
  </si>
  <si>
    <t>17.2</t>
  </si>
  <si>
    <t>AUTRES MATERIAUX (y compris ossature)</t>
  </si>
  <si>
    <t>17.2.1</t>
  </si>
  <si>
    <t>Faux- plafond en lambris</t>
  </si>
  <si>
    <t>17.2.2</t>
  </si>
  <si>
    <t>Faux- plafond ajouré en lame bois</t>
  </si>
  <si>
    <t>17.2.3</t>
  </si>
  <si>
    <t>Faux- plafond en laine de roche</t>
  </si>
  <si>
    <t>17.2.4</t>
  </si>
  <si>
    <t>Faux- plafond métallique</t>
  </si>
  <si>
    <t>17.2.5</t>
  </si>
  <si>
    <t>Faux- plafond en fibro- ciment</t>
  </si>
  <si>
    <t>17.2.6</t>
  </si>
  <si>
    <t>Faux- plafond en staff lisse</t>
  </si>
  <si>
    <t>17.2.7</t>
  </si>
  <si>
    <t>Faux- plafond en staff décoratif</t>
  </si>
  <si>
    <t>17.2.8</t>
  </si>
  <si>
    <t>Corniche inclinée en staff isolé</t>
  </si>
  <si>
    <t>17.3</t>
  </si>
  <si>
    <t>17.3.1</t>
  </si>
  <si>
    <t>Staff cloisonnement pour coupe-feu</t>
  </si>
  <si>
    <t>17.3.2</t>
  </si>
  <si>
    <t>Trappes d'accès</t>
  </si>
  <si>
    <t>Lot n° 18 - PEINTURE - VERNIS</t>
  </si>
  <si>
    <t>18.1</t>
  </si>
  <si>
    <t>TRAVAUX PREPARATOIRES</t>
  </si>
  <si>
    <t>18.1.1</t>
  </si>
  <si>
    <t>Travaux préliminaires</t>
  </si>
  <si>
    <t>18.1.1.1</t>
  </si>
  <si>
    <t>Brossage du béton de décoffrage</t>
  </si>
  <si>
    <t>18.1.1.2</t>
  </si>
  <si>
    <t>Égrenage</t>
  </si>
  <si>
    <t>18.1.1.3</t>
  </si>
  <si>
    <t>Brossage de maçonneries neuves</t>
  </si>
  <si>
    <t>18.1.1.4</t>
  </si>
  <si>
    <t>Brossage d'anciens badigeons</t>
  </si>
  <si>
    <t>18.1.1.5</t>
  </si>
  <si>
    <t>Lessivage</t>
  </si>
  <si>
    <t>18.1.2</t>
  </si>
  <si>
    <t>Enduits</t>
  </si>
  <si>
    <t>18.1.2.1</t>
  </si>
  <si>
    <t>Enduit vinylique de lissage pour extérieur</t>
  </si>
  <si>
    <t>18.1.2.2</t>
  </si>
  <si>
    <t>Enduit vinylique de lissage pour intérieur</t>
  </si>
  <si>
    <t>18.1.2.3</t>
  </si>
  <si>
    <t>Enduit glycéro pour intérieur</t>
  </si>
  <si>
    <t>18.1.2.4</t>
  </si>
  <si>
    <t>Enduit de réagréage et de lissage (à mélanger avec du ciment)</t>
  </si>
  <si>
    <t>18.1.3</t>
  </si>
  <si>
    <t>Badigeons</t>
  </si>
  <si>
    <t>18.1.3.1</t>
  </si>
  <si>
    <t>Badigeon à la colle 2 couches</t>
  </si>
  <si>
    <t>18.1.3.2</t>
  </si>
  <si>
    <t>Badigeon à la chaux alunée 3 couches</t>
  </si>
  <si>
    <t>18.2</t>
  </si>
  <si>
    <t>PEINTURE INTERIEURE</t>
  </si>
  <si>
    <t>18.2.1</t>
  </si>
  <si>
    <t>Impression intérieure</t>
  </si>
  <si>
    <t>18.2.1.1</t>
  </si>
  <si>
    <t>Glycéro velouté type Imprimur</t>
  </si>
  <si>
    <t>18.2.2</t>
  </si>
  <si>
    <t>Peinture mate</t>
  </si>
  <si>
    <t>18.2.2.1</t>
  </si>
  <si>
    <t>Glycéro mate en blanc</t>
  </si>
  <si>
    <t>18.2.2.2</t>
  </si>
  <si>
    <t>Glycéro mate en ton pastel</t>
  </si>
  <si>
    <t>18.2.2.3</t>
  </si>
  <si>
    <t>Peinture à eau en blanc</t>
  </si>
  <si>
    <t>18.2.2.4</t>
  </si>
  <si>
    <t>Peinture à eau en ton pastel</t>
  </si>
  <si>
    <t>18.2.2.5</t>
  </si>
  <si>
    <t>18.2.2.6</t>
  </si>
  <si>
    <t>18.2.3</t>
  </si>
  <si>
    <t>Peinture décorative mate</t>
  </si>
  <si>
    <t>18.2.3.1</t>
  </si>
  <si>
    <t>Revêtement décoratif à paillettes multicolores type Alizier</t>
  </si>
  <si>
    <t>18.2.3.2</t>
  </si>
  <si>
    <t>Peinture décorative d'aspect moucheté type Sorbier</t>
  </si>
  <si>
    <t>18.2.3.3</t>
  </si>
  <si>
    <t>Lasure transparente et coloré pour béton type Kubik</t>
  </si>
  <si>
    <t>18.2.4</t>
  </si>
  <si>
    <t>Peinture satinée</t>
  </si>
  <si>
    <t>18.2.4.1</t>
  </si>
  <si>
    <t>Glycéro satinée en blanc</t>
  </si>
  <si>
    <t>18.2.4.2</t>
  </si>
  <si>
    <t>Glycéro satinée en ton pastel</t>
  </si>
  <si>
    <t>18.2.5</t>
  </si>
  <si>
    <t>Peinture décorative satinée</t>
  </si>
  <si>
    <t>18.2.5.1</t>
  </si>
  <si>
    <t>Revêtement décoratif type Aquamix</t>
  </si>
  <si>
    <t>18.2.5.2</t>
  </si>
  <si>
    <t xml:space="preserve">Revêtement à effet décoratif marbré type Stucco </t>
  </si>
  <si>
    <t>18.3</t>
  </si>
  <si>
    <t>PEINTURE INTERIEURE - EXTERIEURE</t>
  </si>
  <si>
    <t>18.3.1</t>
  </si>
  <si>
    <t>Travaux extérieurs en hauteur</t>
  </si>
  <si>
    <t>18.3.1.1</t>
  </si>
  <si>
    <t>Plus-value pour hauteur h: 6m ≤ h ≤ 12m</t>
  </si>
  <si>
    <t>18.3.1.2</t>
  </si>
  <si>
    <t>Plus-value pour hauteur h: h &gt; 12m</t>
  </si>
  <si>
    <t>18.3.2</t>
  </si>
  <si>
    <t>18.3.2.1</t>
  </si>
  <si>
    <t>18.3.2.2</t>
  </si>
  <si>
    <t>18.3.2.3</t>
  </si>
  <si>
    <t>Peinture à eau en teintes vives</t>
  </si>
  <si>
    <t>18.3.3</t>
  </si>
  <si>
    <t>18.3.3.1</t>
  </si>
  <si>
    <t>Glycéro satinée en blanc ou noir</t>
  </si>
  <si>
    <t>18.3.3.2</t>
  </si>
  <si>
    <t>18.3.3.3</t>
  </si>
  <si>
    <t>Glycéro satinée en teintes vives</t>
  </si>
  <si>
    <t>18.3.3.4</t>
  </si>
  <si>
    <t>18.3.3.5</t>
  </si>
  <si>
    <t>18.3.4</t>
  </si>
  <si>
    <t>Peinture brillante</t>
  </si>
  <si>
    <t>18.3.4.1</t>
  </si>
  <si>
    <t>Glycéro brillante en blanc</t>
  </si>
  <si>
    <t>18.3.4.2</t>
  </si>
  <si>
    <t>Glycéro brillante en noir</t>
  </si>
  <si>
    <t>18.3.4.3</t>
  </si>
  <si>
    <t>Glycéro brillante en ton pastel</t>
  </si>
  <si>
    <t>18.3.4.4</t>
  </si>
  <si>
    <t>Glycéro brillante en teintes vives</t>
  </si>
  <si>
    <t>18.3.5</t>
  </si>
  <si>
    <t>Peinture fongicide</t>
  </si>
  <si>
    <t>18.3.5.1</t>
  </si>
  <si>
    <t>Peinture laque en blanc</t>
  </si>
  <si>
    <t>18.3.5.2</t>
  </si>
  <si>
    <t>Peinture laque en ton pastel</t>
  </si>
  <si>
    <t>18.3.5.3</t>
  </si>
  <si>
    <t>Peinture laque en teinte vive</t>
  </si>
  <si>
    <t>18.4</t>
  </si>
  <si>
    <t>PEINTURE EXTERIEURE</t>
  </si>
  <si>
    <t>18.4.1</t>
  </si>
  <si>
    <t>Travaux en hauteur</t>
  </si>
  <si>
    <t>18.4.1.1</t>
  </si>
  <si>
    <t>18.4.1.2</t>
  </si>
  <si>
    <t>18.4.2</t>
  </si>
  <si>
    <t>Impression</t>
  </si>
  <si>
    <t>18.4.2.1</t>
  </si>
  <si>
    <t>Impression sous-couche type Impricryl</t>
  </si>
  <si>
    <t>18.4.2.2</t>
  </si>
  <si>
    <t>Impression fixante et pénétrante type Impriderme</t>
  </si>
  <si>
    <t>18.4.3</t>
  </si>
  <si>
    <t>Traitement des façades</t>
  </si>
  <si>
    <t>18.4.3.1</t>
  </si>
  <si>
    <t>Traitement hydrofuge au silicone type Aquellux 2000</t>
  </si>
  <si>
    <t>18.4.3.2</t>
  </si>
  <si>
    <t>Mastic plastique type Dermastic</t>
  </si>
  <si>
    <t>18.4.4</t>
  </si>
  <si>
    <t>Décoration des façades</t>
  </si>
  <si>
    <t>18.4.4.1</t>
  </si>
  <si>
    <t>Revêtement plastique épais type Pantigres</t>
  </si>
  <si>
    <t>18.4.4.2</t>
  </si>
  <si>
    <t>Revêtement semi-épais type Garnytex en blanc</t>
  </si>
  <si>
    <t>18.4.4.3</t>
  </si>
  <si>
    <t>Revêtement semi-épais type Garnytex en ton pastel</t>
  </si>
  <si>
    <t>18.4.4.4</t>
  </si>
  <si>
    <t>Revêtement semi-épais type Garnytex en teinte vive</t>
  </si>
  <si>
    <t>18.4.4.5</t>
  </si>
  <si>
    <t>Film mince type Pancryl en blanc</t>
  </si>
  <si>
    <t>18.4.4.6</t>
  </si>
  <si>
    <t>Film mince type Pancryl en ton pastel</t>
  </si>
  <si>
    <t>18.4.4.7</t>
  </si>
  <si>
    <t>Film mince type Pancryl en teintes vives</t>
  </si>
  <si>
    <t>18.5</t>
  </si>
  <si>
    <t>TRAITEMENT ET DECORATION DES BOIS</t>
  </si>
  <si>
    <t>18.5.1</t>
  </si>
  <si>
    <t>Préparation</t>
  </si>
  <si>
    <t>18.5.1.1</t>
  </si>
  <si>
    <t>Mastic bois pour réparer les trous de grandes dimensions</t>
  </si>
  <si>
    <t>18.5.1.2</t>
  </si>
  <si>
    <t>Mastic bois pour réparer les fentes de petites dimensions</t>
  </si>
  <si>
    <t>18.5.1.3</t>
  </si>
  <si>
    <t>Bouche- pore du bois type Fondur Preplast</t>
  </si>
  <si>
    <t>18.5.2</t>
  </si>
  <si>
    <t>Peinture glycéro</t>
  </si>
  <si>
    <t>18.5.2.1</t>
  </si>
  <si>
    <t xml:space="preserve">Glycéro mate d'impression </t>
  </si>
  <si>
    <t>18.5.2.2</t>
  </si>
  <si>
    <t xml:space="preserve">Glycéro satinée microporeuse </t>
  </si>
  <si>
    <t>18.5.3</t>
  </si>
  <si>
    <t>Lasures</t>
  </si>
  <si>
    <t>18.5.3.1</t>
  </si>
  <si>
    <t>Lasure mate d'impression</t>
  </si>
  <si>
    <t>18.5.3.2</t>
  </si>
  <si>
    <t>Lasure satinée</t>
  </si>
  <si>
    <t>18.5.4</t>
  </si>
  <si>
    <t>Vernis</t>
  </si>
  <si>
    <t>18.5.4.1</t>
  </si>
  <si>
    <t>Vernis marin brillant</t>
  </si>
  <si>
    <t>18.5.4.2</t>
  </si>
  <si>
    <t>Vernis cellulosique brillant</t>
  </si>
  <si>
    <t>18.5.4.3</t>
  </si>
  <si>
    <t>Vernis cellulosique mat</t>
  </si>
  <si>
    <t>18.5.4.4</t>
  </si>
  <si>
    <t>Vernis cellulosique satiné</t>
  </si>
  <si>
    <t>18.5.4.5</t>
  </si>
  <si>
    <t>Vernis de finition intérieur</t>
  </si>
  <si>
    <t>18.5.4.6</t>
  </si>
  <si>
    <t>Vernis de finition extérieur</t>
  </si>
  <si>
    <t>18.5.5</t>
  </si>
  <si>
    <t>Traitement des bois</t>
  </si>
  <si>
    <t>18.5.5.1</t>
  </si>
  <si>
    <t>Protection des bois type Huile de lin</t>
  </si>
  <si>
    <t>18.5.5.2</t>
  </si>
  <si>
    <t>Traitement préventif, fongicide, insecticide et curatif</t>
  </si>
  <si>
    <t>18.6</t>
  </si>
  <si>
    <t>PEINTURES A USAGES PARTICULIERS</t>
  </si>
  <si>
    <t>18.6.1</t>
  </si>
  <si>
    <t>Peinture glycéro mate pour tableau scolaire</t>
  </si>
  <si>
    <t>18.6.2</t>
  </si>
  <si>
    <t>Peinture anti-graffiti</t>
  </si>
  <si>
    <t>18.6.3</t>
  </si>
  <si>
    <t>Nettoyant de graffiti</t>
  </si>
  <si>
    <t>18.6.4</t>
  </si>
  <si>
    <t>Peinture pour sol</t>
  </si>
  <si>
    <t>18.6.5</t>
  </si>
  <si>
    <t>Décapant pour peinture</t>
  </si>
  <si>
    <t>18.6.6</t>
  </si>
  <si>
    <t>Dérochage pour l'aluminium</t>
  </si>
  <si>
    <t>18.6.7</t>
  </si>
  <si>
    <t>Dérochage pour acier galvanisé</t>
  </si>
  <si>
    <t>18.6.8</t>
  </si>
  <si>
    <t>Revêtement en rouge brun pour cours de tennis</t>
  </si>
  <si>
    <t>18.6.9</t>
  </si>
  <si>
    <t>Revêtement en vert pour cours de tennis</t>
  </si>
  <si>
    <t>18.6.10</t>
  </si>
  <si>
    <t>Peinture routière rétro-réfléchissante</t>
  </si>
  <si>
    <t>18.6.11</t>
  </si>
  <si>
    <t>Peinture anti-rouille</t>
  </si>
  <si>
    <t>18.6.12</t>
  </si>
  <si>
    <t>Couche primaire et intermédiaire anti-corrosion</t>
  </si>
  <si>
    <t>18.6.13</t>
  </si>
  <si>
    <t>Peinture de finition anti-corrosion</t>
  </si>
  <si>
    <t>Lot n° 19 - CHARPENTE</t>
  </si>
  <si>
    <t>19.1</t>
  </si>
  <si>
    <t>CHARPENTE BOIS</t>
  </si>
  <si>
    <t>19.1.1</t>
  </si>
  <si>
    <t>Bois rouge</t>
  </si>
  <si>
    <t>19.1.1.1</t>
  </si>
  <si>
    <t>Charpente en bois rouge non assemblée</t>
  </si>
  <si>
    <t>19.1.1.2</t>
  </si>
  <si>
    <t>Charpente en bois rouge assemblée</t>
  </si>
  <si>
    <t>19.1.1.3</t>
  </si>
  <si>
    <t>Traitement du bois aux fongicides et insecticides</t>
  </si>
  <si>
    <t>19.1.2</t>
  </si>
  <si>
    <t>Lamellé collé</t>
  </si>
  <si>
    <t>19.1.2.1</t>
  </si>
  <si>
    <t>Charpente en lamellé collé</t>
  </si>
  <si>
    <t>19.1.2.2</t>
  </si>
  <si>
    <t>Entretoises et contreventement</t>
  </si>
  <si>
    <t>19.1.2.3</t>
  </si>
  <si>
    <t>Ferrure métallique et boulonnerie</t>
  </si>
  <si>
    <t>19.2</t>
  </si>
  <si>
    <t>CHARPENTE METALLIQUE</t>
  </si>
  <si>
    <t>19.2.1</t>
  </si>
  <si>
    <t>Consistance des travaux</t>
  </si>
  <si>
    <t>19.2.1.1</t>
  </si>
  <si>
    <t>Fermes principales</t>
  </si>
  <si>
    <t>19.2.1.2</t>
  </si>
  <si>
    <t>Contreventements</t>
  </si>
  <si>
    <t>19.2.1.3</t>
  </si>
  <si>
    <t>Pannes</t>
  </si>
  <si>
    <t>Lot n° 20 - COUVERTURE</t>
  </si>
  <si>
    <t>20.1</t>
  </si>
  <si>
    <t>ELEMENTS DE COUVERTURE</t>
  </si>
  <si>
    <t>20.1.1</t>
  </si>
  <si>
    <t>Tôles</t>
  </si>
  <si>
    <t>20.1.1.1</t>
  </si>
  <si>
    <t>Couverture en tôle ondulée galvanisée</t>
  </si>
  <si>
    <t>20.1.1.2</t>
  </si>
  <si>
    <t>Couverture en bac auto- portant galvanisé</t>
  </si>
  <si>
    <t>20.1.1.3</t>
  </si>
  <si>
    <t>Couverture en bac laqué</t>
  </si>
  <si>
    <t>20.1.1.4</t>
  </si>
  <si>
    <t>Couverture en bac translucide</t>
  </si>
  <si>
    <t>20.1.1.5</t>
  </si>
  <si>
    <t>Couverture en bac aluzinc</t>
  </si>
  <si>
    <t>20.1.1.6</t>
  </si>
  <si>
    <t>Couverture en bac alu auto- portant 6/10ème</t>
  </si>
  <si>
    <t>20.1.1.7</t>
  </si>
  <si>
    <t>Couverture en bac alu auto- portant 7:10ème</t>
  </si>
  <si>
    <t>20.1.1.8</t>
  </si>
  <si>
    <t>Faîtière galvanisée</t>
  </si>
  <si>
    <t>20.1.1.9</t>
  </si>
  <si>
    <t>Faîtière alu</t>
  </si>
  <si>
    <t>20.1.2</t>
  </si>
  <si>
    <t>Tuiles en fibrociment</t>
  </si>
  <si>
    <t>20.1.2.1</t>
  </si>
  <si>
    <t>Plaques ondulées</t>
  </si>
  <si>
    <t>20.1.2.1.1</t>
  </si>
  <si>
    <t>Gris natuel</t>
  </si>
  <si>
    <t>20.1.2.1.2</t>
  </si>
  <si>
    <t>Ocre masse</t>
  </si>
  <si>
    <t>20.1.2.1.3</t>
  </si>
  <si>
    <t>Peint</t>
  </si>
  <si>
    <t>20.1.2.2</t>
  </si>
  <si>
    <t>Ardoise</t>
  </si>
  <si>
    <t>20.1.2.2.1</t>
  </si>
  <si>
    <t>20.1.2.2.2</t>
  </si>
  <si>
    <t>20.1.2.2.3</t>
  </si>
  <si>
    <t>Vert masse</t>
  </si>
  <si>
    <t>20.1.2.2.4</t>
  </si>
  <si>
    <t>20.1.2.3</t>
  </si>
  <si>
    <t>Faîtière</t>
  </si>
  <si>
    <t>20.1.2.3.1</t>
  </si>
  <si>
    <t>20.1.2.3.2</t>
  </si>
  <si>
    <t>20.1.2.3.3</t>
  </si>
  <si>
    <t>20.1.3</t>
  </si>
  <si>
    <t>Vertuile</t>
  </si>
  <si>
    <t>20.1.3.1</t>
  </si>
  <si>
    <t>Couverture en vertuile</t>
  </si>
  <si>
    <t>20.2</t>
  </si>
  <si>
    <t>BARDAGE</t>
  </si>
  <si>
    <t>20.2.1</t>
  </si>
  <si>
    <t>Planche de rive</t>
  </si>
  <si>
    <t>20.2.2</t>
  </si>
  <si>
    <t>Bardage aux frises bois</t>
  </si>
  <si>
    <t>20.2.3</t>
  </si>
  <si>
    <t>Grillage moustiquaire</t>
  </si>
  <si>
    <t>20.2.4</t>
  </si>
  <si>
    <t>Bardage en tôle</t>
  </si>
  <si>
    <t>20.2.5</t>
  </si>
  <si>
    <t>Chéneau métallique</t>
  </si>
  <si>
    <t>Lot n° 21 - ABORDS - ESPACES VERTS</t>
  </si>
  <si>
    <t>21.1</t>
  </si>
  <si>
    <t>TROTTOIRS ET AIRES DE CIRCULATION</t>
  </si>
  <si>
    <t>21.1.1</t>
  </si>
  <si>
    <t>Réglage et compactage du fond de terrassement</t>
  </si>
  <si>
    <t>21.1.2</t>
  </si>
  <si>
    <t>Couche de fondation en graveleux latéritique</t>
  </si>
  <si>
    <t>21.1.3</t>
  </si>
  <si>
    <t>Couche de base en graveleux stabilisé</t>
  </si>
  <si>
    <t>21.1.4</t>
  </si>
  <si>
    <t>Imprégnation au cut- back</t>
  </si>
  <si>
    <t>21.1.5</t>
  </si>
  <si>
    <t>Revêtement bicouche</t>
  </si>
  <si>
    <t>21.1.6</t>
  </si>
  <si>
    <t>Revêtement au sand- asphalte</t>
  </si>
  <si>
    <t>21.1.7</t>
  </si>
  <si>
    <t>Enrobés denses</t>
  </si>
  <si>
    <t>21.1.8</t>
  </si>
  <si>
    <t>Couche d'accrochage</t>
  </si>
  <si>
    <t>21.2</t>
  </si>
  <si>
    <t>BORDURES</t>
  </si>
  <si>
    <t>21.2.1</t>
  </si>
  <si>
    <t>Bordure haute à fil d'eau</t>
  </si>
  <si>
    <t>21.2.2</t>
  </si>
  <si>
    <t xml:space="preserve">Bordure basse à fil d'eau </t>
  </si>
  <si>
    <t>21.2.3</t>
  </si>
  <si>
    <t>Bordure de jardin</t>
  </si>
  <si>
    <t>21.3</t>
  </si>
  <si>
    <t>PASSAGE PIETON</t>
  </si>
  <si>
    <t>21.3.1</t>
  </si>
  <si>
    <t>Allée piétonnière en gravillon lavé</t>
  </si>
  <si>
    <t>21.3.2</t>
  </si>
  <si>
    <t>Allée piétonnière en dallettes de gravillon lavé</t>
  </si>
  <si>
    <t>21.3.3</t>
  </si>
  <si>
    <t>Allée piétonnière en pavé trieff</t>
  </si>
  <si>
    <t>21.4</t>
  </si>
  <si>
    <t>ESPACES VERTS</t>
  </si>
  <si>
    <t>21.4.1</t>
  </si>
  <si>
    <t>Labour du sol avant plantation</t>
  </si>
  <si>
    <t>21.4.2</t>
  </si>
  <si>
    <t>Apport et mise en place de terre végétale</t>
  </si>
  <si>
    <t>21.4.3</t>
  </si>
  <si>
    <t>Engazonnement par semis</t>
  </si>
  <si>
    <t>21.4.4</t>
  </si>
  <si>
    <t>Plantation d'arbres</t>
  </si>
  <si>
    <t>21.4.5</t>
  </si>
  <si>
    <t>Plantation d'arbustes</t>
  </si>
  <si>
    <t>21.4.6</t>
  </si>
  <si>
    <t>Haies vives</t>
  </si>
  <si>
    <t>REPUBLIQUE DE CÔTE D'IVOIRE</t>
  </si>
  <si>
    <t>Union - Discipline - Travail</t>
  </si>
  <si>
    <t>---------------------</t>
  </si>
  <si>
    <t>MINISTERE DE LA CONSTRUCTION, DE L’URBANISME ET DE L'HABITAT</t>
  </si>
  <si>
    <t>DIRECTION DE LA CONSTRUCTION ET DE LA MAINTENANCE</t>
  </si>
  <si>
    <t>P.U TTC</t>
  </si>
  <si>
    <t>Lot n° 0 - GENERALITES</t>
  </si>
  <si>
    <t>Levés topographiques</t>
  </si>
  <si>
    <t>Installation de chantier</t>
  </si>
  <si>
    <r>
      <t>m</t>
    </r>
    <r>
      <rPr>
        <vertAlign val="superscript"/>
        <sz val="12"/>
        <color theme="1"/>
        <rFont val="Arial Narrow"/>
        <family val="2"/>
      </rPr>
      <t>2</t>
    </r>
  </si>
  <si>
    <t>Implantation des ouvrages</t>
  </si>
  <si>
    <t>0.2</t>
  </si>
  <si>
    <t>Démolitions (y compris évacuation à la décharge)</t>
  </si>
  <si>
    <t>0.2.1</t>
  </si>
  <si>
    <t>Démolition de dallage</t>
  </si>
  <si>
    <r>
      <t>m</t>
    </r>
    <r>
      <rPr>
        <vertAlign val="superscript"/>
        <sz val="12"/>
        <color theme="1"/>
        <rFont val="Arial Narrow"/>
        <family val="2"/>
      </rPr>
      <t>3</t>
    </r>
  </si>
  <si>
    <t>0.2.2</t>
  </si>
  <si>
    <t>Démolition d'agglos creux 20</t>
  </si>
  <si>
    <t>0.2.3</t>
  </si>
  <si>
    <t>Démolition d'agglos creux 15</t>
  </si>
  <si>
    <t>0.2.4</t>
  </si>
  <si>
    <t>Démolition d'agglos creux 10</t>
  </si>
  <si>
    <t>0.2.5</t>
  </si>
  <si>
    <t>Démolition d'agglos pleins 20</t>
  </si>
  <si>
    <t>0.2.6</t>
  </si>
  <si>
    <t>0.2.7</t>
  </si>
  <si>
    <t>Démolition d'éléments en béton armé (poteaux, poutres, raidisseurs, chaînages, etc.)</t>
  </si>
  <si>
    <t>0.2.8</t>
  </si>
  <si>
    <t>Démolition de dalle pleine</t>
  </si>
  <si>
    <t>0.2.9</t>
  </si>
  <si>
    <t>Démolition de dalle en corps creux</t>
  </si>
  <si>
    <t>0.2.10</t>
  </si>
  <si>
    <t>Démolition de revêtements scellés</t>
  </si>
  <si>
    <t>0.3</t>
  </si>
  <si>
    <t>Déposes</t>
  </si>
  <si>
    <t>0.3.1</t>
  </si>
  <si>
    <t>Dépose d'étanchéité courante</t>
  </si>
  <si>
    <t>0.3.2</t>
  </si>
  <si>
    <t>Dépose de menuiseries alu</t>
  </si>
  <si>
    <t>0.3.3</t>
  </si>
  <si>
    <t>Dépose de vitrage</t>
  </si>
  <si>
    <t>0.3.4</t>
  </si>
  <si>
    <t>Dépose de canalisations encastrées</t>
  </si>
  <si>
    <t>0.3.5</t>
  </si>
  <si>
    <t>Dépose de canalisations apparentes</t>
  </si>
  <si>
    <t>0.3.6</t>
  </si>
  <si>
    <t>Dépose d'équipements sanitaires</t>
  </si>
  <si>
    <t>0.3.7</t>
  </si>
  <si>
    <t>Dépose de câbles électriques</t>
  </si>
  <si>
    <t>0.3.8</t>
  </si>
  <si>
    <t>Dépose d'appareils électriques</t>
  </si>
  <si>
    <t>0.3.9</t>
  </si>
  <si>
    <t>Dépose d'appareils de climatisation</t>
  </si>
  <si>
    <t>0.3.10</t>
  </si>
  <si>
    <t>Dépose de menuiseries bois</t>
  </si>
  <si>
    <t>0.3.11</t>
  </si>
  <si>
    <t>Dépose de faux- plafonds y compris ossature</t>
  </si>
  <si>
    <t>0.3.12</t>
  </si>
  <si>
    <t>Dépose de charpente bois</t>
  </si>
  <si>
    <t>0.3.13</t>
  </si>
  <si>
    <t>Dépose de charpente métallique</t>
  </si>
  <si>
    <t>0.3.14</t>
  </si>
  <si>
    <t>Dépose de couverture</t>
  </si>
  <si>
    <r>
      <t>1</t>
    </r>
    <r>
      <rPr>
        <vertAlign val="superscript"/>
        <sz val="12"/>
        <color theme="1"/>
        <rFont val="Arial Narrow"/>
        <family val="2"/>
      </rPr>
      <t>ère</t>
    </r>
    <r>
      <rPr>
        <sz val="12"/>
        <color theme="1"/>
        <rFont val="Arial Narrow"/>
        <family val="2"/>
      </rPr>
      <t xml:space="preserve"> catégorie</t>
    </r>
  </si>
  <si>
    <r>
      <t>2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</si>
  <si>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r>
      <t>3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</si>
  <si>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r>
      <t>4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</si>
  <si>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t>BETON</t>
  </si>
  <si>
    <r>
      <t>Béton dosé 150 kg/m</t>
    </r>
    <r>
      <rPr>
        <vertAlign val="superscript"/>
        <sz val="12"/>
        <color theme="1"/>
        <rFont val="Arial Narrow"/>
        <family val="2"/>
      </rPr>
      <t>3</t>
    </r>
  </si>
  <si>
    <t>Béton de semelle</t>
  </si>
  <si>
    <r>
      <t>Béton dosé 200 kg/m</t>
    </r>
    <r>
      <rPr>
        <vertAlign val="superscript"/>
        <sz val="12"/>
        <color theme="1"/>
        <rFont val="Arial Narrow"/>
        <family val="2"/>
      </rPr>
      <t>3</t>
    </r>
  </si>
  <si>
    <r>
      <t>Béton dosé 250 kg/m</t>
    </r>
    <r>
      <rPr>
        <vertAlign val="superscript"/>
        <sz val="12"/>
        <color theme="1"/>
        <rFont val="Arial Narrow"/>
        <family val="2"/>
      </rPr>
      <t>3</t>
    </r>
  </si>
  <si>
    <r>
      <t>Béton dosé 300 kg/m</t>
    </r>
    <r>
      <rPr>
        <vertAlign val="superscript"/>
        <sz val="12"/>
        <color theme="1"/>
        <rFont val="Arial Narrow"/>
        <family val="2"/>
      </rPr>
      <t>3</t>
    </r>
  </si>
  <si>
    <r>
      <t>Béton dosé 350 kg/m</t>
    </r>
    <r>
      <rPr>
        <vertAlign val="superscript"/>
        <sz val="12"/>
        <color theme="1"/>
        <rFont val="Arial Narrow"/>
        <family val="2"/>
      </rPr>
      <t>3</t>
    </r>
  </si>
  <si>
    <r>
      <t>Béton dosé 400 kg/m</t>
    </r>
    <r>
      <rPr>
        <vertAlign val="superscript"/>
        <sz val="12"/>
        <color theme="1"/>
        <rFont val="Arial Narrow"/>
        <family val="2"/>
      </rPr>
      <t>3</t>
    </r>
  </si>
  <si>
    <r>
      <t>Béton dosé 450 kg/m</t>
    </r>
    <r>
      <rPr>
        <vertAlign val="superscript"/>
        <sz val="12"/>
        <color theme="1"/>
        <rFont val="Arial Narrow"/>
        <family val="2"/>
      </rPr>
      <t>3</t>
    </r>
  </si>
  <si>
    <r>
      <t>Béton dosé 500 kg/m</t>
    </r>
    <r>
      <rPr>
        <vertAlign val="superscript"/>
        <sz val="12"/>
        <color theme="1"/>
        <rFont val="Arial Narrow"/>
        <family val="2"/>
      </rPr>
      <t>3</t>
    </r>
  </si>
  <si>
    <r>
      <t>Béton en élévation dosé à 350 kg/m</t>
    </r>
    <r>
      <rPr>
        <b/>
        <i/>
        <vertAlign val="superscript"/>
        <sz val="12"/>
        <color theme="1"/>
        <rFont val="Arial Narrow"/>
        <family val="2"/>
      </rPr>
      <t>3</t>
    </r>
  </si>
  <si>
    <r>
      <t>Enduit dosé à 250 kg/m</t>
    </r>
    <r>
      <rPr>
        <vertAlign val="superscript"/>
        <sz val="12"/>
        <color theme="1"/>
        <rFont val="Arial Narrow"/>
        <family val="2"/>
      </rPr>
      <t>3</t>
    </r>
  </si>
  <si>
    <r>
      <t>Enduit dosé à 300 kg/m</t>
    </r>
    <r>
      <rPr>
        <vertAlign val="superscript"/>
        <sz val="12"/>
        <color theme="1"/>
        <rFont val="Arial Narrow"/>
        <family val="2"/>
      </rPr>
      <t>3</t>
    </r>
  </si>
  <si>
    <r>
      <t>Enduit dosé à 350 kg/m</t>
    </r>
    <r>
      <rPr>
        <vertAlign val="superscript"/>
        <sz val="12"/>
        <color theme="1"/>
        <rFont val="Arial Narrow"/>
        <family val="2"/>
      </rPr>
      <t>3</t>
    </r>
  </si>
  <si>
    <r>
      <t>Enduit dosé à 400 kg/m</t>
    </r>
    <r>
      <rPr>
        <vertAlign val="superscript"/>
        <sz val="12"/>
        <color theme="1"/>
        <rFont val="Arial Narrow"/>
        <family val="2"/>
      </rPr>
      <t>3</t>
    </r>
  </si>
  <si>
    <r>
      <t>Appareils sanitaires 1</t>
    </r>
    <r>
      <rPr>
        <b/>
        <i/>
        <vertAlign val="superscript"/>
        <sz val="12"/>
        <color theme="1"/>
        <rFont val="Arial Narrow"/>
        <family val="2"/>
      </rPr>
      <t>er</t>
    </r>
    <r>
      <rPr>
        <b/>
        <i/>
        <sz val="12"/>
        <color theme="1"/>
        <rFont val="Arial Narrow"/>
        <family val="2"/>
      </rPr>
      <t xml:space="preserve"> choix (couleur blanche pour les céramiques)</t>
    </r>
  </si>
  <si>
    <r>
      <t>Appareils sanitaires 2</t>
    </r>
    <r>
      <rPr>
        <b/>
        <i/>
        <vertAlign val="superscript"/>
        <sz val="12"/>
        <color theme="1"/>
        <rFont val="Arial Narrow"/>
        <family val="2"/>
      </rPr>
      <t>ème</t>
    </r>
    <r>
      <rPr>
        <b/>
        <i/>
        <sz val="12"/>
        <color theme="1"/>
        <rFont val="Arial Narrow"/>
        <family val="2"/>
      </rPr>
      <t xml:space="preserve"> Choix (couleur blanche pour les céramiques)</t>
    </r>
  </si>
  <si>
    <r>
      <t>Câble armé HFG 1000 2x1,5mm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</si>
  <si>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</si>
  <si>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</si>
  <si>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2x2,5mm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</si>
  <si>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3x2,5mm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</si>
  <si>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</si>
  <si>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</si>
  <si>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</si>
  <si>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</si>
  <si>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3x6mm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</si>
  <si>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5x6mm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</si>
  <si>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</si>
  <si>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</si>
  <si>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</si>
  <si>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3x16mm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</si>
  <si>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4x16mm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</si>
  <si>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4x25mm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</si>
  <si>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4x35mm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</si>
  <si>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</si>
  <si>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</si>
  <si>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4x95mm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</si>
  <si>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3x50 + 35mm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</si>
  <si>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3x70 + 50mm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</si>
  <si>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3x95 + 35mm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</si>
  <si>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3x95 + 50mm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</si>
  <si>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3x120 + 70mm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</si>
  <si>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3x150 +70mm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</si>
  <si>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3x185 + 70mm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</si>
  <si>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3x240 + 95mm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</si>
  <si>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HG 1000 3x1,5mm</t>
    </r>
    <r>
      <rPr>
        <vertAlign val="superscript"/>
        <sz val="12"/>
        <color theme="1"/>
        <rFont val="Arial Narrow"/>
        <family val="2"/>
      </rPr>
      <t>2</t>
    </r>
  </si>
  <si>
    <r>
      <t>Câble HG 1000 4x1,5mm</t>
    </r>
    <r>
      <rPr>
        <vertAlign val="superscript"/>
        <sz val="12"/>
        <color theme="1"/>
        <rFont val="Arial Narrow"/>
        <family val="2"/>
      </rPr>
      <t>2</t>
    </r>
  </si>
  <si>
    <r>
      <t>Câble HG 1000 3x2,5mm</t>
    </r>
    <r>
      <rPr>
        <vertAlign val="superscript"/>
        <sz val="12"/>
        <color theme="1"/>
        <rFont val="Arial Narrow"/>
        <family val="2"/>
      </rPr>
      <t>2</t>
    </r>
  </si>
  <si>
    <r>
      <t>Câble HG 1000 3x4mm</t>
    </r>
    <r>
      <rPr>
        <vertAlign val="superscript"/>
        <sz val="12"/>
        <color theme="1"/>
        <rFont val="Arial Narrow"/>
        <family val="2"/>
      </rPr>
      <t>2</t>
    </r>
  </si>
  <si>
    <r>
      <t>Câble HG 1000 4x4mm</t>
    </r>
    <r>
      <rPr>
        <vertAlign val="superscript"/>
        <sz val="12"/>
        <color theme="1"/>
        <rFont val="Arial Narrow"/>
        <family val="2"/>
      </rPr>
      <t>2</t>
    </r>
  </si>
  <si>
    <r>
      <t>Câble HG 1000 5x4mm</t>
    </r>
    <r>
      <rPr>
        <vertAlign val="superscript"/>
        <sz val="12"/>
        <color theme="1"/>
        <rFont val="Arial Narrow"/>
        <family val="2"/>
      </rPr>
      <t>2</t>
    </r>
  </si>
  <si>
    <r>
      <t>Câble HG 1000 5x6mm</t>
    </r>
    <r>
      <rPr>
        <vertAlign val="superscript"/>
        <sz val="12"/>
        <color theme="1"/>
        <rFont val="Arial Narrow"/>
        <family val="2"/>
      </rPr>
      <t>2</t>
    </r>
  </si>
  <si>
    <r>
      <t>Câble HG 1000 5x10mm</t>
    </r>
    <r>
      <rPr>
        <vertAlign val="superscript"/>
        <sz val="12"/>
        <color theme="1"/>
        <rFont val="Arial Narrow"/>
        <family val="2"/>
      </rPr>
      <t>2</t>
    </r>
  </si>
  <si>
    <r>
      <t>Câble HG 1000 2x16mm</t>
    </r>
    <r>
      <rPr>
        <vertAlign val="superscript"/>
        <sz val="12"/>
        <color theme="1"/>
        <rFont val="Arial Narrow"/>
        <family val="2"/>
      </rPr>
      <t>2</t>
    </r>
  </si>
  <si>
    <r>
      <t>Câble HG 1000 4x16mm</t>
    </r>
    <r>
      <rPr>
        <vertAlign val="superscript"/>
        <sz val="12"/>
        <color theme="1"/>
        <rFont val="Arial Narrow"/>
        <family val="2"/>
      </rPr>
      <t>2</t>
    </r>
  </si>
  <si>
    <r>
      <t>Câble HG 1000 4x25mm</t>
    </r>
    <r>
      <rPr>
        <vertAlign val="superscript"/>
        <sz val="12"/>
        <color theme="1"/>
        <rFont val="Arial Narrow"/>
        <family val="2"/>
      </rPr>
      <t>2</t>
    </r>
  </si>
  <si>
    <r>
      <t>Câble HG 1000 3x70+50mm</t>
    </r>
    <r>
      <rPr>
        <vertAlign val="superscript"/>
        <sz val="12"/>
        <color theme="1"/>
        <rFont val="Arial Narrow"/>
        <family val="2"/>
      </rPr>
      <t>2</t>
    </r>
  </si>
  <si>
    <r>
      <t>Câble HG 1000 1x95mm</t>
    </r>
    <r>
      <rPr>
        <vertAlign val="superscript"/>
        <sz val="12"/>
        <color theme="1"/>
        <rFont val="Arial Narrow"/>
        <family val="2"/>
      </rPr>
      <t>2</t>
    </r>
  </si>
  <si>
    <r>
      <t>Câble HG 1000 3x150+70mm</t>
    </r>
    <r>
      <rPr>
        <vertAlign val="superscript"/>
        <sz val="12"/>
        <color theme="1"/>
        <rFont val="Arial Narrow"/>
        <family val="2"/>
      </rPr>
      <t>2</t>
    </r>
  </si>
  <si>
    <r>
      <t>Câble PRC torsade 2x16mm</t>
    </r>
    <r>
      <rPr>
        <vertAlign val="superscript"/>
        <sz val="12"/>
        <color theme="1"/>
        <rFont val="Arial Narrow"/>
        <family val="2"/>
      </rPr>
      <t>2</t>
    </r>
  </si>
  <si>
    <r>
      <t>Câble PRC torsade 2x25mm</t>
    </r>
    <r>
      <rPr>
        <vertAlign val="superscript"/>
        <sz val="12"/>
        <color theme="1"/>
        <rFont val="Arial Narrow"/>
        <family val="2"/>
      </rPr>
      <t>2</t>
    </r>
  </si>
  <si>
    <r>
      <t>Câble PRC torsade 4x16mm</t>
    </r>
    <r>
      <rPr>
        <vertAlign val="superscript"/>
        <sz val="12"/>
        <color theme="1"/>
        <rFont val="Arial Narrow"/>
        <family val="2"/>
      </rPr>
      <t>2</t>
    </r>
  </si>
  <si>
    <r>
      <t>Câble PRC torsade 4x25mm</t>
    </r>
    <r>
      <rPr>
        <vertAlign val="superscript"/>
        <sz val="12"/>
        <color theme="1"/>
        <rFont val="Arial Narrow"/>
        <family val="2"/>
      </rPr>
      <t>2</t>
    </r>
  </si>
  <si>
    <r>
      <t>Câble cuivre nu 1x25mm</t>
    </r>
    <r>
      <rPr>
        <vertAlign val="superscript"/>
        <sz val="12"/>
        <color theme="1"/>
        <rFont val="Arial Narrow"/>
        <family val="2"/>
      </rPr>
      <t>2</t>
    </r>
  </si>
  <si>
    <r>
      <t>Câble cuivre nu 1x29mm</t>
    </r>
    <r>
      <rPr>
        <vertAlign val="superscript"/>
        <sz val="12"/>
        <color theme="1"/>
        <rFont val="Arial Narrow"/>
        <family val="2"/>
      </rPr>
      <t>2</t>
    </r>
  </si>
  <si>
    <r>
      <t>Câble cuivre nu 1x38mm</t>
    </r>
    <r>
      <rPr>
        <vertAlign val="superscript"/>
        <sz val="12"/>
        <color theme="1"/>
        <rFont val="Arial Narrow"/>
        <family val="2"/>
      </rPr>
      <t>2</t>
    </r>
  </si>
  <si>
    <r>
      <t>Câble cuivre nu 1x48mm</t>
    </r>
    <r>
      <rPr>
        <vertAlign val="superscript"/>
        <sz val="12"/>
        <color theme="1"/>
        <rFont val="Arial Narrow"/>
        <family val="2"/>
      </rPr>
      <t>2</t>
    </r>
  </si>
  <si>
    <r>
      <t>Câble cuivre nu 1x75mm</t>
    </r>
    <r>
      <rPr>
        <vertAlign val="superscript"/>
        <sz val="12"/>
        <color theme="1"/>
        <rFont val="Arial Narrow"/>
        <family val="2"/>
      </rPr>
      <t>2</t>
    </r>
  </si>
  <si>
    <r>
      <t>Mise à la terre en câble cuivre nu 29 mm</t>
    </r>
    <r>
      <rPr>
        <vertAlign val="superscript"/>
        <sz val="12"/>
        <color theme="1"/>
        <rFont val="Arial Narrow"/>
        <family val="2"/>
      </rPr>
      <t xml:space="preserve">2 </t>
    </r>
    <r>
      <rPr>
        <sz val="12"/>
        <color theme="1"/>
        <rFont val="Arial Narrow"/>
        <family val="2"/>
      </rPr>
      <t>y compris liaison par raccords bimétalliques avec poteaux de structure</t>
    </r>
  </si>
  <si>
    <r>
      <t>Câble U500 VGV 2x1,5mm</t>
    </r>
    <r>
      <rPr>
        <vertAlign val="superscript"/>
        <sz val="12"/>
        <color theme="1"/>
        <rFont val="Arial Narrow"/>
        <family val="2"/>
      </rPr>
      <t>2</t>
    </r>
  </si>
  <si>
    <r>
      <t>Câble U500 VGV 2x2,5mm</t>
    </r>
    <r>
      <rPr>
        <vertAlign val="superscript"/>
        <sz val="12"/>
        <color theme="1"/>
        <rFont val="Arial Narrow"/>
        <family val="2"/>
      </rPr>
      <t>2</t>
    </r>
  </si>
  <si>
    <r>
      <t>Câble U500 VGV 2x4mm</t>
    </r>
    <r>
      <rPr>
        <vertAlign val="superscript"/>
        <sz val="12"/>
        <color theme="1"/>
        <rFont val="Arial Narrow"/>
        <family val="2"/>
      </rPr>
      <t>2</t>
    </r>
  </si>
  <si>
    <r>
      <t>Câble U500 VGV 2x6mm</t>
    </r>
    <r>
      <rPr>
        <vertAlign val="superscript"/>
        <sz val="12"/>
        <color theme="1"/>
        <rFont val="Arial Narrow"/>
        <family val="2"/>
      </rPr>
      <t>2</t>
    </r>
  </si>
  <si>
    <r>
      <t>Câble U500 VGV 3x1,5mm</t>
    </r>
    <r>
      <rPr>
        <vertAlign val="superscript"/>
        <sz val="12"/>
        <color theme="1"/>
        <rFont val="Arial Narrow"/>
        <family val="2"/>
      </rPr>
      <t>2</t>
    </r>
  </si>
  <si>
    <r>
      <t>Câble U500 VGV 3x2,5mm</t>
    </r>
    <r>
      <rPr>
        <vertAlign val="superscript"/>
        <sz val="12"/>
        <color theme="1"/>
        <rFont val="Arial Narrow"/>
        <family val="2"/>
      </rPr>
      <t>2</t>
    </r>
  </si>
  <si>
    <r>
      <t>Câble U500 VGV 3x4mm</t>
    </r>
    <r>
      <rPr>
        <vertAlign val="superscript"/>
        <sz val="12"/>
        <color theme="1"/>
        <rFont val="Arial Narrow"/>
        <family val="2"/>
      </rPr>
      <t>2</t>
    </r>
  </si>
  <si>
    <r>
      <t>Câble U500 VGV 3x6mm</t>
    </r>
    <r>
      <rPr>
        <vertAlign val="superscript"/>
        <sz val="12"/>
        <color theme="1"/>
        <rFont val="Arial Narrow"/>
        <family val="2"/>
      </rPr>
      <t>2</t>
    </r>
  </si>
  <si>
    <r>
      <t>Câble U500 VGV 4x1,5mm</t>
    </r>
    <r>
      <rPr>
        <vertAlign val="superscript"/>
        <sz val="12"/>
        <color theme="1"/>
        <rFont val="Arial Narrow"/>
        <family val="2"/>
      </rPr>
      <t>2</t>
    </r>
  </si>
  <si>
    <r>
      <t>Câble U500 VGV 4x2,5mm</t>
    </r>
    <r>
      <rPr>
        <vertAlign val="superscript"/>
        <sz val="12"/>
        <color theme="1"/>
        <rFont val="Arial Narrow"/>
        <family val="2"/>
      </rPr>
      <t>2</t>
    </r>
  </si>
  <si>
    <r>
      <t>Câble U500 VGV 4x4mm</t>
    </r>
    <r>
      <rPr>
        <vertAlign val="superscript"/>
        <sz val="12"/>
        <color theme="1"/>
        <rFont val="Arial Narrow"/>
        <family val="2"/>
      </rPr>
      <t>2</t>
    </r>
  </si>
  <si>
    <r>
      <t>Câble U500 VGV 4x6mm</t>
    </r>
    <r>
      <rPr>
        <vertAlign val="superscript"/>
        <sz val="12"/>
        <color theme="1"/>
        <rFont val="Arial Narrow"/>
        <family val="2"/>
      </rPr>
      <t>2</t>
    </r>
  </si>
  <si>
    <r>
      <t>Câble U500 VGV 4x10mm</t>
    </r>
    <r>
      <rPr>
        <vertAlign val="superscript"/>
        <sz val="12"/>
        <color theme="1"/>
        <rFont val="Arial Narrow"/>
        <family val="2"/>
      </rPr>
      <t>2</t>
    </r>
  </si>
  <si>
    <r>
      <t>Câble U500 VGV 5x1,5mm</t>
    </r>
    <r>
      <rPr>
        <vertAlign val="superscript"/>
        <sz val="12"/>
        <color theme="1"/>
        <rFont val="Arial Narrow"/>
        <family val="2"/>
      </rPr>
      <t>2</t>
    </r>
  </si>
  <si>
    <r>
      <t>Câble U500 VGV 5x2,5mm</t>
    </r>
    <r>
      <rPr>
        <vertAlign val="superscript"/>
        <sz val="12"/>
        <color theme="1"/>
        <rFont val="Arial Narrow"/>
        <family val="2"/>
      </rPr>
      <t>2</t>
    </r>
  </si>
  <si>
    <r>
      <t>Câble U500 VGV 5x4mm</t>
    </r>
    <r>
      <rPr>
        <vertAlign val="superscript"/>
        <sz val="12"/>
        <color theme="1"/>
        <rFont val="Arial Narrow"/>
        <family val="2"/>
      </rPr>
      <t>2</t>
    </r>
  </si>
  <si>
    <r>
      <t>Câble U500 VGV 5x6mm</t>
    </r>
    <r>
      <rPr>
        <vertAlign val="superscript"/>
        <sz val="12"/>
        <color theme="1"/>
        <rFont val="Arial Narrow"/>
        <family val="2"/>
      </rPr>
      <t>2</t>
    </r>
  </si>
  <si>
    <r>
      <t>Extincteur type CO</t>
    </r>
    <r>
      <rPr>
        <vertAlign val="sub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6kg</t>
    </r>
  </si>
  <si>
    <r>
      <t>Serrure ordinaire 2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choix</t>
    </r>
  </si>
  <si>
    <r>
      <t>Serrure ordinaire 1</t>
    </r>
    <r>
      <rPr>
        <vertAlign val="superscript"/>
        <sz val="12"/>
        <color theme="1"/>
        <rFont val="Arial Narrow"/>
        <family val="2"/>
      </rPr>
      <t>er</t>
    </r>
    <r>
      <rPr>
        <sz val="12"/>
        <color theme="1"/>
        <rFont val="Arial Narrow"/>
        <family val="2"/>
      </rPr>
      <t xml:space="preserve"> choix</t>
    </r>
  </si>
  <si>
    <t xml:space="preserve">             a-béton  </t>
  </si>
  <si>
    <t xml:space="preserve">             b-Aciers HA</t>
  </si>
  <si>
    <t>Beton semelles Isolées</t>
  </si>
  <si>
    <t xml:space="preserve">             a-béton</t>
  </si>
  <si>
    <t xml:space="preserve">             b-acier</t>
  </si>
  <si>
    <t xml:space="preserve">             c-coffrage   </t>
  </si>
  <si>
    <t xml:space="preserve">Apport de lit de sable d'épaisseur  5 cm </t>
  </si>
  <si>
    <t>Maçonnerie</t>
  </si>
  <si>
    <t>Amorce de poteaux et raidisseurs</t>
  </si>
  <si>
    <r>
      <t>Béton dosé à 350 kg/m</t>
    </r>
    <r>
      <rPr>
        <i/>
        <vertAlign val="superscript"/>
        <sz val="11"/>
        <color theme="1"/>
        <rFont val="Arial Narrow"/>
        <family val="2"/>
      </rPr>
      <t>3</t>
    </r>
  </si>
  <si>
    <t>Dallage en béton armé avec chape incorporée ép. 10 cm y/c treilli soudé</t>
  </si>
  <si>
    <t xml:space="preserve">Sous total 1 </t>
  </si>
  <si>
    <t>Sous total 2</t>
  </si>
  <si>
    <t>SUPERSTRUCTURE</t>
  </si>
  <si>
    <t xml:space="preserve">                  Total 2.3</t>
  </si>
  <si>
    <t>Béton dosé à 350 kg/m3</t>
  </si>
  <si>
    <t xml:space="preserve">    Chaînage haut et linteaux </t>
  </si>
  <si>
    <t xml:space="preserve">     Poteaux </t>
  </si>
  <si>
    <t xml:space="preserve">      Poutres :</t>
  </si>
  <si>
    <t>Chaînages bas et linteaux</t>
  </si>
  <si>
    <t xml:space="preserve">    Raidisseurs ou chainages vertcaux</t>
  </si>
  <si>
    <t xml:space="preserve">             a-béton </t>
  </si>
  <si>
    <t>o</t>
  </si>
  <si>
    <t>1.8</t>
  </si>
  <si>
    <t>2.9</t>
  </si>
  <si>
    <t>Fouilles en trou</t>
  </si>
  <si>
    <r>
      <t xml:space="preserve">Clique pour aller vers </t>
    </r>
    <r>
      <rPr>
        <u/>
        <sz val="16"/>
        <color theme="10"/>
        <rFont val="Arial"/>
        <family val="2"/>
      </rPr>
      <t>DQE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</si>
</sst>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#,##0.000"/>
    <numFmt numFmtId="166" formatCode="_-* #,##0\ _€_-;\-* #,##0\ _€_-;_-* &quot;-&quot;??\ _€_-;_-@_-"/>
    <numFmt numFmtId="167" formatCode="#,##0_ ;\-#,##0\ "/>
    <numFmt numFmtId="168" formatCode="0.0000"/>
    <numFmt numFmtId="169" formatCode="0.00;[Red]0.00"/>
  </numFmts>
  <fonts count="14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8"/>
      <color theme="10"/>
      <name val="Arial"/>
      <family val="2"/>
    </font>
    <font>
      <sz val="8"/>
      <color indexed="81"/>
      <name val="Tahoma"/>
      <family val="2"/>
    </font>
    <font>
      <vertAlign val="superscript"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u/>
      <sz val="11"/>
      <color rgb="FF3333CC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name val="Cambria"/>
      <family val="1"/>
      <scheme val="major"/>
    </font>
    <font>
      <sz val="11"/>
      <color rgb="FF3333CC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vertAlign val="superscript"/>
      <sz val="11"/>
      <color rgb="FFFF0000"/>
      <name val="Calibri"/>
      <family val="2"/>
    </font>
    <font>
      <vertAlign val="subscript"/>
      <sz val="12.1"/>
      <color rgb="FFFF0000"/>
      <name val="Calibri"/>
      <family val="2"/>
    </font>
    <font>
      <sz val="12.1"/>
      <color theme="1"/>
      <name val="Calibri"/>
      <family val="2"/>
    </font>
    <font>
      <vertAlign val="subscript"/>
      <sz val="11"/>
      <color rgb="FFFF0000"/>
      <name val="Calibri"/>
      <family val="2"/>
      <scheme val="minor"/>
    </font>
    <font>
      <vertAlign val="subscript"/>
      <sz val="11"/>
      <color rgb="FFFF0000"/>
      <name val="Calibri"/>
      <family val="2"/>
    </font>
    <font>
      <u/>
      <sz val="8"/>
      <color indexed="81"/>
      <name val="Tahoma"/>
      <family val="2"/>
    </font>
    <font>
      <sz val="11"/>
      <name val="Calibri"/>
      <family val="2"/>
    </font>
    <font>
      <sz val="11"/>
      <color rgb="FF3333CC"/>
      <name val="Calibri"/>
      <family val="2"/>
    </font>
    <font>
      <vertAlign val="subscript"/>
      <sz val="11"/>
      <color rgb="FF3333CC"/>
      <name val="Calibri"/>
      <family val="2"/>
    </font>
    <font>
      <vertAlign val="subscript"/>
      <sz val="11"/>
      <color rgb="FF3333CC"/>
      <name val="Calibri"/>
      <family val="2"/>
      <scheme val="minor"/>
    </font>
    <font>
      <vertAlign val="subscript"/>
      <sz val="11"/>
      <name val="Calibri"/>
      <family val="2"/>
    </font>
    <font>
      <u/>
      <sz val="11"/>
      <color rgb="FFFF0000"/>
      <name val="Calibri"/>
      <family val="2"/>
      <scheme val="minor"/>
    </font>
    <font>
      <vertAlign val="superscript"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3333CC"/>
      <name val="Calibri"/>
      <family val="2"/>
      <scheme val="minor"/>
    </font>
    <font>
      <b/>
      <vertAlign val="subscript"/>
      <sz val="11"/>
      <color rgb="FF3333CC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vertAlign val="subscript"/>
      <sz val="11"/>
      <color rgb="FF00B050"/>
      <name val="Calibri"/>
      <family val="2"/>
      <scheme val="minor"/>
    </font>
    <font>
      <b/>
      <sz val="8"/>
      <color indexed="81"/>
      <name val="Tahoma"/>
      <family val="2"/>
    </font>
    <font>
      <u/>
      <vertAlign val="subscript"/>
      <sz val="11"/>
      <color rgb="FF3333CC"/>
      <name val="Calibri"/>
      <family val="2"/>
      <scheme val="minor"/>
    </font>
    <font>
      <u/>
      <sz val="11"/>
      <name val="Calibri"/>
      <family val="2"/>
      <scheme val="minor"/>
    </font>
    <font>
      <vertAlign val="superscript"/>
      <sz val="11"/>
      <color rgb="FF3333CC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0"/>
      <color indexed="8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 Narrow"/>
      <family val="2"/>
    </font>
    <font>
      <u/>
      <sz val="12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0"/>
      <color indexed="81"/>
      <name val="Tahoma"/>
      <family val="2"/>
    </font>
    <font>
      <b/>
      <u/>
      <sz val="11"/>
      <color rgb="FFFF0000"/>
      <name val="Arial Narrow"/>
      <family val="2"/>
    </font>
    <font>
      <u/>
      <sz val="11"/>
      <color rgb="FFFF0000"/>
      <name val="Arial Narrow"/>
      <family val="2"/>
    </font>
    <font>
      <b/>
      <sz val="11"/>
      <color indexed="81"/>
      <name val="Arial Narrow"/>
      <family val="2"/>
    </font>
    <font>
      <b/>
      <vertAlign val="superscript"/>
      <sz val="1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rgb="FFFFFF00"/>
      <name val="Arial Narrow"/>
      <family val="2"/>
    </font>
    <font>
      <b/>
      <u val="double"/>
      <sz val="11"/>
      <color rgb="FFFF0000"/>
      <name val="Arial Narrow"/>
      <family val="2"/>
    </font>
    <font>
      <b/>
      <sz val="12"/>
      <color rgb="FF03F109"/>
      <name val="Arial Narrow"/>
      <family val="2"/>
    </font>
    <font>
      <b/>
      <vertAlign val="superscript"/>
      <sz val="12"/>
      <color rgb="FFFFFF00"/>
      <name val="Arial Narrow"/>
      <family val="2"/>
    </font>
    <font>
      <b/>
      <sz val="11"/>
      <color rgb="FF7030A0"/>
      <name val="Arial Narrow"/>
      <family val="2"/>
    </font>
    <font>
      <sz val="11"/>
      <color rgb="FF7030A0"/>
      <name val="Arial Narrow"/>
      <family val="2"/>
    </font>
    <font>
      <b/>
      <vertAlign val="superscript"/>
      <sz val="11"/>
      <color theme="1"/>
      <name val="Arial Narrow"/>
      <family val="2"/>
    </font>
    <font>
      <b/>
      <sz val="12"/>
      <color indexed="81"/>
      <name val="Arial Narrow"/>
      <family val="2"/>
    </font>
    <font>
      <b/>
      <sz val="12"/>
      <color theme="1"/>
      <name val="Arial Narrow"/>
      <family val="2"/>
    </font>
    <font>
      <b/>
      <i/>
      <sz val="11"/>
      <color rgb="FFFFFF00"/>
      <name val="Arial Narrow"/>
      <family val="2"/>
    </font>
    <font>
      <sz val="11"/>
      <color rgb="FFFFFF00"/>
      <name val="Arial Narrow"/>
      <family val="2"/>
    </font>
    <font>
      <sz val="11"/>
      <color theme="0"/>
      <name val="Arial Narrow"/>
      <family val="2"/>
    </font>
    <font>
      <b/>
      <sz val="14"/>
      <color rgb="FF03F109"/>
      <name val="Arial Narrow"/>
      <family val="2"/>
    </font>
    <font>
      <b/>
      <i/>
      <sz val="12"/>
      <color rgb="FFFFFF00"/>
      <name val="Arial Narrow"/>
      <family val="2"/>
    </font>
    <font>
      <b/>
      <sz val="12"/>
      <name val="Arial Narrow"/>
      <family val="2"/>
    </font>
    <font>
      <b/>
      <sz val="11"/>
      <color indexed="81"/>
      <name val="Tahoma"/>
      <family val="2"/>
    </font>
    <font>
      <b/>
      <sz val="16"/>
      <color indexed="81"/>
      <name val="MT Extra"/>
      <family val="1"/>
      <charset val="2"/>
    </font>
    <font>
      <b/>
      <sz val="12"/>
      <color rgb="FF7030A0"/>
      <name val="Arial Narrow"/>
      <family val="2"/>
    </font>
    <font>
      <b/>
      <sz val="10"/>
      <color theme="1"/>
      <name val="Arial Narrow"/>
      <family val="2"/>
    </font>
    <font>
      <b/>
      <sz val="12"/>
      <color rgb="FF0000FF"/>
      <name val="Arial Narrow"/>
      <family val="2"/>
    </font>
    <font>
      <b/>
      <i/>
      <sz val="12"/>
      <color rgb="FF0000FF"/>
      <name val="Arial Narrow"/>
      <family val="2"/>
    </font>
    <font>
      <b/>
      <sz val="11"/>
      <color rgb="FF0000FF"/>
      <name val="Arial Narrow"/>
      <family val="2"/>
    </font>
    <font>
      <i/>
      <sz val="11"/>
      <color rgb="FFFFFF00"/>
      <name val="Arial Narrow"/>
      <family val="2"/>
    </font>
    <font>
      <b/>
      <sz val="11"/>
      <color rgb="FF7DA2AB"/>
      <name val="Arial Narrow"/>
      <family val="2"/>
    </font>
    <font>
      <b/>
      <i/>
      <sz val="11"/>
      <color rgb="FFFF0000"/>
      <name val="Arial Narrow"/>
      <family val="2"/>
    </font>
    <font>
      <b/>
      <i/>
      <sz val="11"/>
      <color rgb="FF0000FF"/>
      <name val="Arial Narrow"/>
      <family val="2"/>
    </font>
    <font>
      <b/>
      <i/>
      <sz val="8"/>
      <color rgb="FFFFFF00"/>
      <name val="Arial Narrow"/>
      <family val="2"/>
    </font>
    <font>
      <sz val="16"/>
      <color rgb="FFFFFF00"/>
      <name val="MT Extra"/>
      <family val="1"/>
      <charset val="2"/>
    </font>
    <font>
      <b/>
      <i/>
      <sz val="14"/>
      <color rgb="FFFFFF00"/>
      <name val="Arial Narrow"/>
      <family val="2"/>
    </font>
    <font>
      <i/>
      <sz val="16"/>
      <color rgb="FFFFFF00"/>
      <name val="Arial Narrow"/>
      <family val="2"/>
    </font>
    <font>
      <b/>
      <i/>
      <sz val="11"/>
      <color rgb="FF03F109"/>
      <name val="Arial Narrow"/>
      <family val="2"/>
    </font>
    <font>
      <b/>
      <sz val="14"/>
      <color rgb="FFFFFF00"/>
      <name val="Arial Narrow"/>
      <family val="2"/>
    </font>
    <font>
      <b/>
      <sz val="13"/>
      <color rgb="FF7030A0"/>
      <name val="Arial Narrow"/>
      <family val="2"/>
    </font>
    <font>
      <vertAlign val="superscript"/>
      <sz val="11"/>
      <color rgb="FFFFFF00"/>
      <name val="Arial Narrow"/>
      <family val="2"/>
    </font>
    <font>
      <b/>
      <vertAlign val="superscript"/>
      <sz val="11"/>
      <color rgb="FFFFFF00"/>
      <name val="Arial Narrow"/>
      <family val="2"/>
    </font>
    <font>
      <i/>
      <sz val="12"/>
      <color theme="1"/>
      <name val="Arial Narrow"/>
      <family val="2"/>
    </font>
    <font>
      <b/>
      <sz val="18"/>
      <color rgb="FFFFFF00"/>
      <name val="Arial Narrow"/>
      <family val="2"/>
    </font>
    <font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2"/>
      <color theme="0"/>
      <name val="Arial Narrow"/>
      <family val="2"/>
    </font>
    <font>
      <sz val="10"/>
      <color indexed="81"/>
      <name val="Arial Narrow"/>
      <family val="2"/>
    </font>
    <font>
      <b/>
      <i/>
      <sz val="12"/>
      <color theme="0"/>
      <name val="Arial Narrow"/>
      <family val="2"/>
    </font>
    <font>
      <b/>
      <sz val="13"/>
      <color theme="0"/>
      <name val="Arial Narrow"/>
      <family val="2"/>
    </font>
    <font>
      <b/>
      <sz val="14"/>
      <color rgb="FF7030A0"/>
      <name val="Arial Narrow"/>
      <family val="2"/>
    </font>
    <font>
      <sz val="14"/>
      <color rgb="FF7030A0"/>
      <name val="Arial Narrow"/>
      <family val="2"/>
    </font>
    <font>
      <vertAlign val="superscript"/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vertAlign val="superscript"/>
      <sz val="11"/>
      <color theme="1"/>
      <name val="Arial Narrow"/>
      <family val="2"/>
    </font>
    <font>
      <u/>
      <sz val="11"/>
      <color theme="1"/>
      <name val="Arial Narrow"/>
      <family val="2"/>
    </font>
    <font>
      <vertAlign val="subscript"/>
      <sz val="11"/>
      <color theme="1"/>
      <name val="Arial Narrow"/>
      <family val="2"/>
    </font>
    <font>
      <b/>
      <u/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vertAlign val="superscript"/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4"/>
      <color theme="1"/>
      <name val="Arial Narrow"/>
      <family val="2"/>
    </font>
    <font>
      <b/>
      <i/>
      <vertAlign val="superscript"/>
      <sz val="12"/>
      <color theme="1"/>
      <name val="Arial Narrow"/>
      <family val="2"/>
    </font>
    <font>
      <vertAlign val="subscript"/>
      <sz val="12"/>
      <color theme="1"/>
      <name val="Arial Narrow"/>
      <family val="2"/>
    </font>
    <font>
      <sz val="10"/>
      <name val="MS Sans Serif"/>
      <family val="2"/>
    </font>
    <font>
      <sz val="12"/>
      <name val="Arial Narrow"/>
      <family val="2"/>
    </font>
    <font>
      <sz val="13"/>
      <color theme="1"/>
      <name val="Wingdings"/>
      <charset val="2"/>
    </font>
    <font>
      <sz val="11"/>
      <color theme="1"/>
      <name val="Wingdings"/>
      <charset val="2"/>
    </font>
    <font>
      <sz val="11"/>
      <color theme="1"/>
      <name val="Verdana"/>
      <family val="2"/>
    </font>
    <font>
      <u/>
      <sz val="11"/>
      <color theme="10"/>
      <name val="Verdana"/>
      <family val="2"/>
    </font>
    <font>
      <b/>
      <sz val="16"/>
      <name val="Arial Narrow"/>
      <family val="2"/>
    </font>
    <font>
      <b/>
      <sz val="11"/>
      <color theme="1"/>
      <name val="Verdana"/>
      <family val="2"/>
    </font>
    <font>
      <u/>
      <sz val="14"/>
      <color theme="10"/>
      <name val="Arial"/>
      <family val="2"/>
    </font>
    <font>
      <u/>
      <sz val="16"/>
      <color theme="10"/>
      <name val="Arial"/>
      <family val="2"/>
    </font>
    <font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CFE9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DA2A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7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hair">
        <color indexed="64"/>
      </left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/>
      <right style="hair">
        <color indexed="64"/>
      </right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hair">
        <color indexed="64"/>
      </left>
      <right style="hair">
        <color indexed="64"/>
      </right>
      <top style="double">
        <color theme="0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/>
      <bottom/>
      <diagonal/>
    </border>
    <border>
      <left style="hair">
        <color theme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 style="medium">
        <color rgb="FFFFFF00"/>
      </right>
      <top/>
      <bottom style="medium">
        <color rgb="FFFFFF00"/>
      </bottom>
      <diagonal/>
    </border>
    <border>
      <left/>
      <right style="hair">
        <color indexed="64"/>
      </right>
      <top style="double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indexed="64"/>
      </right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medium">
        <color theme="0"/>
      </left>
      <right style="medium">
        <color indexed="64"/>
      </right>
      <top style="double">
        <color theme="0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double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hair">
        <color indexed="64"/>
      </bottom>
      <diagonal/>
    </border>
    <border>
      <left style="hair">
        <color indexed="64"/>
      </left>
      <right style="medium">
        <color theme="0"/>
      </right>
      <top style="medium">
        <color theme="0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hair">
        <color indexed="64"/>
      </top>
      <bottom style="medium">
        <color theme="0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rgb="FFFFFF00"/>
      </left>
      <right style="medium">
        <color rgb="FFFFFF00"/>
      </right>
      <top/>
      <bottom/>
      <diagonal/>
    </border>
    <border>
      <left style="medium">
        <color rgb="FFFFFF00"/>
      </left>
      <right style="medium">
        <color rgb="FFFFFF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rgb="FFFFFF00"/>
      </top>
      <bottom style="hair">
        <color indexed="64"/>
      </bottom>
      <diagonal/>
    </border>
    <border>
      <left style="hair">
        <color indexed="64"/>
      </left>
      <right style="medium">
        <color rgb="FFFFFF00"/>
      </right>
      <top style="medium">
        <color rgb="FFFFFF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FFFF00"/>
      </bottom>
      <diagonal/>
    </border>
    <border>
      <left/>
      <right style="hair">
        <color indexed="64"/>
      </right>
      <top style="medium">
        <color rgb="FFFFFF00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rgb="FFFFFF00"/>
      </bottom>
      <diagonal/>
    </border>
    <border>
      <left style="medium">
        <color rgb="FFFFFF00"/>
      </left>
      <right style="medium">
        <color rgb="FFFFFF00"/>
      </right>
      <top style="hair">
        <color indexed="64"/>
      </top>
      <bottom/>
      <diagonal/>
    </border>
    <border>
      <left style="medium">
        <color rgb="FFFFFF00"/>
      </left>
      <right style="medium">
        <color rgb="FFFFFF00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rgb="FFFFFF00"/>
      </top>
      <bottom style="medium">
        <color rgb="FFFFFF00"/>
      </bottom>
      <diagonal/>
    </border>
    <border>
      <left style="medium">
        <color rgb="FFFF0000"/>
      </left>
      <right style="medium">
        <color rgb="FFFFFF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hair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 style="hair">
        <color indexed="64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 style="medium">
        <color indexed="64"/>
      </top>
      <bottom/>
      <diagonal/>
    </border>
    <border>
      <left style="medium">
        <color rgb="FFFFFF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FF0000"/>
      </top>
      <bottom style="medium">
        <color rgb="FFFF0000"/>
      </bottom>
      <diagonal/>
    </border>
    <border>
      <left style="hair">
        <color indexed="64"/>
      </left>
      <right style="medium">
        <color rgb="FFFFFF00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hair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0000"/>
      </top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FF00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9" fillId="0" borderId="0"/>
    <xf numFmtId="0" fontId="133" fillId="0" borderId="0"/>
    <xf numFmtId="44" fontId="133" fillId="0" borderId="0" applyFont="0" applyFill="0" applyBorder="0" applyAlignment="0" applyProtection="0"/>
    <xf numFmtId="43" fontId="133" fillId="0" borderId="0" applyFont="0" applyFill="0" applyBorder="0" applyAlignment="0" applyProtection="0"/>
    <xf numFmtId="0" fontId="134" fillId="0" borderId="0" applyNumberFormat="0" applyFill="0" applyBorder="0" applyAlignment="0" applyProtection="0"/>
  </cellStyleXfs>
  <cellXfs count="1257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right"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8" fillId="0" borderId="0" xfId="0" applyFont="1" applyAlignment="1" applyProtection="1">
      <alignment textRotation="90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4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quotePrefix="1" applyBorder="1" applyProtection="1">
      <protection hidden="1"/>
    </xf>
    <xf numFmtId="4" fontId="0" fillId="0" borderId="2" xfId="0" applyNumberFormat="1" applyFill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0" fillId="0" borderId="11" xfId="0" applyBorder="1" applyProtection="1">
      <protection hidden="1"/>
    </xf>
    <xf numFmtId="0" fontId="0" fillId="0" borderId="0" xfId="0" applyBorder="1" applyProtection="1">
      <protection hidden="1"/>
    </xf>
    <xf numFmtId="3" fontId="0" fillId="0" borderId="2" xfId="0" applyNumberFormat="1" applyFill="1" applyBorder="1" applyAlignment="1" applyProtection="1">
      <alignment horizontal="center"/>
      <protection hidden="1"/>
    </xf>
    <xf numFmtId="0" fontId="8" fillId="0" borderId="0" xfId="0" quotePrefix="1" applyFont="1" applyBorder="1" applyAlignment="1" applyProtection="1">
      <alignment vertical="center"/>
      <protection hidden="1"/>
    </xf>
    <xf numFmtId="2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quotePrefix="1" applyFill="1" applyBorder="1" applyProtection="1">
      <protection hidden="1"/>
    </xf>
    <xf numFmtId="0" fontId="25" fillId="0" borderId="0" xfId="0" quotePrefix="1" applyFont="1" applyBorder="1" applyProtection="1">
      <protection hidden="1"/>
    </xf>
    <xf numFmtId="0" fontId="0" fillId="0" borderId="2" xfId="0" applyBorder="1" applyAlignment="1" applyProtection="1">
      <alignment horizontal="center"/>
      <protection locked="0" hidden="1"/>
    </xf>
    <xf numFmtId="0" fontId="0" fillId="0" borderId="0" xfId="0" applyBorder="1" applyAlignment="1" applyProtection="1">
      <alignment horizontal="center" vertical="center"/>
      <protection locked="0" hidden="1"/>
    </xf>
    <xf numFmtId="0" fontId="25" fillId="0" borderId="0" xfId="0" quotePrefix="1" applyFont="1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center" vertical="center"/>
      <protection locked="0" hidden="1"/>
    </xf>
    <xf numFmtId="0" fontId="0" fillId="0" borderId="0" xfId="0" quotePrefix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49" fontId="0" fillId="0" borderId="0" xfId="0" quotePrefix="1" applyNumberFormat="1" applyFill="1" applyBorder="1" applyProtection="1">
      <protection hidden="1"/>
    </xf>
    <xf numFmtId="0" fontId="25" fillId="0" borderId="0" xfId="0" applyFont="1" applyProtection="1">
      <protection hidden="1"/>
    </xf>
    <xf numFmtId="0" fontId="0" fillId="0" borderId="0" xfId="0" applyBorder="1" applyAlignment="1" applyProtection="1">
      <protection hidden="1"/>
    </xf>
    <xf numFmtId="4" fontId="0" fillId="0" borderId="2" xfId="0" applyNumberFormat="1" applyFill="1" applyBorder="1" applyAlignment="1" applyProtection="1">
      <alignment horizontal="center"/>
      <protection locked="0" hidden="1"/>
    </xf>
    <xf numFmtId="0" fontId="8" fillId="0" borderId="0" xfId="0" quotePrefix="1" applyFont="1" applyBorder="1" applyProtection="1">
      <protection hidden="1"/>
    </xf>
    <xf numFmtId="0" fontId="18" fillId="0" borderId="0" xfId="0" applyFont="1" applyProtection="1">
      <protection hidden="1"/>
    </xf>
    <xf numFmtId="0" fontId="18" fillId="8" borderId="0" xfId="0" applyFont="1" applyFill="1" applyBorder="1" applyAlignment="1" applyProtection="1">
      <alignment vertical="center" textRotation="90"/>
      <protection hidden="1"/>
    </xf>
    <xf numFmtId="0" fontId="18" fillId="8" borderId="12" xfId="0" applyFont="1" applyFill="1" applyBorder="1" applyAlignment="1" applyProtection="1">
      <alignment vertical="center" textRotation="90"/>
      <protection hidden="1"/>
    </xf>
    <xf numFmtId="3" fontId="0" fillId="0" borderId="2" xfId="0" applyNumberFormat="1" applyBorder="1" applyAlignment="1" applyProtection="1">
      <alignment horizontal="center"/>
      <protection hidden="1"/>
    </xf>
    <xf numFmtId="3" fontId="0" fillId="0" borderId="1" xfId="0" applyNumberFormat="1" applyBorder="1" applyAlignment="1" applyProtection="1">
      <alignment horizontal="center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quotePrefix="1" applyBorder="1" applyAlignment="1" applyProtection="1">
      <protection hidden="1"/>
    </xf>
    <xf numFmtId="0" fontId="0" fillId="0" borderId="14" xfId="0" applyBorder="1" applyProtection="1">
      <protection hidden="1"/>
    </xf>
    <xf numFmtId="0" fontId="0" fillId="0" borderId="1" xfId="0" applyFill="1" applyBorder="1" applyAlignment="1" applyProtection="1">
      <alignment vertical="center" wrapText="1"/>
      <protection hidden="1"/>
    </xf>
    <xf numFmtId="2" fontId="0" fillId="0" borderId="2" xfId="0" applyNumberFormat="1" applyFill="1" applyBorder="1" applyAlignment="1" applyProtection="1">
      <alignment horizontal="center"/>
      <protection hidden="1"/>
    </xf>
    <xf numFmtId="0" fontId="33" fillId="0" borderId="0" xfId="0" quotePrefix="1" applyFont="1" applyFill="1" applyBorder="1" applyAlignment="1" applyProtection="1">
      <alignment horizontal="left" vertical="center"/>
      <protection hidden="1"/>
    </xf>
    <xf numFmtId="0" fontId="21" fillId="0" borderId="11" xfId="0" applyFont="1" applyBorder="1" applyAlignment="1" applyProtection="1">
      <alignment vertical="center"/>
      <protection hidden="1"/>
    </xf>
    <xf numFmtId="164" fontId="0" fillId="0" borderId="0" xfId="0" applyNumberFormat="1" applyFill="1" applyBorder="1" applyAlignment="1" applyProtection="1">
      <alignment horizontal="center"/>
      <protection hidden="1"/>
    </xf>
    <xf numFmtId="165" fontId="0" fillId="0" borderId="2" xfId="0" applyNumberFormat="1" applyFill="1" applyBorder="1" applyAlignment="1" applyProtection="1">
      <alignment horizontal="center" vertical="center"/>
      <protection hidden="1"/>
    </xf>
    <xf numFmtId="164" fontId="0" fillId="0" borderId="2" xfId="0" applyNumberFormat="1" applyFill="1" applyBorder="1" applyAlignment="1" applyProtection="1">
      <alignment horizontal="center"/>
      <protection hidden="1"/>
    </xf>
    <xf numFmtId="0" fontId="0" fillId="0" borderId="11" xfId="0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0" fillId="0" borderId="11" xfId="0" applyFill="1" applyBorder="1" applyProtection="1"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4" fontId="8" fillId="0" borderId="2" xfId="0" applyNumberFormat="1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vertical="center"/>
      <protection hidden="1"/>
    </xf>
    <xf numFmtId="0" fontId="0" fillId="0" borderId="0" xfId="0" applyFill="1" applyBorder="1" applyProtection="1">
      <protection hidden="1"/>
    </xf>
    <xf numFmtId="0" fontId="38" fillId="0" borderId="0" xfId="0" applyFont="1" applyBorder="1" applyAlignment="1" applyProtection="1">
      <alignment horizontal="center"/>
      <protection hidden="1"/>
    </xf>
    <xf numFmtId="2" fontId="0" fillId="0" borderId="2" xfId="0" applyNumberFormat="1" applyBorder="1" applyAlignment="1" applyProtection="1">
      <alignment horizontal="center"/>
      <protection hidden="1"/>
    </xf>
    <xf numFmtId="2" fontId="0" fillId="0" borderId="0" xfId="0" applyNumberFormat="1" applyBorder="1" applyAlignment="1" applyProtection="1">
      <alignment horizontal="center"/>
      <protection hidden="1"/>
    </xf>
    <xf numFmtId="164" fontId="0" fillId="0" borderId="0" xfId="0" applyNumberFormat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right" vertical="center"/>
      <protection hidden="1"/>
    </xf>
    <xf numFmtId="164" fontId="0" fillId="0" borderId="2" xfId="0" applyNumberFormat="1" applyBorder="1" applyAlignment="1" applyProtection="1">
      <alignment horizontal="center"/>
      <protection hidden="1"/>
    </xf>
    <xf numFmtId="4" fontId="0" fillId="0" borderId="2" xfId="0" applyNumberFormat="1" applyBorder="1" applyAlignment="1" applyProtection="1">
      <alignment horizontal="center"/>
      <protection hidden="1"/>
    </xf>
    <xf numFmtId="4" fontId="0" fillId="0" borderId="0" xfId="0" applyNumberFormat="1" applyBorder="1" applyAlignment="1" applyProtection="1">
      <alignment horizontal="center"/>
      <protection hidden="1"/>
    </xf>
    <xf numFmtId="4" fontId="0" fillId="0" borderId="13" xfId="0" applyNumberFormat="1" applyFill="1" applyBorder="1" applyAlignment="1" applyProtection="1">
      <alignment horizontal="center"/>
      <protection hidden="1"/>
    </xf>
    <xf numFmtId="4" fontId="0" fillId="0" borderId="9" xfId="0" applyNumberFormat="1" applyFill="1" applyBorder="1" applyAlignment="1" applyProtection="1">
      <alignment horizontal="center"/>
      <protection hidden="1"/>
    </xf>
    <xf numFmtId="4" fontId="0" fillId="0" borderId="0" xfId="0" applyNumberFormat="1" applyProtection="1">
      <protection hidden="1"/>
    </xf>
    <xf numFmtId="4" fontId="0" fillId="0" borderId="1" xfId="0" applyNumberForma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center"/>
      <protection hidden="1"/>
    </xf>
    <xf numFmtId="0" fontId="40" fillId="0" borderId="0" xfId="0" applyFont="1" applyFill="1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0" fillId="0" borderId="0" xfId="0" quotePrefix="1" applyFill="1" applyBorder="1" applyAlignment="1" applyProtection="1">
      <alignment vertical="center"/>
      <protection hidden="1"/>
    </xf>
    <xf numFmtId="0" fontId="25" fillId="0" borderId="0" xfId="0" quotePrefix="1" applyFont="1" applyFill="1" applyBorder="1" applyProtection="1">
      <protection hidden="1"/>
    </xf>
    <xf numFmtId="2" fontId="0" fillId="0" borderId="2" xfId="0" applyNumberFormat="1" applyFill="1" applyBorder="1" applyAlignment="1" applyProtection="1">
      <alignment horizontal="center"/>
      <protection locked="0" hidden="1"/>
    </xf>
    <xf numFmtId="0" fontId="43" fillId="0" borderId="0" xfId="0" quotePrefix="1" applyFont="1" applyBorder="1" applyProtection="1">
      <protection hidden="1"/>
    </xf>
    <xf numFmtId="4" fontId="0" fillId="0" borderId="2" xfId="0" applyNumberFormat="1" applyBorder="1" applyAlignment="1" applyProtection="1">
      <alignment horizontal="center"/>
      <protection locked="0" hidden="1"/>
    </xf>
    <xf numFmtId="2" fontId="0" fillId="0" borderId="1" xfId="0" applyNumberFormat="1" applyFill="1" applyBorder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2" fontId="8" fillId="0" borderId="0" xfId="0" applyNumberFormat="1" applyFont="1" applyFill="1" applyBorder="1" applyAlignment="1" applyProtection="1">
      <alignment horizontal="center"/>
      <protection hidden="1"/>
    </xf>
    <xf numFmtId="0" fontId="38" fillId="0" borderId="0" xfId="0" applyFont="1" applyBorder="1" applyAlignment="1" applyProtection="1">
      <alignment vertical="center"/>
      <protection hidden="1"/>
    </xf>
    <xf numFmtId="2" fontId="0" fillId="0" borderId="0" xfId="0" applyNumberFormat="1" applyFill="1" applyBorder="1" applyAlignment="1" applyProtection="1">
      <alignment horizontal="center"/>
      <protection locked="0" hidden="1"/>
    </xf>
    <xf numFmtId="0" fontId="0" fillId="0" borderId="0" xfId="0" applyFill="1" applyProtection="1">
      <protection hidden="1"/>
    </xf>
    <xf numFmtId="0" fontId="25" fillId="0" borderId="0" xfId="0" applyFont="1" applyFill="1" applyProtection="1">
      <protection hidden="1"/>
    </xf>
    <xf numFmtId="0" fontId="0" fillId="0" borderId="0" xfId="0" applyFill="1" applyBorder="1" applyAlignment="1" applyProtection="1">
      <alignment horizontal="center"/>
      <protection locked="0" hidden="1"/>
    </xf>
    <xf numFmtId="0" fontId="0" fillId="0" borderId="9" xfId="0" applyBorder="1" applyAlignment="1" applyProtection="1">
      <alignment horizontal="center"/>
      <protection locked="0" hidden="1"/>
    </xf>
    <xf numFmtId="4" fontId="0" fillId="0" borderId="9" xfId="0" applyNumberFormat="1" applyBorder="1" applyAlignment="1" applyProtection="1">
      <alignment horizontal="center"/>
      <protection locked="0" hidden="1"/>
    </xf>
    <xf numFmtId="0" fontId="0" fillId="0" borderId="0" xfId="0" applyBorder="1" applyAlignment="1" applyProtection="1">
      <protection locked="0" hidden="1"/>
    </xf>
    <xf numFmtId="4" fontId="0" fillId="0" borderId="0" xfId="0" applyNumberFormat="1" applyBorder="1" applyAlignment="1" applyProtection="1">
      <alignment horizontal="center"/>
      <protection locked="0" hidden="1"/>
    </xf>
    <xf numFmtId="0" fontId="18" fillId="0" borderId="0" xfId="0" applyFont="1" applyAlignment="1" applyProtection="1">
      <alignment vertical="center"/>
      <protection hidden="1"/>
    </xf>
    <xf numFmtId="0" fontId="18" fillId="13" borderId="5" xfId="0" applyFont="1" applyFill="1" applyBorder="1" applyAlignment="1" applyProtection="1">
      <alignment vertical="center" textRotation="90"/>
      <protection hidden="1"/>
    </xf>
    <xf numFmtId="2" fontId="0" fillId="0" borderId="2" xfId="6" applyNumberFormat="1" applyFont="1" applyFill="1" applyBorder="1" applyAlignment="1" applyProtection="1">
      <alignment horizontal="center" vertical="center"/>
      <protection hidden="1"/>
    </xf>
    <xf numFmtId="2" fontId="8" fillId="0" borderId="2" xfId="6" applyNumberFormat="1" applyFont="1" applyFill="1" applyBorder="1" applyAlignment="1" applyProtection="1">
      <alignment horizontal="center" vertical="center"/>
      <protection hidden="1"/>
    </xf>
    <xf numFmtId="2" fontId="0" fillId="0" borderId="0" xfId="6" applyNumberFormat="1" applyFont="1" applyFill="1" applyBorder="1" applyAlignment="1" applyProtection="1">
      <alignment horizontal="center" vertical="center"/>
      <protection hidden="1"/>
    </xf>
    <xf numFmtId="164" fontId="0" fillId="0" borderId="0" xfId="6" applyNumberFormat="1" applyFont="1" applyFill="1" applyBorder="1" applyAlignment="1" applyProtection="1">
      <alignment horizontal="center" vertical="center"/>
      <protection hidden="1"/>
    </xf>
    <xf numFmtId="4" fontId="0" fillId="0" borderId="0" xfId="6" applyNumberFormat="1" applyFont="1" applyFill="1" applyBorder="1" applyAlignment="1" applyProtection="1">
      <alignment horizontal="center" vertical="center"/>
      <protection hidden="1"/>
    </xf>
    <xf numFmtId="4" fontId="0" fillId="0" borderId="2" xfId="6" applyNumberFormat="1" applyFont="1" applyFill="1" applyBorder="1" applyAlignment="1" applyProtection="1">
      <alignment horizontal="center" vertical="center"/>
      <protection locked="0" hidden="1"/>
    </xf>
    <xf numFmtId="2" fontId="0" fillId="0" borderId="4" xfId="6" applyNumberFormat="1" applyFont="1" applyBorder="1" applyAlignment="1" applyProtection="1">
      <alignment vertical="center"/>
      <protection hidden="1"/>
    </xf>
    <xf numFmtId="3" fontId="0" fillId="0" borderId="2" xfId="6" applyNumberFormat="1" applyFont="1" applyBorder="1" applyAlignment="1" applyProtection="1">
      <alignment horizontal="center" vertical="center"/>
      <protection locked="0" hidden="1"/>
    </xf>
    <xf numFmtId="4" fontId="0" fillId="0" borderId="2" xfId="6" applyNumberFormat="1" applyFont="1" applyBorder="1" applyAlignment="1" applyProtection="1">
      <alignment horizontal="center" vertical="center"/>
      <protection locked="0" hidden="1"/>
    </xf>
    <xf numFmtId="0" fontId="18" fillId="14" borderId="0" xfId="0" applyFont="1" applyFill="1" applyBorder="1" applyAlignment="1" applyProtection="1">
      <alignment vertical="center" textRotation="90"/>
      <protection hidden="1"/>
    </xf>
    <xf numFmtId="0" fontId="0" fillId="0" borderId="11" xfId="0" applyBorder="1" applyAlignment="1" applyProtection="1">
      <alignment vertical="top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4" fontId="0" fillId="0" borderId="2" xfId="6" applyNumberFormat="1" applyFont="1" applyFill="1" applyBorder="1" applyAlignment="1" applyProtection="1">
      <alignment horizontal="center" vertical="center"/>
      <protection hidden="1"/>
    </xf>
    <xf numFmtId="4" fontId="0" fillId="0" borderId="0" xfId="6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 applyAlignment="1" applyProtection="1">
      <alignment vertical="center"/>
      <protection hidden="1"/>
    </xf>
    <xf numFmtId="4" fontId="0" fillId="0" borderId="2" xfId="6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24" fillId="0" borderId="0" xfId="0" quotePrefix="1" applyFont="1" applyBorder="1" applyAlignment="1" applyProtection="1">
      <alignment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" fontId="0" fillId="0" borderId="5" xfId="6" applyNumberFormat="1" applyFont="1" applyBorder="1" applyAlignment="1" applyProtection="1">
      <alignment horizontal="center" vertical="center"/>
      <protection hidden="1"/>
    </xf>
    <xf numFmtId="4" fontId="0" fillId="0" borderId="0" xfId="0" applyNumberFormat="1" applyBorder="1" applyAlignment="1" applyProtection="1">
      <alignment horizontal="center" vertical="center"/>
      <protection hidden="1"/>
    </xf>
    <xf numFmtId="0" fontId="17" fillId="0" borderId="11" xfId="0" applyFont="1" applyFill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0" fillId="0" borderId="2" xfId="0" applyNumberFormat="1" applyBorder="1" applyAlignment="1" applyProtection="1">
      <alignment horizontal="center" vertical="center"/>
      <protection locked="0" hidden="1"/>
    </xf>
    <xf numFmtId="0" fontId="0" fillId="0" borderId="2" xfId="6" applyNumberFormat="1" applyFont="1" applyBorder="1" applyAlignment="1" applyProtection="1">
      <alignment horizontal="center" vertical="center"/>
      <protection locked="0" hidden="1"/>
    </xf>
    <xf numFmtId="0" fontId="13" fillId="0" borderId="11" xfId="0" applyFont="1" applyBorder="1" applyAlignment="1" applyProtection="1">
      <alignment horizontal="right" vertical="center"/>
      <protection hidden="1"/>
    </xf>
    <xf numFmtId="0" fontId="47" fillId="0" borderId="0" xfId="0" applyFont="1" applyBorder="1" applyAlignment="1" applyProtection="1">
      <alignment vertical="center"/>
      <protection hidden="1"/>
    </xf>
    <xf numFmtId="4" fontId="0" fillId="0" borderId="2" xfId="0" applyNumberFormat="1" applyBorder="1" applyAlignment="1" applyProtection="1">
      <alignment horizontal="center" vertical="center"/>
      <protection hidden="1"/>
    </xf>
    <xf numFmtId="0" fontId="21" fillId="0" borderId="0" xfId="0" quotePrefix="1" applyFont="1" applyBorder="1" applyAlignment="1" applyProtection="1">
      <alignment vertical="center"/>
      <protection hidden="1"/>
    </xf>
    <xf numFmtId="3" fontId="0" fillId="0" borderId="2" xfId="0" applyNumberFormat="1" applyBorder="1" applyAlignment="1" applyProtection="1">
      <alignment horizontal="center" vertical="center"/>
      <protection locked="0" hidden="1"/>
    </xf>
    <xf numFmtId="3" fontId="0" fillId="0" borderId="0" xfId="6" applyNumberFormat="1" applyFont="1" applyBorder="1" applyAlignment="1" applyProtection="1">
      <alignment horizontal="center" vertical="center"/>
      <protection hidden="1"/>
    </xf>
    <xf numFmtId="4" fontId="0" fillId="0" borderId="0" xfId="6" applyNumberFormat="1" applyFont="1" applyBorder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 hidden="1"/>
    </xf>
    <xf numFmtId="4" fontId="13" fillId="0" borderId="14" xfId="0" applyNumberFormat="1" applyFont="1" applyFill="1" applyBorder="1" applyAlignment="1" applyProtection="1">
      <alignment horizontal="center" vertical="center"/>
      <protection locked="0" hidden="1"/>
    </xf>
    <xf numFmtId="4" fontId="0" fillId="0" borderId="1" xfId="0" applyNumberFormat="1" applyFont="1" applyBorder="1" applyAlignment="1" applyProtection="1">
      <alignment horizontal="center" vertical="center"/>
      <protection locked="0" hidden="1"/>
    </xf>
    <xf numFmtId="4" fontId="0" fillId="0" borderId="1" xfId="0" applyNumberFormat="1" applyBorder="1" applyAlignment="1" applyProtection="1">
      <alignment horizontal="center" vertical="center"/>
      <protection locked="0" hidden="1"/>
    </xf>
    <xf numFmtId="4" fontId="0" fillId="0" borderId="1" xfId="0" applyNumberFormat="1" applyFill="1" applyBorder="1" applyAlignment="1" applyProtection="1">
      <alignment horizontal="center" vertical="center"/>
      <protection locked="0" hidden="1"/>
    </xf>
    <xf numFmtId="4" fontId="0" fillId="0" borderId="15" xfId="0" applyNumberFormat="1" applyBorder="1" applyAlignment="1" applyProtection="1">
      <alignment horizontal="center" vertical="center"/>
      <protection locked="0" hidden="1"/>
    </xf>
    <xf numFmtId="4" fontId="0" fillId="0" borderId="11" xfId="0" applyNumberFormat="1" applyFont="1" applyBorder="1" applyAlignment="1" applyProtection="1">
      <alignment horizontal="center" vertical="center"/>
      <protection locked="0" hidden="1"/>
    </xf>
    <xf numFmtId="4" fontId="13" fillId="0" borderId="0" xfId="0" applyNumberFormat="1" applyFont="1" applyFill="1" applyBorder="1" applyAlignment="1" applyProtection="1">
      <alignment horizontal="center" vertical="center"/>
      <protection locked="0" hidden="1"/>
    </xf>
    <xf numFmtId="4" fontId="0" fillId="0" borderId="0" xfId="0" applyNumberFormat="1" applyFont="1" applyBorder="1" applyAlignment="1" applyProtection="1">
      <alignment horizontal="center" vertical="center"/>
      <protection locked="0" hidden="1"/>
    </xf>
    <xf numFmtId="4" fontId="0" fillId="0" borderId="0" xfId="0" applyNumberFormat="1" applyBorder="1" applyAlignment="1" applyProtection="1">
      <alignment horizontal="center" vertical="center"/>
      <protection locked="0" hidden="1"/>
    </xf>
    <xf numFmtId="4" fontId="0" fillId="0" borderId="0" xfId="0" applyNumberFormat="1" applyFill="1" applyBorder="1" applyAlignment="1" applyProtection="1">
      <alignment horizontal="center" vertical="center"/>
      <protection locked="0" hidden="1"/>
    </xf>
    <xf numFmtId="4" fontId="0" fillId="0" borderId="12" xfId="0" applyNumberFormat="1" applyBorder="1" applyAlignment="1" applyProtection="1">
      <alignment horizontal="center" vertical="center"/>
      <protection locked="0" hidden="1"/>
    </xf>
    <xf numFmtId="4" fontId="0" fillId="0" borderId="11" xfId="0" applyNumberFormat="1" applyBorder="1" applyAlignment="1" applyProtection="1">
      <alignment horizontal="center" vertical="center"/>
      <protection locked="0" hidden="1"/>
    </xf>
    <xf numFmtId="4" fontId="0" fillId="0" borderId="0" xfId="0" applyNumberFormat="1" applyFont="1" applyFill="1" applyBorder="1" applyAlignment="1" applyProtection="1">
      <alignment horizontal="center" vertical="center"/>
      <protection locked="0" hidden="1"/>
    </xf>
    <xf numFmtId="4" fontId="0" fillId="0" borderId="11" xfId="0" applyNumberFormat="1" applyBorder="1" applyAlignment="1" applyProtection="1">
      <alignment horizontal="right" vertical="center"/>
      <protection locked="0" hidden="1"/>
    </xf>
    <xf numFmtId="4" fontId="0" fillId="0" borderId="0" xfId="0" applyNumberFormat="1" applyBorder="1" applyAlignment="1" applyProtection="1">
      <alignment horizontal="right" vertical="center"/>
      <protection locked="0" hidden="1"/>
    </xf>
    <xf numFmtId="4" fontId="0" fillId="0" borderId="5" xfId="0" applyNumberFormat="1" applyBorder="1" applyAlignment="1" applyProtection="1">
      <alignment horizontal="right" vertical="center"/>
      <protection locked="0" hidden="1"/>
    </xf>
    <xf numFmtId="4" fontId="0" fillId="0" borderId="5" xfId="0" applyNumberFormat="1" applyBorder="1" applyAlignment="1" applyProtection="1">
      <alignment horizontal="center" vertical="center"/>
      <protection locked="0" hidden="1"/>
    </xf>
    <xf numFmtId="4" fontId="13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0" xfId="0" applyBorder="1" applyProtection="1">
      <protection locked="0" hidden="1"/>
    </xf>
    <xf numFmtId="164" fontId="0" fillId="0" borderId="0" xfId="0" applyNumberFormat="1" applyProtection="1">
      <protection locked="0" hidden="1"/>
    </xf>
    <xf numFmtId="0" fontId="0" fillId="11" borderId="2" xfId="0" applyFill="1" applyBorder="1" applyAlignment="1" applyProtection="1">
      <alignment vertical="center" wrapText="1"/>
      <protection locked="0" hidden="1"/>
    </xf>
    <xf numFmtId="0" fontId="13" fillId="0" borderId="2" xfId="0" applyFont="1" applyFill="1" applyBorder="1" applyAlignment="1" applyProtection="1">
      <alignment horizontal="center" vertical="center"/>
      <protection locked="0" hidden="1"/>
    </xf>
    <xf numFmtId="0" fontId="0" fillId="4" borderId="2" xfId="0" applyFill="1" applyBorder="1" applyAlignment="1" applyProtection="1">
      <alignment vertical="center" wrapText="1"/>
      <protection locked="0" hidden="1"/>
    </xf>
    <xf numFmtId="2" fontId="0" fillId="0" borderId="13" xfId="0" applyNumberFormat="1" applyBorder="1" applyAlignment="1" applyProtection="1">
      <alignment horizontal="center" vertical="center"/>
      <protection hidden="1"/>
    </xf>
    <xf numFmtId="0" fontId="13" fillId="0" borderId="15" xfId="0" applyFont="1" applyFill="1" applyBorder="1" applyAlignment="1" applyProtection="1">
      <alignment horizontal="center"/>
      <protection locked="0" hidden="1"/>
    </xf>
    <xf numFmtId="0" fontId="13" fillId="0" borderId="13" xfId="0" applyFont="1" applyFill="1" applyBorder="1" applyAlignment="1" applyProtection="1">
      <alignment horizontal="center" vertical="center"/>
      <protection locked="0" hidden="1"/>
    </xf>
    <xf numFmtId="2" fontId="0" fillId="0" borderId="7" xfId="0" applyNumberFormat="1" applyBorder="1" applyAlignment="1" applyProtection="1">
      <alignment horizontal="center" vertical="center"/>
      <protection hidden="1"/>
    </xf>
    <xf numFmtId="0" fontId="13" fillId="0" borderId="12" xfId="0" applyFont="1" applyFill="1" applyBorder="1" applyAlignment="1" applyProtection="1">
      <alignment horizontal="center"/>
      <protection locked="0" hidden="1"/>
    </xf>
    <xf numFmtId="0" fontId="13" fillId="0" borderId="7" xfId="0" applyFont="1" applyFill="1" applyBorder="1" applyAlignment="1" applyProtection="1">
      <alignment horizontal="center" vertical="center"/>
      <protection locked="0" hidden="1"/>
    </xf>
    <xf numFmtId="3" fontId="0" fillId="0" borderId="0" xfId="0" applyNumberFormat="1" applyAlignment="1" applyProtection="1">
      <alignment horizontal="center" vertical="center"/>
      <protection locked="0" hidden="1"/>
    </xf>
    <xf numFmtId="2" fontId="0" fillId="0" borderId="0" xfId="0" applyNumberFormat="1" applyBorder="1" applyAlignment="1" applyProtection="1">
      <alignment horizontal="center" vertical="center"/>
      <protection locked="0" hidden="1"/>
    </xf>
    <xf numFmtId="0" fontId="13" fillId="0" borderId="0" xfId="0" applyFont="1" applyFill="1" applyBorder="1" applyAlignment="1" applyProtection="1">
      <alignment horizontal="center"/>
      <protection locked="0" hidden="1"/>
    </xf>
    <xf numFmtId="0" fontId="13" fillId="0" borderId="0" xfId="0" applyFont="1" applyFill="1" applyBorder="1" applyAlignment="1" applyProtection="1">
      <alignment horizontal="center" vertical="center"/>
      <protection locked="0" hidden="1"/>
    </xf>
    <xf numFmtId="2" fontId="0" fillId="0" borderId="13" xfId="0" applyNumberFormat="1" applyBorder="1" applyAlignment="1" applyProtection="1">
      <alignment horizontal="center" vertical="center"/>
      <protection locked="0" hidden="1"/>
    </xf>
    <xf numFmtId="2" fontId="0" fillId="0" borderId="7" xfId="0" applyNumberFormat="1" applyBorder="1" applyAlignment="1" applyProtection="1">
      <alignment horizontal="center" vertical="center"/>
      <protection locked="0" hidden="1"/>
    </xf>
    <xf numFmtId="0" fontId="8" fillId="3" borderId="0" xfId="0" applyFont="1" applyFill="1" applyAlignment="1" applyProtection="1">
      <alignment vertical="center" wrapText="1"/>
      <protection locked="0" hidden="1"/>
    </xf>
    <xf numFmtId="3" fontId="8" fillId="3" borderId="0" xfId="0" applyNumberFormat="1" applyFont="1" applyFill="1" applyAlignment="1" applyProtection="1">
      <alignment vertical="center" wrapText="1"/>
      <protection locked="0" hidden="1"/>
    </xf>
    <xf numFmtId="0" fontId="24" fillId="3" borderId="0" xfId="0" applyFont="1" applyFill="1" applyAlignment="1" applyProtection="1">
      <alignment vertical="center" wrapText="1"/>
      <protection locked="0" hidden="1"/>
    </xf>
    <xf numFmtId="3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3" xfId="0" quotePrefix="1" applyFont="1" applyFill="1" applyBorder="1" applyAlignment="1" applyProtection="1">
      <alignment vertical="center" wrapText="1"/>
      <protection locked="0" hidden="1"/>
    </xf>
    <xf numFmtId="0" fontId="8" fillId="3" borderId="13" xfId="0" applyFont="1" applyFill="1" applyBorder="1" applyAlignment="1" applyProtection="1">
      <alignment vertical="center" wrapText="1"/>
      <protection locked="0" hidden="1"/>
    </xf>
    <xf numFmtId="3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8" fillId="3" borderId="7" xfId="0" quotePrefix="1" applyFont="1" applyFill="1" applyBorder="1" applyAlignment="1" applyProtection="1">
      <alignment vertical="center" wrapText="1"/>
      <protection locked="0" hidden="1"/>
    </xf>
    <xf numFmtId="0" fontId="8" fillId="3" borderId="7" xfId="0" applyFont="1" applyFill="1" applyBorder="1" applyAlignment="1" applyProtection="1">
      <alignment vertical="center" wrapText="1"/>
      <protection locked="0" hidden="1"/>
    </xf>
    <xf numFmtId="3" fontId="8" fillId="3" borderId="9" xfId="6" applyNumberFormat="1" applyFont="1" applyFill="1" applyBorder="1" applyAlignment="1" applyProtection="1">
      <alignment horizontal="center" vertical="center"/>
      <protection locked="0" hidden="1"/>
    </xf>
    <xf numFmtId="0" fontId="8" fillId="3" borderId="9" xfId="0" quotePrefix="1" applyFont="1" applyFill="1" applyBorder="1" applyAlignment="1" applyProtection="1">
      <alignment vertical="center" wrapText="1"/>
      <protection locked="0" hidden="1"/>
    </xf>
    <xf numFmtId="0" fontId="24" fillId="3" borderId="9" xfId="0" applyFont="1" applyFill="1" applyBorder="1" applyAlignment="1" applyProtection="1">
      <alignment vertical="center" wrapText="1"/>
      <protection locked="0" hidden="1"/>
    </xf>
    <xf numFmtId="0" fontId="8" fillId="3" borderId="15" xfId="0" quotePrefix="1" applyFont="1" applyFill="1" applyBorder="1" applyAlignment="1" applyProtection="1">
      <alignment vertical="center"/>
      <protection locked="0" hidden="1"/>
    </xf>
    <xf numFmtId="0" fontId="8" fillId="3" borderId="12" xfId="0" quotePrefix="1" applyFont="1" applyFill="1" applyBorder="1" applyAlignment="1" applyProtection="1">
      <alignment vertical="center" wrapText="1"/>
      <protection locked="0" hidden="1"/>
    </xf>
    <xf numFmtId="1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13" fillId="3" borderId="12" xfId="0" applyFont="1" applyFill="1" applyBorder="1" applyAlignment="1" applyProtection="1">
      <alignment vertical="center" wrapText="1"/>
      <protection locked="0" hidden="1"/>
    </xf>
    <xf numFmtId="0" fontId="8" fillId="3" borderId="12" xfId="0" quotePrefix="1" applyFont="1" applyFill="1" applyBorder="1" applyAlignment="1" applyProtection="1">
      <alignment vertical="center"/>
      <protection locked="0" hidden="1"/>
    </xf>
    <xf numFmtId="0" fontId="8" fillId="3" borderId="9" xfId="0" applyFont="1" applyFill="1" applyBorder="1" applyAlignment="1" applyProtection="1">
      <alignment horizontal="center" vertical="center"/>
      <protection locked="0" hidden="1"/>
    </xf>
    <xf numFmtId="0" fontId="13" fillId="3" borderId="10" xfId="0" applyFont="1" applyFill="1" applyBorder="1" applyAlignment="1" applyProtection="1">
      <alignment vertical="center" wrapText="1"/>
      <protection locked="0" hidden="1"/>
    </xf>
    <xf numFmtId="0" fontId="9" fillId="4" borderId="2" xfId="0" applyFont="1" applyFill="1" applyBorder="1" applyAlignment="1" applyProtection="1">
      <alignment horizontal="center" vertical="center" wrapText="1"/>
      <protection locked="0" hidden="1"/>
    </xf>
    <xf numFmtId="0" fontId="9" fillId="4" borderId="3" xfId="0" applyFont="1" applyFill="1" applyBorder="1" applyAlignment="1" applyProtection="1">
      <alignment horizontal="center" vertical="center" wrapText="1"/>
      <protection locked="0" hidden="1"/>
    </xf>
    <xf numFmtId="166" fontId="8" fillId="3" borderId="0" xfId="6" applyNumberFormat="1" applyFont="1" applyFill="1" applyAlignment="1" applyProtection="1">
      <alignment vertical="center"/>
      <protection locked="0" hidden="1"/>
    </xf>
    <xf numFmtId="0" fontId="8" fillId="3" borderId="2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2" xfId="6" quotePrefix="1" applyNumberFormat="1" applyFont="1" applyFill="1" applyBorder="1" applyAlignment="1" applyProtection="1">
      <alignment vertical="center"/>
      <protection locked="0" hidden="1"/>
    </xf>
    <xf numFmtId="0" fontId="9" fillId="4" borderId="2" xfId="6" applyNumberFormat="1" applyFont="1" applyFill="1" applyBorder="1" applyAlignment="1" applyProtection="1">
      <alignment horizontal="center" vertical="center"/>
      <protection locked="0" hidden="1"/>
    </xf>
    <xf numFmtId="166" fontId="9" fillId="4" borderId="2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5" xfId="6" quotePrefix="1" applyNumberFormat="1" applyFont="1" applyFill="1" applyBorder="1" applyAlignment="1" applyProtection="1">
      <alignment vertical="center"/>
      <protection locked="0" hidden="1"/>
    </xf>
    <xf numFmtId="0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2" xfId="6" quotePrefix="1" applyNumberFormat="1" applyFont="1" applyFill="1" applyBorder="1" applyAlignment="1" applyProtection="1">
      <alignment vertical="center"/>
      <protection locked="0" hidden="1"/>
    </xf>
    <xf numFmtId="166" fontId="8" fillId="3" borderId="12" xfId="6" applyNumberFormat="1" applyFont="1" applyFill="1" applyBorder="1" applyAlignment="1" applyProtection="1">
      <alignment horizontal="center" vertical="center"/>
      <protection locked="0" hidden="1"/>
    </xf>
    <xf numFmtId="166" fontId="13" fillId="3" borderId="12" xfId="6" applyNumberFormat="1" applyFont="1" applyFill="1" applyBorder="1" applyAlignment="1" applyProtection="1">
      <alignment vertical="center"/>
      <protection locked="0" hidden="1"/>
    </xf>
    <xf numFmtId="0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6" fontId="13" fillId="3" borderId="10" xfId="6" applyNumberFormat="1" applyFont="1" applyFill="1" applyBorder="1" applyAlignment="1" applyProtection="1">
      <alignment vertical="center"/>
      <protection locked="0" hidden="1"/>
    </xf>
    <xf numFmtId="166" fontId="8" fillId="3" borderId="0" xfId="6" applyNumberFormat="1" applyFont="1" applyFill="1" applyBorder="1" applyAlignment="1" applyProtection="1">
      <alignment vertical="center"/>
      <protection locked="0" hidden="1"/>
    </xf>
    <xf numFmtId="166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0" xfId="6" quotePrefix="1" applyNumberFormat="1" applyFont="1" applyFill="1" applyBorder="1" applyAlignment="1" applyProtection="1">
      <alignment vertical="center"/>
      <protection locked="0" hidden="1"/>
    </xf>
    <xf numFmtId="0" fontId="8" fillId="3" borderId="0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4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3" xfId="6" applyNumberFormat="1" applyFont="1" applyFill="1" applyBorder="1" applyAlignment="1" applyProtection="1">
      <alignment vertical="center"/>
      <protection locked="0" hidden="1"/>
    </xf>
    <xf numFmtId="167" fontId="8" fillId="3" borderId="11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7" xfId="6" applyNumberFormat="1" applyFont="1" applyFill="1" applyBorder="1" applyAlignment="1" applyProtection="1">
      <alignment vertical="center"/>
      <protection locked="0" hidden="1"/>
    </xf>
    <xf numFmtId="167" fontId="8" fillId="3" borderId="8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9" xfId="6" quotePrefix="1" applyNumberFormat="1" applyFont="1" applyFill="1" applyBorder="1" applyAlignment="1" applyProtection="1">
      <alignment horizontal="center" vertical="center"/>
      <protection locked="0" hidden="1"/>
    </xf>
    <xf numFmtId="167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5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2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9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0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8" xfId="6" applyNumberFormat="1" applyFont="1" applyFill="1" applyBorder="1" applyAlignment="1" applyProtection="1">
      <alignment vertical="center"/>
      <protection locked="0" hidden="1"/>
    </xf>
    <xf numFmtId="166" fontId="8" fillId="3" borderId="5" xfId="6" applyNumberFormat="1" applyFont="1" applyFill="1" applyBorder="1" applyAlignment="1" applyProtection="1">
      <alignment vertical="center"/>
      <protection locked="0" hidden="1"/>
    </xf>
    <xf numFmtId="166" fontId="13" fillId="3" borderId="10" xfId="6" quotePrefix="1" applyNumberFormat="1" applyFont="1" applyFill="1" applyBorder="1" applyAlignment="1" applyProtection="1">
      <alignment vertical="center" wrapText="1"/>
      <protection locked="0" hidden="1"/>
    </xf>
    <xf numFmtId="166" fontId="8" fillId="3" borderId="9" xfId="6" applyNumberFormat="1" applyFont="1" applyFill="1" applyBorder="1" applyAlignment="1" applyProtection="1">
      <alignment vertical="center"/>
      <protection locked="0" hidden="1"/>
    </xf>
    <xf numFmtId="166" fontId="13" fillId="3" borderId="12" xfId="6" quotePrefix="1" applyNumberFormat="1" applyFont="1" applyFill="1" applyBorder="1" applyAlignment="1" applyProtection="1">
      <alignment vertical="center"/>
      <protection locked="0" hidden="1"/>
    </xf>
    <xf numFmtId="3" fontId="8" fillId="3" borderId="14" xfId="6" applyNumberFormat="1" applyFont="1" applyFill="1" applyBorder="1" applyAlignment="1" applyProtection="1">
      <alignment horizontal="center" vertical="center"/>
      <protection locked="0" hidden="1"/>
    </xf>
    <xf numFmtId="4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5" xfId="6" quotePrefix="1" applyNumberFormat="1" applyFont="1" applyFill="1" applyBorder="1" applyAlignment="1" applyProtection="1">
      <alignment horizontal="center" vertical="center"/>
      <protection locked="0" hidden="1"/>
    </xf>
    <xf numFmtId="3" fontId="8" fillId="3" borderId="11" xfId="6" applyNumberFormat="1" applyFont="1" applyFill="1" applyBorder="1" applyAlignment="1" applyProtection="1">
      <alignment horizontal="center" vertical="center"/>
      <protection locked="0" hidden="1"/>
    </xf>
    <xf numFmtId="4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2" xfId="6" quotePrefix="1" applyNumberFormat="1" applyFont="1" applyFill="1" applyBorder="1" applyAlignment="1" applyProtection="1">
      <alignment horizontal="center" vertical="center"/>
      <protection locked="0" hidden="1"/>
    </xf>
    <xf numFmtId="3" fontId="8" fillId="3" borderId="6" xfId="6" applyNumberFormat="1" applyFont="1" applyFill="1" applyBorder="1" applyAlignment="1" applyProtection="1">
      <alignment horizontal="center" vertical="center"/>
      <protection locked="0" hidden="1"/>
    </xf>
    <xf numFmtId="4" fontId="8" fillId="3" borderId="4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3" xfId="6" quotePrefix="1" applyNumberFormat="1" applyFont="1" applyFill="1" applyBorder="1" applyAlignment="1" applyProtection="1">
      <alignment vertical="center"/>
      <protection locked="0" hidden="1"/>
    </xf>
    <xf numFmtId="166" fontId="8" fillId="3" borderId="15" xfId="6" applyNumberFormat="1" applyFont="1" applyFill="1" applyBorder="1" applyAlignment="1" applyProtection="1">
      <alignment vertical="center"/>
      <protection locked="0" hidden="1"/>
    </xf>
    <xf numFmtId="166" fontId="8" fillId="3" borderId="12" xfId="6" applyNumberFormat="1" applyFont="1" applyFill="1" applyBorder="1" applyAlignment="1" applyProtection="1">
      <alignment vertical="center"/>
      <protection locked="0" hidden="1"/>
    </xf>
    <xf numFmtId="3" fontId="8" fillId="3" borderId="8" xfId="6" applyNumberFormat="1" applyFont="1" applyFill="1" applyBorder="1" applyAlignment="1" applyProtection="1">
      <alignment horizontal="center" vertical="center"/>
      <protection locked="0" hidden="1"/>
    </xf>
    <xf numFmtId="4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6" fontId="9" fillId="4" borderId="2" xfId="6" applyNumberFormat="1" applyFont="1" applyFill="1" applyBorder="1" applyAlignment="1" applyProtection="1">
      <alignment vertical="center"/>
      <protection locked="0" hidden="1"/>
    </xf>
    <xf numFmtId="166" fontId="8" fillId="3" borderId="13" xfId="6" quotePrefix="1" applyNumberFormat="1" applyFont="1" applyFill="1" applyBorder="1" applyAlignment="1" applyProtection="1">
      <alignment vertical="center" wrapText="1"/>
      <protection locked="0" hidden="1"/>
    </xf>
    <xf numFmtId="166" fontId="8" fillId="3" borderId="7" xfId="6" quotePrefix="1" applyNumberFormat="1" applyFont="1" applyFill="1" applyBorder="1" applyAlignment="1" applyProtection="1">
      <alignment vertical="center"/>
      <protection locked="0" hidden="1"/>
    </xf>
    <xf numFmtId="166" fontId="13" fillId="3" borderId="7" xfId="6" applyNumberFormat="1" applyFont="1" applyFill="1" applyBorder="1" applyAlignment="1" applyProtection="1">
      <alignment vertical="center"/>
      <protection locked="0" hidden="1"/>
    </xf>
    <xf numFmtId="0" fontId="8" fillId="3" borderId="0" xfId="6" applyNumberFormat="1" applyFont="1" applyFill="1" applyAlignment="1" applyProtection="1">
      <alignment vertical="center"/>
      <protection locked="0" hidden="1"/>
    </xf>
    <xf numFmtId="166" fontId="8" fillId="3" borderId="9" xfId="6" quotePrefix="1" applyNumberFormat="1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 wrapText="1"/>
      <protection locked="0" hidden="1"/>
    </xf>
    <xf numFmtId="0" fontId="16" fillId="0" borderId="0" xfId="0" applyFont="1" applyAlignment="1" applyProtection="1">
      <alignment vertical="center" wrapText="1"/>
      <protection locked="0" hidden="1"/>
    </xf>
    <xf numFmtId="0" fontId="13" fillId="0" borderId="0" xfId="0" applyFont="1" applyAlignment="1" applyProtection="1">
      <alignment vertical="center" wrapText="1"/>
      <protection locked="0" hidden="1"/>
    </xf>
    <xf numFmtId="0" fontId="51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/>
      <protection locked="0" hidden="1"/>
    </xf>
    <xf numFmtId="2" fontId="16" fillId="0" borderId="0" xfId="0" applyNumberFormat="1" applyFont="1" applyAlignment="1" applyProtection="1">
      <alignment vertical="center" wrapText="1"/>
      <protection locked="0" hidden="1"/>
    </xf>
    <xf numFmtId="2" fontId="13" fillId="0" borderId="0" xfId="0" applyNumberFormat="1" applyFont="1" applyAlignment="1" applyProtection="1">
      <alignment vertical="center" wrapText="1"/>
      <protection locked="0" hidden="1"/>
    </xf>
    <xf numFmtId="2" fontId="0" fillId="0" borderId="0" xfId="0" applyNumberFormat="1" applyAlignment="1" applyProtection="1">
      <alignment vertical="center" wrapText="1"/>
      <protection locked="0" hidden="1"/>
    </xf>
    <xf numFmtId="2" fontId="51" fillId="0" borderId="0" xfId="0" applyNumberFormat="1" applyFont="1" applyAlignment="1" applyProtection="1">
      <alignment vertical="center" wrapText="1"/>
      <protection hidden="1"/>
    </xf>
    <xf numFmtId="4" fontId="16" fillId="0" borderId="0" xfId="0" applyNumberFormat="1" applyFont="1" applyAlignment="1" applyProtection="1">
      <alignment vertical="center" wrapText="1"/>
      <protection locked="0" hidden="1"/>
    </xf>
    <xf numFmtId="4" fontId="13" fillId="0" borderId="0" xfId="0" applyNumberFormat="1" applyFont="1" applyAlignment="1" applyProtection="1">
      <alignment vertical="center" wrapText="1"/>
      <protection locked="0" hidden="1"/>
    </xf>
    <xf numFmtId="4" fontId="0" fillId="0" borderId="0" xfId="0" applyNumberFormat="1" applyAlignment="1" applyProtection="1">
      <alignment vertical="center" wrapText="1"/>
      <protection locked="0" hidden="1"/>
    </xf>
    <xf numFmtId="4" fontId="51" fillId="0" borderId="0" xfId="0" applyNumberFormat="1" applyFont="1" applyAlignment="1" applyProtection="1">
      <alignment vertical="center" wrapText="1"/>
      <protection hidden="1"/>
    </xf>
    <xf numFmtId="0" fontId="0" fillId="0" borderId="0" xfId="0" applyAlignment="1" applyProtection="1">
      <alignment horizontal="center" vertical="center" wrapText="1"/>
      <protection locked="0" hidden="1"/>
    </xf>
    <xf numFmtId="4" fontId="16" fillId="0" borderId="0" xfId="0" applyNumberFormat="1" applyFont="1" applyBorder="1" applyAlignment="1" applyProtection="1">
      <alignment horizontal="center" vertical="center" wrapText="1"/>
      <protection locked="0" hidden="1"/>
    </xf>
    <xf numFmtId="4" fontId="13" fillId="0" borderId="0" xfId="0" applyNumberFormat="1" applyFont="1" applyBorder="1" applyAlignment="1" applyProtection="1">
      <alignment horizontal="center" vertical="center" wrapText="1"/>
      <protection locked="0" hidden="1"/>
    </xf>
    <xf numFmtId="4" fontId="0" fillId="0" borderId="0" xfId="0" applyNumberFormat="1" applyBorder="1" applyAlignment="1" applyProtection="1">
      <alignment horizontal="center" vertical="center" wrapText="1"/>
      <protection locked="0" hidden="1"/>
    </xf>
    <xf numFmtId="4" fontId="51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locked="0" hidden="1"/>
    </xf>
    <xf numFmtId="0" fontId="0" fillId="0" borderId="0" xfId="0" applyBorder="1" applyAlignment="1" applyProtection="1">
      <alignment vertical="center"/>
      <protection locked="0" hidden="1"/>
    </xf>
    <xf numFmtId="4" fontId="16" fillId="0" borderId="13" xfId="0" applyNumberFormat="1" applyFont="1" applyBorder="1" applyAlignment="1" applyProtection="1">
      <alignment horizontal="center" vertical="center" wrapText="1"/>
      <protection locked="0" hidden="1"/>
    </xf>
    <xf numFmtId="4" fontId="13" fillId="0" borderId="1" xfId="0" applyNumberFormat="1" applyFont="1" applyBorder="1" applyAlignment="1" applyProtection="1">
      <alignment horizontal="center" vertical="center" wrapText="1"/>
      <protection locked="0" hidden="1"/>
    </xf>
    <xf numFmtId="4" fontId="0" fillId="0" borderId="13" xfId="0" applyNumberFormat="1" applyBorder="1" applyAlignment="1" applyProtection="1">
      <alignment horizontal="center" vertical="center" wrapText="1"/>
      <protection locked="0" hidden="1"/>
    </xf>
    <xf numFmtId="4" fontId="0" fillId="0" borderId="24" xfId="0" applyNumberFormat="1" applyBorder="1" applyAlignment="1" applyProtection="1">
      <alignment horizontal="center" vertical="center" wrapText="1"/>
      <protection locked="0" hidden="1"/>
    </xf>
    <xf numFmtId="4" fontId="51" fillId="0" borderId="25" xfId="0" applyNumberFormat="1" applyFont="1" applyBorder="1" applyAlignment="1" applyProtection="1">
      <alignment horizontal="center" vertical="center" wrapText="1"/>
      <protection hidden="1"/>
    </xf>
    <xf numFmtId="4" fontId="13" fillId="0" borderId="13" xfId="0" applyNumberFormat="1" applyFont="1" applyBorder="1" applyAlignment="1" applyProtection="1">
      <alignment horizontal="center" vertical="center" wrapText="1"/>
      <protection locked="0" hidden="1"/>
    </xf>
    <xf numFmtId="0" fontId="0" fillId="0" borderId="13" xfId="0" applyBorder="1" applyAlignment="1" applyProtection="1">
      <alignment vertical="center" wrapText="1"/>
      <protection locked="0" hidden="1"/>
    </xf>
    <xf numFmtId="4" fontId="16" fillId="0" borderId="7" xfId="0" applyNumberFormat="1" applyFont="1" applyBorder="1" applyAlignment="1" applyProtection="1">
      <alignment horizontal="center" vertical="center" wrapText="1"/>
      <protection locked="0" hidden="1"/>
    </xf>
    <xf numFmtId="4" fontId="0" fillId="0" borderId="7" xfId="0" applyNumberFormat="1" applyBorder="1" applyAlignment="1" applyProtection="1">
      <alignment horizontal="center" vertical="center" wrapText="1"/>
      <protection locked="0" hidden="1"/>
    </xf>
    <xf numFmtId="4" fontId="0" fillId="0" borderId="26" xfId="0" applyNumberFormat="1" applyBorder="1" applyAlignment="1" applyProtection="1">
      <alignment horizontal="center" vertical="center" wrapText="1"/>
      <protection locked="0" hidden="1"/>
    </xf>
    <xf numFmtId="4" fontId="51" fillId="0" borderId="27" xfId="0" applyNumberFormat="1" applyFont="1" applyBorder="1" applyAlignment="1" applyProtection="1">
      <alignment horizontal="center" vertical="center" wrapText="1"/>
      <protection hidden="1"/>
    </xf>
    <xf numFmtId="4" fontId="13" fillId="0" borderId="7" xfId="0" applyNumberFormat="1" applyFont="1" applyBorder="1" applyAlignment="1" applyProtection="1">
      <alignment horizontal="center" vertical="center" wrapText="1"/>
      <protection locked="0" hidden="1"/>
    </xf>
    <xf numFmtId="0" fontId="0" fillId="0" borderId="7" xfId="0" applyBorder="1" applyAlignment="1" applyProtection="1">
      <alignment vertical="center" wrapText="1"/>
      <protection locked="0" hidden="1"/>
    </xf>
    <xf numFmtId="4" fontId="0" fillId="0" borderId="9" xfId="0" applyNumberFormat="1" applyBorder="1" applyAlignment="1" applyProtection="1">
      <alignment horizontal="center" vertical="center" wrapText="1"/>
      <protection locked="0" hidden="1"/>
    </xf>
    <xf numFmtId="4" fontId="16" fillId="0" borderId="9" xfId="0" applyNumberFormat="1" applyFont="1" applyBorder="1" applyAlignment="1" applyProtection="1">
      <alignment horizontal="center" vertical="center" wrapText="1"/>
      <protection locked="0" hidden="1"/>
    </xf>
    <xf numFmtId="4" fontId="13" fillId="0" borderId="9" xfId="0" applyNumberFormat="1" applyFont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9" fillId="9" borderId="2" xfId="0" applyFont="1" applyFill="1" applyBorder="1" applyAlignment="1" applyProtection="1">
      <alignment horizontal="center" vertical="center" wrapText="1"/>
      <protection locked="0" hidden="1"/>
    </xf>
    <xf numFmtId="0" fontId="9" fillId="9" borderId="2" xfId="0" applyFont="1" applyFill="1" applyBorder="1" applyAlignment="1" applyProtection="1">
      <alignment horizontal="center" vertical="center" wrapText="1"/>
      <protection hidden="1"/>
    </xf>
    <xf numFmtId="0" fontId="7" fillId="9" borderId="6" xfId="0" applyFont="1" applyFill="1" applyBorder="1" applyAlignment="1" applyProtection="1">
      <alignment horizontal="center" vertical="center" wrapText="1"/>
      <protection hidden="1"/>
    </xf>
    <xf numFmtId="0" fontId="7" fillId="9" borderId="2" xfId="0" applyFont="1" applyFill="1" applyBorder="1" applyAlignment="1" applyProtection="1">
      <alignment horizontal="center" vertical="center" wrapText="1"/>
      <protection hidden="1"/>
    </xf>
    <xf numFmtId="0" fontId="9" fillId="4" borderId="28" xfId="0" applyFont="1" applyFill="1" applyBorder="1" applyAlignment="1" applyProtection="1">
      <alignment horizontal="center" vertical="center" wrapText="1"/>
      <protection hidden="1"/>
    </xf>
    <xf numFmtId="0" fontId="7" fillId="4" borderId="2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locked="0" hidden="1"/>
    </xf>
    <xf numFmtId="0" fontId="8" fillId="0" borderId="0" xfId="0" applyFont="1" applyAlignment="1" applyProtection="1">
      <alignment vertical="center" wrapText="1"/>
      <protection hidden="1"/>
    </xf>
    <xf numFmtId="0" fontId="33" fillId="0" borderId="0" xfId="0" applyFont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horizontal="center" vertical="center" wrapText="1"/>
      <protection hidden="1"/>
    </xf>
    <xf numFmtId="4" fontId="8" fillId="0" borderId="2" xfId="0" applyNumberFormat="1" applyFont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locked="0" hidden="1"/>
    </xf>
    <xf numFmtId="4" fontId="8" fillId="5" borderId="2" xfId="6" applyNumberFormat="1" applyFont="1" applyFill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right" vertical="center"/>
      <protection locked="0" hidden="1"/>
    </xf>
    <xf numFmtId="4" fontId="8" fillId="4" borderId="2" xfId="0" applyNumberFormat="1" applyFont="1" applyFill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/>
      <protection locked="0" hidden="1"/>
    </xf>
    <xf numFmtId="4" fontId="8" fillId="5" borderId="2" xfId="0" applyNumberFormat="1" applyFont="1" applyFill="1" applyBorder="1" applyAlignment="1" applyProtection="1">
      <alignment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locked="0"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locked="0" hidden="1"/>
    </xf>
    <xf numFmtId="0" fontId="43" fillId="0" borderId="13" xfId="0" applyFont="1" applyBorder="1" applyAlignment="1" applyProtection="1">
      <alignment horizontal="center" vertical="center"/>
      <protection locked="0" hidden="1"/>
    </xf>
    <xf numFmtId="0" fontId="53" fillId="0" borderId="13" xfId="0" applyFont="1" applyBorder="1" applyAlignment="1" applyProtection="1">
      <alignment horizontal="center" vertical="center"/>
      <protection locked="0" hidden="1"/>
    </xf>
    <xf numFmtId="0" fontId="41" fillId="0" borderId="13" xfId="0" applyFont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1" fontId="0" fillId="0" borderId="13" xfId="0" applyNumberFormat="1" applyBorder="1" applyAlignment="1" applyProtection="1">
      <alignment horizontal="center" vertical="center"/>
      <protection hidden="1"/>
    </xf>
    <xf numFmtId="0" fontId="0" fillId="5" borderId="34" xfId="0" applyFill="1" applyBorder="1" applyAlignment="1" applyProtection="1">
      <alignment horizontal="center" vertical="center" wrapText="1"/>
      <protection locked="0" hidden="1"/>
    </xf>
    <xf numFmtId="0" fontId="8" fillId="5" borderId="34" xfId="0" applyFont="1" applyFill="1" applyBorder="1" applyAlignment="1" applyProtection="1">
      <alignment horizontal="center" vertical="center" wrapText="1"/>
      <protection locked="0" hidden="1"/>
    </xf>
    <xf numFmtId="0" fontId="0" fillId="5" borderId="35" xfId="0" applyFill="1" applyBorder="1" applyAlignment="1" applyProtection="1">
      <alignment horizontal="center" vertical="center" wrapText="1"/>
      <protection locked="0" hidden="1"/>
    </xf>
    <xf numFmtId="0" fontId="0" fillId="0" borderId="7" xfId="0" applyBorder="1" applyAlignment="1" applyProtection="1">
      <alignment horizontal="center" vertical="center"/>
      <protection locked="0" hidden="1"/>
    </xf>
    <xf numFmtId="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2" xfId="0" applyBorder="1" applyAlignment="1" applyProtection="1">
      <alignment vertical="center" wrapText="1"/>
      <protection locked="0" hidden="1"/>
    </xf>
    <xf numFmtId="0" fontId="14" fillId="3" borderId="0" xfId="1" applyFont="1" applyFill="1" applyBorder="1" applyAlignment="1" applyProtection="1">
      <alignment vertical="center" textRotation="90"/>
      <protection hidden="1"/>
    </xf>
    <xf numFmtId="0" fontId="7" fillId="5" borderId="2" xfId="0" applyFont="1" applyFill="1" applyBorder="1" applyAlignment="1" applyProtection="1">
      <alignment horizontal="center" vertical="center"/>
      <protection hidden="1"/>
    </xf>
    <xf numFmtId="0" fontId="7" fillId="5" borderId="2" xfId="0" applyFont="1" applyFill="1" applyBorder="1" applyAlignment="1" applyProtection="1">
      <alignment horizontal="center" vertical="center" wrapText="1"/>
      <protection hidden="1"/>
    </xf>
    <xf numFmtId="0" fontId="7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61" fillId="0" borderId="0" xfId="1" applyFont="1" applyFill="1" applyAlignment="1" applyProtection="1">
      <alignment vertical="center"/>
      <protection hidden="1"/>
    </xf>
    <xf numFmtId="0" fontId="61" fillId="0" borderId="0" xfId="1" applyFont="1" applyFill="1" applyAlignment="1" applyProtection="1">
      <alignment horizontal="center" vertical="center"/>
      <protection hidden="1"/>
    </xf>
    <xf numFmtId="0" fontId="55" fillId="7" borderId="39" xfId="1" applyFont="1" applyFill="1" applyBorder="1" applyAlignment="1" applyProtection="1">
      <alignment horizontal="center" vertical="center"/>
      <protection hidden="1"/>
    </xf>
    <xf numFmtId="0" fontId="55" fillId="7" borderId="38" xfId="1" applyFont="1" applyFill="1" applyBorder="1" applyAlignment="1" applyProtection="1">
      <alignment horizontal="center" vertical="center"/>
      <protection hidden="1"/>
    </xf>
    <xf numFmtId="0" fontId="63" fillId="3" borderId="0" xfId="1" applyFont="1" applyFill="1" applyAlignment="1" applyProtection="1">
      <alignment vertical="center"/>
      <protection hidden="1"/>
    </xf>
    <xf numFmtId="0" fontId="70" fillId="3" borderId="0" xfId="1" applyFont="1" applyFill="1" applyAlignment="1" applyProtection="1">
      <alignment vertical="center"/>
      <protection hidden="1"/>
    </xf>
    <xf numFmtId="0" fontId="63" fillId="3" borderId="0" xfId="1" applyFont="1" applyFill="1" applyAlignment="1" applyProtection="1">
      <alignment vertical="center" wrapText="1"/>
      <protection hidden="1"/>
    </xf>
    <xf numFmtId="164" fontId="55" fillId="0" borderId="0" xfId="1" applyNumberFormat="1" applyFont="1" applyFill="1" applyAlignment="1" applyProtection="1">
      <alignment horizontal="center" vertical="center"/>
      <protection hidden="1"/>
    </xf>
    <xf numFmtId="164" fontId="61" fillId="0" borderId="0" xfId="1" applyNumberFormat="1" applyFont="1" applyFill="1" applyAlignment="1" applyProtection="1">
      <alignment horizontal="center" vertical="center"/>
      <protection hidden="1"/>
    </xf>
    <xf numFmtId="1" fontId="61" fillId="0" borderId="0" xfId="1" applyNumberFormat="1" applyFont="1" applyFill="1" applyAlignment="1" applyProtection="1">
      <alignment vertical="center"/>
      <protection hidden="1"/>
    </xf>
    <xf numFmtId="0" fontId="55" fillId="19" borderId="0" xfId="1" applyFont="1" applyFill="1" applyBorder="1" applyAlignment="1" applyProtection="1">
      <alignment vertical="center"/>
      <protection hidden="1"/>
    </xf>
    <xf numFmtId="0" fontId="61" fillId="19" borderId="11" xfId="1" applyFont="1" applyFill="1" applyBorder="1" applyAlignment="1" applyProtection="1">
      <alignment vertical="center"/>
      <protection hidden="1"/>
    </xf>
    <xf numFmtId="2" fontId="61" fillId="19" borderId="11" xfId="1" applyNumberFormat="1" applyFont="1" applyFill="1" applyBorder="1" applyAlignment="1" applyProtection="1">
      <alignment horizontal="center" vertical="center" wrapText="1"/>
      <protection hidden="1"/>
    </xf>
    <xf numFmtId="0" fontId="76" fillId="19" borderId="12" xfId="1" applyFont="1" applyFill="1" applyBorder="1" applyAlignment="1" applyProtection="1">
      <alignment vertical="center"/>
      <protection hidden="1"/>
    </xf>
    <xf numFmtId="1" fontId="76" fillId="19" borderId="12" xfId="1" applyNumberFormat="1" applyFont="1" applyFill="1" applyBorder="1" applyAlignment="1" applyProtection="1">
      <alignment vertical="center"/>
      <protection hidden="1"/>
    </xf>
    <xf numFmtId="168" fontId="76" fillId="19" borderId="12" xfId="1" applyNumberFormat="1" applyFont="1" applyFill="1" applyBorder="1" applyAlignment="1" applyProtection="1">
      <alignment vertical="center"/>
      <protection hidden="1"/>
    </xf>
    <xf numFmtId="164" fontId="61" fillId="19" borderId="11" xfId="1" applyNumberFormat="1" applyFont="1" applyFill="1" applyBorder="1" applyAlignment="1" applyProtection="1">
      <alignment horizontal="center" vertical="center"/>
      <protection hidden="1"/>
    </xf>
    <xf numFmtId="0" fontId="61" fillId="19" borderId="0" xfId="1" applyFont="1" applyFill="1" applyBorder="1" applyAlignment="1" applyProtection="1">
      <alignment vertical="center"/>
      <protection hidden="1"/>
    </xf>
    <xf numFmtId="0" fontId="61" fillId="19" borderId="22" xfId="1" applyFont="1" applyFill="1" applyBorder="1" applyAlignment="1" applyProtection="1">
      <alignment vertical="center"/>
      <protection hidden="1"/>
    </xf>
    <xf numFmtId="0" fontId="61" fillId="19" borderId="19" xfId="1" applyFont="1" applyFill="1" applyBorder="1" applyAlignment="1" applyProtection="1">
      <alignment vertical="center"/>
      <protection hidden="1"/>
    </xf>
    <xf numFmtId="0" fontId="61" fillId="19" borderId="17" xfId="1" applyFont="1" applyFill="1" applyBorder="1" applyAlignment="1" applyProtection="1">
      <alignment vertical="center"/>
      <protection hidden="1"/>
    </xf>
    <xf numFmtId="1" fontId="61" fillId="19" borderId="17" xfId="1" applyNumberFormat="1" applyFont="1" applyFill="1" applyBorder="1" applyAlignment="1" applyProtection="1">
      <alignment vertical="center"/>
      <protection hidden="1"/>
    </xf>
    <xf numFmtId="1" fontId="61" fillId="19" borderId="0" xfId="1" applyNumberFormat="1" applyFont="1" applyFill="1" applyBorder="1" applyAlignment="1" applyProtection="1">
      <alignment vertical="center"/>
      <protection hidden="1"/>
    </xf>
    <xf numFmtId="1" fontId="61" fillId="19" borderId="22" xfId="1" applyNumberFormat="1" applyFont="1" applyFill="1" applyBorder="1" applyAlignment="1" applyProtection="1">
      <alignment vertical="center"/>
      <protection hidden="1"/>
    </xf>
    <xf numFmtId="0" fontId="61" fillId="19" borderId="55" xfId="1" applyFont="1" applyFill="1" applyBorder="1" applyAlignment="1" applyProtection="1">
      <alignment vertical="center"/>
      <protection hidden="1"/>
    </xf>
    <xf numFmtId="0" fontId="61" fillId="19" borderId="57" xfId="1" applyFont="1" applyFill="1" applyBorder="1" applyAlignment="1" applyProtection="1">
      <alignment vertical="center"/>
      <protection hidden="1"/>
    </xf>
    <xf numFmtId="0" fontId="61" fillId="19" borderId="16" xfId="1" applyFont="1" applyFill="1" applyBorder="1" applyAlignment="1" applyProtection="1">
      <alignment vertical="center"/>
      <protection hidden="1"/>
    </xf>
    <xf numFmtId="0" fontId="61" fillId="19" borderId="21" xfId="1" applyFont="1" applyFill="1" applyBorder="1" applyAlignment="1" applyProtection="1">
      <alignment vertical="center"/>
      <protection hidden="1"/>
    </xf>
    <xf numFmtId="0" fontId="76" fillId="19" borderId="54" xfId="1" applyFont="1" applyFill="1" applyBorder="1" applyAlignment="1" applyProtection="1">
      <alignment vertical="center"/>
      <protection hidden="1"/>
    </xf>
    <xf numFmtId="1" fontId="76" fillId="19" borderId="54" xfId="1" applyNumberFormat="1" applyFont="1" applyFill="1" applyBorder="1" applyAlignment="1" applyProtection="1">
      <alignment vertical="center"/>
      <protection hidden="1"/>
    </xf>
    <xf numFmtId="0" fontId="76" fillId="19" borderId="56" xfId="1" applyFont="1" applyFill="1" applyBorder="1" applyAlignment="1" applyProtection="1">
      <alignment vertical="center"/>
      <protection hidden="1"/>
    </xf>
    <xf numFmtId="1" fontId="76" fillId="19" borderId="56" xfId="1" applyNumberFormat="1" applyFont="1" applyFill="1" applyBorder="1" applyAlignment="1" applyProtection="1">
      <alignment vertical="center"/>
      <protection hidden="1"/>
    </xf>
    <xf numFmtId="0" fontId="76" fillId="19" borderId="19" xfId="1" applyFont="1" applyFill="1" applyBorder="1" applyAlignment="1" applyProtection="1">
      <alignment vertical="center"/>
      <protection hidden="1"/>
    </xf>
    <xf numFmtId="0" fontId="76" fillId="19" borderId="21" xfId="1" applyFont="1" applyFill="1" applyBorder="1" applyAlignment="1" applyProtection="1">
      <alignment vertical="center"/>
      <protection hidden="1"/>
    </xf>
    <xf numFmtId="164" fontId="61" fillId="19" borderId="57" xfId="1" applyNumberFormat="1" applyFont="1" applyFill="1" applyBorder="1" applyAlignment="1" applyProtection="1">
      <alignment horizontal="center" vertical="center"/>
      <protection hidden="1"/>
    </xf>
    <xf numFmtId="0" fontId="55" fillId="7" borderId="39" xfId="1" applyFont="1" applyFill="1" applyBorder="1" applyAlignment="1" applyProtection="1">
      <alignment horizontal="center" vertical="center" wrapText="1"/>
      <protection hidden="1"/>
    </xf>
    <xf numFmtId="2" fontId="63" fillId="17" borderId="38" xfId="1" applyNumberFormat="1" applyFont="1" applyFill="1" applyBorder="1" applyAlignment="1" applyProtection="1">
      <alignment horizontal="center" vertical="center"/>
      <protection locked="0"/>
    </xf>
    <xf numFmtId="0" fontId="55" fillId="18" borderId="38" xfId="1" applyFont="1" applyFill="1" applyBorder="1" applyAlignment="1" applyProtection="1">
      <alignment horizontal="center" vertical="center"/>
      <protection hidden="1"/>
    </xf>
    <xf numFmtId="0" fontId="55" fillId="7" borderId="52" xfId="1" applyFont="1" applyFill="1" applyBorder="1" applyAlignment="1" applyProtection="1">
      <alignment horizontal="center" vertical="center"/>
      <protection hidden="1"/>
    </xf>
    <xf numFmtId="0" fontId="5" fillId="0" borderId="0" xfId="0" applyFont="1"/>
    <xf numFmtId="0" fontId="5" fillId="2" borderId="0" xfId="0" applyFont="1" applyFill="1"/>
    <xf numFmtId="0" fontId="72" fillId="21" borderId="83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5" fillId="18" borderId="0" xfId="0" applyFont="1" applyFill="1" applyBorder="1" applyAlignment="1">
      <alignment horizontal="center" vertical="center" wrapText="1"/>
    </xf>
    <xf numFmtId="0" fontId="5" fillId="18" borderId="100" xfId="0" applyFont="1" applyFill="1" applyBorder="1" applyAlignment="1">
      <alignment horizontal="center" vertical="center"/>
    </xf>
    <xf numFmtId="0" fontId="5" fillId="18" borderId="17" xfId="0" applyFont="1" applyFill="1" applyBorder="1" applyAlignment="1">
      <alignment horizontal="center" vertical="center" wrapText="1"/>
    </xf>
    <xf numFmtId="0" fontId="5" fillId="18" borderId="22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/>
    </xf>
    <xf numFmtId="0" fontId="5" fillId="18" borderId="23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/>
    </xf>
    <xf numFmtId="0" fontId="80" fillId="18" borderId="101" xfId="0" applyFont="1" applyFill="1" applyBorder="1" applyAlignment="1">
      <alignment horizontal="center" vertical="center"/>
    </xf>
    <xf numFmtId="0" fontId="80" fillId="18" borderId="20" xfId="0" applyFont="1" applyFill="1" applyBorder="1" applyAlignment="1">
      <alignment horizontal="center" vertical="center"/>
    </xf>
    <xf numFmtId="0" fontId="80" fillId="18" borderId="20" xfId="0" applyFont="1" applyFill="1" applyBorder="1" applyAlignment="1">
      <alignment horizontal="center" vertical="center" wrapText="1"/>
    </xf>
    <xf numFmtId="0" fontId="80" fillId="18" borderId="0" xfId="0" applyFont="1" applyFill="1" applyBorder="1" applyAlignment="1">
      <alignment horizontal="center" vertical="center" wrapText="1"/>
    </xf>
    <xf numFmtId="0" fontId="5" fillId="22" borderId="0" xfId="0" applyFont="1" applyFill="1"/>
    <xf numFmtId="0" fontId="63" fillId="22" borderId="0" xfId="0" applyFont="1" applyFill="1" applyProtection="1">
      <protection locked="0"/>
    </xf>
    <xf numFmtId="2" fontId="97" fillId="20" borderId="110" xfId="0" applyNumberFormat="1" applyFont="1" applyFill="1" applyBorder="1" applyAlignment="1" applyProtection="1">
      <alignment horizontal="center" vertical="center"/>
      <protection locked="0"/>
    </xf>
    <xf numFmtId="2" fontId="93" fillId="20" borderId="2" xfId="0" applyNumberFormat="1" applyFont="1" applyFill="1" applyBorder="1" applyAlignment="1" applyProtection="1">
      <alignment horizontal="center" vertical="center"/>
      <protection locked="0"/>
    </xf>
    <xf numFmtId="2" fontId="93" fillId="20" borderId="111" xfId="0" applyNumberFormat="1" applyFont="1" applyFill="1" applyBorder="1" applyAlignment="1" applyProtection="1">
      <alignment horizontal="center" vertical="center"/>
      <protection locked="0"/>
    </xf>
    <xf numFmtId="0" fontId="85" fillId="22" borderId="0" xfId="0" applyFont="1" applyFill="1" applyAlignment="1">
      <alignment horizontal="center" vertical="center" wrapText="1"/>
    </xf>
    <xf numFmtId="0" fontId="82" fillId="22" borderId="0" xfId="0" applyFont="1" applyFill="1" applyBorder="1" applyProtection="1">
      <protection locked="0"/>
    </xf>
    <xf numFmtId="0" fontId="5" fillId="22" borderId="0" xfId="0" applyFont="1" applyFill="1" applyBorder="1"/>
    <xf numFmtId="1" fontId="95" fillId="22" borderId="0" xfId="0" applyNumberFormat="1" applyFont="1" applyFill="1" applyAlignment="1" applyProtection="1">
      <alignment horizontal="center" vertical="center"/>
      <protection locked="0"/>
    </xf>
    <xf numFmtId="0" fontId="72" fillId="22" borderId="0" xfId="2" applyFont="1" applyFill="1" applyBorder="1" applyAlignment="1" applyProtection="1">
      <alignment horizontal="center" vertical="center"/>
      <protection hidden="1"/>
    </xf>
    <xf numFmtId="1" fontId="54" fillId="22" borderId="0" xfId="1" applyNumberFormat="1" applyFont="1" applyFill="1" applyBorder="1" applyAlignment="1" applyProtection="1">
      <alignment horizontal="center" vertical="center"/>
      <protection hidden="1"/>
    </xf>
    <xf numFmtId="164" fontId="91" fillId="22" borderId="0" xfId="2" applyNumberFormat="1" applyFont="1" applyFill="1" applyBorder="1" applyAlignment="1" applyProtection="1">
      <alignment horizontal="center" vertical="center"/>
      <protection hidden="1"/>
    </xf>
    <xf numFmtId="0" fontId="91" fillId="22" borderId="0" xfId="2" applyFont="1" applyFill="1" applyBorder="1" applyAlignment="1" applyProtection="1">
      <alignment horizontal="center" vertical="center"/>
      <protection hidden="1"/>
    </xf>
    <xf numFmtId="1" fontId="93" fillId="22" borderId="0" xfId="1" applyNumberFormat="1" applyFont="1" applyFill="1" applyBorder="1" applyAlignment="1" applyProtection="1">
      <alignment horizontal="center" vertical="center"/>
      <protection hidden="1"/>
    </xf>
    <xf numFmtId="0" fontId="61" fillId="21" borderId="0" xfId="1" applyFont="1" applyFill="1" applyAlignment="1" applyProtection="1">
      <alignment horizontal="center" vertical="center"/>
      <protection hidden="1"/>
    </xf>
    <xf numFmtId="0" fontId="55" fillId="21" borderId="0" xfId="1" applyFont="1" applyFill="1" applyAlignment="1" applyProtection="1">
      <alignment horizontal="center" vertical="center"/>
      <protection hidden="1"/>
    </xf>
    <xf numFmtId="164" fontId="55" fillId="21" borderId="0" xfId="1" applyNumberFormat="1" applyFont="1" applyFill="1" applyAlignment="1" applyProtection="1">
      <alignment horizontal="center" vertical="center"/>
      <protection hidden="1"/>
    </xf>
    <xf numFmtId="0" fontId="54" fillId="21" borderId="141" xfId="1" applyFont="1" applyFill="1" applyBorder="1" applyAlignment="1" applyProtection="1">
      <alignment horizontal="center" vertical="center"/>
      <protection hidden="1"/>
    </xf>
    <xf numFmtId="0" fontId="54" fillId="21" borderId="139" xfId="1" applyFont="1" applyFill="1" applyBorder="1" applyAlignment="1" applyProtection="1">
      <alignment horizontal="center" vertical="center"/>
      <protection hidden="1"/>
    </xf>
    <xf numFmtId="0" fontId="61" fillId="22" borderId="0" xfId="1" applyFont="1" applyFill="1" applyBorder="1" applyAlignment="1" applyProtection="1">
      <alignment vertical="center"/>
      <protection hidden="1"/>
    </xf>
    <xf numFmtId="164" fontId="61" fillId="22" borderId="0" xfId="1" applyNumberFormat="1" applyFont="1" applyFill="1" applyBorder="1" applyAlignment="1" applyProtection="1">
      <alignment horizontal="center" vertical="center"/>
      <protection hidden="1"/>
    </xf>
    <xf numFmtId="0" fontId="55" fillId="18" borderId="43" xfId="1" applyFont="1" applyFill="1" applyBorder="1" applyAlignment="1" applyProtection="1">
      <alignment horizontal="center" vertical="center"/>
      <protection locked="0" hidden="1"/>
    </xf>
    <xf numFmtId="0" fontId="61" fillId="21" borderId="0" xfId="1" applyFont="1" applyFill="1" applyAlignment="1" applyProtection="1">
      <alignment vertical="center"/>
      <protection hidden="1"/>
    </xf>
    <xf numFmtId="0" fontId="61" fillId="21" borderId="0" xfId="1" applyFont="1" applyFill="1" applyBorder="1" applyAlignment="1" applyProtection="1">
      <alignment horizontal="center" vertical="center"/>
      <protection hidden="1"/>
    </xf>
    <xf numFmtId="164" fontId="61" fillId="21" borderId="0" xfId="1" applyNumberFormat="1" applyFont="1" applyFill="1" applyAlignment="1" applyProtection="1">
      <alignment horizontal="center" vertical="center"/>
      <protection hidden="1"/>
    </xf>
    <xf numFmtId="1" fontId="61" fillId="21" borderId="0" xfId="1" applyNumberFormat="1" applyFont="1" applyFill="1" applyAlignment="1" applyProtection="1">
      <alignment vertical="center"/>
      <protection hidden="1"/>
    </xf>
    <xf numFmtId="0" fontId="77" fillId="21" borderId="0" xfId="1" applyFont="1" applyFill="1" applyBorder="1" applyAlignment="1" applyProtection="1">
      <alignment vertical="center"/>
      <protection hidden="1"/>
    </xf>
    <xf numFmtId="0" fontId="77" fillId="21" borderId="0" xfId="1" applyFont="1" applyFill="1" applyBorder="1" applyAlignment="1" applyProtection="1">
      <alignment horizontal="center" vertical="center"/>
      <protection hidden="1"/>
    </xf>
    <xf numFmtId="0" fontId="77" fillId="21" borderId="0" xfId="1" applyFont="1" applyFill="1" applyAlignment="1" applyProtection="1">
      <alignment horizontal="center" vertical="center"/>
      <protection hidden="1"/>
    </xf>
    <xf numFmtId="164" fontId="76" fillId="21" borderId="0" xfId="1" applyNumberFormat="1" applyFont="1" applyFill="1" applyAlignment="1" applyProtection="1">
      <alignment horizontal="center" vertical="center"/>
      <protection hidden="1"/>
    </xf>
    <xf numFmtId="0" fontId="77" fillId="21" borderId="0" xfId="1" applyFont="1" applyFill="1" applyAlignment="1" applyProtection="1">
      <alignment vertical="center"/>
      <protection hidden="1"/>
    </xf>
    <xf numFmtId="164" fontId="77" fillId="21" borderId="0" xfId="1" applyNumberFormat="1" applyFont="1" applyFill="1" applyAlignment="1" applyProtection="1">
      <alignment horizontal="center" vertical="center"/>
      <protection hidden="1"/>
    </xf>
    <xf numFmtId="1" fontId="77" fillId="21" borderId="0" xfId="1" applyNumberFormat="1" applyFont="1" applyFill="1" applyAlignment="1" applyProtection="1">
      <alignment vertical="center"/>
      <protection hidden="1"/>
    </xf>
    <xf numFmtId="164" fontId="77" fillId="21" borderId="0" xfId="1" applyNumberFormat="1" applyFont="1" applyFill="1" applyBorder="1" applyAlignment="1" applyProtection="1">
      <alignment horizontal="center" vertical="center"/>
      <protection hidden="1"/>
    </xf>
    <xf numFmtId="0" fontId="76" fillId="21" borderId="0" xfId="1" applyFont="1" applyFill="1" applyAlignment="1" applyProtection="1">
      <alignment horizontal="center" vertical="center"/>
      <protection hidden="1"/>
    </xf>
    <xf numFmtId="0" fontId="55" fillId="7" borderId="53" xfId="1" applyFont="1" applyFill="1" applyBorder="1" applyAlignment="1" applyProtection="1">
      <alignment horizontal="center"/>
      <protection hidden="1"/>
    </xf>
    <xf numFmtId="164" fontId="55" fillId="18" borderId="43" xfId="1" applyNumberFormat="1" applyFont="1" applyFill="1" applyBorder="1" applyAlignment="1" applyProtection="1">
      <alignment horizontal="center" vertical="center"/>
      <protection locked="0" hidden="1"/>
    </xf>
    <xf numFmtId="0" fontId="55" fillId="7" borderId="42" xfId="1" applyFont="1" applyFill="1" applyBorder="1" applyAlignment="1" applyProtection="1">
      <alignment horizontal="center" vertical="center"/>
      <protection hidden="1"/>
    </xf>
    <xf numFmtId="2" fontId="63" fillId="17" borderId="43" xfId="1" applyNumberFormat="1" applyFont="1" applyFill="1" applyBorder="1" applyAlignment="1" applyProtection="1">
      <alignment horizontal="center" vertical="center"/>
      <protection locked="0"/>
    </xf>
    <xf numFmtId="0" fontId="82" fillId="21" borderId="0" xfId="1" applyFont="1" applyFill="1" applyAlignment="1" applyProtection="1">
      <alignment vertical="center"/>
      <protection hidden="1"/>
    </xf>
    <xf numFmtId="164" fontId="55" fillId="21" borderId="0" xfId="1" applyNumberFormat="1" applyFont="1" applyFill="1" applyBorder="1" applyAlignment="1" applyProtection="1">
      <alignment horizontal="center" vertical="center"/>
      <protection hidden="1"/>
    </xf>
    <xf numFmtId="164" fontId="61" fillId="21" borderId="0" xfId="1" applyNumberFormat="1" applyFont="1" applyFill="1" applyAlignment="1" applyProtection="1">
      <alignment vertical="center"/>
      <protection hidden="1"/>
    </xf>
    <xf numFmtId="0" fontId="55" fillId="19" borderId="17" xfId="1" applyFont="1" applyFill="1" applyBorder="1" applyAlignment="1" applyProtection="1">
      <alignment vertical="center"/>
      <protection hidden="1"/>
    </xf>
    <xf numFmtId="0" fontId="61" fillId="3" borderId="148" xfId="1" applyFont="1" applyFill="1" applyBorder="1" applyAlignment="1" applyProtection="1">
      <alignment horizontal="center" vertical="center"/>
      <protection hidden="1"/>
    </xf>
    <xf numFmtId="0" fontId="55" fillId="3" borderId="148" xfId="1" applyFont="1" applyFill="1" applyBorder="1" applyAlignment="1" applyProtection="1">
      <alignment horizontal="center" vertical="center"/>
      <protection hidden="1"/>
    </xf>
    <xf numFmtId="164" fontId="55" fillId="3" borderId="148" xfId="1" applyNumberFormat="1" applyFont="1" applyFill="1" applyBorder="1" applyAlignment="1" applyProtection="1">
      <alignment horizontal="center" vertical="center"/>
      <protection hidden="1"/>
    </xf>
    <xf numFmtId="0" fontId="55" fillId="3" borderId="149" xfId="1" applyFont="1" applyFill="1" applyBorder="1" applyAlignment="1" applyProtection="1">
      <alignment horizontal="center" vertical="center"/>
      <protection hidden="1"/>
    </xf>
    <xf numFmtId="0" fontId="55" fillId="3" borderId="150" xfId="1" applyFont="1" applyFill="1" applyBorder="1" applyAlignment="1" applyProtection="1">
      <alignment horizontal="center" vertical="center"/>
      <protection hidden="1"/>
    </xf>
    <xf numFmtId="1" fontId="61" fillId="3" borderId="149" xfId="1" applyNumberFormat="1" applyFont="1" applyFill="1" applyBorder="1" applyAlignment="1" applyProtection="1">
      <alignment vertical="center"/>
      <protection hidden="1"/>
    </xf>
    <xf numFmtId="0" fontId="55" fillId="3" borderId="151" xfId="1" applyFont="1" applyFill="1" applyBorder="1" applyAlignment="1" applyProtection="1">
      <alignment horizontal="center" vertical="center"/>
      <protection hidden="1"/>
    </xf>
    <xf numFmtId="0" fontId="55" fillId="22" borderId="0" xfId="1" applyFont="1" applyFill="1" applyBorder="1" applyAlignment="1" applyProtection="1">
      <alignment vertical="center"/>
      <protection hidden="1"/>
    </xf>
    <xf numFmtId="164" fontId="55" fillId="18" borderId="52" xfId="1" applyNumberFormat="1" applyFont="1" applyFill="1" applyBorder="1" applyAlignment="1" applyProtection="1">
      <alignment horizontal="center" vertical="center"/>
      <protection hidden="1"/>
    </xf>
    <xf numFmtId="164" fontId="55" fillId="18" borderId="39" xfId="1" applyNumberFormat="1" applyFont="1" applyFill="1" applyBorder="1" applyAlignment="1" applyProtection="1">
      <alignment horizontal="center" vertical="center"/>
      <protection hidden="1"/>
    </xf>
    <xf numFmtId="164" fontId="55" fillId="18" borderId="41" xfId="1" applyNumberFormat="1" applyFont="1" applyFill="1" applyBorder="1" applyAlignment="1" applyProtection="1">
      <alignment horizontal="center" vertical="center"/>
      <protection hidden="1"/>
    </xf>
    <xf numFmtId="164" fontId="56" fillId="18" borderId="39" xfId="1" applyNumberFormat="1" applyFont="1" applyFill="1" applyBorder="1" applyAlignment="1" applyProtection="1">
      <alignment horizontal="center" vertical="center"/>
      <protection hidden="1"/>
    </xf>
    <xf numFmtId="164" fontId="55" fillId="18" borderId="39" xfId="1" applyNumberFormat="1" applyFont="1" applyFill="1" applyBorder="1" applyAlignment="1" applyProtection="1">
      <alignment horizontal="center" vertical="center" wrapText="1"/>
      <protection hidden="1"/>
    </xf>
    <xf numFmtId="164" fontId="55" fillId="18" borderId="0" xfId="1" applyNumberFormat="1" applyFont="1" applyFill="1" applyBorder="1" applyAlignment="1" applyProtection="1">
      <alignment horizontal="center" vertical="center"/>
      <protection hidden="1"/>
    </xf>
    <xf numFmtId="164" fontId="55" fillId="18" borderId="42" xfId="1" applyNumberFormat="1" applyFont="1" applyFill="1" applyBorder="1" applyAlignment="1" applyProtection="1">
      <alignment horizontal="center" vertical="center" wrapText="1"/>
      <protection hidden="1"/>
    </xf>
    <xf numFmtId="0" fontId="73" fillId="21" borderId="88" xfId="1" applyFont="1" applyFill="1" applyBorder="1" applyAlignment="1" applyProtection="1">
      <alignment horizontal="center" vertical="center"/>
      <protection locked="0"/>
    </xf>
    <xf numFmtId="0" fontId="73" fillId="21" borderId="46" xfId="1" applyFont="1" applyFill="1" applyBorder="1" applyAlignment="1" applyProtection="1">
      <alignment horizontal="center" vertical="center"/>
      <protection locked="0"/>
    </xf>
    <xf numFmtId="0" fontId="61" fillId="21" borderId="52" xfId="1" applyFont="1" applyFill="1" applyBorder="1" applyAlignment="1" applyProtection="1">
      <alignment horizontal="center" vertical="center"/>
      <protection hidden="1"/>
    </xf>
    <xf numFmtId="0" fontId="61" fillId="21" borderId="39" xfId="1" applyFont="1" applyFill="1" applyBorder="1" applyAlignment="1" applyProtection="1">
      <alignment horizontal="center" vertical="center"/>
      <protection hidden="1"/>
    </xf>
    <xf numFmtId="0" fontId="55" fillId="21" borderId="39" xfId="1" applyFont="1" applyFill="1" applyBorder="1" applyAlignment="1" applyProtection="1">
      <alignment horizontal="center" vertical="center"/>
      <protection locked="0" hidden="1"/>
    </xf>
    <xf numFmtId="0" fontId="61" fillId="21" borderId="43" xfId="1" applyFont="1" applyFill="1" applyBorder="1" applyAlignment="1" applyProtection="1">
      <alignment horizontal="center" vertical="center"/>
      <protection hidden="1"/>
    </xf>
    <xf numFmtId="0" fontId="61" fillId="21" borderId="38" xfId="1" applyFont="1" applyFill="1" applyBorder="1" applyAlignment="1" applyProtection="1">
      <alignment horizontal="center" vertical="center"/>
      <protection hidden="1"/>
    </xf>
    <xf numFmtId="0" fontId="55" fillId="21" borderId="0" xfId="1" applyFont="1" applyFill="1" applyBorder="1" applyAlignment="1" applyProtection="1">
      <alignment horizontal="center" vertical="center"/>
      <protection locked="0" hidden="1"/>
    </xf>
    <xf numFmtId="0" fontId="54" fillId="21" borderId="52" xfId="1" applyFont="1" applyFill="1" applyBorder="1" applyAlignment="1" applyProtection="1">
      <alignment horizontal="center" vertical="center"/>
      <protection locked="0" hidden="1"/>
    </xf>
    <xf numFmtId="0" fontId="54" fillId="21" borderId="39" xfId="1" applyFont="1" applyFill="1" applyBorder="1" applyAlignment="1" applyProtection="1">
      <alignment horizontal="center" vertical="center"/>
      <protection locked="0" hidden="1"/>
    </xf>
    <xf numFmtId="0" fontId="54" fillId="21" borderId="38" xfId="1" applyFont="1" applyFill="1" applyBorder="1" applyAlignment="1" applyProtection="1">
      <alignment horizontal="center" vertical="center"/>
      <protection locked="0" hidden="1"/>
    </xf>
    <xf numFmtId="0" fontId="82" fillId="21" borderId="38" xfId="1" applyFont="1" applyFill="1" applyBorder="1" applyAlignment="1" applyProtection="1">
      <alignment horizontal="center" vertical="center"/>
      <protection hidden="1"/>
    </xf>
    <xf numFmtId="0" fontId="54" fillId="21" borderId="41" xfId="1" applyFont="1" applyFill="1" applyBorder="1" applyAlignment="1" applyProtection="1">
      <alignment horizontal="center" vertical="center"/>
      <protection locked="0" hidden="1"/>
    </xf>
    <xf numFmtId="0" fontId="82" fillId="21" borderId="40" xfId="1" applyFont="1" applyFill="1" applyBorder="1" applyAlignment="1" applyProtection="1">
      <alignment horizontal="center" vertical="center"/>
      <protection hidden="1"/>
    </xf>
    <xf numFmtId="0" fontId="54" fillId="21" borderId="39" xfId="1" applyFont="1" applyFill="1" applyBorder="1" applyAlignment="1" applyProtection="1">
      <alignment horizontal="center" vertical="center"/>
      <protection hidden="1"/>
    </xf>
    <xf numFmtId="0" fontId="54" fillId="21" borderId="44" xfId="1" applyFont="1" applyFill="1" applyBorder="1" applyAlignment="1" applyProtection="1">
      <alignment horizontal="center" vertical="center"/>
      <protection locked="0"/>
    </xf>
    <xf numFmtId="0" fontId="61" fillId="21" borderId="42" xfId="1" applyFont="1" applyFill="1" applyBorder="1" applyAlignment="1" applyProtection="1">
      <alignment horizontal="center" vertical="center"/>
      <protection hidden="1"/>
    </xf>
    <xf numFmtId="164" fontId="55" fillId="22" borderId="0" xfId="1" applyNumberFormat="1" applyFont="1" applyFill="1" applyBorder="1" applyAlignment="1" applyProtection="1">
      <alignment horizontal="center" vertical="center" wrapText="1"/>
      <protection hidden="1"/>
    </xf>
    <xf numFmtId="0" fontId="55" fillId="22" borderId="16" xfId="1" applyFont="1" applyFill="1" applyBorder="1" applyAlignment="1" applyProtection="1">
      <alignment vertical="center"/>
      <protection hidden="1"/>
    </xf>
    <xf numFmtId="0" fontId="55" fillId="22" borderId="17" xfId="1" applyFont="1" applyFill="1" applyBorder="1" applyAlignment="1" applyProtection="1">
      <alignment vertical="center"/>
      <protection hidden="1"/>
    </xf>
    <xf numFmtId="164" fontId="55" fillId="22" borderId="145" xfId="1" applyNumberFormat="1" applyFont="1" applyFill="1" applyBorder="1" applyAlignment="1" applyProtection="1">
      <alignment vertical="center"/>
      <protection hidden="1"/>
    </xf>
    <xf numFmtId="164" fontId="93" fillId="3" borderId="11" xfId="1" applyNumberFormat="1" applyFont="1" applyFill="1" applyBorder="1" applyAlignment="1" applyProtection="1">
      <alignment horizontal="center" vertical="center"/>
      <protection hidden="1"/>
    </xf>
    <xf numFmtId="164" fontId="93" fillId="3" borderId="11" xfId="1" applyNumberFormat="1" applyFont="1" applyFill="1" applyBorder="1" applyAlignment="1" applyProtection="1">
      <alignment horizontal="center" vertical="center" wrapText="1"/>
      <protection hidden="1"/>
    </xf>
    <xf numFmtId="0" fontId="93" fillId="3" borderId="11" xfId="1" applyFont="1" applyFill="1" applyBorder="1" applyAlignment="1" applyProtection="1">
      <alignment vertical="center"/>
      <protection hidden="1"/>
    </xf>
    <xf numFmtId="2" fontId="93" fillId="3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7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7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57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55" xfId="1" applyNumberFormat="1" applyFont="1" applyFill="1" applyBorder="1" applyAlignment="1" applyProtection="1">
      <alignment horizontal="center" vertical="center"/>
      <protection hidden="1"/>
    </xf>
    <xf numFmtId="164" fontId="93" fillId="19" borderId="11" xfId="1" applyNumberFormat="1" applyFont="1" applyFill="1" applyBorder="1" applyAlignment="1" applyProtection="1">
      <alignment horizontal="center" vertical="center"/>
      <protection hidden="1"/>
    </xf>
    <xf numFmtId="164" fontId="93" fillId="19" borderId="57" xfId="1" applyNumberFormat="1" applyFont="1" applyFill="1" applyBorder="1" applyAlignment="1" applyProtection="1">
      <alignment horizontal="center" vertical="center"/>
      <protection hidden="1"/>
    </xf>
    <xf numFmtId="164" fontId="93" fillId="0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57" xfId="1" applyNumberFormat="1" applyFont="1" applyFill="1" applyBorder="1" applyAlignment="1" applyProtection="1">
      <alignment horizontal="center" vertical="center"/>
      <protection hidden="1"/>
    </xf>
    <xf numFmtId="164" fontId="93" fillId="19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57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57" xfId="1" applyNumberFormat="1" applyFont="1" applyFill="1" applyBorder="1" applyAlignment="1" applyProtection="1">
      <alignment horizontal="center" vertical="center" wrapText="1"/>
      <protection hidden="1"/>
    </xf>
    <xf numFmtId="0" fontId="93" fillId="19" borderId="55" xfId="1" applyFont="1" applyFill="1" applyBorder="1" applyAlignment="1" applyProtection="1">
      <alignment vertical="center"/>
      <protection hidden="1"/>
    </xf>
    <xf numFmtId="0" fontId="93" fillId="19" borderId="11" xfId="1" applyFont="1" applyFill="1" applyBorder="1" applyAlignment="1" applyProtection="1">
      <alignment vertical="center"/>
      <protection hidden="1"/>
    </xf>
    <xf numFmtId="0" fontId="93" fillId="19" borderId="57" xfId="1" applyFont="1" applyFill="1" applyBorder="1" applyAlignment="1" applyProtection="1">
      <alignment vertical="center"/>
      <protection hidden="1"/>
    </xf>
    <xf numFmtId="164" fontId="93" fillId="3" borderId="22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11" xfId="1" applyFont="1" applyFill="1" applyBorder="1" applyAlignment="1" applyProtection="1">
      <alignment vertical="center"/>
      <protection hidden="1"/>
    </xf>
    <xf numFmtId="0" fontId="93" fillId="0" borderId="57" xfId="1" applyFont="1" applyFill="1" applyBorder="1" applyAlignment="1" applyProtection="1">
      <alignment vertical="center"/>
      <protection hidden="1"/>
    </xf>
    <xf numFmtId="0" fontId="56" fillId="22" borderId="12" xfId="1" applyFont="1" applyFill="1" applyBorder="1" applyAlignment="1" applyProtection="1">
      <alignment vertical="center"/>
      <protection hidden="1"/>
    </xf>
    <xf numFmtId="1" fontId="56" fillId="22" borderId="12" xfId="1" applyNumberFormat="1" applyFont="1" applyFill="1" applyBorder="1" applyAlignment="1" applyProtection="1">
      <alignment vertical="center"/>
      <protection hidden="1"/>
    </xf>
    <xf numFmtId="1" fontId="56" fillId="22" borderId="12" xfId="1" applyNumberFormat="1" applyFont="1" applyFill="1" applyBorder="1" applyAlignment="1" applyProtection="1">
      <alignment horizontal="center" vertical="center"/>
      <protection hidden="1"/>
    </xf>
    <xf numFmtId="0" fontId="56" fillId="19" borderId="16" xfId="1" applyFont="1" applyFill="1" applyBorder="1" applyAlignment="1" applyProtection="1">
      <alignment vertical="center"/>
      <protection hidden="1"/>
    </xf>
    <xf numFmtId="0" fontId="56" fillId="19" borderId="19" xfId="1" applyFont="1" applyFill="1" applyBorder="1" applyAlignment="1" applyProtection="1">
      <alignment vertical="center"/>
      <protection hidden="1"/>
    </xf>
    <xf numFmtId="0" fontId="56" fillId="19" borderId="21" xfId="1" applyFont="1" applyFill="1" applyBorder="1" applyAlignment="1" applyProtection="1">
      <alignment vertical="center"/>
      <protection hidden="1"/>
    </xf>
    <xf numFmtId="0" fontId="63" fillId="19" borderId="16" xfId="1" applyFont="1" applyFill="1" applyBorder="1" applyAlignment="1" applyProtection="1">
      <alignment vertical="center"/>
      <protection hidden="1"/>
    </xf>
    <xf numFmtId="0" fontId="63" fillId="19" borderId="21" xfId="1" applyFont="1" applyFill="1" applyBorder="1" applyAlignment="1" applyProtection="1">
      <alignment vertical="center"/>
      <protection hidden="1"/>
    </xf>
    <xf numFmtId="0" fontId="63" fillId="19" borderId="19" xfId="1" applyFont="1" applyFill="1" applyBorder="1" applyAlignment="1" applyProtection="1">
      <alignment vertical="center"/>
      <protection hidden="1"/>
    </xf>
    <xf numFmtId="0" fontId="56" fillId="19" borderId="12" xfId="1" applyFont="1" applyFill="1" applyBorder="1" applyAlignment="1" applyProtection="1">
      <alignment vertical="center"/>
      <protection hidden="1"/>
    </xf>
    <xf numFmtId="164" fontId="56" fillId="19" borderId="56" xfId="1" applyNumberFormat="1" applyFont="1" applyFill="1" applyBorder="1" applyAlignment="1" applyProtection="1">
      <alignment horizontal="center" vertical="center"/>
      <protection hidden="1"/>
    </xf>
    <xf numFmtId="0" fontId="63" fillId="19" borderId="17" xfId="1" applyFont="1" applyFill="1" applyBorder="1" applyAlignment="1" applyProtection="1">
      <alignment vertical="center"/>
      <protection hidden="1"/>
    </xf>
    <xf numFmtId="0" fontId="63" fillId="19" borderId="22" xfId="1" applyFont="1" applyFill="1" applyBorder="1" applyAlignment="1" applyProtection="1">
      <alignment vertical="center"/>
      <protection hidden="1"/>
    </xf>
    <xf numFmtId="0" fontId="63" fillId="19" borderId="0" xfId="1" applyFont="1" applyFill="1" applyBorder="1" applyAlignment="1" applyProtection="1">
      <alignment vertical="center"/>
      <protection hidden="1"/>
    </xf>
    <xf numFmtId="0" fontId="63" fillId="19" borderId="54" xfId="1" applyFont="1" applyFill="1" applyBorder="1" applyAlignment="1" applyProtection="1">
      <alignment vertical="center"/>
      <protection hidden="1"/>
    </xf>
    <xf numFmtId="0" fontId="63" fillId="19" borderId="56" xfId="1" applyFont="1" applyFill="1" applyBorder="1" applyAlignment="1" applyProtection="1">
      <alignment vertical="center"/>
      <protection hidden="1"/>
    </xf>
    <xf numFmtId="0" fontId="63" fillId="19" borderId="12" xfId="1" applyFont="1" applyFill="1" applyBorder="1" applyAlignment="1" applyProtection="1">
      <alignment vertical="center"/>
      <protection hidden="1"/>
    </xf>
    <xf numFmtId="0" fontId="63" fillId="19" borderId="12" xfId="1" applyFont="1" applyFill="1" applyBorder="1" applyAlignment="1" applyProtection="1">
      <alignment horizontal="center" vertical="center"/>
      <protection hidden="1"/>
    </xf>
    <xf numFmtId="164" fontId="93" fillId="19" borderId="17" xfId="1" applyNumberFormat="1" applyFont="1" applyFill="1" applyBorder="1" applyAlignment="1" applyProtection="1">
      <alignment horizontal="center" vertical="center"/>
      <protection hidden="1"/>
    </xf>
    <xf numFmtId="164" fontId="93" fillId="19" borderId="0" xfId="1" applyNumberFormat="1" applyFont="1" applyFill="1" applyBorder="1" applyAlignment="1" applyProtection="1">
      <alignment horizontal="center" vertical="center"/>
      <protection hidden="1"/>
    </xf>
    <xf numFmtId="164" fontId="93" fillId="19" borderId="22" xfId="1" applyNumberFormat="1" applyFont="1" applyFill="1" applyBorder="1" applyAlignment="1" applyProtection="1">
      <alignment horizontal="center" vertical="center"/>
      <protection hidden="1"/>
    </xf>
    <xf numFmtId="164" fontId="93" fillId="7" borderId="0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0" xfId="1" applyNumberFormat="1" applyFont="1" applyFill="1" applyBorder="1" applyAlignment="1" applyProtection="1">
      <alignment horizontal="center" vertical="center" wrapText="1"/>
      <protection hidden="1"/>
    </xf>
    <xf numFmtId="0" fontId="93" fillId="19" borderId="17" xfId="1" applyFont="1" applyFill="1" applyBorder="1" applyAlignment="1" applyProtection="1">
      <alignment vertical="center"/>
      <protection hidden="1"/>
    </xf>
    <xf numFmtId="0" fontId="93" fillId="19" borderId="0" xfId="1" applyFont="1" applyFill="1" applyBorder="1" applyAlignment="1" applyProtection="1">
      <alignment vertical="center"/>
      <protection hidden="1"/>
    </xf>
    <xf numFmtId="0" fontId="93" fillId="19" borderId="22" xfId="1" applyFont="1" applyFill="1" applyBorder="1" applyAlignment="1" applyProtection="1">
      <alignment vertical="center"/>
      <protection hidden="1"/>
    </xf>
    <xf numFmtId="0" fontId="55" fillId="19" borderId="12" xfId="1" applyFont="1" applyFill="1" applyBorder="1" applyAlignment="1" applyProtection="1">
      <alignment vertical="center"/>
      <protection hidden="1"/>
    </xf>
    <xf numFmtId="164" fontId="55" fillId="19" borderId="56" xfId="1" applyNumberFormat="1" applyFont="1" applyFill="1" applyBorder="1" applyAlignment="1" applyProtection="1">
      <alignment horizontal="center" vertical="center"/>
      <protection hidden="1"/>
    </xf>
    <xf numFmtId="0" fontId="55" fillId="19" borderId="22" xfId="1" applyFont="1" applyFill="1" applyBorder="1" applyAlignment="1" applyProtection="1">
      <alignment vertical="center"/>
      <protection hidden="1"/>
    </xf>
    <xf numFmtId="1" fontId="55" fillId="19" borderId="12" xfId="1" applyNumberFormat="1" applyFont="1" applyFill="1" applyBorder="1" applyAlignment="1" applyProtection="1">
      <alignment vertical="center"/>
      <protection hidden="1"/>
    </xf>
    <xf numFmtId="1" fontId="55" fillId="19" borderId="0" xfId="1" applyNumberFormat="1" applyFont="1" applyFill="1" applyBorder="1" applyAlignment="1" applyProtection="1">
      <alignment vertical="center"/>
      <protection hidden="1"/>
    </xf>
    <xf numFmtId="1" fontId="55" fillId="19" borderId="22" xfId="1" applyNumberFormat="1" applyFont="1" applyFill="1" applyBorder="1" applyAlignment="1" applyProtection="1">
      <alignment vertical="center"/>
      <protection hidden="1"/>
    </xf>
    <xf numFmtId="0" fontId="61" fillId="19" borderId="0" xfId="1" applyFont="1" applyFill="1" applyBorder="1" applyAlignment="1" applyProtection="1">
      <alignment horizontal="center" vertical="center"/>
      <protection hidden="1"/>
    </xf>
    <xf numFmtId="2" fontId="61" fillId="21" borderId="0" xfId="1" applyNumberFormat="1" applyFont="1" applyFill="1" applyAlignment="1" applyProtection="1">
      <alignment horizontal="center" vertical="center"/>
      <protection hidden="1"/>
    </xf>
    <xf numFmtId="164" fontId="61" fillId="21" borderId="0" xfId="1" applyNumberFormat="1" applyFont="1" applyFill="1" applyBorder="1" applyAlignment="1" applyProtection="1">
      <alignment horizontal="center" vertical="center" wrapText="1"/>
      <protection hidden="1"/>
    </xf>
    <xf numFmtId="0" fontId="61" fillId="7" borderId="65" xfId="1" applyFont="1" applyFill="1" applyBorder="1" applyAlignment="1" applyProtection="1">
      <alignment vertical="center"/>
      <protection hidden="1"/>
    </xf>
    <xf numFmtId="1" fontId="61" fillId="7" borderId="65" xfId="1" applyNumberFormat="1" applyFont="1" applyFill="1" applyBorder="1" applyAlignment="1" applyProtection="1">
      <alignment vertical="center"/>
      <protection hidden="1"/>
    </xf>
    <xf numFmtId="0" fontId="61" fillId="7" borderId="66" xfId="1" applyFont="1" applyFill="1" applyBorder="1" applyAlignment="1" applyProtection="1">
      <alignment vertical="center"/>
      <protection hidden="1"/>
    </xf>
    <xf numFmtId="0" fontId="93" fillId="22" borderId="77" xfId="1" applyFont="1" applyFill="1" applyBorder="1" applyAlignment="1" applyProtection="1">
      <alignment horizontal="center" vertical="center"/>
      <protection hidden="1"/>
    </xf>
    <xf numFmtId="0" fontId="93" fillId="22" borderId="77" xfId="0" applyFont="1" applyFill="1" applyBorder="1" applyAlignment="1" applyProtection="1">
      <alignment horizontal="center" vertical="center"/>
      <protection locked="0"/>
    </xf>
    <xf numFmtId="0" fontId="55" fillId="22" borderId="78" xfId="1" applyFont="1" applyFill="1" applyBorder="1" applyAlignment="1" applyProtection="1">
      <alignment vertical="center"/>
      <protection hidden="1"/>
    </xf>
    <xf numFmtId="0" fontId="55" fillId="22" borderId="153" xfId="1" applyFont="1" applyFill="1" applyBorder="1" applyAlignment="1" applyProtection="1">
      <alignment vertical="center"/>
      <protection hidden="1"/>
    </xf>
    <xf numFmtId="164" fontId="93" fillId="3" borderId="78" xfId="1" applyNumberFormat="1" applyFont="1" applyFill="1" applyBorder="1" applyAlignment="1" applyProtection="1">
      <alignment horizontal="center" vertical="center" wrapText="1"/>
      <protection hidden="1"/>
    </xf>
    <xf numFmtId="2" fontId="93" fillId="3" borderId="78" xfId="1" applyNumberFormat="1" applyFont="1" applyFill="1" applyBorder="1" applyAlignment="1" applyProtection="1">
      <alignment horizontal="center" vertical="center" wrapText="1"/>
      <protection hidden="1"/>
    </xf>
    <xf numFmtId="0" fontId="93" fillId="3" borderId="78" xfId="1" applyFont="1" applyFill="1" applyBorder="1" applyAlignment="1" applyProtection="1">
      <alignment vertical="center"/>
      <protection hidden="1"/>
    </xf>
    <xf numFmtId="0" fontId="93" fillId="3" borderId="78" xfId="1" applyFont="1" applyFill="1" applyBorder="1" applyAlignment="1" applyProtection="1">
      <alignment horizontal="center" vertical="center" wrapText="1"/>
      <protection hidden="1"/>
    </xf>
    <xf numFmtId="0" fontId="61" fillId="19" borderId="78" xfId="1" applyFont="1" applyFill="1" applyBorder="1" applyAlignment="1" applyProtection="1">
      <alignment vertical="center"/>
      <protection hidden="1"/>
    </xf>
    <xf numFmtId="0" fontId="82" fillId="21" borderId="0" xfId="1" applyFont="1" applyFill="1" applyBorder="1" applyAlignment="1" applyProtection="1">
      <alignment horizontal="center" vertical="center"/>
      <protection hidden="1"/>
    </xf>
    <xf numFmtId="0" fontId="61" fillId="19" borderId="155" xfId="1" applyFont="1" applyFill="1" applyBorder="1" applyAlignment="1" applyProtection="1">
      <alignment vertical="center"/>
      <protection hidden="1"/>
    </xf>
    <xf numFmtId="0" fontId="61" fillId="19" borderId="153" xfId="1" applyFont="1" applyFill="1" applyBorder="1" applyAlignment="1" applyProtection="1">
      <alignment vertical="center"/>
      <protection hidden="1"/>
    </xf>
    <xf numFmtId="164" fontId="93" fillId="0" borderId="153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78" xfId="1" applyFont="1" applyFill="1" applyBorder="1" applyAlignment="1" applyProtection="1">
      <alignment vertical="center"/>
      <protection hidden="1"/>
    </xf>
    <xf numFmtId="164" fontId="93" fillId="0" borderId="78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155" xfId="1" applyNumberFormat="1" applyFont="1" applyFill="1" applyBorder="1" applyAlignment="1" applyProtection="1">
      <alignment horizontal="center" vertical="center"/>
      <protection hidden="1"/>
    </xf>
    <xf numFmtId="164" fontId="93" fillId="19" borderId="153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78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155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153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155" xfId="1" applyFont="1" applyFill="1" applyBorder="1" applyAlignment="1" applyProtection="1">
      <alignment vertical="center"/>
      <protection hidden="1"/>
    </xf>
    <xf numFmtId="0" fontId="57" fillId="21" borderId="0" xfId="1" applyFont="1" applyFill="1" applyBorder="1" applyAlignment="1" applyProtection="1">
      <alignment horizontal="center" vertical="center"/>
      <protection hidden="1"/>
    </xf>
    <xf numFmtId="0" fontId="93" fillId="19" borderId="153" xfId="1" applyFont="1" applyFill="1" applyBorder="1" applyAlignment="1" applyProtection="1">
      <alignment vertical="center"/>
      <protection hidden="1"/>
    </xf>
    <xf numFmtId="0" fontId="93" fillId="19" borderId="78" xfId="1" applyFont="1" applyFill="1" applyBorder="1" applyAlignment="1" applyProtection="1">
      <alignment vertical="center"/>
      <protection hidden="1"/>
    </xf>
    <xf numFmtId="164" fontId="56" fillId="18" borderId="0" xfId="1" applyNumberFormat="1" applyFont="1" applyFill="1" applyBorder="1" applyAlignment="1" applyProtection="1">
      <alignment horizontal="center" vertical="center"/>
      <protection hidden="1"/>
    </xf>
    <xf numFmtId="0" fontId="93" fillId="19" borderId="155" xfId="1" applyFont="1" applyFill="1" applyBorder="1" applyAlignment="1" applyProtection="1">
      <alignment vertical="center"/>
      <protection hidden="1"/>
    </xf>
    <xf numFmtId="0" fontId="55" fillId="18" borderId="0" xfId="1" applyFont="1" applyFill="1" applyBorder="1" applyAlignment="1" applyProtection="1">
      <alignment horizontal="center" vertical="center"/>
      <protection hidden="1"/>
    </xf>
    <xf numFmtId="2" fontId="61" fillId="19" borderId="78" xfId="1" applyNumberFormat="1" applyFont="1" applyFill="1" applyBorder="1" applyAlignment="1" applyProtection="1">
      <alignment horizontal="center" vertical="center" wrapText="1"/>
      <protection hidden="1"/>
    </xf>
    <xf numFmtId="164" fontId="55" fillId="22" borderId="78" xfId="1" applyNumberFormat="1" applyFont="1" applyFill="1" applyBorder="1" applyAlignment="1" applyProtection="1">
      <alignment horizontal="center" vertical="center" wrapText="1"/>
      <protection hidden="1"/>
    </xf>
    <xf numFmtId="0" fontId="61" fillId="3" borderId="156" xfId="1" applyFont="1" applyFill="1" applyBorder="1" applyAlignment="1" applyProtection="1">
      <alignment horizontal="center" vertical="center"/>
      <protection hidden="1"/>
    </xf>
    <xf numFmtId="164" fontId="55" fillId="22" borderId="17" xfId="1" applyNumberFormat="1" applyFont="1" applyFill="1" applyBorder="1" applyAlignment="1" applyProtection="1">
      <alignment horizontal="center" vertical="center"/>
      <protection hidden="1"/>
    </xf>
    <xf numFmtId="164" fontId="55" fillId="22" borderId="153" xfId="1" applyNumberFormat="1" applyFont="1" applyFill="1" applyBorder="1" applyAlignment="1" applyProtection="1">
      <alignment horizontal="center" vertical="center"/>
      <protection hidden="1"/>
    </xf>
    <xf numFmtId="0" fontId="61" fillId="3" borderId="148" xfId="1" applyFont="1" applyFill="1" applyBorder="1" applyAlignment="1" applyProtection="1">
      <alignment vertical="center"/>
      <protection hidden="1"/>
    </xf>
    <xf numFmtId="164" fontId="61" fillId="3" borderId="148" xfId="1" applyNumberFormat="1" applyFont="1" applyFill="1" applyBorder="1" applyAlignment="1" applyProtection="1">
      <alignment horizontal="center" vertical="center"/>
      <protection hidden="1"/>
    </xf>
    <xf numFmtId="0" fontId="61" fillId="3" borderId="149" xfId="1" applyFont="1" applyFill="1" applyBorder="1" applyAlignment="1" applyProtection="1">
      <alignment vertical="center"/>
      <protection hidden="1"/>
    </xf>
    <xf numFmtId="0" fontId="61" fillId="3" borderId="150" xfId="1" applyFont="1" applyFill="1" applyBorder="1" applyAlignment="1" applyProtection="1">
      <alignment vertical="center"/>
      <protection hidden="1"/>
    </xf>
    <xf numFmtId="164" fontId="55" fillId="22" borderId="17" xfId="1" applyNumberFormat="1" applyFont="1" applyFill="1" applyBorder="1" applyAlignment="1" applyProtection="1">
      <alignment horizontal="center" vertical="center" wrapText="1"/>
      <protection hidden="1"/>
    </xf>
    <xf numFmtId="164" fontId="55" fillId="22" borderId="153" xfId="1" applyNumberFormat="1" applyFont="1" applyFill="1" applyBorder="1" applyAlignment="1" applyProtection="1">
      <alignment horizontal="center" vertical="center" wrapText="1"/>
      <protection hidden="1"/>
    </xf>
    <xf numFmtId="0" fontId="56" fillId="0" borderId="148" xfId="1" applyFont="1" applyFill="1" applyBorder="1" applyAlignment="1" applyProtection="1">
      <alignment horizontal="center" vertical="center"/>
      <protection hidden="1"/>
    </xf>
    <xf numFmtId="164" fontId="56" fillId="0" borderId="148" xfId="1" applyNumberFormat="1" applyFont="1" applyFill="1" applyBorder="1" applyAlignment="1" applyProtection="1">
      <alignment horizontal="center" vertical="center"/>
      <protection hidden="1"/>
    </xf>
    <xf numFmtId="0" fontId="55" fillId="0" borderId="148" xfId="1" applyFont="1" applyFill="1" applyBorder="1" applyAlignment="1" applyProtection="1">
      <alignment vertical="center"/>
      <protection hidden="1"/>
    </xf>
    <xf numFmtId="0" fontId="61" fillId="0" borderId="148" xfId="1" applyFont="1" applyFill="1" applyBorder="1" applyAlignment="1" applyProtection="1">
      <alignment vertical="center"/>
      <protection hidden="1"/>
    </xf>
    <xf numFmtId="0" fontId="63" fillId="0" borderId="148" xfId="1" applyFont="1" applyFill="1" applyBorder="1" applyAlignment="1" applyProtection="1">
      <alignment vertical="center"/>
      <protection hidden="1"/>
    </xf>
    <xf numFmtId="1" fontId="61" fillId="0" borderId="148" xfId="1" applyNumberFormat="1" applyFont="1" applyFill="1" applyBorder="1" applyAlignment="1" applyProtection="1">
      <alignment vertical="center"/>
      <protection hidden="1"/>
    </xf>
    <xf numFmtId="0" fontId="61" fillId="3" borderId="152" xfId="1" applyFont="1" applyFill="1" applyBorder="1" applyAlignment="1" applyProtection="1">
      <alignment vertical="center"/>
      <protection hidden="1"/>
    </xf>
    <xf numFmtId="0" fontId="61" fillId="0" borderId="152" xfId="1" applyFont="1" applyFill="1" applyBorder="1" applyAlignment="1" applyProtection="1">
      <alignment vertical="center"/>
      <protection hidden="1"/>
    </xf>
    <xf numFmtId="0" fontId="73" fillId="2" borderId="42" xfId="1" applyFont="1" applyFill="1" applyBorder="1" applyAlignment="1" applyProtection="1">
      <alignment horizontal="center" vertical="center"/>
      <protection locked="0"/>
    </xf>
    <xf numFmtId="0" fontId="72" fillId="21" borderId="40" xfId="2" applyFont="1" applyFill="1" applyBorder="1" applyAlignment="1" applyProtection="1">
      <alignment horizontal="center" vertical="center"/>
      <protection hidden="1"/>
    </xf>
    <xf numFmtId="1" fontId="54" fillId="21" borderId="40" xfId="1" applyNumberFormat="1" applyFont="1" applyFill="1" applyBorder="1" applyAlignment="1" applyProtection="1">
      <alignment horizontal="center" vertical="center"/>
      <protection hidden="1"/>
    </xf>
    <xf numFmtId="0" fontId="72" fillId="21" borderId="157" xfId="2" applyFont="1" applyFill="1" applyBorder="1" applyAlignment="1" applyProtection="1">
      <alignment horizontal="center" vertical="center"/>
      <protection hidden="1"/>
    </xf>
    <xf numFmtId="0" fontId="91" fillId="22" borderId="78" xfId="2" applyFont="1" applyFill="1" applyBorder="1" applyAlignment="1" applyProtection="1">
      <alignment horizontal="center" vertical="center"/>
      <protection hidden="1"/>
    </xf>
    <xf numFmtId="0" fontId="85" fillId="22" borderId="0" xfId="0" applyFont="1" applyFill="1" applyAlignment="1">
      <alignment horizontal="center" vertical="center" wrapText="1"/>
    </xf>
    <xf numFmtId="0" fontId="54" fillId="21" borderId="43" xfId="1" applyFont="1" applyFill="1" applyBorder="1" applyAlignment="1" applyProtection="1">
      <alignment horizontal="center" vertical="center"/>
      <protection hidden="1"/>
    </xf>
    <xf numFmtId="0" fontId="5" fillId="18" borderId="99" xfId="0" applyFont="1" applyFill="1" applyBorder="1" applyAlignment="1">
      <alignment horizontal="center" vertical="center"/>
    </xf>
    <xf numFmtId="0" fontId="107" fillId="22" borderId="0" xfId="0" applyFont="1" applyFill="1" applyBorder="1" applyAlignment="1">
      <alignment horizontal="center" vertical="center"/>
    </xf>
    <xf numFmtId="0" fontId="80" fillId="18" borderId="79" xfId="0" applyFont="1" applyFill="1" applyBorder="1" applyAlignment="1">
      <alignment horizontal="center" vertical="center"/>
    </xf>
    <xf numFmtId="0" fontId="80" fillId="18" borderId="95" xfId="0" applyFont="1" applyFill="1" applyBorder="1" applyAlignment="1">
      <alignment horizontal="center" vertical="center"/>
    </xf>
    <xf numFmtId="0" fontId="80" fillId="18" borderId="84" xfId="0" applyFont="1" applyFill="1" applyBorder="1" applyAlignment="1">
      <alignment horizontal="center" vertical="center"/>
    </xf>
    <xf numFmtId="0" fontId="80" fillId="18" borderId="83" xfId="0" applyFont="1" applyFill="1" applyBorder="1" applyAlignment="1">
      <alignment horizontal="center" vertical="center"/>
    </xf>
    <xf numFmtId="0" fontId="80" fillId="18" borderId="18" xfId="0" applyFont="1" applyFill="1" applyBorder="1" applyAlignment="1">
      <alignment horizontal="center" vertical="center"/>
    </xf>
    <xf numFmtId="0" fontId="80" fillId="18" borderId="87" xfId="0" applyFont="1" applyFill="1" applyBorder="1" applyAlignment="1">
      <alignment horizontal="center" vertical="center"/>
    </xf>
    <xf numFmtId="0" fontId="72" fillId="21" borderId="92" xfId="0" applyFont="1" applyFill="1" applyBorder="1" applyAlignment="1" applyProtection="1">
      <alignment horizontal="center" vertical="center"/>
      <protection locked="0"/>
    </xf>
    <xf numFmtId="0" fontId="72" fillId="21" borderId="93" xfId="0" applyFont="1" applyFill="1" applyBorder="1" applyAlignment="1">
      <alignment horizontal="center" vertical="center"/>
    </xf>
    <xf numFmtId="0" fontId="80" fillId="20" borderId="102" xfId="0" applyFont="1" applyFill="1" applyBorder="1" applyAlignment="1">
      <alignment horizontal="center" vertical="center"/>
    </xf>
    <xf numFmtId="0" fontId="80" fillId="20" borderId="103" xfId="0" applyFont="1" applyFill="1" applyBorder="1" applyAlignment="1">
      <alignment horizontal="center" vertical="center"/>
    </xf>
    <xf numFmtId="0" fontId="80" fillId="20" borderId="104" xfId="0" applyFont="1" applyFill="1" applyBorder="1" applyAlignment="1">
      <alignment horizontal="center" vertical="center"/>
    </xf>
    <xf numFmtId="0" fontId="80" fillId="18" borderId="96" xfId="0" applyFont="1" applyFill="1" applyBorder="1" applyAlignment="1">
      <alignment horizontal="center" vertical="center"/>
    </xf>
    <xf numFmtId="0" fontId="109" fillId="8" borderId="134" xfId="0" applyFont="1" applyFill="1" applyBorder="1"/>
    <xf numFmtId="0" fontId="109" fillId="8" borderId="108" xfId="0" applyFont="1" applyFill="1" applyBorder="1"/>
    <xf numFmtId="0" fontId="109" fillId="8" borderId="109" xfId="0" applyFont="1" applyFill="1" applyBorder="1"/>
    <xf numFmtId="0" fontId="109" fillId="8" borderId="163" xfId="0" applyFont="1" applyFill="1" applyBorder="1"/>
    <xf numFmtId="0" fontId="80" fillId="18" borderId="86" xfId="0" applyFont="1" applyFill="1" applyBorder="1" applyAlignment="1">
      <alignment horizontal="center" vertical="center"/>
    </xf>
    <xf numFmtId="0" fontId="5" fillId="8" borderId="18" xfId="0" applyFont="1" applyFill="1" applyBorder="1"/>
    <xf numFmtId="0" fontId="5" fillId="8" borderId="23" xfId="0" applyFont="1" applyFill="1" applyBorder="1"/>
    <xf numFmtId="0" fontId="80" fillId="18" borderId="134" xfId="0" applyFont="1" applyFill="1" applyBorder="1" applyAlignment="1">
      <alignment horizontal="center" vertical="center"/>
    </xf>
    <xf numFmtId="0" fontId="80" fillId="18" borderId="109" xfId="0" applyFont="1" applyFill="1" applyBorder="1" applyAlignment="1">
      <alignment horizontal="center" vertical="center"/>
    </xf>
    <xf numFmtId="2" fontId="55" fillId="18" borderId="38" xfId="0" applyNumberFormat="1" applyFont="1" applyFill="1" applyBorder="1" applyAlignment="1" applyProtection="1">
      <alignment horizontal="center"/>
      <protection locked="0"/>
    </xf>
    <xf numFmtId="0" fontId="64" fillId="7" borderId="65" xfId="1" applyFont="1" applyFill="1" applyBorder="1" applyAlignment="1" applyProtection="1">
      <alignment horizontal="right" vertical="center"/>
      <protection hidden="1"/>
    </xf>
    <xf numFmtId="0" fontId="76" fillId="3" borderId="129" xfId="1" applyFont="1" applyFill="1" applyBorder="1" applyAlignment="1" applyProtection="1">
      <alignment horizontal="center" vertical="center"/>
      <protection hidden="1"/>
    </xf>
    <xf numFmtId="0" fontId="57" fillId="7" borderId="165" xfId="1" applyFont="1" applyFill="1" applyBorder="1" applyAlignment="1" applyProtection="1">
      <alignment horizontal="center" vertical="center"/>
      <protection hidden="1"/>
    </xf>
    <xf numFmtId="0" fontId="93" fillId="22" borderId="105" xfId="1" applyFont="1" applyFill="1" applyBorder="1" applyAlignment="1" applyProtection="1">
      <alignment horizontal="center" vertical="center"/>
      <protection hidden="1"/>
    </xf>
    <xf numFmtId="0" fontId="93" fillId="22" borderId="129" xfId="1" applyFont="1" applyFill="1" applyBorder="1" applyAlignment="1" applyProtection="1">
      <alignment horizontal="center" vertical="center"/>
      <protection hidden="1"/>
    </xf>
    <xf numFmtId="2" fontId="110" fillId="2" borderId="43" xfId="1" applyNumberFormat="1" applyFont="1" applyFill="1" applyBorder="1" applyAlignment="1" applyProtection="1">
      <alignment horizontal="center" vertical="center"/>
      <protection locked="0"/>
    </xf>
    <xf numFmtId="0" fontId="110" fillId="2" borderId="38" xfId="1" applyFont="1" applyFill="1" applyBorder="1" applyAlignment="1" applyProtection="1">
      <alignment horizontal="center" vertical="center"/>
      <protection locked="0"/>
    </xf>
    <xf numFmtId="2" fontId="110" fillId="2" borderId="38" xfId="1" applyNumberFormat="1" applyFont="1" applyFill="1" applyBorder="1" applyAlignment="1" applyProtection="1">
      <alignment horizontal="center" vertical="center"/>
      <protection locked="0"/>
    </xf>
    <xf numFmtId="2" fontId="55" fillId="18" borderId="52" xfId="1" applyNumberFormat="1" applyFont="1" applyFill="1" applyBorder="1" applyAlignment="1" applyProtection="1">
      <alignment horizontal="center" vertical="center"/>
      <protection hidden="1"/>
    </xf>
    <xf numFmtId="0" fontId="61" fillId="3" borderId="0" xfId="1" applyFont="1" applyFill="1" applyAlignment="1" applyProtection="1">
      <alignment vertical="center"/>
      <protection hidden="1"/>
    </xf>
    <xf numFmtId="0" fontId="61" fillId="3" borderId="0" xfId="1" applyFont="1" applyFill="1" applyAlignment="1" applyProtection="1">
      <alignment horizontal="center" vertical="center"/>
      <protection hidden="1"/>
    </xf>
    <xf numFmtId="164" fontId="61" fillId="3" borderId="0" xfId="1" applyNumberFormat="1" applyFont="1" applyFill="1" applyAlignment="1" applyProtection="1">
      <alignment horizontal="center" vertical="center"/>
      <protection hidden="1"/>
    </xf>
    <xf numFmtId="0" fontId="110" fillId="2" borderId="88" xfId="1" applyFont="1" applyFill="1" applyBorder="1" applyAlignment="1" applyProtection="1">
      <alignment horizontal="center" vertical="center" wrapText="1"/>
      <protection locked="0"/>
    </xf>
    <xf numFmtId="0" fontId="91" fillId="3" borderId="169" xfId="1" applyFont="1" applyFill="1" applyBorder="1" applyAlignment="1" applyProtection="1">
      <alignment horizontal="center" vertical="center"/>
      <protection hidden="1"/>
    </xf>
    <xf numFmtId="0" fontId="72" fillId="2" borderId="169" xfId="1" applyFont="1" applyFill="1" applyBorder="1" applyAlignment="1" applyProtection="1">
      <alignment horizontal="center" vertical="center"/>
      <protection hidden="1"/>
    </xf>
    <xf numFmtId="0" fontId="74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/>
    <xf numFmtId="0" fontId="84" fillId="0" borderId="0" xfId="0" applyFont="1" applyFill="1" applyBorder="1" applyAlignment="1" applyProtection="1">
      <alignment horizontal="center"/>
      <protection locked="0"/>
    </xf>
    <xf numFmtId="0" fontId="72" fillId="0" borderId="0" xfId="0" applyFont="1" applyFill="1" applyBorder="1" applyAlignment="1" applyProtection="1">
      <alignment horizontal="center"/>
      <protection locked="0"/>
    </xf>
    <xf numFmtId="0" fontId="72" fillId="0" borderId="0" xfId="0" applyFont="1" applyFill="1" applyBorder="1" applyAlignment="1" applyProtection="1">
      <alignment horizontal="center" vertical="center"/>
      <protection locked="0"/>
    </xf>
    <xf numFmtId="0" fontId="85" fillId="0" borderId="0" xfId="0" applyFont="1" applyFill="1" applyBorder="1" applyAlignment="1" applyProtection="1">
      <alignment horizontal="left" vertical="center"/>
      <protection locked="0"/>
    </xf>
    <xf numFmtId="2" fontId="55" fillId="0" borderId="0" xfId="0" applyNumberFormat="1" applyFont="1" applyFill="1" applyBorder="1" applyAlignment="1" applyProtection="1">
      <alignment horizontal="center" vertical="center"/>
      <protection locked="0"/>
    </xf>
    <xf numFmtId="2" fontId="56" fillId="0" borderId="0" xfId="0" applyNumberFormat="1" applyFont="1" applyFill="1" applyBorder="1" applyAlignment="1" applyProtection="1">
      <alignment horizontal="center" vertical="center"/>
      <protection locked="0"/>
    </xf>
    <xf numFmtId="0" fontId="72" fillId="0" borderId="0" xfId="0" applyFont="1" applyFill="1" applyBorder="1" applyProtection="1">
      <protection locked="0"/>
    </xf>
    <xf numFmtId="2" fontId="54" fillId="0" borderId="0" xfId="0" applyNumberFormat="1" applyFont="1" applyFill="1" applyBorder="1" applyAlignment="1" applyProtection="1">
      <alignment horizontal="center" vertical="center"/>
      <protection locked="0"/>
    </xf>
    <xf numFmtId="2" fontId="55" fillId="0" borderId="0" xfId="0" applyNumberFormat="1" applyFont="1" applyFill="1" applyBorder="1" applyAlignment="1" applyProtection="1">
      <alignment horizontal="center"/>
      <protection locked="0"/>
    </xf>
    <xf numFmtId="2" fontId="63" fillId="0" borderId="0" xfId="0" applyNumberFormat="1" applyFont="1" applyFill="1" applyBorder="1" applyProtection="1">
      <protection locked="0"/>
    </xf>
    <xf numFmtId="0" fontId="72" fillId="0" borderId="0" xfId="0" applyFont="1" applyFill="1" applyBorder="1" applyAlignment="1" applyProtection="1">
      <alignment horizontal="left" vertical="center"/>
      <protection locked="0"/>
    </xf>
    <xf numFmtId="0" fontId="83" fillId="0" borderId="0" xfId="0" applyFont="1" applyFill="1" applyBorder="1" applyAlignment="1" applyProtection="1">
      <alignment horizontal="center"/>
      <protection locked="0"/>
    </xf>
    <xf numFmtId="0" fontId="63" fillId="0" borderId="0" xfId="0" applyFont="1" applyFill="1" applyBorder="1" applyProtection="1">
      <protection locked="0"/>
    </xf>
    <xf numFmtId="0" fontId="86" fillId="0" borderId="0" xfId="0" applyFont="1" applyFill="1" applyBorder="1" applyProtection="1">
      <protection locked="0"/>
    </xf>
    <xf numFmtId="2" fontId="64" fillId="0" borderId="0" xfId="0" applyNumberFormat="1" applyFont="1" applyFill="1" applyBorder="1" applyAlignment="1" applyProtection="1">
      <protection locked="0"/>
    </xf>
    <xf numFmtId="2" fontId="63" fillId="21" borderId="42" xfId="0" applyNumberFormat="1" applyFont="1" applyFill="1" applyBorder="1" applyProtection="1">
      <protection locked="0"/>
    </xf>
    <xf numFmtId="0" fontId="90" fillId="21" borderId="87" xfId="1" applyFont="1" applyFill="1" applyBorder="1" applyAlignment="1" applyProtection="1">
      <alignment horizontal="center" vertical="center" wrapText="1"/>
      <protection locked="0"/>
    </xf>
    <xf numFmtId="0" fontId="90" fillId="21" borderId="88" xfId="1" applyFont="1" applyFill="1" applyBorder="1" applyAlignment="1" applyProtection="1">
      <alignment horizontal="center" vertical="center" wrapText="1"/>
      <protection locked="0"/>
    </xf>
    <xf numFmtId="2" fontId="63" fillId="21" borderId="58" xfId="0" applyNumberFormat="1" applyFont="1" applyFill="1" applyBorder="1" applyAlignment="1" applyProtection="1">
      <alignment horizontal="center" vertical="center"/>
      <protection locked="0"/>
    </xf>
    <xf numFmtId="0" fontId="90" fillId="21" borderId="43" xfId="1" applyFont="1" applyFill="1" applyBorder="1" applyAlignment="1" applyProtection="1">
      <alignment horizontal="center" vertical="center" wrapText="1"/>
      <protection locked="0"/>
    </xf>
    <xf numFmtId="2" fontId="63" fillId="21" borderId="38" xfId="0" applyNumberFormat="1" applyFont="1" applyFill="1" applyBorder="1" applyAlignment="1" applyProtection="1">
      <alignment horizontal="center" vertical="center"/>
      <protection locked="0"/>
    </xf>
    <xf numFmtId="0" fontId="110" fillId="2" borderId="43" xfId="0" applyFont="1" applyFill="1" applyBorder="1" applyAlignment="1" applyProtection="1">
      <alignment horizontal="center" vertical="center"/>
      <protection locked="0"/>
    </xf>
    <xf numFmtId="2" fontId="76" fillId="21" borderId="120" xfId="0" applyNumberFormat="1" applyFont="1" applyFill="1" applyBorder="1" applyAlignment="1" applyProtection="1">
      <alignment vertical="center"/>
      <protection locked="0"/>
    </xf>
    <xf numFmtId="0" fontId="77" fillId="21" borderId="121" xfId="0" applyFont="1" applyFill="1" applyBorder="1" applyAlignment="1" applyProtection="1">
      <alignment horizontal="center" vertical="center"/>
      <protection locked="0"/>
    </xf>
    <xf numFmtId="2" fontId="76" fillId="2" borderId="43" xfId="0" applyNumberFormat="1" applyFont="1" applyFill="1" applyBorder="1" applyAlignment="1" applyProtection="1">
      <alignment horizontal="center" vertical="center"/>
      <protection locked="0"/>
    </xf>
    <xf numFmtId="2" fontId="76" fillId="2" borderId="38" xfId="0" applyNumberFormat="1" applyFont="1" applyFill="1" applyBorder="1" applyAlignment="1" applyProtection="1">
      <alignment horizontal="center" vertical="center"/>
      <protection locked="0"/>
    </xf>
    <xf numFmtId="0" fontId="81" fillId="22" borderId="110" xfId="0" applyFont="1" applyFill="1" applyBorder="1" applyAlignment="1" applyProtection="1">
      <alignment horizontal="center" vertical="center"/>
      <protection locked="0"/>
    </xf>
    <xf numFmtId="0" fontId="54" fillId="22" borderId="6" xfId="0" applyFont="1" applyFill="1" applyBorder="1" applyAlignment="1" applyProtection="1">
      <alignment horizontal="center" vertical="center"/>
      <protection locked="0"/>
    </xf>
    <xf numFmtId="0" fontId="54" fillId="22" borderId="2" xfId="0" applyFont="1" applyFill="1" applyBorder="1" applyAlignment="1" applyProtection="1">
      <alignment horizontal="center" vertical="center"/>
      <protection locked="0"/>
    </xf>
    <xf numFmtId="0" fontId="54" fillId="22" borderId="111" xfId="0" applyFont="1" applyFill="1" applyBorder="1" applyAlignment="1" applyProtection="1">
      <alignment horizontal="center" vertical="center"/>
      <protection locked="0"/>
    </xf>
    <xf numFmtId="0" fontId="111" fillId="2" borderId="70" xfId="0" applyFont="1" applyFill="1" applyBorder="1" applyAlignment="1" applyProtection="1">
      <alignment horizontal="center" vertical="center"/>
      <protection locked="0"/>
    </xf>
    <xf numFmtId="0" fontId="113" fillId="2" borderId="126" xfId="0" applyFont="1" applyFill="1" applyBorder="1" applyAlignment="1" applyProtection="1">
      <alignment horizontal="center" vertical="center"/>
      <protection locked="0"/>
    </xf>
    <xf numFmtId="0" fontId="111" fillId="2" borderId="127" xfId="0" applyFont="1" applyFill="1" applyBorder="1" applyAlignment="1" applyProtection="1">
      <alignment horizontal="center" vertical="center"/>
      <protection locked="0"/>
    </xf>
    <xf numFmtId="0" fontId="63" fillId="21" borderId="38" xfId="0" applyFont="1" applyFill="1" applyBorder="1" applyProtection="1">
      <protection locked="0"/>
    </xf>
    <xf numFmtId="0" fontId="56" fillId="21" borderId="38" xfId="1" applyFont="1" applyFill="1" applyBorder="1" applyAlignment="1" applyProtection="1">
      <alignment horizontal="center" vertical="center"/>
      <protection locked="0"/>
    </xf>
    <xf numFmtId="0" fontId="61" fillId="21" borderId="47" xfId="1" applyFont="1" applyFill="1" applyBorder="1" applyAlignment="1" applyProtection="1">
      <alignment horizontal="center" vertical="center"/>
      <protection locked="0"/>
    </xf>
    <xf numFmtId="2" fontId="63" fillId="21" borderId="48" xfId="0" applyNumberFormat="1" applyFont="1" applyFill="1" applyBorder="1" applyAlignment="1" applyProtection="1">
      <alignment horizontal="center" vertical="center"/>
      <protection locked="0"/>
    </xf>
    <xf numFmtId="2" fontId="54" fillId="21" borderId="39" xfId="0" applyNumberFormat="1" applyFont="1" applyFill="1" applyBorder="1" applyAlignment="1" applyProtection="1">
      <alignment horizontal="center" vertical="center"/>
      <protection locked="0"/>
    </xf>
    <xf numFmtId="0" fontId="54" fillId="21" borderId="137" xfId="1" applyFont="1" applyFill="1" applyBorder="1" applyAlignment="1" applyProtection="1">
      <alignment horizontal="center" vertical="center"/>
      <protection hidden="1"/>
    </xf>
    <xf numFmtId="0" fontId="76" fillId="3" borderId="154" xfId="1" applyFont="1" applyFill="1" applyBorder="1" applyAlignment="1" applyProtection="1">
      <alignment horizontal="center" vertical="center"/>
      <protection hidden="1"/>
    </xf>
    <xf numFmtId="0" fontId="55" fillId="22" borderId="17" xfId="1" applyFont="1" applyFill="1" applyBorder="1" applyAlignment="1" applyProtection="1">
      <alignment horizontal="center" vertical="center"/>
      <protection hidden="1"/>
    </xf>
    <xf numFmtId="0" fontId="62" fillId="3" borderId="0" xfId="2" applyFont="1" applyFill="1" applyAlignment="1" applyProtection="1">
      <alignment horizontal="center" vertical="center"/>
      <protection hidden="1"/>
    </xf>
    <xf numFmtId="164" fontId="55" fillId="18" borderId="43" xfId="1" applyNumberFormat="1" applyFont="1" applyFill="1" applyBorder="1" applyAlignment="1" applyProtection="1">
      <alignment horizontal="center" vertical="center"/>
      <protection hidden="1"/>
    </xf>
    <xf numFmtId="0" fontId="110" fillId="2" borderId="42" xfId="1" applyFont="1" applyFill="1" applyBorder="1" applyAlignment="1" applyProtection="1">
      <alignment horizontal="center" vertical="center"/>
      <protection locked="0"/>
    </xf>
    <xf numFmtId="0" fontId="110" fillId="2" borderId="58" xfId="1" applyFont="1" applyFill="1" applyBorder="1" applyAlignment="1" applyProtection="1">
      <alignment horizontal="center" vertical="center"/>
      <protection locked="0"/>
    </xf>
    <xf numFmtId="0" fontId="110" fillId="2" borderId="40" xfId="1" applyFont="1" applyFill="1" applyBorder="1" applyAlignment="1" applyProtection="1">
      <alignment horizontal="center" vertical="center"/>
      <protection locked="0"/>
    </xf>
    <xf numFmtId="0" fontId="110" fillId="2" borderId="88" xfId="1" applyFont="1" applyFill="1" applyBorder="1" applyAlignment="1" applyProtection="1">
      <alignment horizontal="center" vertical="center"/>
      <protection locked="0"/>
    </xf>
    <xf numFmtId="0" fontId="110" fillId="2" borderId="43" xfId="1" applyFont="1" applyFill="1" applyBorder="1" applyAlignment="1" applyProtection="1">
      <alignment horizontal="center" vertical="center"/>
      <protection locked="0"/>
    </xf>
    <xf numFmtId="0" fontId="110" fillId="2" borderId="39" xfId="1" applyFont="1" applyFill="1" applyBorder="1" applyAlignment="1" applyProtection="1">
      <alignment horizontal="center" vertical="center"/>
      <protection locked="0"/>
    </xf>
    <xf numFmtId="0" fontId="110" fillId="2" borderId="0" xfId="1" applyFont="1" applyFill="1" applyBorder="1" applyAlignment="1" applyProtection="1">
      <alignment horizontal="center" vertical="center"/>
      <protection locked="0"/>
    </xf>
    <xf numFmtId="1" fontId="110" fillId="2" borderId="38" xfId="1" applyNumberFormat="1" applyFont="1" applyFill="1" applyBorder="1" applyAlignment="1" applyProtection="1">
      <alignment horizontal="center" vertical="center"/>
      <protection locked="0"/>
    </xf>
    <xf numFmtId="0" fontId="110" fillId="2" borderId="166" xfId="1" applyFont="1" applyFill="1" applyBorder="1" applyAlignment="1" applyProtection="1">
      <alignment horizontal="center" vertical="center"/>
      <protection locked="0"/>
    </xf>
    <xf numFmtId="0" fontId="110" fillId="2" borderId="41" xfId="1" applyFont="1" applyFill="1" applyBorder="1" applyAlignment="1" applyProtection="1">
      <alignment horizontal="center" vertical="center"/>
      <protection locked="0"/>
    </xf>
    <xf numFmtId="0" fontId="111" fillId="2" borderId="79" xfId="0" applyFont="1" applyFill="1" applyBorder="1" applyAlignment="1" applyProtection="1">
      <alignment horizontal="center" vertical="center"/>
      <protection locked="0"/>
    </xf>
    <xf numFmtId="0" fontId="111" fillId="2" borderId="81" xfId="0" applyFont="1" applyFill="1" applyBorder="1" applyAlignment="1" applyProtection="1">
      <alignment horizontal="center" vertical="center"/>
      <protection locked="0"/>
    </xf>
    <xf numFmtId="0" fontId="111" fillId="2" borderId="87" xfId="0" applyFont="1" applyFill="1" applyBorder="1" applyAlignment="1" applyProtection="1">
      <alignment horizontal="center" vertical="center"/>
      <protection locked="0"/>
    </xf>
    <xf numFmtId="0" fontId="111" fillId="2" borderId="43" xfId="0" applyFont="1" applyFill="1" applyBorder="1" applyAlignment="1" applyProtection="1">
      <alignment horizontal="center" vertical="center"/>
      <protection locked="0"/>
    </xf>
    <xf numFmtId="0" fontId="111" fillId="2" borderId="94" xfId="0" applyFont="1" applyFill="1" applyBorder="1" applyAlignment="1" applyProtection="1">
      <alignment horizontal="center" vertical="center"/>
      <protection locked="0"/>
    </xf>
    <xf numFmtId="0" fontId="111" fillId="2" borderId="99" xfId="0" applyFont="1" applyFill="1" applyBorder="1" applyAlignment="1" applyProtection="1">
      <alignment horizontal="center" vertical="center"/>
      <protection locked="0"/>
    </xf>
    <xf numFmtId="0" fontId="114" fillId="2" borderId="79" xfId="0" applyFont="1" applyFill="1" applyBorder="1" applyAlignment="1" applyProtection="1">
      <alignment horizontal="center" vertical="center"/>
      <protection locked="0"/>
    </xf>
    <xf numFmtId="0" fontId="114" fillId="2" borderId="81" xfId="0" applyFont="1" applyFill="1" applyBorder="1" applyAlignment="1" applyProtection="1">
      <alignment horizontal="center" vertical="center"/>
      <protection locked="0"/>
    </xf>
    <xf numFmtId="0" fontId="114" fillId="2" borderId="87" xfId="0" applyFont="1" applyFill="1" applyBorder="1" applyAlignment="1" applyProtection="1">
      <alignment horizontal="center" vertical="center"/>
      <protection locked="0"/>
    </xf>
    <xf numFmtId="0" fontId="114" fillId="2" borderId="43" xfId="0" applyFont="1" applyFill="1" applyBorder="1" applyAlignment="1" applyProtection="1">
      <alignment horizontal="center" vertical="center"/>
      <protection locked="0"/>
    </xf>
    <xf numFmtId="0" fontId="114" fillId="2" borderId="94" xfId="0" applyFont="1" applyFill="1" applyBorder="1" applyAlignment="1" applyProtection="1">
      <alignment horizontal="center" vertical="center"/>
      <protection locked="0"/>
    </xf>
    <xf numFmtId="0" fontId="114" fillId="2" borderId="99" xfId="0" applyFont="1" applyFill="1" applyBorder="1" applyAlignment="1" applyProtection="1">
      <alignment horizontal="center" vertical="center"/>
      <protection locked="0"/>
    </xf>
    <xf numFmtId="0" fontId="114" fillId="2" borderId="96" xfId="0" applyFont="1" applyFill="1" applyBorder="1" applyAlignment="1" applyProtection="1">
      <alignment horizontal="center" vertical="center"/>
      <protection locked="0"/>
    </xf>
    <xf numFmtId="0" fontId="114" fillId="2" borderId="44" xfId="0" applyFont="1" applyFill="1" applyBorder="1" applyAlignment="1" applyProtection="1">
      <alignment horizontal="center" vertical="center"/>
      <protection locked="0"/>
    </xf>
    <xf numFmtId="0" fontId="111" fillId="2" borderId="97" xfId="0" applyFont="1" applyFill="1" applyBorder="1" applyAlignment="1" applyProtection="1">
      <alignment horizontal="center" vertical="center"/>
      <protection locked="0"/>
    </xf>
    <xf numFmtId="0" fontId="111" fillId="2" borderId="46" xfId="0" applyFont="1" applyFill="1" applyBorder="1" applyAlignment="1" applyProtection="1">
      <alignment horizontal="center" vertical="center"/>
      <protection locked="0"/>
    </xf>
    <xf numFmtId="0" fontId="111" fillId="2" borderId="86" xfId="0" applyFont="1" applyFill="1" applyBorder="1" applyAlignment="1" applyProtection="1">
      <alignment horizontal="center" vertical="center"/>
      <protection locked="0"/>
    </xf>
    <xf numFmtId="9" fontId="111" fillId="2" borderId="37" xfId="7" applyFont="1" applyFill="1" applyBorder="1" applyAlignment="1" applyProtection="1">
      <alignment horizontal="center"/>
      <protection locked="0"/>
    </xf>
    <xf numFmtId="0" fontId="81" fillId="21" borderId="125" xfId="0" applyFont="1" applyFill="1" applyBorder="1" applyAlignment="1" applyProtection="1">
      <alignment horizontal="center"/>
    </xf>
    <xf numFmtId="0" fontId="54" fillId="21" borderId="47" xfId="0" applyFont="1" applyFill="1" applyBorder="1" applyAlignment="1" applyProtection="1">
      <alignment horizontal="center"/>
    </xf>
    <xf numFmtId="0" fontId="54" fillId="21" borderId="76" xfId="0" applyFont="1" applyFill="1" applyBorder="1" applyProtection="1"/>
    <xf numFmtId="0" fontId="54" fillId="21" borderId="68" xfId="0" applyFont="1" applyFill="1" applyBorder="1" applyProtection="1"/>
    <xf numFmtId="0" fontId="81" fillId="22" borderId="110" xfId="0" applyFont="1" applyFill="1" applyBorder="1" applyAlignment="1" applyProtection="1">
      <alignment horizontal="center" vertical="center"/>
    </xf>
    <xf numFmtId="0" fontId="54" fillId="22" borderId="6" xfId="0" applyFont="1" applyFill="1" applyBorder="1" applyAlignment="1" applyProtection="1">
      <alignment horizontal="center" vertical="center"/>
    </xf>
    <xf numFmtId="0" fontId="54" fillId="22" borderId="2" xfId="0" applyFont="1" applyFill="1" applyBorder="1" applyAlignment="1" applyProtection="1">
      <alignment horizontal="center" vertical="center"/>
    </xf>
    <xf numFmtId="0" fontId="54" fillId="22" borderId="111" xfId="0" applyFont="1" applyFill="1" applyBorder="1" applyAlignment="1" applyProtection="1">
      <alignment horizontal="center" vertical="center"/>
    </xf>
    <xf numFmtId="0" fontId="85" fillId="21" borderId="67" xfId="0" applyFont="1" applyFill="1" applyBorder="1" applyProtection="1"/>
    <xf numFmtId="0" fontId="94" fillId="21" borderId="131" xfId="0" applyFont="1" applyFill="1" applyBorder="1" applyProtection="1"/>
    <xf numFmtId="0" fontId="81" fillId="21" borderId="45" xfId="0" applyFont="1" applyFill="1" applyBorder="1" applyProtection="1"/>
    <xf numFmtId="0" fontId="72" fillId="21" borderId="63" xfId="0" applyFont="1" applyFill="1" applyBorder="1" applyAlignment="1" applyProtection="1">
      <alignment horizontal="center"/>
    </xf>
    <xf numFmtId="0" fontId="94" fillId="21" borderId="69" xfId="0" applyFont="1" applyFill="1" applyBorder="1" applyProtection="1"/>
    <xf numFmtId="0" fontId="89" fillId="3" borderId="75" xfId="0" applyFont="1" applyFill="1" applyBorder="1" applyAlignment="1" applyProtection="1">
      <alignment horizontal="center"/>
    </xf>
    <xf numFmtId="0" fontId="89" fillId="3" borderId="161" xfId="0" applyFont="1" applyFill="1" applyBorder="1" applyAlignment="1" applyProtection="1">
      <alignment horizontal="center"/>
    </xf>
    <xf numFmtId="0" fontId="92" fillId="8" borderId="89" xfId="0" applyFont="1" applyFill="1" applyBorder="1" applyAlignment="1" applyProtection="1">
      <alignment horizontal="left" vertical="center" wrapText="1"/>
    </xf>
    <xf numFmtId="0" fontId="92" fillId="8" borderId="90" xfId="0" applyFont="1" applyFill="1" applyBorder="1" applyAlignment="1" applyProtection="1">
      <alignment horizontal="left" vertical="center" wrapText="1"/>
    </xf>
    <xf numFmtId="0" fontId="92" fillId="8" borderId="91" xfId="0" applyFont="1" applyFill="1" applyBorder="1" applyAlignment="1" applyProtection="1">
      <alignment horizontal="left" vertical="center" wrapText="1"/>
    </xf>
    <xf numFmtId="0" fontId="92" fillId="8" borderId="162" xfId="0" applyFont="1" applyFill="1" applyBorder="1" applyAlignment="1" applyProtection="1">
      <alignment horizontal="left" vertical="center" wrapText="1"/>
    </xf>
    <xf numFmtId="0" fontId="92" fillId="8" borderId="94" xfId="0" applyFont="1" applyFill="1" applyBorder="1" applyAlignment="1" applyProtection="1">
      <alignment horizontal="left" vertical="center"/>
    </xf>
    <xf numFmtId="0" fontId="92" fillId="8" borderId="100" xfId="0" applyFont="1" applyFill="1" applyBorder="1" applyAlignment="1" applyProtection="1">
      <alignment horizontal="left" vertical="center"/>
    </xf>
    <xf numFmtId="0" fontId="54" fillId="21" borderId="17" xfId="0" applyFont="1" applyFill="1" applyBorder="1" applyAlignment="1" applyProtection="1">
      <alignment horizontal="center" vertical="center"/>
    </xf>
    <xf numFmtId="0" fontId="82" fillId="21" borderId="17" xfId="0" applyFont="1" applyFill="1" applyBorder="1" applyProtection="1"/>
    <xf numFmtId="0" fontId="82" fillId="21" borderId="18" xfId="0" applyFont="1" applyFill="1" applyBorder="1" applyProtection="1"/>
    <xf numFmtId="1" fontId="54" fillId="21" borderId="45" xfId="0" applyNumberFormat="1" applyFont="1" applyFill="1" applyBorder="1" applyAlignment="1" applyProtection="1">
      <alignment horizontal="center"/>
    </xf>
    <xf numFmtId="0" fontId="82" fillId="21" borderId="50" xfId="0" applyFont="1" applyFill="1" applyBorder="1" applyProtection="1"/>
    <xf numFmtId="0" fontId="82" fillId="21" borderId="51" xfId="0" applyFont="1" applyFill="1" applyBorder="1" applyProtection="1"/>
    <xf numFmtId="0" fontId="54" fillId="21" borderId="134" xfId="0" applyFont="1" applyFill="1" applyBorder="1" applyAlignment="1" applyProtection="1">
      <alignment horizontal="center" vertical="center"/>
    </xf>
    <xf numFmtId="2" fontId="55" fillId="15" borderId="95" xfId="0" applyNumberFormat="1" applyFont="1" applyFill="1" applyBorder="1" applyAlignment="1" applyProtection="1">
      <alignment horizontal="center" vertical="center"/>
    </xf>
    <xf numFmtId="0" fontId="63" fillId="0" borderId="0" xfId="0" applyFont="1" applyFill="1" applyProtection="1"/>
    <xf numFmtId="0" fontId="63" fillId="21" borderId="0" xfId="0" applyFont="1" applyFill="1" applyProtection="1"/>
    <xf numFmtId="0" fontId="5" fillId="21" borderId="0" xfId="0" applyFont="1" applyFill="1" applyProtection="1"/>
    <xf numFmtId="0" fontId="54" fillId="21" borderId="108" xfId="0" applyFont="1" applyFill="1" applyBorder="1" applyAlignment="1" applyProtection="1">
      <alignment horizontal="center" vertical="center"/>
    </xf>
    <xf numFmtId="2" fontId="55" fillId="15" borderId="135" xfId="0" applyNumberFormat="1" applyFont="1" applyFill="1" applyBorder="1" applyAlignment="1" applyProtection="1">
      <alignment horizontal="center" vertical="center"/>
    </xf>
    <xf numFmtId="0" fontId="99" fillId="21" borderId="108" xfId="0" applyFont="1" applyFill="1" applyBorder="1" applyAlignment="1" applyProtection="1">
      <alignment horizontal="center" vertical="center"/>
    </xf>
    <xf numFmtId="0" fontId="55" fillId="15" borderId="135" xfId="0" applyFont="1" applyFill="1" applyBorder="1" applyAlignment="1" applyProtection="1">
      <alignment horizontal="center" vertical="center"/>
    </xf>
    <xf numFmtId="0" fontId="5" fillId="0" borderId="0" xfId="0" applyFont="1" applyProtection="1"/>
    <xf numFmtId="2" fontId="55" fillId="18" borderId="135" xfId="0" applyNumberFormat="1" applyFont="1" applyFill="1" applyBorder="1" applyAlignment="1" applyProtection="1">
      <alignment horizontal="center" vertical="center"/>
    </xf>
    <xf numFmtId="0" fontId="54" fillId="21" borderId="109" xfId="0" applyFont="1" applyFill="1" applyBorder="1" applyAlignment="1" applyProtection="1">
      <alignment horizontal="center" vertical="center"/>
    </xf>
    <xf numFmtId="0" fontId="55" fillId="15" borderId="136" xfId="0" applyFont="1" applyFill="1" applyBorder="1" applyAlignment="1" applyProtection="1">
      <alignment horizontal="center" vertical="center"/>
    </xf>
    <xf numFmtId="0" fontId="5" fillId="21" borderId="19" xfId="0" applyFont="1" applyFill="1" applyBorder="1" applyProtection="1"/>
    <xf numFmtId="0" fontId="5" fillId="21" borderId="20" xfId="0" applyFont="1" applyFill="1" applyBorder="1" applyProtection="1"/>
    <xf numFmtId="0" fontId="5" fillId="21" borderId="21" xfId="0" applyFont="1" applyFill="1" applyBorder="1" applyProtection="1"/>
    <xf numFmtId="0" fontId="5" fillId="21" borderId="23" xfId="0" applyFont="1" applyFill="1" applyBorder="1" applyProtection="1"/>
    <xf numFmtId="0" fontId="5" fillId="22" borderId="0" xfId="0" applyFont="1" applyFill="1" applyProtection="1"/>
    <xf numFmtId="0" fontId="54" fillId="21" borderId="43" xfId="0" applyFont="1" applyFill="1" applyBorder="1" applyAlignment="1" applyProtection="1">
      <alignment horizontal="center" vertical="center"/>
    </xf>
    <xf numFmtId="0" fontId="54" fillId="21" borderId="41" xfId="0" applyFont="1" applyFill="1" applyBorder="1" applyAlignment="1" applyProtection="1">
      <alignment horizontal="center" vertical="center"/>
    </xf>
    <xf numFmtId="0" fontId="54" fillId="21" borderId="40" xfId="0" applyFont="1" applyFill="1" applyBorder="1" applyAlignment="1" applyProtection="1">
      <alignment horizontal="center" vertical="center"/>
    </xf>
    <xf numFmtId="0" fontId="54" fillId="21" borderId="0" xfId="0" applyFont="1" applyFill="1" applyAlignment="1" applyProtection="1">
      <alignment horizontal="center" vertical="center"/>
    </xf>
    <xf numFmtId="0" fontId="56" fillId="18" borderId="38" xfId="0" applyFont="1" applyFill="1" applyBorder="1" applyAlignment="1" applyProtection="1">
      <alignment horizontal="center"/>
    </xf>
    <xf numFmtId="2" fontId="56" fillId="18" borderId="38" xfId="0" applyNumberFormat="1" applyFont="1" applyFill="1" applyBorder="1" applyAlignment="1" applyProtection="1">
      <alignment horizontal="center" vertical="center"/>
    </xf>
    <xf numFmtId="2" fontId="56" fillId="18" borderId="38" xfId="0" applyNumberFormat="1" applyFont="1" applyFill="1" applyBorder="1" applyAlignment="1" applyProtection="1">
      <alignment horizontal="center"/>
    </xf>
    <xf numFmtId="0" fontId="54" fillId="21" borderId="79" xfId="0" applyFont="1" applyFill="1" applyBorder="1" applyAlignment="1" applyProtection="1">
      <alignment horizontal="center" vertical="center"/>
    </xf>
    <xf numFmtId="0" fontId="54" fillId="21" borderId="144" xfId="0" applyFont="1" applyFill="1" applyBorder="1" applyAlignment="1" applyProtection="1">
      <alignment horizontal="center" vertical="center"/>
    </xf>
    <xf numFmtId="0" fontId="54" fillId="21" borderId="158" xfId="0" applyFont="1" applyFill="1" applyBorder="1" applyAlignment="1" applyProtection="1">
      <alignment horizontal="center" vertical="center"/>
    </xf>
    <xf numFmtId="0" fontId="54" fillId="21" borderId="18" xfId="0" applyFont="1" applyFill="1" applyBorder="1" applyAlignment="1" applyProtection="1">
      <alignment horizontal="center" vertical="center"/>
    </xf>
    <xf numFmtId="0" fontId="56" fillId="18" borderId="81" xfId="0" applyFont="1" applyFill="1" applyBorder="1" applyAlignment="1" applyProtection="1">
      <alignment horizontal="center" vertical="center"/>
    </xf>
    <xf numFmtId="2" fontId="56" fillId="18" borderId="82" xfId="0" applyNumberFormat="1" applyFont="1" applyFill="1" applyBorder="1" applyAlignment="1" applyProtection="1">
      <alignment horizontal="center" vertical="center"/>
    </xf>
    <xf numFmtId="0" fontId="56" fillId="18" borderId="83" xfId="0" applyFont="1" applyFill="1" applyBorder="1" applyAlignment="1" applyProtection="1">
      <alignment horizontal="center" vertical="center"/>
    </xf>
    <xf numFmtId="0" fontId="56" fillId="18" borderId="159" xfId="0" applyFont="1" applyFill="1" applyBorder="1" applyAlignment="1" applyProtection="1">
      <alignment horizontal="center"/>
    </xf>
    <xf numFmtId="2" fontId="56" fillId="18" borderId="159" xfId="0" applyNumberFormat="1" applyFont="1" applyFill="1" applyBorder="1" applyAlignment="1" applyProtection="1">
      <alignment horizontal="center"/>
    </xf>
    <xf numFmtId="2" fontId="56" fillId="18" borderId="159" xfId="0" applyNumberFormat="1" applyFont="1" applyFill="1" applyBorder="1" applyAlignment="1" applyProtection="1">
      <alignment horizontal="center" vertical="center"/>
    </xf>
    <xf numFmtId="2" fontId="56" fillId="18" borderId="84" xfId="0" applyNumberFormat="1" applyFont="1" applyFill="1" applyBorder="1" applyAlignment="1" applyProtection="1">
      <alignment horizontal="center" vertical="center"/>
    </xf>
    <xf numFmtId="0" fontId="56" fillId="18" borderId="43" xfId="0" applyFont="1" applyFill="1" applyBorder="1" applyAlignment="1" applyProtection="1">
      <alignment horizontal="center" vertical="center"/>
    </xf>
    <xf numFmtId="0" fontId="56" fillId="18" borderId="0" xfId="0" applyFont="1" applyFill="1" applyAlignment="1" applyProtection="1">
      <alignment horizontal="center"/>
    </xf>
    <xf numFmtId="2" fontId="56" fillId="18" borderId="0" xfId="0" applyNumberFormat="1" applyFont="1" applyFill="1" applyAlignment="1" applyProtection="1">
      <alignment horizontal="center" vertical="center"/>
    </xf>
    <xf numFmtId="0" fontId="56" fillId="18" borderId="46" xfId="0" applyFont="1" applyFill="1" applyBorder="1" applyAlignment="1" applyProtection="1">
      <alignment horizontal="center" vertical="center"/>
    </xf>
    <xf numFmtId="2" fontId="56" fillId="18" borderId="0" xfId="0" applyNumberFormat="1" applyFont="1" applyFill="1" applyAlignment="1" applyProtection="1">
      <alignment horizontal="center"/>
    </xf>
    <xf numFmtId="2" fontId="56" fillId="18" borderId="40" xfId="0" applyNumberFormat="1" applyFont="1" applyFill="1" applyBorder="1" applyAlignment="1" applyProtection="1">
      <alignment horizontal="center" vertical="center"/>
    </xf>
    <xf numFmtId="0" fontId="54" fillId="21" borderId="38" xfId="0" applyFont="1" applyFill="1" applyBorder="1" applyAlignment="1" applyProtection="1">
      <alignment horizontal="center" vertical="center"/>
    </xf>
    <xf numFmtId="0" fontId="54" fillId="21" borderId="39" xfId="0" applyFont="1" applyFill="1" applyBorder="1" applyAlignment="1" applyProtection="1">
      <alignment horizontal="center" vertical="center"/>
    </xf>
    <xf numFmtId="1" fontId="55" fillId="18" borderId="0" xfId="0" applyNumberFormat="1" applyFont="1" applyFill="1" applyAlignment="1" applyProtection="1">
      <alignment horizontal="center" vertical="center"/>
    </xf>
    <xf numFmtId="0" fontId="63" fillId="3" borderId="85" xfId="0" applyFont="1" applyFill="1" applyBorder="1" applyProtection="1"/>
    <xf numFmtId="0" fontId="63" fillId="3" borderId="96" xfId="0" applyFont="1" applyFill="1" applyBorder="1" applyProtection="1"/>
    <xf numFmtId="2" fontId="56" fillId="18" borderId="80" xfId="0" applyNumberFormat="1" applyFont="1" applyFill="1" applyBorder="1" applyAlignment="1" applyProtection="1">
      <alignment horizontal="center" vertical="center"/>
    </xf>
    <xf numFmtId="0" fontId="93" fillId="3" borderId="42" xfId="0" applyFont="1" applyFill="1" applyBorder="1" applyAlignment="1" applyProtection="1">
      <alignment horizontal="center"/>
    </xf>
    <xf numFmtId="0" fontId="63" fillId="3" borderId="86" xfId="0" applyFont="1" applyFill="1" applyBorder="1" applyProtection="1"/>
    <xf numFmtId="0" fontId="63" fillId="3" borderId="160" xfId="0" applyFont="1" applyFill="1" applyBorder="1" applyProtection="1"/>
    <xf numFmtId="0" fontId="97" fillId="23" borderId="112" xfId="0" applyFont="1" applyFill="1" applyBorder="1" applyProtection="1"/>
    <xf numFmtId="0" fontId="81" fillId="21" borderId="114" xfId="0" applyFont="1" applyFill="1" applyBorder="1" applyProtection="1"/>
    <xf numFmtId="2" fontId="81" fillId="21" borderId="116" xfId="0" applyNumberFormat="1" applyFont="1" applyFill="1" applyBorder="1" applyProtection="1"/>
    <xf numFmtId="0" fontId="81" fillId="21" borderId="118" xfId="0" applyFont="1" applyFill="1" applyBorder="1" applyProtection="1"/>
    <xf numFmtId="0" fontId="81" fillId="21" borderId="119" xfId="0" applyFont="1" applyFill="1" applyBorder="1" applyProtection="1"/>
    <xf numFmtId="2" fontId="93" fillId="20" borderId="117" xfId="0" applyNumberFormat="1" applyFont="1" applyFill="1" applyBorder="1" applyAlignment="1" applyProtection="1">
      <alignment horizontal="center" vertical="center"/>
    </xf>
    <xf numFmtId="2" fontId="93" fillId="20" borderId="122" xfId="0" applyNumberFormat="1" applyFont="1" applyFill="1" applyBorder="1" applyAlignment="1" applyProtection="1">
      <alignment horizontal="center" vertical="center"/>
    </xf>
    <xf numFmtId="2" fontId="76" fillId="18" borderId="71" xfId="0" applyNumberFormat="1" applyFont="1" applyFill="1" applyBorder="1" applyAlignment="1" applyProtection="1">
      <alignment horizontal="center" vertical="center"/>
    </xf>
    <xf numFmtId="0" fontId="93" fillId="23" borderId="72" xfId="0" applyFont="1" applyFill="1" applyBorder="1" applyAlignment="1" applyProtection="1">
      <alignment vertical="center"/>
    </xf>
    <xf numFmtId="0" fontId="76" fillId="18" borderId="113" xfId="0" applyFont="1" applyFill="1" applyBorder="1" applyAlignment="1" applyProtection="1">
      <alignment horizontal="center" vertical="center"/>
    </xf>
    <xf numFmtId="2" fontId="54" fillId="21" borderId="107" xfId="0" applyNumberFormat="1" applyFont="1" applyFill="1" applyBorder="1" applyAlignment="1" applyProtection="1">
      <alignment horizontal="center" vertical="center"/>
    </xf>
    <xf numFmtId="0" fontId="54" fillId="21" borderId="73" xfId="0" applyFont="1" applyFill="1" applyBorder="1" applyAlignment="1" applyProtection="1">
      <alignment horizontal="center" vertical="center"/>
    </xf>
    <xf numFmtId="0" fontId="54" fillId="21" borderId="115" xfId="0" applyFont="1" applyFill="1" applyBorder="1" applyAlignment="1" applyProtection="1">
      <alignment vertical="center"/>
    </xf>
    <xf numFmtId="2" fontId="56" fillId="16" borderId="74" xfId="0" applyNumberFormat="1" applyFont="1" applyFill="1" applyBorder="1" applyAlignment="1" applyProtection="1">
      <alignment horizontal="center" vertical="center"/>
    </xf>
    <xf numFmtId="0" fontId="56" fillId="16" borderId="0" xfId="0" applyFont="1" applyFill="1" applyAlignment="1" applyProtection="1">
      <alignment horizontal="center" vertical="center"/>
    </xf>
    <xf numFmtId="0" fontId="73" fillId="21" borderId="88" xfId="1" applyFont="1" applyFill="1" applyBorder="1" applyAlignment="1" applyProtection="1">
      <alignment horizontal="center" vertical="center"/>
    </xf>
    <xf numFmtId="164" fontId="93" fillId="3" borderId="47" xfId="1" applyNumberFormat="1" applyFont="1" applyFill="1" applyBorder="1" applyAlignment="1" applyProtection="1">
      <alignment horizontal="center" vertical="center"/>
      <protection hidden="1"/>
    </xf>
    <xf numFmtId="0" fontId="93" fillId="22" borderId="105" xfId="0" applyFont="1" applyFill="1" applyBorder="1" applyAlignment="1" applyProtection="1">
      <alignment horizontal="left"/>
      <protection hidden="1"/>
    </xf>
    <xf numFmtId="0" fontId="91" fillId="22" borderId="129" xfId="1" applyFont="1" applyFill="1" applyBorder="1" applyAlignment="1" applyProtection="1">
      <alignment horizontal="left" vertical="center"/>
      <protection hidden="1"/>
    </xf>
    <xf numFmtId="0" fontId="93" fillId="22" borderId="129" xfId="1" applyFont="1" applyFill="1" applyBorder="1" applyAlignment="1" applyProtection="1">
      <alignment vertical="center"/>
      <protection hidden="1"/>
    </xf>
    <xf numFmtId="0" fontId="104" fillId="3" borderId="147" xfId="1" applyFont="1" applyFill="1" applyBorder="1" applyAlignment="1" applyProtection="1">
      <alignment horizontal="center" vertical="center"/>
      <protection hidden="1"/>
    </xf>
    <xf numFmtId="0" fontId="91" fillId="22" borderId="130" xfId="1" applyFont="1" applyFill="1" applyBorder="1" applyAlignment="1" applyProtection="1">
      <alignment horizontal="left" vertical="center"/>
      <protection hidden="1"/>
    </xf>
    <xf numFmtId="0" fontId="91" fillId="22" borderId="142" xfId="1" applyFont="1" applyFill="1" applyBorder="1" applyAlignment="1" applyProtection="1">
      <alignment vertical="center"/>
      <protection hidden="1"/>
    </xf>
    <xf numFmtId="0" fontId="91" fillId="22" borderId="143" xfId="1" applyFont="1" applyFill="1" applyBorder="1" applyAlignment="1" applyProtection="1">
      <alignment horizontal="left" vertical="top"/>
      <protection hidden="1"/>
    </xf>
    <xf numFmtId="0" fontId="91" fillId="22" borderId="129" xfId="1" applyFont="1" applyFill="1" applyBorder="1" applyAlignment="1" applyProtection="1">
      <alignment vertical="center"/>
      <protection hidden="1"/>
    </xf>
    <xf numFmtId="0" fontId="76" fillId="3" borderId="164" xfId="1" applyFont="1" applyFill="1" applyBorder="1" applyAlignment="1" applyProtection="1">
      <alignment horizontal="center" vertical="center"/>
      <protection hidden="1"/>
    </xf>
    <xf numFmtId="0" fontId="93" fillId="22" borderId="105" xfId="1" applyFont="1" applyFill="1" applyBorder="1" applyAlignment="1" applyProtection="1">
      <alignment vertical="center"/>
      <protection hidden="1"/>
    </xf>
    <xf numFmtId="0" fontId="54" fillId="22" borderId="129" xfId="1" applyFont="1" applyFill="1" applyBorder="1" applyAlignment="1" applyProtection="1">
      <alignment horizontal="center" vertical="center"/>
      <protection hidden="1"/>
    </xf>
    <xf numFmtId="0" fontId="54" fillId="22" borderId="129" xfId="1" applyFont="1" applyFill="1" applyBorder="1" applyAlignment="1" applyProtection="1">
      <alignment vertical="center"/>
      <protection hidden="1"/>
    </xf>
    <xf numFmtId="0" fontId="93" fillId="22" borderId="129" xfId="1" applyFont="1" applyFill="1" applyBorder="1" applyAlignment="1" applyProtection="1">
      <alignment horizontal="right" vertical="center"/>
      <protection hidden="1"/>
    </xf>
    <xf numFmtId="0" fontId="93" fillId="22" borderId="106" xfId="1" applyFont="1" applyFill="1" applyBorder="1" applyAlignment="1" applyProtection="1">
      <alignment vertical="center"/>
      <protection hidden="1"/>
    </xf>
    <xf numFmtId="0" fontId="54" fillId="22" borderId="0" xfId="1" applyFont="1" applyFill="1" applyBorder="1" applyAlignment="1" applyProtection="1">
      <alignment horizontal="center" vertical="center"/>
      <protection hidden="1"/>
    </xf>
    <xf numFmtId="0" fontId="63" fillId="22" borderId="0" xfId="0" applyFont="1" applyFill="1" applyBorder="1" applyProtection="1">
      <protection hidden="1"/>
    </xf>
    <xf numFmtId="0" fontId="56" fillId="22" borderId="0" xfId="1" applyFont="1" applyFill="1" applyBorder="1" applyAlignment="1" applyProtection="1">
      <alignment horizontal="center"/>
      <protection hidden="1"/>
    </xf>
    <xf numFmtId="0" fontId="73" fillId="22" borderId="0" xfId="1" applyFont="1" applyFill="1" applyBorder="1" applyAlignment="1" applyProtection="1">
      <alignment horizontal="center" vertical="center"/>
      <protection hidden="1"/>
    </xf>
    <xf numFmtId="0" fontId="93" fillId="22" borderId="0" xfId="1" applyFont="1" applyFill="1" applyBorder="1" applyAlignment="1" applyProtection="1">
      <alignment horizontal="center" vertical="center"/>
      <protection hidden="1"/>
    </xf>
    <xf numFmtId="164" fontId="56" fillId="22" borderId="144" xfId="1" applyNumberFormat="1" applyFont="1" applyFill="1" applyBorder="1" applyAlignment="1" applyProtection="1">
      <alignment horizontal="center" vertical="center"/>
      <protection hidden="1"/>
    </xf>
    <xf numFmtId="0" fontId="56" fillId="22" borderId="12" xfId="1" applyFont="1" applyFill="1" applyBorder="1" applyAlignment="1" applyProtection="1">
      <alignment horizontal="center" vertical="center"/>
      <protection hidden="1"/>
    </xf>
    <xf numFmtId="164" fontId="56" fillId="22" borderId="12" xfId="1" applyNumberFormat="1" applyFont="1" applyFill="1" applyBorder="1" applyAlignment="1" applyProtection="1">
      <alignment horizontal="center" vertical="center"/>
      <protection hidden="1"/>
    </xf>
    <xf numFmtId="1" fontId="93" fillId="3" borderId="78" xfId="1" applyNumberFormat="1" applyFont="1" applyFill="1" applyBorder="1" applyAlignment="1" applyProtection="1">
      <alignment horizontal="center" vertical="center"/>
      <protection hidden="1"/>
    </xf>
    <xf numFmtId="0" fontId="56" fillId="22" borderId="0" xfId="1" applyFont="1" applyFill="1" applyBorder="1" applyAlignment="1" applyProtection="1">
      <alignment horizontal="center" vertical="center"/>
      <protection hidden="1"/>
    </xf>
    <xf numFmtId="164" fontId="56" fillId="22" borderId="0" xfId="1" applyNumberFormat="1" applyFont="1" applyFill="1" applyBorder="1" applyAlignment="1" applyProtection="1">
      <alignment horizontal="center" vertical="center"/>
      <protection hidden="1"/>
    </xf>
    <xf numFmtId="1" fontId="56" fillId="22" borderId="0" xfId="1" applyNumberFormat="1" applyFont="1" applyFill="1" applyBorder="1" applyAlignment="1" applyProtection="1">
      <alignment horizontal="center" vertical="center"/>
      <protection hidden="1"/>
    </xf>
    <xf numFmtId="0" fontId="56" fillId="22" borderId="16" xfId="1" applyFont="1" applyFill="1" applyBorder="1" applyAlignment="1" applyProtection="1">
      <alignment horizontal="center" vertical="center"/>
      <protection hidden="1"/>
    </xf>
    <xf numFmtId="0" fontId="56" fillId="22" borderId="17" xfId="1" applyFont="1" applyFill="1" applyBorder="1" applyAlignment="1" applyProtection="1">
      <alignment horizontal="center" vertical="center"/>
      <protection hidden="1"/>
    </xf>
    <xf numFmtId="0" fontId="76" fillId="19" borderId="19" xfId="1" applyFont="1" applyFill="1" applyBorder="1" applyAlignment="1" applyProtection="1">
      <alignment horizontal="center" vertical="center"/>
      <protection hidden="1"/>
    </xf>
    <xf numFmtId="0" fontId="56" fillId="19" borderId="16" xfId="1" applyFont="1" applyFill="1" applyBorder="1" applyAlignment="1" applyProtection="1">
      <alignment horizontal="center" vertical="center"/>
      <protection hidden="1"/>
    </xf>
    <xf numFmtId="0" fontId="56" fillId="19" borderId="21" xfId="1" applyFont="1" applyFill="1" applyBorder="1" applyAlignment="1" applyProtection="1">
      <alignment horizontal="center" vertical="center"/>
      <protection hidden="1"/>
    </xf>
    <xf numFmtId="164" fontId="55" fillId="19" borderId="54" xfId="1" applyNumberFormat="1" applyFont="1" applyFill="1" applyBorder="1" applyAlignment="1" applyProtection="1">
      <alignment horizontal="center" vertical="center"/>
      <protection hidden="1"/>
    </xf>
    <xf numFmtId="164" fontId="56" fillId="19" borderId="54" xfId="1" applyNumberFormat="1" applyFont="1" applyFill="1" applyBorder="1" applyAlignment="1" applyProtection="1">
      <alignment horizontal="center" vertical="center"/>
      <protection hidden="1"/>
    </xf>
    <xf numFmtId="0" fontId="55" fillId="19" borderId="54" xfId="1" applyFont="1" applyFill="1" applyBorder="1" applyAlignment="1" applyProtection="1">
      <alignment horizontal="center" vertical="center"/>
      <protection hidden="1"/>
    </xf>
    <xf numFmtId="0" fontId="56" fillId="19" borderId="19" xfId="1" applyFont="1" applyFill="1" applyBorder="1" applyAlignment="1" applyProtection="1">
      <alignment horizontal="center" vertical="center"/>
      <protection hidden="1"/>
    </xf>
    <xf numFmtId="164" fontId="55" fillId="19" borderId="12" xfId="1" applyNumberFormat="1" applyFont="1" applyFill="1" applyBorder="1" applyAlignment="1" applyProtection="1">
      <alignment horizontal="center" vertical="center"/>
      <protection hidden="1"/>
    </xf>
    <xf numFmtId="164" fontId="56" fillId="19" borderId="12" xfId="1" applyNumberFormat="1" applyFont="1" applyFill="1" applyBorder="1" applyAlignment="1" applyProtection="1">
      <alignment horizontal="center" vertical="center"/>
      <protection hidden="1"/>
    </xf>
    <xf numFmtId="0" fontId="55" fillId="19" borderId="12" xfId="1" applyFont="1" applyFill="1" applyBorder="1" applyAlignment="1" applyProtection="1">
      <alignment horizontal="center" vertical="center"/>
      <protection hidden="1"/>
    </xf>
    <xf numFmtId="0" fontId="56" fillId="19" borderId="19" xfId="0" applyFont="1" applyFill="1" applyBorder="1" applyAlignment="1" applyProtection="1">
      <alignment horizontal="center" vertical="center" wrapText="1"/>
      <protection hidden="1"/>
    </xf>
    <xf numFmtId="0" fontId="56" fillId="19" borderId="21" xfId="0" applyFont="1" applyFill="1" applyBorder="1" applyAlignment="1" applyProtection="1">
      <alignment horizontal="center" vertical="center" wrapText="1"/>
      <protection hidden="1"/>
    </xf>
    <xf numFmtId="0" fontId="56" fillId="19" borderId="16" xfId="0" applyFont="1" applyFill="1" applyBorder="1" applyAlignment="1" applyProtection="1">
      <alignment horizontal="center" vertical="center" wrapText="1"/>
      <protection hidden="1"/>
    </xf>
    <xf numFmtId="0" fontId="55" fillId="19" borderId="56" xfId="1" applyFont="1" applyFill="1" applyBorder="1" applyAlignment="1" applyProtection="1">
      <alignment horizontal="center" vertical="center"/>
      <protection hidden="1"/>
    </xf>
    <xf numFmtId="164" fontId="55" fillId="19" borderId="17" xfId="1" applyNumberFormat="1" applyFont="1" applyFill="1" applyBorder="1" applyAlignment="1" applyProtection="1">
      <alignment horizontal="center" vertical="center"/>
      <protection hidden="1"/>
    </xf>
    <xf numFmtId="164" fontId="55" fillId="19" borderId="0" xfId="1" applyNumberFormat="1" applyFont="1" applyFill="1" applyBorder="1" applyAlignment="1" applyProtection="1">
      <alignment horizontal="center" vertical="center"/>
      <protection hidden="1"/>
    </xf>
    <xf numFmtId="164" fontId="55" fillId="19" borderId="22" xfId="1" applyNumberFormat="1" applyFont="1" applyFill="1" applyBorder="1" applyAlignment="1" applyProtection="1">
      <alignment horizontal="center" vertical="center" wrapText="1"/>
      <protection hidden="1"/>
    </xf>
    <xf numFmtId="164" fontId="55" fillId="22" borderId="144" xfId="1" applyNumberFormat="1" applyFont="1" applyFill="1" applyBorder="1" applyAlignment="1" applyProtection="1">
      <alignment horizontal="center" vertical="center"/>
      <protection hidden="1"/>
    </xf>
    <xf numFmtId="0" fontId="56" fillId="19" borderId="12" xfId="1" applyFont="1" applyFill="1" applyBorder="1" applyAlignment="1" applyProtection="1">
      <alignment horizontal="center" vertical="center"/>
      <protection hidden="1"/>
    </xf>
    <xf numFmtId="0" fontId="55" fillId="19" borderId="0" xfId="1" applyFont="1" applyFill="1" applyBorder="1" applyAlignment="1" applyProtection="1">
      <alignment horizontal="center" vertical="center"/>
      <protection hidden="1"/>
    </xf>
    <xf numFmtId="0" fontId="56" fillId="22" borderId="19" xfId="1" applyFont="1" applyFill="1" applyBorder="1" applyAlignment="1" applyProtection="1">
      <alignment horizontal="center" vertical="center"/>
      <protection hidden="1"/>
    </xf>
    <xf numFmtId="164" fontId="56" fillId="22" borderId="48" xfId="1" applyNumberFormat="1" applyFont="1" applyFill="1" applyBorder="1" applyAlignment="1" applyProtection="1">
      <alignment horizontal="center" vertical="center"/>
      <protection hidden="1"/>
    </xf>
    <xf numFmtId="2" fontId="56" fillId="18" borderId="38" xfId="0" applyNumberFormat="1" applyFont="1" applyFill="1" applyBorder="1" applyAlignment="1" applyProtection="1">
      <alignment horizontal="right" vertical="center"/>
      <protection hidden="1"/>
    </xf>
    <xf numFmtId="2" fontId="55" fillId="18" borderId="38" xfId="1" applyNumberFormat="1" applyFont="1" applyFill="1" applyBorder="1" applyAlignment="1" applyProtection="1">
      <alignment horizontal="right" vertical="center" wrapText="1"/>
      <protection hidden="1"/>
    </xf>
    <xf numFmtId="164" fontId="93" fillId="22" borderId="0" xfId="0" applyNumberFormat="1" applyFont="1" applyFill="1" applyBorder="1" applyAlignment="1" applyProtection="1">
      <alignment horizontal="center" vertical="center"/>
      <protection hidden="1"/>
    </xf>
    <xf numFmtId="0" fontId="55" fillId="18" borderId="38" xfId="1" applyFont="1" applyFill="1" applyBorder="1" applyAlignment="1" applyProtection="1">
      <alignment horizontal="center" vertical="center" wrapText="1"/>
      <protection hidden="1"/>
    </xf>
    <xf numFmtId="0" fontId="55" fillId="18" borderId="58" xfId="1" applyFont="1" applyFill="1" applyBorder="1" applyAlignment="1" applyProtection="1">
      <alignment horizontal="center" vertical="center"/>
      <protection hidden="1"/>
    </xf>
    <xf numFmtId="0" fontId="55" fillId="18" borderId="43" xfId="1" applyFont="1" applyFill="1" applyBorder="1" applyAlignment="1" applyProtection="1">
      <alignment horizontal="center" vertical="center"/>
      <protection hidden="1"/>
    </xf>
    <xf numFmtId="2" fontId="55" fillId="18" borderId="38" xfId="0" applyNumberFormat="1" applyFont="1" applyFill="1" applyBorder="1" applyAlignment="1" applyProtection="1">
      <alignment horizontal="center"/>
      <protection hidden="1"/>
    </xf>
    <xf numFmtId="2" fontId="55" fillId="18" borderId="43" xfId="1" applyNumberFormat="1" applyFont="1" applyFill="1" applyBorder="1" applyAlignment="1" applyProtection="1">
      <alignment horizontal="center" vertical="center"/>
      <protection hidden="1"/>
    </xf>
    <xf numFmtId="0" fontId="54" fillId="21" borderId="38" xfId="1" applyFont="1" applyFill="1" applyBorder="1" applyAlignment="1" applyProtection="1">
      <alignment horizontal="center" vertical="center"/>
      <protection hidden="1"/>
    </xf>
    <xf numFmtId="0" fontId="55" fillId="21" borderId="42" xfId="1" applyFont="1" applyFill="1" applyBorder="1" applyAlignment="1" applyProtection="1">
      <alignment horizontal="center" vertical="center"/>
      <protection hidden="1"/>
    </xf>
    <xf numFmtId="0" fontId="115" fillId="3" borderId="0" xfId="1" applyFont="1" applyFill="1" applyAlignment="1" applyProtection="1">
      <alignment vertical="center"/>
      <protection hidden="1"/>
    </xf>
    <xf numFmtId="0" fontId="115" fillId="21" borderId="0" xfId="1" applyFont="1" applyFill="1" applyAlignment="1" applyProtection="1">
      <alignment vertical="center"/>
      <protection hidden="1"/>
    </xf>
    <xf numFmtId="0" fontId="115" fillId="21" borderId="0" xfId="1" applyFont="1" applyFill="1" applyAlignment="1" applyProtection="1">
      <alignment horizontal="center" vertical="center"/>
      <protection hidden="1"/>
    </xf>
    <xf numFmtId="0" fontId="89" fillId="21" borderId="0" xfId="1" applyFont="1" applyFill="1" applyAlignment="1" applyProtection="1">
      <alignment vertical="center"/>
      <protection hidden="1"/>
    </xf>
    <xf numFmtId="0" fontId="116" fillId="21" borderId="0" xfId="1" applyFont="1" applyFill="1" applyAlignment="1" applyProtection="1">
      <alignment vertical="center"/>
      <protection hidden="1"/>
    </xf>
    <xf numFmtId="0" fontId="116" fillId="3" borderId="0" xfId="1" applyFont="1" applyFill="1" applyAlignment="1" applyProtection="1">
      <alignment vertical="center"/>
      <protection hidden="1"/>
    </xf>
    <xf numFmtId="0" fontId="61" fillId="21" borderId="0" xfId="1" applyFont="1" applyFill="1" applyAlignment="1" applyProtection="1">
      <alignment vertical="center"/>
      <protection locked="0" hidden="1"/>
    </xf>
    <xf numFmtId="0" fontId="54" fillId="21" borderId="140" xfId="1" applyFont="1" applyFill="1" applyBorder="1" applyAlignment="1" applyProtection="1">
      <alignment horizontal="center" vertical="center"/>
      <protection hidden="1"/>
    </xf>
    <xf numFmtId="0" fontId="54" fillId="21" borderId="137" xfId="1" applyFont="1" applyFill="1" applyBorder="1" applyAlignment="1" applyProtection="1">
      <alignment horizontal="center" vertical="center" wrapText="1"/>
      <protection hidden="1"/>
    </xf>
    <xf numFmtId="0" fontId="54" fillId="21" borderId="40" xfId="1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/>
    <xf numFmtId="0" fontId="8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0" fillId="0" borderId="0" xfId="0" applyAlignment="1">
      <alignment vertical="center"/>
    </xf>
    <xf numFmtId="0" fontId="4" fillId="0" borderId="134" xfId="0" applyFont="1" applyFill="1" applyBorder="1" applyAlignment="1">
      <alignment vertical="center" wrapText="1"/>
    </xf>
    <xf numFmtId="0" fontId="122" fillId="0" borderId="87" xfId="0" applyFont="1" applyFill="1" applyBorder="1" applyAlignment="1">
      <alignment vertical="center"/>
    </xf>
    <xf numFmtId="0" fontId="4" fillId="0" borderId="170" xfId="0" applyFont="1" applyFill="1" applyBorder="1" applyAlignment="1">
      <alignment horizontal="right" vertical="center" wrapText="1"/>
    </xf>
    <xf numFmtId="0" fontId="80" fillId="0" borderId="170" xfId="0" applyFont="1" applyFill="1" applyBorder="1" applyAlignment="1">
      <alignment horizontal="center" vertical="center" wrapText="1"/>
    </xf>
    <xf numFmtId="0" fontId="80" fillId="0" borderId="80" xfId="0" applyFont="1" applyFill="1" applyBorder="1" applyAlignment="1">
      <alignment horizontal="center" vertical="center" wrapText="1"/>
    </xf>
    <xf numFmtId="0" fontId="4" fillId="0" borderId="108" xfId="0" applyFont="1" applyFill="1" applyBorder="1" applyAlignment="1">
      <alignment vertical="center" wrapText="1"/>
    </xf>
    <xf numFmtId="0" fontId="123" fillId="0" borderId="43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80" fillId="0" borderId="38" xfId="0" applyFont="1" applyFill="1" applyBorder="1" applyAlignment="1">
      <alignment horizontal="center" vertical="center" wrapText="1"/>
    </xf>
    <xf numFmtId="0" fontId="80" fillId="0" borderId="8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left" vertical="center" wrapText="1" indent="3"/>
    </xf>
    <xf numFmtId="3" fontId="80" fillId="0" borderId="38" xfId="0" applyNumberFormat="1" applyFont="1" applyFill="1" applyBorder="1" applyAlignment="1">
      <alignment horizontal="center" vertical="center" wrapText="1"/>
    </xf>
    <xf numFmtId="3" fontId="80" fillId="0" borderId="8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80" fillId="0" borderId="0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122" fillId="0" borderId="43" xfId="0" applyFont="1" applyFill="1" applyBorder="1" applyAlignment="1">
      <alignment vertical="center"/>
    </xf>
    <xf numFmtId="0" fontId="4" fillId="0" borderId="38" xfId="0" applyFont="1" applyFill="1" applyBorder="1" applyAlignment="1">
      <alignment horizontal="right" vertical="center" wrapText="1"/>
    </xf>
    <xf numFmtId="0" fontId="70" fillId="0" borderId="21" xfId="0" applyFont="1" applyBorder="1" applyAlignment="1">
      <alignment horizontal="left" vertical="center" wrapText="1" indent="3"/>
    </xf>
    <xf numFmtId="0" fontId="80" fillId="0" borderId="3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3" xfId="0" applyFont="1" applyFill="1" applyBorder="1" applyAlignment="1">
      <alignment vertical="center" wrapText="1"/>
    </xf>
    <xf numFmtId="0" fontId="80" fillId="0" borderId="38" xfId="0" applyFont="1" applyBorder="1" applyAlignment="1">
      <alignment horizontal="right" vertical="center"/>
    </xf>
    <xf numFmtId="0" fontId="4" fillId="0" borderId="38" xfId="0" applyFont="1" applyBorder="1" applyAlignment="1">
      <alignment horizontal="left" vertical="center" wrapText="1"/>
    </xf>
    <xf numFmtId="0" fontId="4" fillId="0" borderId="38" xfId="0" applyFont="1" applyBorder="1" applyAlignment="1">
      <alignment vertical="center"/>
    </xf>
    <xf numFmtId="0" fontId="80" fillId="0" borderId="43" xfId="0" applyFont="1" applyFill="1" applyBorder="1" applyAlignment="1">
      <alignment vertical="center" wrapText="1"/>
    </xf>
    <xf numFmtId="0" fontId="63" fillId="0" borderId="38" xfId="0" applyFont="1" applyBorder="1" applyAlignment="1">
      <alignment horizontal="center"/>
    </xf>
    <xf numFmtId="0" fontId="86" fillId="0" borderId="0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80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8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3" fillId="0" borderId="0" xfId="0" applyFont="1" applyBorder="1" applyAlignment="1">
      <alignment horizontal="center"/>
    </xf>
    <xf numFmtId="0" fontId="4" fillId="0" borderId="43" xfId="0" applyFont="1" applyFill="1" applyBorder="1" applyAlignment="1">
      <alignment horizontal="left" vertical="center" wrapText="1" indent="5"/>
    </xf>
    <xf numFmtId="0" fontId="4" fillId="0" borderId="43" xfId="0" applyFont="1" applyFill="1" applyBorder="1" applyAlignment="1">
      <alignment horizontal="left" vertical="center" wrapText="1" indent="6"/>
    </xf>
    <xf numFmtId="0" fontId="123" fillId="0" borderId="43" xfId="0" applyFont="1" applyFill="1" applyBorder="1" applyAlignment="1">
      <alignment vertical="center"/>
    </xf>
    <xf numFmtId="0" fontId="4" fillId="0" borderId="109" xfId="0" applyFont="1" applyFill="1" applyBorder="1" applyAlignment="1">
      <alignment vertical="center" wrapText="1"/>
    </xf>
    <xf numFmtId="0" fontId="4" fillId="0" borderId="171" xfId="0" applyFont="1" applyFill="1" applyBorder="1" applyAlignment="1">
      <alignment horizontal="left" vertical="center" wrapText="1" indent="3"/>
    </xf>
    <xf numFmtId="0" fontId="4" fillId="0" borderId="159" xfId="0" applyFont="1" applyFill="1" applyBorder="1" applyAlignment="1">
      <alignment horizontal="center" vertical="center" wrapText="1"/>
    </xf>
    <xf numFmtId="3" fontId="80" fillId="0" borderId="159" xfId="0" applyNumberFormat="1" applyFont="1" applyFill="1" applyBorder="1" applyAlignment="1">
      <alignment horizontal="center" vertical="center" wrapText="1"/>
    </xf>
    <xf numFmtId="3" fontId="80" fillId="0" borderId="84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4" fillId="0" borderId="81" xfId="0" applyFont="1" applyFill="1" applyBorder="1"/>
    <xf numFmtId="0" fontId="4" fillId="0" borderId="38" xfId="0" applyFont="1" applyFill="1" applyBorder="1"/>
    <xf numFmtId="0" fontId="4" fillId="0" borderId="38" xfId="0" applyFont="1" applyFill="1" applyBorder="1" applyAlignment="1">
      <alignment horizontal="center"/>
    </xf>
    <xf numFmtId="0" fontId="4" fillId="0" borderId="82" xfId="0" applyFont="1" applyFill="1" applyBorder="1" applyAlignment="1">
      <alignment horizontal="center"/>
    </xf>
    <xf numFmtId="0" fontId="4" fillId="0" borderId="58" xfId="0" applyFont="1" applyBorder="1" applyAlignment="1">
      <alignment horizontal="left"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vertical="center" wrapText="1"/>
    </xf>
    <xf numFmtId="0" fontId="70" fillId="0" borderId="0" xfId="0" applyFont="1" applyFill="1" applyBorder="1" applyAlignment="1">
      <alignment horizontal="left" vertical="center" wrapText="1" indent="3"/>
    </xf>
    <xf numFmtId="0" fontId="70" fillId="0" borderId="0" xfId="0" applyFont="1" applyFill="1" applyBorder="1" applyAlignment="1">
      <alignment horizontal="center" vertical="center" wrapText="1"/>
    </xf>
    <xf numFmtId="3" fontId="126" fillId="0" borderId="0" xfId="0" applyNumberFormat="1" applyFont="1" applyFill="1" applyBorder="1" applyAlignment="1">
      <alignment horizontal="right" vertical="center" wrapText="1"/>
    </xf>
    <xf numFmtId="0" fontId="80" fillId="0" borderId="0" xfId="0" applyFont="1" applyFill="1" applyBorder="1" applyAlignment="1">
      <alignment horizontal="left" vertical="center"/>
    </xf>
    <xf numFmtId="0" fontId="86" fillId="0" borderId="0" xfId="0" applyFont="1" applyFill="1" applyBorder="1" applyAlignment="1">
      <alignment horizontal="center" vertical="center"/>
    </xf>
    <xf numFmtId="0" fontId="132" fillId="0" borderId="0" xfId="9" applyFont="1" applyAlignment="1">
      <alignment horizontal="center"/>
    </xf>
    <xf numFmtId="0" fontId="133" fillId="0" borderId="0" xfId="9" applyAlignment="1">
      <alignment horizontal="center"/>
    </xf>
    <xf numFmtId="169" fontId="133" fillId="0" borderId="0" xfId="9" applyNumberFormat="1" applyAlignment="1">
      <alignment horizontal="center"/>
    </xf>
    <xf numFmtId="0" fontId="131" fillId="0" borderId="0" xfId="9" applyFont="1" applyAlignment="1">
      <alignment horizontal="center"/>
    </xf>
    <xf numFmtId="8" fontId="133" fillId="0" borderId="0" xfId="9" applyNumberFormat="1" applyAlignment="1">
      <alignment horizontal="center"/>
    </xf>
    <xf numFmtId="0" fontId="133" fillId="0" borderId="0" xfId="9" applyAlignment="1"/>
    <xf numFmtId="169" fontId="133" fillId="0" borderId="0" xfId="9" applyNumberFormat="1" applyBorder="1" applyAlignment="1">
      <alignment horizontal="center"/>
    </xf>
    <xf numFmtId="8" fontId="133" fillId="0" borderId="0" xfId="9" applyNumberFormat="1" applyBorder="1" applyAlignment="1">
      <alignment horizontal="center"/>
    </xf>
    <xf numFmtId="169" fontId="133" fillId="0" borderId="0" xfId="11" applyNumberFormat="1" applyFont="1" applyBorder="1" applyAlignment="1">
      <alignment horizontal="center"/>
    </xf>
    <xf numFmtId="0" fontId="63" fillId="0" borderId="75" xfId="0" applyFont="1" applyFill="1" applyBorder="1" applyAlignment="1">
      <alignment vertical="center" wrapText="1"/>
    </xf>
    <xf numFmtId="0" fontId="63" fillId="0" borderId="75" xfId="0" applyFont="1" applyFill="1" applyBorder="1" applyAlignment="1">
      <alignment horizontal="center" vertical="center" wrapText="1"/>
    </xf>
    <xf numFmtId="0" fontId="63" fillId="0" borderId="75" xfId="0" applyFont="1" applyFill="1" applyBorder="1" applyAlignment="1">
      <alignment horizontal="left" vertical="center" wrapText="1"/>
    </xf>
    <xf numFmtId="49" fontId="63" fillId="0" borderId="163" xfId="0" applyNumberFormat="1" applyFont="1" applyFill="1" applyBorder="1" applyAlignment="1">
      <alignment horizontal="left" vertical="center" wrapText="1"/>
    </xf>
    <xf numFmtId="0" fontId="63" fillId="0" borderId="108" xfId="0" applyFont="1" applyFill="1" applyBorder="1" applyAlignment="1">
      <alignment horizontal="left" vertical="center" wrapText="1"/>
    </xf>
    <xf numFmtId="0" fontId="63" fillId="0" borderId="108" xfId="0" applyFont="1" applyFill="1" applyBorder="1" applyAlignment="1">
      <alignment vertical="center" wrapText="1"/>
    </xf>
    <xf numFmtId="0" fontId="0" fillId="0" borderId="108" xfId="0" applyFont="1" applyFill="1" applyBorder="1"/>
    <xf numFmtId="0" fontId="133" fillId="0" borderId="103" xfId="9" applyBorder="1" applyAlignment="1">
      <alignment horizontal="center"/>
    </xf>
    <xf numFmtId="0" fontId="56" fillId="0" borderId="108" xfId="0" applyFont="1" applyFill="1" applyBorder="1" applyAlignment="1">
      <alignment horizontal="right" vertical="center" wrapText="1"/>
    </xf>
    <xf numFmtId="0" fontId="57" fillId="0" borderId="108" xfId="0" applyFont="1" applyFill="1" applyBorder="1" applyAlignment="1">
      <alignment horizontal="center" vertical="center"/>
    </xf>
    <xf numFmtId="0" fontId="118" fillId="0" borderId="108" xfId="0" applyFont="1" applyFill="1" applyBorder="1" applyAlignment="1">
      <alignment vertical="center" wrapText="1"/>
    </xf>
    <xf numFmtId="0" fontId="63" fillId="0" borderId="108" xfId="0" applyFont="1" applyFill="1" applyBorder="1" applyAlignment="1">
      <alignment horizontal="left" vertical="center" wrapText="1" indent="3"/>
    </xf>
    <xf numFmtId="0" fontId="56" fillId="0" borderId="108" xfId="0" applyFont="1" applyFill="1" applyBorder="1" applyAlignment="1">
      <alignment vertical="center" wrapText="1"/>
    </xf>
    <xf numFmtId="0" fontId="3" fillId="0" borderId="108" xfId="0" applyFont="1" applyBorder="1" applyAlignment="1">
      <alignment horizontal="left" vertical="center"/>
    </xf>
    <xf numFmtId="0" fontId="4" fillId="0" borderId="108" xfId="0" applyFont="1" applyBorder="1" applyAlignment="1">
      <alignment horizontal="left" vertical="center"/>
    </xf>
    <xf numFmtId="0" fontId="80" fillId="0" borderId="108" xfId="0" applyFont="1" applyBorder="1" applyAlignment="1">
      <alignment horizontal="left" vertical="center"/>
    </xf>
    <xf numFmtId="0" fontId="4" fillId="0" borderId="172" xfId="0" applyFont="1" applyBorder="1" applyAlignment="1">
      <alignment horizontal="left" vertical="center" wrapText="1"/>
    </xf>
    <xf numFmtId="0" fontId="130" fillId="0" borderId="108" xfId="8" applyFont="1" applyBorder="1" applyAlignment="1">
      <alignment horizontal="left" wrapText="1"/>
    </xf>
    <xf numFmtId="0" fontId="4" fillId="0" borderId="163" xfId="0" applyFont="1" applyBorder="1" applyAlignment="1">
      <alignment horizontal="left" vertical="center" wrapText="1"/>
    </xf>
    <xf numFmtId="0" fontId="80" fillId="0" borderId="108" xfId="0" applyFont="1" applyBorder="1" applyAlignment="1">
      <alignment vertical="center"/>
    </xf>
    <xf numFmtId="0" fontId="4" fillId="0" borderId="108" xfId="0" applyFont="1" applyBorder="1" applyAlignment="1">
      <alignment vertical="center"/>
    </xf>
    <xf numFmtId="0" fontId="63" fillId="0" borderId="163" xfId="0" applyFont="1" applyFill="1" applyBorder="1" applyAlignment="1">
      <alignment horizontal="left" vertical="center" wrapText="1" indent="3"/>
    </xf>
    <xf numFmtId="0" fontId="56" fillId="0" borderId="163" xfId="0" applyFont="1" applyBorder="1" applyAlignment="1">
      <alignment horizontal="center"/>
    </xf>
    <xf numFmtId="0" fontId="56" fillId="0" borderId="108" xfId="0" applyFont="1" applyBorder="1" applyAlignment="1">
      <alignment horizontal="center"/>
    </xf>
    <xf numFmtId="0" fontId="57" fillId="0" borderId="108" xfId="0" applyFont="1" applyFill="1" applyBorder="1" applyAlignment="1">
      <alignment vertical="center"/>
    </xf>
    <xf numFmtId="0" fontId="63" fillId="0" borderId="108" xfId="0" applyFont="1" applyFill="1" applyBorder="1" applyAlignment="1">
      <alignment horizontal="left" vertical="center" wrapText="1" indent="5"/>
    </xf>
    <xf numFmtId="0" fontId="120" fillId="0" borderId="108" xfId="0" applyFont="1" applyFill="1" applyBorder="1" applyAlignment="1">
      <alignment vertical="center"/>
    </xf>
    <xf numFmtId="0" fontId="63" fillId="0" borderId="108" xfId="0" applyFont="1" applyFill="1" applyBorder="1" applyAlignment="1">
      <alignment horizontal="left" vertical="center" wrapText="1" indent="6"/>
    </xf>
    <xf numFmtId="0" fontId="63" fillId="0" borderId="163" xfId="0" applyFont="1" applyFill="1" applyBorder="1" applyAlignment="1">
      <alignment horizontal="right" vertical="center" wrapText="1"/>
    </xf>
    <xf numFmtId="0" fontId="63" fillId="0" borderId="108" xfId="0" applyFont="1" applyFill="1" applyBorder="1" applyAlignment="1">
      <alignment horizontal="center" vertical="center" wrapText="1"/>
    </xf>
    <xf numFmtId="0" fontId="63" fillId="0" borderId="108" xfId="0" applyFont="1" applyFill="1" applyBorder="1" applyAlignment="1">
      <alignment horizontal="right" vertical="center" wrapText="1"/>
    </xf>
    <xf numFmtId="1" fontId="133" fillId="0" borderId="103" xfId="9" applyNumberFormat="1" applyBorder="1" applyAlignment="1">
      <alignment horizontal="center"/>
    </xf>
    <xf numFmtId="0" fontId="0" fillId="0" borderId="103" xfId="0" applyBorder="1"/>
    <xf numFmtId="44" fontId="133" fillId="0" borderId="103" xfId="10" applyFont="1" applyBorder="1" applyAlignment="1">
      <alignment horizontal="center"/>
    </xf>
    <xf numFmtId="0" fontId="2" fillId="0" borderId="75" xfId="0" applyFont="1" applyFill="1" applyBorder="1" applyAlignment="1">
      <alignment vertical="center" wrapText="1"/>
    </xf>
    <xf numFmtId="3" fontId="4" fillId="0" borderId="108" xfId="0" applyNumberFormat="1" applyFont="1" applyFill="1" applyBorder="1" applyAlignment="1">
      <alignment horizontal="right" vertical="center" wrapText="1"/>
    </xf>
    <xf numFmtId="0" fontId="4" fillId="0" borderId="108" xfId="0" applyFont="1" applyFill="1" applyBorder="1" applyAlignment="1">
      <alignment horizontal="right" vertical="center" wrapText="1"/>
    </xf>
    <xf numFmtId="3" fontId="63" fillId="0" borderId="108" xfId="0" applyNumberFormat="1" applyFont="1" applyFill="1" applyBorder="1" applyAlignment="1">
      <alignment horizontal="right" vertical="center" wrapText="1"/>
    </xf>
    <xf numFmtId="0" fontId="133" fillId="0" borderId="75" xfId="9" applyBorder="1" applyAlignment="1">
      <alignment horizontal="center"/>
    </xf>
    <xf numFmtId="0" fontId="57" fillId="0" borderId="163" xfId="0" applyFont="1" applyFill="1" applyBorder="1" applyAlignment="1">
      <alignment horizontal="center" wrapText="1"/>
    </xf>
    <xf numFmtId="0" fontId="83" fillId="0" borderId="108" xfId="0" applyFont="1" applyFill="1" applyBorder="1" applyAlignment="1">
      <alignment vertical="center" wrapText="1"/>
    </xf>
    <xf numFmtId="0" fontId="135" fillId="3" borderId="75" xfId="0" applyFont="1" applyFill="1" applyBorder="1" applyAlignment="1">
      <alignment horizontal="center" vertical="center" wrapText="1"/>
    </xf>
    <xf numFmtId="0" fontId="83" fillId="0" borderId="108" xfId="0" applyFont="1" applyFill="1" applyBorder="1" applyAlignment="1">
      <alignment horizontal="left" vertical="center" wrapText="1"/>
    </xf>
    <xf numFmtId="0" fontId="133" fillId="0" borderId="0" xfId="9" applyAlignment="1">
      <alignment horizontal="center"/>
    </xf>
    <xf numFmtId="0" fontId="10" fillId="0" borderId="0" xfId="2" applyAlignment="1" applyProtection="1">
      <alignment horizontal="center"/>
    </xf>
    <xf numFmtId="0" fontId="134" fillId="0" borderId="0" xfId="12" applyAlignment="1">
      <alignment horizontal="center"/>
    </xf>
    <xf numFmtId="0" fontId="133" fillId="3" borderId="0" xfId="9" applyFill="1" applyBorder="1"/>
    <xf numFmtId="0" fontId="133" fillId="3" borderId="0" xfId="9" applyFill="1" applyBorder="1" applyAlignment="1">
      <alignment horizontal="center"/>
    </xf>
    <xf numFmtId="0" fontId="133" fillId="3" borderId="0" xfId="9" applyFill="1" applyBorder="1" applyAlignment="1">
      <alignment horizontal="center" vertical="center"/>
    </xf>
    <xf numFmtId="0" fontId="133" fillId="3" borderId="0" xfId="9" applyFill="1"/>
    <xf numFmtId="0" fontId="63" fillId="3" borderId="0" xfId="0" applyFont="1" applyFill="1" applyBorder="1" applyAlignment="1">
      <alignment horizontal="left" vertical="center" wrapText="1"/>
    </xf>
    <xf numFmtId="0" fontId="63" fillId="3" borderId="0" xfId="0" applyFont="1" applyFill="1" applyBorder="1" applyAlignment="1">
      <alignment horizontal="center" vertical="center" wrapText="1"/>
    </xf>
    <xf numFmtId="0" fontId="56" fillId="3" borderId="75" xfId="0" applyFont="1" applyFill="1" applyBorder="1" applyAlignment="1">
      <alignment horizontal="center" vertical="center" wrapText="1"/>
    </xf>
    <xf numFmtId="0" fontId="63" fillId="3" borderId="108" xfId="0" applyFont="1" applyFill="1" applyBorder="1" applyAlignment="1">
      <alignment vertical="center" wrapText="1"/>
    </xf>
    <xf numFmtId="0" fontId="133" fillId="3" borderId="0" xfId="9" applyFill="1" applyAlignment="1">
      <alignment horizontal="center"/>
    </xf>
    <xf numFmtId="0" fontId="56" fillId="3" borderId="108" xfId="0" applyFont="1" applyFill="1" applyBorder="1" applyAlignment="1">
      <alignment horizontal="right" vertical="center" wrapText="1"/>
    </xf>
    <xf numFmtId="0" fontId="57" fillId="3" borderId="108" xfId="0" applyFont="1" applyFill="1" applyBorder="1" applyAlignment="1">
      <alignment horizontal="center" vertical="center"/>
    </xf>
    <xf numFmtId="0" fontId="118" fillId="3" borderId="108" xfId="0" applyFont="1" applyFill="1" applyBorder="1" applyAlignment="1">
      <alignment vertical="center" wrapText="1"/>
    </xf>
    <xf numFmtId="0" fontId="63" fillId="3" borderId="108" xfId="0" applyFont="1" applyFill="1" applyBorder="1" applyAlignment="1">
      <alignment horizontal="left" vertical="center" wrapText="1" indent="3"/>
    </xf>
    <xf numFmtId="0" fontId="56" fillId="3" borderId="108" xfId="0" applyFont="1" applyFill="1" applyBorder="1" applyAlignment="1">
      <alignment vertical="center" wrapText="1"/>
    </xf>
    <xf numFmtId="0" fontId="63" fillId="3" borderId="108" xfId="0" applyFont="1" applyFill="1" applyBorder="1" applyAlignment="1">
      <alignment horizontal="left" vertical="center" wrapText="1" indent="6"/>
    </xf>
    <xf numFmtId="0" fontId="63" fillId="3" borderId="0" xfId="0" applyFont="1" applyFill="1" applyBorder="1" applyAlignment="1">
      <alignment vertical="center" wrapText="1"/>
    </xf>
    <xf numFmtId="0" fontId="118" fillId="3" borderId="0" xfId="0" applyFont="1" applyFill="1" applyBorder="1" applyAlignment="1">
      <alignment vertical="center" wrapText="1"/>
    </xf>
    <xf numFmtId="0" fontId="133" fillId="3" borderId="0" xfId="9" applyFill="1" applyAlignment="1">
      <alignment horizontal="center" vertical="center"/>
    </xf>
    <xf numFmtId="0" fontId="63" fillId="3" borderId="0" xfId="0" applyFont="1" applyFill="1" applyBorder="1" applyAlignment="1">
      <alignment horizontal="left" vertical="center" wrapText="1" indent="3"/>
    </xf>
    <xf numFmtId="0" fontId="63" fillId="3" borderId="0" xfId="0" applyFont="1" applyFill="1" applyBorder="1" applyAlignment="1">
      <alignment horizontal="left" vertical="center" wrapText="1" indent="5"/>
    </xf>
    <xf numFmtId="49" fontId="63" fillId="3" borderId="0" xfId="0" applyNumberFormat="1" applyFont="1" applyFill="1" applyBorder="1" applyAlignment="1">
      <alignment horizontal="left" vertical="center" wrapText="1"/>
    </xf>
    <xf numFmtId="0" fontId="57" fillId="3" borderId="0" xfId="0" applyFont="1" applyFill="1" applyBorder="1" applyAlignment="1">
      <alignment horizontal="center" wrapText="1"/>
    </xf>
    <xf numFmtId="0" fontId="83" fillId="3" borderId="0" xfId="0" applyFont="1" applyFill="1" applyBorder="1" applyAlignment="1">
      <alignment horizontal="left" vertical="center" wrapText="1"/>
    </xf>
    <xf numFmtId="0" fontId="56" fillId="3" borderId="0" xfId="0" applyFont="1" applyFill="1" applyBorder="1" applyAlignment="1">
      <alignment horizontal="right" vertical="center" wrapText="1"/>
    </xf>
    <xf numFmtId="0" fontId="57" fillId="3" borderId="0" xfId="0" applyFont="1" applyFill="1" applyBorder="1" applyAlignment="1">
      <alignment horizontal="center" vertical="center"/>
    </xf>
    <xf numFmtId="0" fontId="83" fillId="3" borderId="0" xfId="0" applyFont="1" applyFill="1" applyBorder="1" applyAlignment="1">
      <alignment vertical="center" wrapText="1"/>
    </xf>
    <xf numFmtId="0" fontId="56" fillId="3" borderId="0" xfId="0" applyFont="1" applyFill="1" applyBorder="1" applyAlignment="1">
      <alignment vertical="center" wrapText="1"/>
    </xf>
    <xf numFmtId="0" fontId="63" fillId="3" borderId="0" xfId="0" applyFont="1" applyFill="1" applyBorder="1" applyAlignment="1">
      <alignment horizontal="left" vertical="center" wrapText="1" indent="6"/>
    </xf>
    <xf numFmtId="0" fontId="63" fillId="3" borderId="0" xfId="0" applyFont="1" applyFill="1" applyBorder="1" applyAlignment="1">
      <alignment horizontal="right" vertical="center" wrapText="1"/>
    </xf>
    <xf numFmtId="0" fontId="0" fillId="3" borderId="0" xfId="0" applyFill="1" applyBorder="1"/>
    <xf numFmtId="3" fontId="4" fillId="3" borderId="0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right" vertical="center" wrapText="1"/>
    </xf>
    <xf numFmtId="3" fontId="63" fillId="3" borderId="0" xfId="0" applyNumberFormat="1" applyFont="1" applyFill="1" applyBorder="1" applyAlignment="1">
      <alignment horizontal="right" vertical="center" wrapText="1"/>
    </xf>
    <xf numFmtId="0" fontId="4" fillId="3" borderId="108" xfId="0" applyFont="1" applyFill="1" applyBorder="1" applyAlignment="1">
      <alignment horizontal="left" vertical="center"/>
    </xf>
    <xf numFmtId="0" fontId="133" fillId="22" borderId="0" xfId="9" applyFill="1" applyBorder="1"/>
    <xf numFmtId="0" fontId="133" fillId="22" borderId="0" xfId="9" applyFill="1" applyBorder="1" applyAlignment="1">
      <alignment horizontal="center"/>
    </xf>
    <xf numFmtId="0" fontId="133" fillId="22" borderId="0" xfId="9" applyFill="1" applyBorder="1" applyAlignment="1">
      <alignment horizontal="center" vertical="center"/>
    </xf>
    <xf numFmtId="0" fontId="133" fillId="22" borderId="0" xfId="9" applyFill="1"/>
    <xf numFmtId="0" fontId="63" fillId="22" borderId="0" xfId="0" applyFont="1" applyFill="1" applyBorder="1" applyAlignment="1">
      <alignment horizontal="center" vertical="center" wrapText="1"/>
    </xf>
    <xf numFmtId="8" fontId="133" fillId="22" borderId="0" xfId="9" applyNumberFormat="1" applyFill="1" applyAlignment="1">
      <alignment horizontal="center"/>
    </xf>
    <xf numFmtId="0" fontId="133" fillId="22" borderId="0" xfId="9" applyFill="1" applyAlignment="1">
      <alignment horizontal="center"/>
    </xf>
    <xf numFmtId="0" fontId="63" fillId="22" borderId="0" xfId="0" applyFont="1" applyFill="1" applyBorder="1" applyAlignment="1">
      <alignment horizontal="left" vertical="center" wrapText="1"/>
    </xf>
    <xf numFmtId="169" fontId="133" fillId="22" borderId="0" xfId="9" applyNumberFormat="1" applyFill="1" applyBorder="1" applyAlignment="1">
      <alignment horizontal="center"/>
    </xf>
    <xf numFmtId="0" fontId="10" fillId="22" borderId="0" xfId="2" applyFill="1" applyBorder="1" applyAlignment="1" applyProtection="1">
      <alignment horizontal="center" vertical="center" wrapText="1"/>
    </xf>
    <xf numFmtId="8" fontId="133" fillId="22" borderId="0" xfId="9" applyNumberFormat="1" applyFill="1" applyBorder="1" applyAlignment="1">
      <alignment horizontal="center"/>
    </xf>
    <xf numFmtId="49" fontId="63" fillId="22" borderId="0" xfId="0" applyNumberFormat="1" applyFont="1" applyFill="1" applyBorder="1" applyAlignment="1">
      <alignment horizontal="left" vertical="center" wrapText="1"/>
    </xf>
    <xf numFmtId="0" fontId="57" fillId="22" borderId="0" xfId="0" applyFont="1" applyFill="1" applyBorder="1" applyAlignment="1">
      <alignment horizontal="center" wrapText="1"/>
    </xf>
    <xf numFmtId="0" fontId="137" fillId="22" borderId="0" xfId="2" applyFont="1" applyFill="1" applyBorder="1" applyAlignment="1" applyProtection="1">
      <alignment horizontal="center" vertical="center" wrapText="1"/>
    </xf>
    <xf numFmtId="169" fontId="133" fillId="22" borderId="0" xfId="11" applyNumberFormat="1" applyFont="1" applyFill="1" applyBorder="1" applyAlignment="1">
      <alignment horizontal="center"/>
    </xf>
    <xf numFmtId="0" fontId="133" fillId="22" borderId="0" xfId="9" applyFill="1" applyAlignment="1"/>
    <xf numFmtId="0" fontId="0" fillId="3" borderId="38" xfId="0" applyFill="1" applyBorder="1"/>
    <xf numFmtId="3" fontId="63" fillId="3" borderId="38" xfId="0" applyNumberFormat="1" applyFont="1" applyFill="1" applyBorder="1" applyAlignment="1">
      <alignment horizontal="right" vertical="center" wrapText="1"/>
    </xf>
    <xf numFmtId="0" fontId="133" fillId="3" borderId="38" xfId="9" applyFill="1" applyBorder="1" applyAlignment="1">
      <alignment horizontal="center" vertical="center"/>
    </xf>
    <xf numFmtId="0" fontId="56" fillId="0" borderId="75" xfId="0" applyFont="1" applyFill="1" applyBorder="1" applyAlignment="1">
      <alignment vertical="center" wrapText="1"/>
    </xf>
    <xf numFmtId="0" fontId="56" fillId="0" borderId="75" xfId="0" applyFont="1" applyFill="1" applyBorder="1" applyAlignment="1">
      <alignment horizontal="center" vertical="center" wrapText="1"/>
    </xf>
    <xf numFmtId="0" fontId="80" fillId="0" borderId="75" xfId="0" applyFont="1" applyFill="1" applyBorder="1" applyAlignment="1">
      <alignment vertical="center" wrapText="1"/>
    </xf>
    <xf numFmtId="0" fontId="136" fillId="0" borderId="75" xfId="9" applyFont="1" applyBorder="1" applyAlignment="1">
      <alignment horizontal="center" vertical="center"/>
    </xf>
    <xf numFmtId="0" fontId="133" fillId="3" borderId="82" xfId="9" applyFill="1" applyBorder="1" applyAlignment="1">
      <alignment horizontal="center"/>
    </xf>
    <xf numFmtId="0" fontId="133" fillId="3" borderId="82" xfId="9" applyFill="1" applyBorder="1"/>
    <xf numFmtId="0" fontId="133" fillId="3" borderId="159" xfId="9" applyFill="1" applyBorder="1" applyAlignment="1">
      <alignment horizontal="center" vertical="center"/>
    </xf>
    <xf numFmtId="0" fontId="63" fillId="3" borderId="173" xfId="0" applyFont="1" applyFill="1" applyBorder="1" applyAlignment="1">
      <alignment vertical="center" wrapText="1"/>
    </xf>
    <xf numFmtId="0" fontId="83" fillId="3" borderId="173" xfId="0" applyFont="1" applyFill="1" applyBorder="1" applyAlignment="1">
      <alignment vertical="center" wrapText="1"/>
    </xf>
    <xf numFmtId="0" fontId="63" fillId="3" borderId="100" xfId="0" applyFont="1" applyFill="1" applyBorder="1" applyAlignment="1">
      <alignment vertical="center" wrapText="1"/>
    </xf>
    <xf numFmtId="0" fontId="63" fillId="3" borderId="43" xfId="0" applyFont="1" applyFill="1" applyBorder="1" applyAlignment="1">
      <alignment horizontal="center" vertical="center" wrapText="1"/>
    </xf>
    <xf numFmtId="0" fontId="133" fillId="3" borderId="43" xfId="9" applyFill="1" applyBorder="1" applyAlignment="1">
      <alignment horizontal="center" vertical="center"/>
    </xf>
    <xf numFmtId="0" fontId="133" fillId="3" borderId="171" xfId="9" applyFill="1" applyBorder="1" applyAlignment="1">
      <alignment horizontal="center" vertical="center"/>
    </xf>
    <xf numFmtId="0" fontId="63" fillId="3" borderId="109" xfId="0" applyFont="1" applyFill="1" applyBorder="1" applyAlignment="1">
      <alignment horizontal="left" vertical="center" wrapText="1" indent="3"/>
    </xf>
    <xf numFmtId="0" fontId="133" fillId="3" borderId="84" xfId="9" applyFill="1" applyBorder="1"/>
    <xf numFmtId="0" fontId="63" fillId="22" borderId="0" xfId="0" applyFont="1" applyFill="1" applyBorder="1" applyAlignment="1">
      <alignment vertical="center" wrapText="1"/>
    </xf>
    <xf numFmtId="0" fontId="63" fillId="22" borderId="0" xfId="0" applyFont="1" applyFill="1" applyBorder="1" applyAlignment="1">
      <alignment horizontal="left" vertical="center" wrapText="1" indent="3"/>
    </xf>
    <xf numFmtId="0" fontId="133" fillId="22" borderId="0" xfId="9" applyFill="1" applyAlignment="1">
      <alignment horizontal="center" vertical="center"/>
    </xf>
    <xf numFmtId="0" fontId="118" fillId="22" borderId="0" xfId="0" applyFont="1" applyFill="1" applyBorder="1" applyAlignment="1">
      <alignment vertical="center" wrapText="1"/>
    </xf>
    <xf numFmtId="164" fontId="61" fillId="19" borderId="39" xfId="1" applyNumberFormat="1" applyFont="1" applyFill="1" applyBorder="1" applyAlignment="1" applyProtection="1">
      <alignment horizontal="center" vertical="center"/>
      <protection hidden="1"/>
    </xf>
    <xf numFmtId="164" fontId="61" fillId="19" borderId="42" xfId="1" applyNumberFormat="1" applyFont="1" applyFill="1" applyBorder="1" applyAlignment="1" applyProtection="1">
      <alignment horizontal="center" vertical="center"/>
      <protection hidden="1"/>
    </xf>
    <xf numFmtId="164" fontId="61" fillId="19" borderId="43" xfId="1" applyNumberFormat="1" applyFont="1" applyFill="1" applyBorder="1" applyAlignment="1" applyProtection="1">
      <alignment horizontal="center" vertical="center"/>
      <protection hidden="1"/>
    </xf>
    <xf numFmtId="0" fontId="57" fillId="7" borderId="65" xfId="1" applyFont="1" applyFill="1" applyBorder="1" applyAlignment="1" applyProtection="1">
      <alignment horizontal="center" vertical="center"/>
      <protection hidden="1"/>
    </xf>
    <xf numFmtId="0" fontId="57" fillId="7" borderId="146" xfId="1" applyFont="1" applyFill="1" applyBorder="1" applyAlignment="1" applyProtection="1">
      <alignment horizontal="center" vertical="center"/>
      <protection hidden="1"/>
    </xf>
    <xf numFmtId="0" fontId="56" fillId="18" borderId="167" xfId="1" applyFont="1" applyFill="1" applyBorder="1" applyAlignment="1" applyProtection="1">
      <alignment horizontal="center" vertical="center" wrapText="1"/>
      <protection hidden="1"/>
    </xf>
    <xf numFmtId="0" fontId="56" fillId="18" borderId="168" xfId="1" applyFont="1" applyFill="1" applyBorder="1" applyAlignment="1" applyProtection="1">
      <alignment horizontal="center" vertical="center" wrapText="1"/>
      <protection hidden="1"/>
    </xf>
    <xf numFmtId="0" fontId="56" fillId="18" borderId="48" xfId="1" applyFont="1" applyFill="1" applyBorder="1" applyAlignment="1" applyProtection="1">
      <alignment horizontal="center" vertical="center" wrapText="1"/>
      <protection hidden="1"/>
    </xf>
    <xf numFmtId="0" fontId="56" fillId="18" borderId="0" xfId="1" applyFont="1" applyFill="1" applyBorder="1" applyAlignment="1" applyProtection="1">
      <alignment horizontal="center" vertical="center" wrapText="1"/>
      <protection hidden="1"/>
    </xf>
    <xf numFmtId="0" fontId="57" fillId="7" borderId="65" xfId="0" applyFont="1" applyFill="1" applyBorder="1" applyAlignment="1">
      <alignment horizontal="left" vertical="center"/>
    </xf>
    <xf numFmtId="0" fontId="103" fillId="21" borderId="105" xfId="1" applyFont="1" applyFill="1" applyBorder="1" applyAlignment="1" applyProtection="1">
      <alignment horizontal="center" vertical="center"/>
      <protection hidden="1"/>
    </xf>
    <xf numFmtId="0" fontId="54" fillId="21" borderId="129" xfId="1" applyFont="1" applyFill="1" applyBorder="1" applyAlignment="1" applyProtection="1">
      <alignment horizontal="center" vertical="center"/>
      <protection hidden="1"/>
    </xf>
    <xf numFmtId="0" fontId="54" fillId="21" borderId="137" xfId="1" applyFont="1" applyFill="1" applyBorder="1" applyAlignment="1" applyProtection="1">
      <alignment horizontal="center" vertical="center"/>
      <protection hidden="1"/>
    </xf>
    <xf numFmtId="0" fontId="72" fillId="21" borderId="137" xfId="2" applyFont="1" applyFill="1" applyBorder="1" applyAlignment="1" applyProtection="1">
      <alignment horizontal="center" vertical="center"/>
      <protection hidden="1"/>
    </xf>
    <xf numFmtId="164" fontId="57" fillId="0" borderId="0" xfId="1" applyNumberFormat="1" applyFont="1" applyFill="1" applyBorder="1" applyAlignment="1" applyProtection="1">
      <alignment horizontal="center" vertical="center"/>
      <protection hidden="1"/>
    </xf>
    <xf numFmtId="164" fontId="76" fillId="0" borderId="39" xfId="1" applyNumberFormat="1" applyFont="1" applyFill="1" applyBorder="1" applyAlignment="1" applyProtection="1">
      <alignment horizontal="center" vertical="center"/>
      <protection hidden="1"/>
    </xf>
    <xf numFmtId="164" fontId="76" fillId="0" borderId="42" xfId="1" applyNumberFormat="1" applyFont="1" applyFill="1" applyBorder="1" applyAlignment="1" applyProtection="1">
      <alignment horizontal="center" vertical="center"/>
      <protection hidden="1"/>
    </xf>
    <xf numFmtId="164" fontId="76" fillId="0" borderId="43" xfId="1" applyNumberFormat="1" applyFont="1" applyFill="1" applyBorder="1" applyAlignment="1" applyProtection="1">
      <alignment horizontal="center" vertical="center"/>
      <protection hidden="1"/>
    </xf>
    <xf numFmtId="0" fontId="71" fillId="3" borderId="0" xfId="1" applyFont="1" applyFill="1" applyAlignment="1" applyProtection="1">
      <alignment vertical="center" textRotation="90"/>
      <protection hidden="1"/>
    </xf>
    <xf numFmtId="0" fontId="55" fillId="22" borderId="17" xfId="1" applyFont="1" applyFill="1" applyBorder="1" applyAlignment="1" applyProtection="1">
      <alignment horizontal="center" vertical="center" wrapText="1"/>
      <protection locked="0" hidden="1"/>
    </xf>
    <xf numFmtId="0" fontId="55" fillId="22" borderId="18" xfId="1" applyFont="1" applyFill="1" applyBorder="1" applyAlignment="1" applyProtection="1">
      <alignment horizontal="center" vertical="center" wrapText="1"/>
      <protection locked="0" hidden="1"/>
    </xf>
    <xf numFmtId="0" fontId="55" fillId="22" borderId="17" xfId="1" applyFont="1" applyFill="1" applyBorder="1" applyAlignment="1" applyProtection="1">
      <alignment horizontal="center" vertical="center" wrapText="1"/>
      <protection hidden="1"/>
    </xf>
    <xf numFmtId="0" fontId="55" fillId="22" borderId="18" xfId="1" applyFont="1" applyFill="1" applyBorder="1" applyAlignment="1" applyProtection="1">
      <alignment horizontal="center" vertical="center" wrapText="1"/>
      <protection hidden="1"/>
    </xf>
    <xf numFmtId="0" fontId="93" fillId="0" borderId="148" xfId="1" applyFont="1" applyFill="1" applyBorder="1" applyAlignment="1" applyProtection="1">
      <alignment horizontal="center" vertical="center"/>
      <protection hidden="1"/>
    </xf>
    <xf numFmtId="0" fontId="76" fillId="3" borderId="154" xfId="1" applyFont="1" applyFill="1" applyBorder="1" applyAlignment="1" applyProtection="1">
      <alignment horizontal="center" vertical="center"/>
      <protection hidden="1"/>
    </xf>
    <xf numFmtId="0" fontId="76" fillId="3" borderId="148" xfId="1" applyFont="1" applyFill="1" applyBorder="1" applyAlignment="1" applyProtection="1">
      <alignment horizontal="center" vertical="center"/>
      <protection hidden="1"/>
    </xf>
    <xf numFmtId="0" fontId="54" fillId="21" borderId="42" xfId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54" fillId="21" borderId="138" xfId="1" applyFont="1" applyFill="1" applyBorder="1" applyAlignment="1" applyProtection="1">
      <alignment horizontal="center" vertical="center"/>
      <protection hidden="1"/>
    </xf>
    <xf numFmtId="164" fontId="54" fillId="21" borderId="137" xfId="0" applyNumberFormat="1" applyFont="1" applyFill="1" applyBorder="1" applyAlignment="1" applyProtection="1">
      <alignment horizontal="center" vertical="center"/>
      <protection hidden="1"/>
    </xf>
    <xf numFmtId="164" fontId="54" fillId="21" borderId="40" xfId="0" applyNumberFormat="1" applyFont="1" applyFill="1" applyBorder="1" applyAlignment="1" applyProtection="1">
      <alignment horizontal="center" vertical="center"/>
      <protection hidden="1"/>
    </xf>
    <xf numFmtId="0" fontId="55" fillId="22" borderId="17" xfId="1" applyFont="1" applyFill="1" applyBorder="1" applyAlignment="1" applyProtection="1">
      <alignment horizontal="center" vertical="center"/>
      <protection hidden="1"/>
    </xf>
    <xf numFmtId="0" fontId="55" fillId="22" borderId="18" xfId="1" applyFont="1" applyFill="1" applyBorder="1" applyAlignment="1" applyProtection="1">
      <alignment horizontal="center" vertical="center"/>
      <protection hidden="1"/>
    </xf>
    <xf numFmtId="0" fontId="54" fillId="21" borderId="137" xfId="0" applyFont="1" applyFill="1" applyBorder="1" applyAlignment="1" applyProtection="1">
      <alignment horizontal="center" vertical="center"/>
      <protection hidden="1"/>
    </xf>
    <xf numFmtId="0" fontId="54" fillId="21" borderId="139" xfId="0" applyFont="1" applyFill="1" applyBorder="1" applyAlignment="1" applyProtection="1">
      <alignment horizontal="center" vertical="center"/>
      <protection hidden="1"/>
    </xf>
    <xf numFmtId="0" fontId="81" fillId="21" borderId="79" xfId="0" applyFont="1" applyFill="1" applyBorder="1" applyAlignment="1" applyProtection="1">
      <alignment horizontal="center" vertical="center"/>
    </xf>
    <xf numFmtId="0" fontId="81" fillId="21" borderId="80" xfId="0" applyFont="1" applyFill="1" applyBorder="1" applyAlignment="1" applyProtection="1">
      <alignment horizontal="center" vertical="center"/>
    </xf>
    <xf numFmtId="0" fontId="72" fillId="21" borderId="59" xfId="0" applyFont="1" applyFill="1" applyBorder="1" applyAlignment="1" applyProtection="1">
      <alignment horizontal="left"/>
    </xf>
    <xf numFmtId="0" fontId="72" fillId="21" borderId="64" xfId="0" applyFont="1" applyFill="1" applyBorder="1" applyAlignment="1" applyProtection="1">
      <alignment horizontal="left"/>
    </xf>
    <xf numFmtId="0" fontId="81" fillId="21" borderId="123" xfId="0" applyFont="1" applyFill="1" applyBorder="1" applyAlignment="1" applyProtection="1">
      <alignment horizontal="center" vertical="center"/>
      <protection locked="0"/>
    </xf>
    <xf numFmtId="0" fontId="81" fillId="21" borderId="1" xfId="0" applyFont="1" applyFill="1" applyBorder="1" applyAlignment="1" applyProtection="1">
      <alignment horizontal="center" vertical="center"/>
      <protection locked="0"/>
    </xf>
    <xf numFmtId="0" fontId="81" fillId="21" borderId="124" xfId="0" applyFont="1" applyFill="1" applyBorder="1" applyAlignment="1" applyProtection="1">
      <alignment horizontal="center" vertical="center"/>
      <protection locked="0"/>
    </xf>
    <xf numFmtId="0" fontId="54" fillId="21" borderId="16" xfId="0" applyFont="1" applyFill="1" applyBorder="1" applyAlignment="1" applyProtection="1">
      <alignment horizontal="center"/>
    </xf>
    <xf numFmtId="0" fontId="54" fillId="21" borderId="18" xfId="0" applyFont="1" applyFill="1" applyBorder="1" applyAlignment="1" applyProtection="1">
      <alignment horizontal="center"/>
    </xf>
    <xf numFmtId="0" fontId="56" fillId="3" borderId="21" xfId="0" applyFont="1" applyFill="1" applyBorder="1" applyAlignment="1" applyProtection="1">
      <alignment horizontal="left" vertical="center"/>
    </xf>
    <xf numFmtId="0" fontId="56" fillId="3" borderId="23" xfId="0" applyFont="1" applyFill="1" applyBorder="1" applyAlignment="1" applyProtection="1">
      <alignment horizontal="left" vertical="center"/>
    </xf>
    <xf numFmtId="0" fontId="81" fillId="21" borderId="81" xfId="0" applyFont="1" applyFill="1" applyBorder="1" applyAlignment="1" applyProtection="1">
      <alignment horizontal="left" vertical="center"/>
    </xf>
    <xf numFmtId="0" fontId="81" fillId="21" borderId="82" xfId="0" applyFont="1" applyFill="1" applyBorder="1" applyAlignment="1" applyProtection="1">
      <alignment horizontal="left" vertical="center"/>
    </xf>
    <xf numFmtId="0" fontId="102" fillId="21" borderId="83" xfId="0" applyFont="1" applyFill="1" applyBorder="1" applyAlignment="1" applyProtection="1">
      <alignment horizontal="left" vertical="center"/>
    </xf>
    <xf numFmtId="0" fontId="102" fillId="21" borderId="84" xfId="0" applyFont="1" applyFill="1" applyBorder="1" applyAlignment="1" applyProtection="1">
      <alignment horizontal="left" vertical="center"/>
    </xf>
    <xf numFmtId="0" fontId="57" fillId="3" borderId="0" xfId="0" applyFont="1" applyFill="1" applyBorder="1" applyAlignment="1" applyProtection="1">
      <alignment horizontal="center" vertical="center"/>
    </xf>
    <xf numFmtId="0" fontId="91" fillId="3" borderId="61" xfId="0" applyFont="1" applyFill="1" applyBorder="1" applyAlignment="1">
      <alignment horizontal="center" vertical="center" wrapText="1"/>
    </xf>
    <xf numFmtId="0" fontId="91" fillId="3" borderId="0" xfId="0" applyFont="1" applyFill="1" applyAlignment="1">
      <alignment horizontal="center" vertical="center" wrapText="1"/>
    </xf>
    <xf numFmtId="0" fontId="54" fillId="21" borderId="49" xfId="0" applyFont="1" applyFill="1" applyBorder="1" applyAlignment="1" applyProtection="1">
      <alignment horizontal="center" vertical="center"/>
    </xf>
    <xf numFmtId="0" fontId="54" fillId="21" borderId="50" xfId="0" applyFont="1" applyFill="1" applyBorder="1" applyAlignment="1" applyProtection="1">
      <alignment horizontal="center" vertical="center"/>
    </xf>
    <xf numFmtId="0" fontId="85" fillId="21" borderId="94" xfId="0" applyFont="1" applyFill="1" applyBorder="1" applyAlignment="1" applyProtection="1">
      <alignment horizontal="center" vertical="center"/>
    </xf>
    <xf numFmtId="0" fontId="85" fillId="21" borderId="100" xfId="0" applyFont="1" applyFill="1" applyBorder="1" applyAlignment="1" applyProtection="1">
      <alignment horizontal="center" vertical="center"/>
    </xf>
    <xf numFmtId="0" fontId="85" fillId="21" borderId="102" xfId="0" applyFont="1" applyFill="1" applyBorder="1" applyAlignment="1" applyProtection="1">
      <alignment horizontal="center" vertical="center"/>
    </xf>
    <xf numFmtId="0" fontId="85" fillId="21" borderId="103" xfId="0" applyFont="1" applyFill="1" applyBorder="1" applyAlignment="1" applyProtection="1">
      <alignment horizontal="center" vertical="center"/>
    </xf>
    <xf numFmtId="0" fontId="72" fillId="21" borderId="16" xfId="0" applyFont="1" applyFill="1" applyBorder="1" applyAlignment="1" applyProtection="1">
      <alignment horizontal="center" vertical="center"/>
    </xf>
    <xf numFmtId="0" fontId="72" fillId="21" borderId="17" xfId="0" applyFont="1" applyFill="1" applyBorder="1" applyAlignment="1" applyProtection="1">
      <alignment horizontal="center" vertical="center"/>
    </xf>
    <xf numFmtId="0" fontId="72" fillId="21" borderId="21" xfId="0" applyFont="1" applyFill="1" applyBorder="1" applyAlignment="1" applyProtection="1">
      <alignment horizontal="center" vertical="center"/>
    </xf>
    <xf numFmtId="0" fontId="72" fillId="21" borderId="22" xfId="0" applyFont="1" applyFill="1" applyBorder="1" applyAlignment="1" applyProtection="1">
      <alignment horizontal="center" vertical="center"/>
    </xf>
    <xf numFmtId="0" fontId="72" fillId="21" borderId="49" xfId="0" applyFont="1" applyFill="1" applyBorder="1" applyAlignment="1" applyProtection="1">
      <alignment horizontal="center" vertical="center"/>
    </xf>
    <xf numFmtId="0" fontId="72" fillId="21" borderId="51" xfId="0" applyFont="1" applyFill="1" applyBorder="1" applyAlignment="1" applyProtection="1">
      <alignment horizontal="center" vertical="center"/>
    </xf>
    <xf numFmtId="0" fontId="85" fillId="21" borderId="102" xfId="0" applyFont="1" applyFill="1" applyBorder="1" applyAlignment="1" applyProtection="1">
      <alignment horizontal="center" vertical="center" wrapText="1"/>
    </xf>
    <xf numFmtId="0" fontId="85" fillId="21" borderId="103" xfId="0" applyFont="1" applyFill="1" applyBorder="1" applyAlignment="1" applyProtection="1">
      <alignment horizontal="center" vertical="center" wrapText="1"/>
    </xf>
    <xf numFmtId="0" fontId="85" fillId="21" borderId="104" xfId="0" applyFont="1" applyFill="1" applyBorder="1" applyAlignment="1" applyProtection="1">
      <alignment horizontal="center" vertical="center" wrapText="1"/>
    </xf>
    <xf numFmtId="0" fontId="81" fillId="21" borderId="97" xfId="0" applyFont="1" applyFill="1" applyBorder="1" applyAlignment="1" applyProtection="1">
      <alignment horizontal="center" vertical="center"/>
    </xf>
    <xf numFmtId="0" fontId="81" fillId="21" borderId="98" xfId="0" applyFont="1" applyFill="1" applyBorder="1" applyAlignment="1" applyProtection="1">
      <alignment horizontal="center" vertical="center"/>
    </xf>
    <xf numFmtId="0" fontId="92" fillId="3" borderId="79" xfId="0" applyFont="1" applyFill="1" applyBorder="1" applyAlignment="1" applyProtection="1">
      <alignment horizontal="left"/>
    </xf>
    <xf numFmtId="0" fontId="92" fillId="3" borderId="85" xfId="0" applyFont="1" applyFill="1" applyBorder="1" applyAlignment="1" applyProtection="1">
      <alignment horizontal="left"/>
    </xf>
    <xf numFmtId="0" fontId="92" fillId="3" borderId="81" xfId="0" applyFont="1" applyFill="1" applyBorder="1" applyAlignment="1" applyProtection="1">
      <alignment horizontal="left"/>
    </xf>
    <xf numFmtId="0" fontId="92" fillId="3" borderId="39" xfId="0" applyFont="1" applyFill="1" applyBorder="1" applyAlignment="1" applyProtection="1">
      <alignment horizontal="left"/>
    </xf>
    <xf numFmtId="0" fontId="92" fillId="3" borderId="132" xfId="0" applyFont="1" applyFill="1" applyBorder="1" applyAlignment="1" applyProtection="1">
      <alignment horizontal="left"/>
    </xf>
    <xf numFmtId="0" fontId="92" fillId="3" borderId="133" xfId="0" applyFont="1" applyFill="1" applyBorder="1" applyAlignment="1" applyProtection="1">
      <alignment horizontal="left"/>
    </xf>
    <xf numFmtId="0" fontId="93" fillId="3" borderId="42" xfId="0" applyFont="1" applyFill="1" applyBorder="1" applyAlignment="1" applyProtection="1">
      <alignment horizontal="left"/>
    </xf>
    <xf numFmtId="0" fontId="93" fillId="3" borderId="43" xfId="0" applyFont="1" applyFill="1" applyBorder="1" applyAlignment="1" applyProtection="1">
      <alignment horizontal="left"/>
    </xf>
    <xf numFmtId="0" fontId="54" fillId="0" borderId="0" xfId="0" applyFont="1" applyFill="1" applyBorder="1" applyAlignment="1" applyProtection="1">
      <alignment horizontal="center"/>
      <protection locked="0"/>
    </xf>
    <xf numFmtId="0" fontId="72" fillId="21" borderId="16" xfId="0" applyFont="1" applyFill="1" applyBorder="1" applyAlignment="1">
      <alignment horizontal="center"/>
    </xf>
    <xf numFmtId="0" fontId="72" fillId="21" borderId="17" xfId="0" applyFont="1" applyFill="1" applyBorder="1" applyAlignment="1">
      <alignment horizontal="center"/>
    </xf>
    <xf numFmtId="0" fontId="72" fillId="21" borderId="79" xfId="0" applyFont="1" applyFill="1" applyBorder="1" applyAlignment="1" applyProtection="1">
      <alignment horizontal="center" vertical="center"/>
      <protection locked="0"/>
    </xf>
    <xf numFmtId="0" fontId="72" fillId="21" borderId="85" xfId="0" applyFont="1" applyFill="1" applyBorder="1" applyAlignment="1" applyProtection="1">
      <alignment horizontal="center" vertical="center"/>
      <protection locked="0"/>
    </xf>
    <xf numFmtId="0" fontId="72" fillId="21" borderId="94" xfId="0" applyFont="1" applyFill="1" applyBorder="1" applyAlignment="1" applyProtection="1">
      <alignment horizontal="center" vertical="center"/>
      <protection locked="0"/>
    </xf>
    <xf numFmtId="0" fontId="72" fillId="21" borderId="96" xfId="0" applyFont="1" applyFill="1" applyBorder="1" applyAlignment="1" applyProtection="1">
      <alignment horizontal="center" vertical="center"/>
      <protection locked="0"/>
    </xf>
    <xf numFmtId="0" fontId="72" fillId="21" borderId="95" xfId="0" applyFont="1" applyFill="1" applyBorder="1" applyAlignment="1" applyProtection="1">
      <alignment horizontal="center" vertical="center"/>
      <protection locked="0"/>
    </xf>
    <xf numFmtId="0" fontId="80" fillId="0" borderId="102" xfId="0" applyFont="1" applyBorder="1" applyAlignment="1">
      <alignment horizontal="center" vertical="center" wrapText="1"/>
    </xf>
    <xf numFmtId="0" fontId="80" fillId="0" borderId="103" xfId="0" applyFont="1" applyBorder="1" applyAlignment="1">
      <alignment horizontal="center" vertical="center" wrapText="1"/>
    </xf>
    <xf numFmtId="0" fontId="80" fillId="0" borderId="104" xfId="0" applyFont="1" applyBorder="1" applyAlignment="1">
      <alignment horizontal="center" vertical="center" wrapText="1"/>
    </xf>
    <xf numFmtId="0" fontId="84" fillId="0" borderId="0" xfId="0" applyFont="1" applyFill="1" applyBorder="1" applyAlignment="1" applyProtection="1">
      <alignment horizontal="center"/>
      <protection locked="0"/>
    </xf>
    <xf numFmtId="0" fontId="74" fillId="0" borderId="0" xfId="0" applyFont="1" applyFill="1" applyBorder="1" applyAlignment="1" applyProtection="1">
      <alignment horizontal="center" vertical="center" readingOrder="2"/>
      <protection locked="0"/>
    </xf>
    <xf numFmtId="0" fontId="74" fillId="0" borderId="0" xfId="0" applyFont="1" applyFill="1" applyBorder="1" applyAlignment="1" applyProtection="1">
      <alignment horizontal="center" vertical="top" textRotation="105" readingOrder="2"/>
      <protection locked="0"/>
    </xf>
    <xf numFmtId="0" fontId="72" fillId="0" borderId="0" xfId="0" applyFont="1" applyFill="1" applyBorder="1" applyAlignment="1" applyProtection="1">
      <alignment horizontal="center" vertical="center"/>
      <protection locked="0"/>
    </xf>
    <xf numFmtId="0" fontId="103" fillId="21" borderId="102" xfId="0" applyFont="1" applyFill="1" applyBorder="1" applyAlignment="1">
      <alignment horizontal="center" vertical="center"/>
    </xf>
    <xf numFmtId="0" fontId="103" fillId="21" borderId="103" xfId="0" applyFont="1" applyFill="1" applyBorder="1" applyAlignment="1">
      <alignment horizontal="center" vertical="center"/>
    </xf>
    <xf numFmtId="0" fontId="103" fillId="21" borderId="104" xfId="0" applyFont="1" applyFill="1" applyBorder="1" applyAlignment="1">
      <alignment horizontal="center" vertical="center"/>
    </xf>
    <xf numFmtId="0" fontId="108" fillId="21" borderId="102" xfId="0" applyFont="1" applyFill="1" applyBorder="1" applyAlignment="1">
      <alignment horizontal="center" vertical="center" wrapText="1"/>
    </xf>
    <xf numFmtId="0" fontId="108" fillId="21" borderId="103" xfId="0" applyFont="1" applyFill="1" applyBorder="1" applyAlignment="1">
      <alignment horizontal="center" vertical="center" wrapText="1"/>
    </xf>
    <xf numFmtId="0" fontId="63" fillId="8" borderId="18" xfId="0" applyFont="1" applyFill="1" applyBorder="1" applyAlignment="1">
      <alignment horizontal="center" vertical="center" wrapText="1"/>
    </xf>
    <xf numFmtId="0" fontId="63" fillId="8" borderId="20" xfId="0" applyFont="1" applyFill="1" applyBorder="1" applyAlignment="1">
      <alignment horizontal="center" vertical="center" wrapText="1"/>
    </xf>
    <xf numFmtId="0" fontId="85" fillId="22" borderId="0" xfId="0" applyFont="1" applyFill="1" applyAlignment="1">
      <alignment horizontal="center" vertical="center" wrapText="1"/>
    </xf>
    <xf numFmtId="0" fontId="81" fillId="21" borderId="83" xfId="0" applyFont="1" applyFill="1" applyBorder="1" applyAlignment="1" applyProtection="1">
      <alignment horizontal="left" vertical="center"/>
    </xf>
    <xf numFmtId="0" fontId="81" fillId="21" borderId="84" xfId="0" applyFont="1" applyFill="1" applyBorder="1" applyAlignment="1" applyProtection="1">
      <alignment horizontal="left" vertical="center"/>
    </xf>
    <xf numFmtId="0" fontId="93" fillId="22" borderId="0" xfId="0" applyFont="1" applyFill="1" applyAlignment="1" applyProtection="1">
      <alignment horizontal="center"/>
      <protection locked="0"/>
    </xf>
    <xf numFmtId="0" fontId="82" fillId="21" borderId="49" xfId="0" applyFont="1" applyFill="1" applyBorder="1" applyAlignment="1" applyProtection="1">
      <alignment horizontal="center"/>
    </xf>
    <xf numFmtId="0" fontId="82" fillId="21" borderId="50" xfId="0" applyFont="1" applyFill="1" applyBorder="1" applyAlignment="1" applyProtection="1">
      <alignment horizontal="center"/>
    </xf>
    <xf numFmtId="0" fontId="100" fillId="22" borderId="128" xfId="0" applyFont="1" applyFill="1" applyBorder="1" applyAlignment="1">
      <alignment horizontal="center" vertical="center" wrapText="1"/>
    </xf>
    <xf numFmtId="0" fontId="100" fillId="22" borderId="61" xfId="0" applyFont="1" applyFill="1" applyBorder="1" applyAlignment="1">
      <alignment horizontal="center" vertical="center" wrapText="1"/>
    </xf>
    <xf numFmtId="0" fontId="100" fillId="22" borderId="60" xfId="0" applyFont="1" applyFill="1" applyBorder="1" applyAlignment="1">
      <alignment horizontal="center" vertical="center" wrapText="1"/>
    </xf>
    <xf numFmtId="0" fontId="100" fillId="22" borderId="62" xfId="0" applyFont="1" applyFill="1" applyBorder="1" applyAlignment="1">
      <alignment horizontal="center" vertical="center" wrapText="1"/>
    </xf>
    <xf numFmtId="0" fontId="100" fillId="22" borderId="45" xfId="0" applyFont="1" applyFill="1" applyBorder="1" applyAlignment="1">
      <alignment horizontal="center" vertical="center" wrapText="1"/>
    </xf>
    <xf numFmtId="0" fontId="100" fillId="22" borderId="69" xfId="0" applyFont="1" applyFill="1" applyBorder="1" applyAlignment="1">
      <alignment horizontal="center" vertical="center" wrapText="1"/>
    </xf>
    <xf numFmtId="0" fontId="56" fillId="3" borderId="16" xfId="0" applyFont="1" applyFill="1" applyBorder="1" applyAlignment="1" applyProtection="1">
      <alignment horizontal="left" vertical="center"/>
    </xf>
    <xf numFmtId="0" fontId="56" fillId="3" borderId="18" xfId="0" applyFont="1" applyFill="1" applyBorder="1" applyAlignment="1" applyProtection="1">
      <alignment horizontal="left" vertical="center"/>
    </xf>
    <xf numFmtId="0" fontId="85" fillId="21" borderId="104" xfId="0" applyFont="1" applyFill="1" applyBorder="1" applyAlignment="1" applyProtection="1">
      <alignment horizontal="center" vertical="center"/>
    </xf>
    <xf numFmtId="0" fontId="63" fillId="8" borderId="23" xfId="0" applyFont="1" applyFill="1" applyBorder="1" applyAlignment="1">
      <alignment horizontal="center" vertical="center" wrapText="1"/>
    </xf>
    <xf numFmtId="0" fontId="96" fillId="3" borderId="16" xfId="0" applyFont="1" applyFill="1" applyBorder="1" applyAlignment="1" applyProtection="1">
      <alignment horizontal="left" vertical="center"/>
    </xf>
    <xf numFmtId="0" fontId="96" fillId="3" borderId="18" xfId="0" applyFont="1" applyFill="1" applyBorder="1" applyAlignment="1" applyProtection="1">
      <alignment horizontal="left" vertical="center"/>
    </xf>
    <xf numFmtId="0" fontId="96" fillId="3" borderId="79" xfId="0" applyFont="1" applyFill="1" applyBorder="1" applyAlignment="1" applyProtection="1">
      <alignment horizontal="left" vertical="center"/>
    </xf>
    <xf numFmtId="0" fontId="96" fillId="3" borderId="80" xfId="0" applyFont="1" applyFill="1" applyBorder="1" applyAlignment="1" applyProtection="1">
      <alignment horizontal="left" vertical="center"/>
    </xf>
    <xf numFmtId="0" fontId="81" fillId="21" borderId="97" xfId="0" applyFont="1" applyFill="1" applyBorder="1" applyAlignment="1" applyProtection="1">
      <alignment horizontal="left" vertical="center"/>
    </xf>
    <xf numFmtId="0" fontId="81" fillId="21" borderId="98" xfId="0" applyFont="1" applyFill="1" applyBorder="1" applyAlignment="1" applyProtection="1">
      <alignment horizontal="left" vertical="center"/>
    </xf>
    <xf numFmtId="0" fontId="4" fillId="0" borderId="134" xfId="0" applyFont="1" applyFill="1" applyBorder="1" applyAlignment="1">
      <alignment vertical="center" wrapText="1"/>
    </xf>
    <xf numFmtId="0" fontId="4" fillId="0" borderId="109" xfId="0" applyFont="1" applyFill="1" applyBorder="1" applyAlignment="1">
      <alignment vertical="center" wrapText="1"/>
    </xf>
    <xf numFmtId="0" fontId="80" fillId="0" borderId="87" xfId="0" applyFont="1" applyFill="1" applyBorder="1" applyAlignment="1">
      <alignment horizontal="center" vertical="center" wrapText="1"/>
    </xf>
    <xf numFmtId="0" fontId="80" fillId="0" borderId="171" xfId="0" applyFont="1" applyFill="1" applyBorder="1" applyAlignment="1">
      <alignment horizontal="center" vertical="center" wrapText="1"/>
    </xf>
    <xf numFmtId="0" fontId="80" fillId="0" borderId="170" xfId="0" applyFont="1" applyFill="1" applyBorder="1" applyAlignment="1">
      <alignment horizontal="center" vertical="center" wrapText="1"/>
    </xf>
    <xf numFmtId="0" fontId="80" fillId="0" borderId="159" xfId="0" applyFont="1" applyFill="1" applyBorder="1" applyAlignment="1">
      <alignment horizontal="center" vertical="center" wrapText="1"/>
    </xf>
    <xf numFmtId="0" fontId="80" fillId="0" borderId="80" xfId="0" applyFont="1" applyFill="1" applyBorder="1" applyAlignment="1">
      <alignment horizontal="center" vertical="center" wrapText="1"/>
    </xf>
    <xf numFmtId="0" fontId="80" fillId="0" borderId="8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80" fillId="0" borderId="0" xfId="0" applyFont="1" applyFill="1" applyBorder="1" applyAlignment="1">
      <alignment horizontal="center" vertical="center"/>
    </xf>
    <xf numFmtId="0" fontId="14" fillId="3" borderId="11" xfId="1" applyFont="1" applyFill="1" applyBorder="1" applyAlignment="1" applyProtection="1">
      <alignment horizontal="center" vertical="center" textRotation="90"/>
      <protection hidden="1"/>
    </xf>
    <xf numFmtId="0" fontId="0" fillId="6" borderId="31" xfId="0" applyFill="1" applyBorder="1" applyAlignment="1" applyProtection="1">
      <alignment horizontal="center" vertical="center" wrapText="1"/>
      <protection locked="0" hidden="1"/>
    </xf>
    <xf numFmtId="0" fontId="0" fillId="6" borderId="33" xfId="0" applyFill="1" applyBorder="1" applyAlignment="1" applyProtection="1">
      <alignment horizontal="center" vertical="center" wrapText="1"/>
      <protection locked="0" hidden="1"/>
    </xf>
    <xf numFmtId="0" fontId="0" fillId="6" borderId="32" xfId="0" applyFill="1" applyBorder="1" applyAlignment="1" applyProtection="1">
      <alignment horizontal="center" vertical="center" wrapText="1"/>
      <protection locked="0" hidden="1"/>
    </xf>
    <xf numFmtId="0" fontId="0" fillId="6" borderId="34" xfId="0" applyFill="1" applyBorder="1" applyAlignment="1" applyProtection="1">
      <alignment horizontal="center" vertical="center" wrapText="1"/>
      <protection locked="0" hidden="1"/>
    </xf>
    <xf numFmtId="0" fontId="0" fillId="5" borderId="32" xfId="0" applyFill="1" applyBorder="1" applyAlignment="1" applyProtection="1">
      <alignment horizontal="center" vertical="center"/>
      <protection locked="0" hidden="1"/>
    </xf>
    <xf numFmtId="0" fontId="0" fillId="5" borderId="36" xfId="0" applyFill="1" applyBorder="1" applyAlignment="1" applyProtection="1">
      <alignment horizontal="center" vertical="center"/>
      <protection locked="0" hidden="1"/>
    </xf>
    <xf numFmtId="0" fontId="0" fillId="6" borderId="32" xfId="0" applyFont="1" applyFill="1" applyBorder="1" applyAlignment="1" applyProtection="1">
      <alignment horizontal="center" vertical="center" textRotation="90" wrapText="1"/>
      <protection locked="0" hidden="1"/>
    </xf>
    <xf numFmtId="0" fontId="0" fillId="6" borderId="34" xfId="0" applyFont="1" applyFill="1" applyBorder="1" applyAlignment="1" applyProtection="1">
      <alignment horizontal="center" vertical="center" textRotation="90" wrapText="1"/>
      <protection locked="0" hidden="1"/>
    </xf>
    <xf numFmtId="0" fontId="10" fillId="24" borderId="102" xfId="2" applyFill="1" applyBorder="1" applyAlignment="1" applyProtection="1">
      <alignment horizontal="center" vertical="center" wrapText="1"/>
    </xf>
    <xf numFmtId="0" fontId="10" fillId="24" borderId="103" xfId="2" applyFill="1" applyBorder="1" applyAlignment="1" applyProtection="1">
      <alignment horizontal="center" vertical="center" wrapText="1"/>
    </xf>
    <xf numFmtId="0" fontId="10" fillId="24" borderId="104" xfId="2" applyFill="1" applyBorder="1" applyAlignment="1" applyProtection="1">
      <alignment horizontal="center" vertical="center" wrapText="1"/>
    </xf>
    <xf numFmtId="0" fontId="63" fillId="3" borderId="49" xfId="0" applyFont="1" applyFill="1" applyBorder="1" applyAlignment="1">
      <alignment horizontal="center" vertical="center" wrapText="1"/>
    </xf>
    <xf numFmtId="0" fontId="63" fillId="3" borderId="50" xfId="0" applyFont="1" applyFill="1" applyBorder="1" applyAlignment="1">
      <alignment horizontal="center" vertical="center" wrapText="1"/>
    </xf>
    <xf numFmtId="0" fontId="63" fillId="3" borderId="51" xfId="0" applyFont="1" applyFill="1" applyBorder="1" applyAlignment="1">
      <alignment horizontal="center" vertical="center" wrapText="1"/>
    </xf>
    <xf numFmtId="0" fontId="14" fillId="3" borderId="0" xfId="1" applyFont="1" applyFill="1" applyBorder="1" applyAlignment="1" applyProtection="1">
      <alignment horizontal="center" vertical="center" textRotation="90"/>
      <protection hidden="1"/>
    </xf>
    <xf numFmtId="0" fontId="7" fillId="14" borderId="2" xfId="0" applyFont="1" applyFill="1" applyBorder="1" applyAlignment="1" applyProtection="1">
      <alignment horizontal="center" vertical="center" wrapText="1"/>
      <protection hidden="1"/>
    </xf>
    <xf numFmtId="0" fontId="7" fillId="14" borderId="2" xfId="0" applyFont="1" applyFill="1" applyBorder="1" applyAlignment="1" applyProtection="1">
      <alignment horizontal="center" vertical="center"/>
      <protection hidden="1"/>
    </xf>
    <xf numFmtId="0" fontId="7" fillId="9" borderId="29" xfId="0" applyFont="1" applyFill="1" applyBorder="1" applyAlignment="1" applyProtection="1">
      <alignment horizontal="center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6" xfId="0" applyFont="1" applyFill="1" applyBorder="1" applyAlignment="1" applyProtection="1">
      <alignment horizontal="center" vertical="center" wrapText="1"/>
      <protection hidden="1"/>
    </xf>
    <xf numFmtId="0" fontId="7" fillId="4" borderId="3" xfId="0" applyFont="1" applyFill="1" applyBorder="1" applyAlignment="1" applyProtection="1">
      <alignment horizontal="center" vertical="center" wrapText="1"/>
      <protection hidden="1"/>
    </xf>
    <xf numFmtId="0" fontId="7" fillId="4" borderId="4" xfId="0" applyFont="1" applyFill="1" applyBorder="1" applyAlignment="1" applyProtection="1">
      <alignment horizontal="center" vertical="center" wrapText="1"/>
      <protection hidden="1"/>
    </xf>
    <xf numFmtId="0" fontId="7" fillId="4" borderId="30" xfId="0" applyFont="1" applyFill="1" applyBorder="1" applyAlignment="1" applyProtection="1">
      <alignment horizontal="center" vertical="center" wrapText="1"/>
      <protection hidden="1"/>
    </xf>
    <xf numFmtId="0" fontId="49" fillId="0" borderId="1" xfId="0" applyFont="1" applyBorder="1" applyAlignment="1" applyProtection="1">
      <alignment horizontal="center" vertical="top" wrapText="1"/>
      <protection locked="0" hidden="1"/>
    </xf>
    <xf numFmtId="0" fontId="0" fillId="4" borderId="9" xfId="0" applyFill="1" applyBorder="1" applyAlignment="1" applyProtection="1">
      <alignment horizontal="center" vertical="center" wrapText="1"/>
      <protection locked="0" hidden="1"/>
    </xf>
    <xf numFmtId="0" fontId="0" fillId="4" borderId="13" xfId="0" applyFill="1" applyBorder="1" applyAlignment="1" applyProtection="1">
      <alignment horizontal="center" vertical="center" wrapText="1"/>
      <protection locked="0" hidden="1"/>
    </xf>
    <xf numFmtId="0" fontId="0" fillId="5" borderId="3" xfId="0" applyFill="1" applyBorder="1" applyAlignment="1" applyProtection="1">
      <alignment horizontal="center" vertical="center"/>
      <protection locked="0" hidden="1"/>
    </xf>
    <xf numFmtId="0" fontId="0" fillId="5" borderId="4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6" borderId="9" xfId="0" applyFill="1" applyBorder="1" applyAlignment="1" applyProtection="1">
      <alignment horizontal="center" vertical="center" wrapText="1"/>
      <protection locked="0" hidden="1"/>
    </xf>
    <xf numFmtId="0" fontId="0" fillId="6" borderId="13" xfId="0" applyFill="1" applyBorder="1" applyAlignment="1" applyProtection="1">
      <alignment horizontal="center" vertical="center" wrapText="1"/>
      <protection locked="0" hidden="1"/>
    </xf>
    <xf numFmtId="0" fontId="49" fillId="0" borderId="0" xfId="0" applyFont="1" applyBorder="1" applyAlignment="1" applyProtection="1">
      <alignment horizontal="center" vertical="top" wrapText="1"/>
      <protection locked="0" hidden="1"/>
    </xf>
    <xf numFmtId="0" fontId="13" fillId="0" borderId="2" xfId="0" applyFont="1" applyFill="1" applyBorder="1" applyAlignment="1" applyProtection="1">
      <alignment horizontal="center" vertical="center"/>
      <protection locked="0" hidden="1"/>
    </xf>
    <xf numFmtId="0" fontId="18" fillId="8" borderId="10" xfId="0" applyFont="1" applyFill="1" applyBorder="1" applyAlignment="1" applyProtection="1">
      <alignment horizontal="center" vertical="center" textRotation="90"/>
      <protection hidden="1"/>
    </xf>
    <xf numFmtId="0" fontId="18" fillId="8" borderId="12" xfId="0" applyFont="1" applyFill="1" applyBorder="1" applyAlignment="1" applyProtection="1">
      <alignment horizontal="center" vertical="center" textRotation="90"/>
      <protection hidden="1"/>
    </xf>
    <xf numFmtId="0" fontId="18" fillId="8" borderId="15" xfId="0" applyFont="1" applyFill="1" applyBorder="1" applyAlignment="1" applyProtection="1">
      <alignment horizontal="center" vertical="center" textRotation="90"/>
      <protection hidden="1"/>
    </xf>
    <xf numFmtId="0" fontId="17" fillId="5" borderId="5" xfId="0" applyFont="1" applyFill="1" applyBorder="1" applyAlignment="1" applyProtection="1">
      <alignment horizontal="center" vertical="center"/>
      <protection hidden="1"/>
    </xf>
    <xf numFmtId="0" fontId="17" fillId="5" borderId="8" xfId="0" applyFont="1" applyFill="1" applyBorder="1" applyAlignment="1" applyProtection="1">
      <alignment horizontal="center" vertical="center"/>
      <protection hidden="1"/>
    </xf>
    <xf numFmtId="0" fontId="17" fillId="4" borderId="0" xfId="0" applyFont="1" applyFill="1" applyBorder="1" applyAlignment="1" applyProtection="1">
      <alignment horizontal="center" vertical="center"/>
      <protection hidden="1"/>
    </xf>
    <xf numFmtId="0" fontId="17" fillId="4" borderId="11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21" fillId="0" borderId="11" xfId="0" applyFont="1" applyBorder="1" applyAlignment="1" applyProtection="1">
      <alignment vertical="center"/>
      <protection hidden="1"/>
    </xf>
    <xf numFmtId="0" fontId="18" fillId="13" borderId="10" xfId="0" applyFont="1" applyFill="1" applyBorder="1" applyAlignment="1" applyProtection="1">
      <alignment horizontal="center" vertical="center" textRotation="90"/>
      <protection hidden="1"/>
    </xf>
    <xf numFmtId="0" fontId="18" fillId="13" borderId="12" xfId="0" applyFont="1" applyFill="1" applyBorder="1" applyAlignment="1" applyProtection="1">
      <alignment horizontal="center" vertical="center" textRotation="90"/>
      <protection hidden="1"/>
    </xf>
    <xf numFmtId="0" fontId="18" fillId="13" borderId="15" xfId="0" applyFont="1" applyFill="1" applyBorder="1" applyAlignment="1" applyProtection="1">
      <alignment horizontal="center" vertical="center" textRotation="90"/>
      <protection hidden="1"/>
    </xf>
    <xf numFmtId="0" fontId="18" fillId="11" borderId="10" xfId="0" applyFont="1" applyFill="1" applyBorder="1" applyAlignment="1" applyProtection="1">
      <alignment horizontal="center" vertical="center" textRotation="90"/>
      <protection hidden="1"/>
    </xf>
    <xf numFmtId="0" fontId="18" fillId="11" borderId="12" xfId="0" applyFont="1" applyFill="1" applyBorder="1" applyAlignment="1" applyProtection="1">
      <alignment horizontal="center" vertical="center" textRotation="90"/>
      <protection hidden="1"/>
    </xf>
    <xf numFmtId="0" fontId="18" fillId="11" borderId="15" xfId="0" applyFont="1" applyFill="1" applyBorder="1" applyAlignment="1" applyProtection="1">
      <alignment horizontal="center" vertical="center" textRotation="90"/>
      <protection hidden="1"/>
    </xf>
    <xf numFmtId="0" fontId="17" fillId="4" borderId="0" xfId="0" applyFont="1" applyFill="1" applyBorder="1" applyAlignment="1" applyProtection="1">
      <alignment horizontal="center" vertical="center" wrapText="1"/>
      <protection hidden="1"/>
    </xf>
    <xf numFmtId="0" fontId="17" fillId="4" borderId="11" xfId="0" applyFont="1" applyFill="1" applyBorder="1" applyAlignment="1" applyProtection="1">
      <alignment horizontal="center" vertical="center" wrapText="1"/>
      <protection hidden="1"/>
    </xf>
    <xf numFmtId="0" fontId="13" fillId="0" borderId="0" xfId="0" quotePrefix="1" applyFont="1" applyBorder="1" applyAlignment="1" applyProtection="1">
      <alignment horizontal="left" vertical="top" wrapText="1"/>
      <protection hidden="1"/>
    </xf>
    <xf numFmtId="0" fontId="13" fillId="0" borderId="11" xfId="0" quotePrefix="1" applyFont="1" applyBorder="1" applyAlignment="1" applyProtection="1">
      <alignment horizontal="left" vertical="top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0" fontId="0" fillId="0" borderId="11" xfId="0" applyBorder="1" applyAlignment="1" applyProtection="1">
      <alignment vertical="top" wrapText="1"/>
      <protection hidden="1"/>
    </xf>
    <xf numFmtId="0" fontId="18" fillId="14" borderId="10" xfId="0" applyFont="1" applyFill="1" applyBorder="1" applyAlignment="1" applyProtection="1">
      <alignment horizontal="center" vertical="center" textRotation="90"/>
      <protection hidden="1"/>
    </xf>
    <xf numFmtId="0" fontId="18" fillId="14" borderId="12" xfId="0" applyFont="1" applyFill="1" applyBorder="1" applyAlignment="1" applyProtection="1">
      <alignment horizontal="center" vertical="center" textRotation="90"/>
      <protection hidden="1"/>
    </xf>
    <xf numFmtId="0" fontId="18" fillId="14" borderId="15" xfId="0" applyFont="1" applyFill="1" applyBorder="1" applyAlignment="1" applyProtection="1">
      <alignment horizontal="center" vertical="center" textRotation="90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3" fillId="0" borderId="14" xfId="0" applyFont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vertical="top" wrapText="1"/>
      <protection hidden="1"/>
    </xf>
    <xf numFmtId="0" fontId="13" fillId="0" borderId="11" xfId="0" applyFont="1" applyBorder="1" applyAlignment="1" applyProtection="1">
      <alignment vertical="top" wrapText="1"/>
      <protection hidden="1"/>
    </xf>
    <xf numFmtId="0" fontId="18" fillId="10" borderId="10" xfId="0" applyFont="1" applyFill="1" applyBorder="1" applyAlignment="1" applyProtection="1">
      <alignment horizontal="center" vertical="center" textRotation="90"/>
      <protection hidden="1"/>
    </xf>
    <xf numFmtId="0" fontId="18" fillId="10" borderId="12" xfId="0" applyFont="1" applyFill="1" applyBorder="1" applyAlignment="1" applyProtection="1">
      <alignment horizontal="center" vertical="center" textRotation="90"/>
      <protection hidden="1"/>
    </xf>
    <xf numFmtId="0" fontId="18" fillId="10" borderId="15" xfId="0" applyFont="1" applyFill="1" applyBorder="1" applyAlignment="1" applyProtection="1">
      <alignment horizontal="center" vertical="center" textRotation="90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18" fillId="12" borderId="10" xfId="0" applyFont="1" applyFill="1" applyBorder="1" applyAlignment="1" applyProtection="1">
      <alignment horizontal="center" vertical="center" textRotation="90"/>
      <protection hidden="1"/>
    </xf>
    <xf numFmtId="0" fontId="18" fillId="12" borderId="12" xfId="0" applyFont="1" applyFill="1" applyBorder="1" applyAlignment="1" applyProtection="1">
      <alignment horizontal="center" vertical="center" textRotation="90"/>
      <protection hidden="1"/>
    </xf>
    <xf numFmtId="0" fontId="18" fillId="12" borderId="15" xfId="0" applyFont="1" applyFill="1" applyBorder="1" applyAlignment="1" applyProtection="1">
      <alignment horizontal="center" vertical="center" textRotation="90"/>
      <protection hidden="1"/>
    </xf>
    <xf numFmtId="0" fontId="0" fillId="0" borderId="1" xfId="0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1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8" fillId="0" borderId="0" xfId="0" quotePrefix="1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hidden="1"/>
    </xf>
    <xf numFmtId="0" fontId="17" fillId="4" borderId="5" xfId="0" applyFont="1" applyFill="1" applyBorder="1" applyAlignment="1" applyProtection="1">
      <alignment horizontal="center" vertical="center" wrapText="1"/>
      <protection hidden="1"/>
    </xf>
    <xf numFmtId="0" fontId="17" fillId="4" borderId="8" xfId="0" applyFont="1" applyFill="1" applyBorder="1" applyAlignment="1" applyProtection="1">
      <alignment horizontal="center" vertical="center" wrapText="1"/>
      <protection hidden="1"/>
    </xf>
    <xf numFmtId="0" fontId="18" fillId="6" borderId="10" xfId="0" applyFont="1" applyFill="1" applyBorder="1" applyAlignment="1" applyProtection="1">
      <alignment horizontal="center" vertical="center" textRotation="90"/>
      <protection hidden="1"/>
    </xf>
    <xf numFmtId="0" fontId="18" fillId="6" borderId="12" xfId="0" applyFont="1" applyFill="1" applyBorder="1" applyAlignment="1" applyProtection="1">
      <alignment horizontal="center" vertical="center" textRotation="90"/>
      <protection hidden="1"/>
    </xf>
    <xf numFmtId="0" fontId="18" fillId="6" borderId="15" xfId="0" applyFont="1" applyFill="1" applyBorder="1" applyAlignment="1" applyProtection="1">
      <alignment horizontal="center" vertical="center" textRotation="90"/>
      <protection hidden="1"/>
    </xf>
  </cellXfs>
  <cellStyles count="13">
    <cellStyle name="Lien hypertexte" xfId="2" builtinId="8"/>
    <cellStyle name="Lien hypertexte 2" xfId="12"/>
    <cellStyle name="Milliers" xfId="6" builtinId="3"/>
    <cellStyle name="Milliers 2" xfId="11"/>
    <cellStyle name="Monétaire 2" xfId="10"/>
    <cellStyle name="Normal" xfId="0" builtinId="0"/>
    <cellStyle name="Normal 2" xfId="3"/>
    <cellStyle name="Normal 2 2" xfId="4"/>
    <cellStyle name="Normal 2 3" xfId="5"/>
    <cellStyle name="Normal 2 4" xfId="1"/>
    <cellStyle name="Normal 3" xfId="8"/>
    <cellStyle name="Normal 4" xfId="9"/>
    <cellStyle name="Pourcentage" xfId="7" builtinId="5"/>
  </cellStyles>
  <dxfs count="0"/>
  <tableStyles count="0" defaultTableStyle="TableStyleMedium9" defaultPivotStyle="PivotStyleLight16"/>
  <colors>
    <mruColors>
      <color rgb="FF7DA2AB"/>
      <color rgb="FF0000FF"/>
      <color rgb="FFFFCCFF"/>
      <color rgb="FF33CC33"/>
      <color rgb="FF1FDB3E"/>
      <color rgb="FF4CFE90"/>
      <color rgb="FFFFFFCC"/>
      <color rgb="FF99FFCC"/>
      <color rgb="FFEAEAEA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59532</xdr:colOff>
      <xdr:row>0</xdr:row>
      <xdr:rowOff>69452</xdr:rowOff>
    </xdr:from>
    <xdr:to>
      <xdr:col>20</xdr:col>
      <xdr:colOff>19845</xdr:colOff>
      <xdr:row>2</xdr:row>
      <xdr:rowOff>128983</xdr:rowOff>
    </xdr:to>
    <xdr:sp macro="[0]!Initialise" textlink="">
      <xdr:nvSpPr>
        <xdr:cNvPr id="3" name="Rectangle 2"/>
        <xdr:cNvSpPr/>
      </xdr:nvSpPr>
      <xdr:spPr>
        <a:xfrm>
          <a:off x="11618516" y="69452"/>
          <a:ext cx="724298" cy="535781"/>
        </a:xfrm>
        <a:prstGeom prst="rect">
          <a:avLst/>
        </a:prstGeom>
        <a:solidFill>
          <a:srgbClr val="4CFE90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7030A0"/>
              </a:solidFill>
              <a:latin typeface="Arial Narrow" panose="020B0606020202030204" pitchFamily="34" charset="0"/>
            </a:rPr>
            <a:t>Clean</a:t>
          </a:r>
          <a:r>
            <a:rPr lang="fr-FR" sz="1400" b="1" baseline="0">
              <a:solidFill>
                <a:srgbClr val="7030A0"/>
              </a:solidFill>
              <a:latin typeface="Arial Narrow" panose="020B0606020202030204" pitchFamily="34" charset="0"/>
            </a:rPr>
            <a:t> All</a:t>
          </a:r>
          <a:endParaRPr lang="fr-FR" sz="1400" b="1">
            <a:solidFill>
              <a:srgbClr val="7030A0"/>
            </a:solidFill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4</xdr:col>
      <xdr:colOff>69453</xdr:colOff>
      <xdr:row>77</xdr:row>
      <xdr:rowOff>39687</xdr:rowOff>
    </xdr:from>
    <xdr:to>
      <xdr:col>4</xdr:col>
      <xdr:colOff>1756172</xdr:colOff>
      <xdr:row>81</xdr:row>
      <xdr:rowOff>138907</xdr:rowOff>
    </xdr:to>
    <xdr:sp macro="" textlink="">
      <xdr:nvSpPr>
        <xdr:cNvPr id="2" name="ZoneTexte 1"/>
        <xdr:cNvSpPr txBox="1"/>
      </xdr:nvSpPr>
      <xdr:spPr>
        <a:xfrm>
          <a:off x="525859" y="16242109"/>
          <a:ext cx="1686719" cy="1012032"/>
        </a:xfrm>
        <a:prstGeom prst="rect">
          <a:avLst/>
        </a:prstGeom>
        <a:solidFill>
          <a:srgbClr val="7DA2A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FF00"/>
              </a:solidFill>
            </a:rPr>
            <a:t>NB:</a:t>
          </a:r>
          <a:r>
            <a:rPr lang="fr-FR" sz="1100" b="1" baseline="0">
              <a:solidFill>
                <a:srgbClr val="FFFF00"/>
              </a:solidFill>
            </a:rPr>
            <a:t> Ne pas manquer d'inserer la longueur total et largeur total de l'Etage dans la ligne pigon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485307</xdr:colOff>
      <xdr:row>57</xdr:row>
      <xdr:rowOff>4164</xdr:rowOff>
    </xdr:from>
    <xdr:to>
      <xdr:col>25</xdr:col>
      <xdr:colOff>1126787</xdr:colOff>
      <xdr:row>58</xdr:row>
      <xdr:rowOff>58211</xdr:rowOff>
    </xdr:to>
    <xdr:sp macro="" textlink="">
      <xdr:nvSpPr>
        <xdr:cNvPr id="73" name="ZoneTexte 72"/>
        <xdr:cNvSpPr txBox="1"/>
      </xdr:nvSpPr>
      <xdr:spPr>
        <a:xfrm rot="1085003">
          <a:off x="13134507" y="6652614"/>
          <a:ext cx="641480" cy="273122"/>
        </a:xfrm>
        <a:prstGeom prst="rect">
          <a:avLst/>
        </a:prstGeom>
        <a:solidFill>
          <a:schemeClr val="tx1"/>
        </a:solidFill>
        <a:ln w="9525" cmpd="sng">
          <a:noFill/>
        </a:ln>
        <a:effectLst>
          <a:softEdge rad="3175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FF00"/>
              </a:solidFill>
            </a:rPr>
            <a:t>Types</a:t>
          </a:r>
          <a:r>
            <a:rPr lang="fr-FR" sz="1400" b="1" baseline="0">
              <a:solidFill>
                <a:srgbClr val="FFFF00"/>
              </a:solidFill>
            </a:rPr>
            <a:t> 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3</xdr:col>
      <xdr:colOff>47624</xdr:colOff>
      <xdr:row>20</xdr:row>
      <xdr:rowOff>9524</xdr:rowOff>
    </xdr:from>
    <xdr:to>
      <xdr:col>8</xdr:col>
      <xdr:colOff>11075</xdr:colOff>
      <xdr:row>35</xdr:row>
      <xdr:rowOff>38099</xdr:rowOff>
    </xdr:to>
    <xdr:grpSp>
      <xdr:nvGrpSpPr>
        <xdr:cNvPr id="216" name="Zone de dessin 4"/>
        <xdr:cNvGrpSpPr/>
      </xdr:nvGrpSpPr>
      <xdr:grpSpPr>
        <a:xfrm>
          <a:off x="3305174" y="4524374"/>
          <a:ext cx="4745001" cy="3286125"/>
          <a:chOff x="0" y="0"/>
          <a:chExt cx="5486400" cy="3200400"/>
        </a:xfrm>
      </xdr:grpSpPr>
      <xdr:sp macro="" textlink="">
        <xdr:nvSpPr>
          <xdr:cNvPr id="217" name="Rectangle 216"/>
          <xdr:cNvSpPr/>
        </xdr:nvSpPr>
        <xdr:spPr>
          <a:xfrm>
            <a:off x="0" y="0"/>
            <a:ext cx="5486400" cy="3200400"/>
          </a:xfrm>
          <a:prstGeom prst="rect">
            <a:avLst/>
          </a:prstGeom>
        </xdr:spPr>
      </xdr:sp>
      <xdr:pic>
        <xdr:nvPicPr>
          <xdr:cNvPr id="218" name="Image 217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r="5064" b="4762"/>
          <a:stretch/>
        </xdr:blipFill>
        <xdr:spPr>
          <a:xfrm>
            <a:off x="0" y="0"/>
            <a:ext cx="5379308" cy="3172243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830669</xdr:colOff>
      <xdr:row>1</xdr:row>
      <xdr:rowOff>1</xdr:rowOff>
    </xdr:from>
    <xdr:to>
      <xdr:col>10</xdr:col>
      <xdr:colOff>420871</xdr:colOff>
      <xdr:row>17</xdr:row>
      <xdr:rowOff>66453</xdr:rowOff>
    </xdr:to>
    <xdr:grpSp>
      <xdr:nvGrpSpPr>
        <xdr:cNvPr id="9" name="Zone de dessin 1"/>
        <xdr:cNvGrpSpPr/>
      </xdr:nvGrpSpPr>
      <xdr:grpSpPr>
        <a:xfrm>
          <a:off x="5174069" y="200026"/>
          <a:ext cx="5076602" cy="3743102"/>
          <a:chOff x="0" y="0"/>
          <a:chExt cx="4276724" cy="4133850"/>
        </a:xfrm>
      </xdr:grpSpPr>
      <xdr:sp macro="" textlink="">
        <xdr:nvSpPr>
          <xdr:cNvPr id="10" name="Rectangle 9"/>
          <xdr:cNvSpPr/>
        </xdr:nvSpPr>
        <xdr:spPr>
          <a:xfrm>
            <a:off x="0" y="0"/>
            <a:ext cx="4276090" cy="4133850"/>
          </a:xfrm>
          <a:prstGeom prst="rect">
            <a:avLst/>
          </a:prstGeom>
          <a:ln>
            <a:noFill/>
          </a:ln>
        </xdr:spPr>
      </xdr:sp>
      <xdr:pic>
        <xdr:nvPicPr>
          <xdr:cNvPr id="11" name="Image 10"/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r="2402" b="4963"/>
          <a:stretch/>
        </xdr:blipFill>
        <xdr:spPr>
          <a:xfrm>
            <a:off x="179951" y="179958"/>
            <a:ext cx="4096773" cy="390394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</xdr:rowOff>
    </xdr:from>
    <xdr:to>
      <xdr:col>4</xdr:col>
      <xdr:colOff>133350</xdr:colOff>
      <xdr:row>4</xdr:row>
      <xdr:rowOff>95250</xdr:rowOff>
    </xdr:to>
    <xdr:pic>
      <xdr:nvPicPr>
        <xdr:cNvPr id="2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542925"/>
          <a:ext cx="29908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371475</xdr:colOff>
      <xdr:row>8</xdr:row>
      <xdr:rowOff>161925</xdr:rowOff>
    </xdr:from>
    <xdr:to>
      <xdr:col>5</xdr:col>
      <xdr:colOff>409575</xdr:colOff>
      <xdr:row>11</xdr:row>
      <xdr:rowOff>38100</xdr:rowOff>
    </xdr:to>
    <xdr:sp macro="" textlink="">
      <xdr:nvSpPr>
        <xdr:cNvPr id="3" name="Ellipse 1031"/>
        <xdr:cNvSpPr>
          <a:spLocks noChangeArrowheads="1"/>
        </xdr:cNvSpPr>
      </xdr:nvSpPr>
      <xdr:spPr bwMode="auto">
        <a:xfrm>
          <a:off x="371475" y="1666875"/>
          <a:ext cx="5267325" cy="476250"/>
        </a:xfrm>
        <a:prstGeom prst="ellipse">
          <a:avLst/>
        </a:prstGeom>
        <a:gradFill rotWithShape="1">
          <a:gsLst>
            <a:gs pos="0">
              <a:srgbClr val="767676"/>
            </a:gs>
            <a:gs pos="50000">
              <a:srgbClr val="FFFFFF"/>
            </a:gs>
            <a:gs pos="100000">
              <a:srgbClr val="767676"/>
            </a:gs>
          </a:gsLst>
          <a:lin ang="5400000" scaled="1"/>
        </a:gradFill>
        <a:ln w="9525">
          <a:solidFill>
            <a:srgbClr val="FF99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400" b="1" i="0" u="sng" strike="noStrike" baseline="0">
              <a:solidFill>
                <a:srgbClr val="FF0000"/>
              </a:solidFill>
              <a:latin typeface="Garamond"/>
            </a:rPr>
            <a:t>BORDEREAU DES PRIX UNITAIRES 2007</a:t>
          </a: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4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5" name="Image 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6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7" name="Image 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8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9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0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1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2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3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4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5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6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7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8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9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0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1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2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3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4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7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9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0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1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2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3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5</xdr:row>
          <xdr:rowOff>19050</xdr:rowOff>
        </xdr:from>
        <xdr:to>
          <xdr:col>9</xdr:col>
          <xdr:colOff>0</xdr:colOff>
          <xdr:row>6</xdr:row>
          <xdr:rowOff>190500</xdr:rowOff>
        </xdr:to>
        <xdr:sp macro="" textlink="">
          <xdr:nvSpPr>
            <xdr:cNvPr id="62465" name="Button 1" hidden="1">
              <a:extLst>
                <a:ext uri="{63B3BB69-23CF-44E3-9099-C40C66FF867C}">
                  <a14:compatExt spid="_x0000_s6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D-TRAVAUX/Desktop/ETIEN/DEVIS-BATIS.V1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DQE"/>
      <sheetName val="APPROVISIONNEMENT"/>
      <sheetName val="DEVIS GROS OEUVRES"/>
      <sheetName val="DEVIS 2nde OEUVRES"/>
      <sheetName val="BD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1"/>
    <pageSetUpPr fitToPage="1"/>
  </sheetPr>
  <dimension ref="A1:DE634"/>
  <sheetViews>
    <sheetView showGridLines="0" topLeftCell="D1" zoomScale="96" zoomScaleNormal="96" zoomScaleSheetLayoutView="100" workbookViewId="0">
      <pane xSplit="2" ySplit="3" topLeftCell="F16" activePane="bottomRight" state="frozen"/>
      <selection activeCell="E1" sqref="E1"/>
      <selection pane="topRight" activeCell="F1" sqref="F1"/>
      <selection pane="bottomLeft" activeCell="E4" sqref="E4"/>
      <selection pane="bottomRight" activeCell="H21" sqref="H21"/>
    </sheetView>
  </sheetViews>
  <sheetFormatPr baseColWidth="10" defaultColWidth="11.42578125" defaultRowHeight="18" x14ac:dyDescent="0.25"/>
  <cols>
    <col min="1" max="1" width="21.5703125" style="324" hidden="1" customWidth="1"/>
    <col min="2" max="2" width="7.5703125" style="324" hidden="1" customWidth="1"/>
    <col min="3" max="3" width="10.42578125" style="325" hidden="1" customWidth="1"/>
    <col min="4" max="4" width="6.85546875" style="842" customWidth="1"/>
    <col min="5" max="5" width="37.42578125" style="320" customWidth="1"/>
    <col min="6" max="6" width="11.5703125" style="321" bestFit="1" customWidth="1"/>
    <col min="7" max="7" width="8.7109375" style="321" customWidth="1"/>
    <col min="8" max="8" width="9.28515625" style="321" customWidth="1"/>
    <col min="9" max="9" width="8.85546875" style="321" customWidth="1"/>
    <col min="10" max="10" width="5.140625" style="321" customWidth="1"/>
    <col min="11" max="11" width="10" style="327" customWidth="1"/>
    <col min="12" max="12" width="7.28515625" style="320" customWidth="1"/>
    <col min="13" max="13" width="8.85546875" style="328" customWidth="1"/>
    <col min="14" max="14" width="7.5703125" style="320" customWidth="1"/>
    <col min="15" max="15" width="9.140625" style="320" customWidth="1"/>
    <col min="16" max="17" width="8" style="320" customWidth="1"/>
    <col min="18" max="18" width="8.140625" style="329" customWidth="1"/>
    <col min="19" max="19" width="8.42578125" style="320" customWidth="1"/>
    <col min="20" max="21" width="11.42578125" style="320"/>
    <col min="22" max="22" width="9.28515625" style="398" customWidth="1"/>
    <col min="23" max="23" width="5.85546875" style="398" customWidth="1"/>
    <col min="24" max="24" width="5.42578125" style="398" customWidth="1"/>
    <col min="25" max="109" width="11.42578125" style="398"/>
    <col min="110" max="16384" width="11.42578125" style="320"/>
  </cols>
  <sheetData>
    <row r="1" spans="4:109" ht="18.75" thickBot="1" x14ac:dyDescent="0.3">
      <c r="D1" s="837"/>
      <c r="E1" s="608" t="s">
        <v>706</v>
      </c>
      <c r="F1" s="607"/>
      <c r="G1" s="607"/>
      <c r="H1" s="607"/>
      <c r="I1" s="604"/>
      <c r="J1" s="652"/>
      <c r="K1" s="652"/>
      <c r="L1" s="603"/>
      <c r="M1" s="605"/>
      <c r="N1" s="1066"/>
      <c r="O1" s="1066"/>
      <c r="P1" s="1066"/>
      <c r="Q1" s="1066"/>
      <c r="R1" s="1066"/>
      <c r="S1" s="1066"/>
      <c r="T1" s="603"/>
      <c r="U1" s="603"/>
      <c r="V1" s="603"/>
      <c r="W1" s="603"/>
      <c r="X1" s="603"/>
      <c r="Y1" s="603"/>
      <c r="Z1" s="603"/>
      <c r="AA1" s="603"/>
      <c r="AB1" s="603"/>
      <c r="AC1" s="603"/>
      <c r="AD1" s="603"/>
      <c r="AE1" s="603"/>
      <c r="AF1" s="603"/>
      <c r="AG1" s="603"/>
      <c r="AH1" s="603"/>
      <c r="AI1" s="603"/>
      <c r="AJ1" s="603"/>
      <c r="AK1" s="603"/>
      <c r="AL1" s="603"/>
      <c r="AM1" s="603"/>
      <c r="AN1" s="603"/>
      <c r="AO1" s="603"/>
      <c r="AP1" s="603"/>
      <c r="AQ1" s="603"/>
      <c r="AR1" s="603"/>
      <c r="AS1" s="603"/>
      <c r="AT1" s="603"/>
      <c r="AU1" s="603"/>
      <c r="AV1" s="603"/>
      <c r="AW1" s="603"/>
      <c r="AX1" s="603"/>
      <c r="AY1" s="603"/>
      <c r="AZ1" s="603"/>
      <c r="BA1" s="603"/>
      <c r="BB1" s="603"/>
      <c r="BC1" s="603"/>
      <c r="BD1" s="603"/>
      <c r="BE1" s="603"/>
      <c r="BF1" s="603"/>
      <c r="BG1" s="603"/>
      <c r="BH1" s="603"/>
      <c r="BI1" s="603"/>
      <c r="BJ1" s="603"/>
      <c r="BK1" s="603"/>
      <c r="BL1" s="603"/>
      <c r="BM1" s="603"/>
      <c r="BN1" s="603"/>
      <c r="BO1" s="603"/>
      <c r="BP1" s="603"/>
      <c r="BQ1" s="603"/>
      <c r="BR1" s="603"/>
      <c r="BS1" s="603"/>
      <c r="BT1" s="603"/>
      <c r="BU1" s="603"/>
      <c r="BV1" s="603"/>
      <c r="BW1" s="603"/>
      <c r="BX1" s="603"/>
      <c r="BY1" s="603"/>
      <c r="BZ1" s="603"/>
      <c r="CA1" s="603"/>
      <c r="CB1" s="603"/>
      <c r="CC1" s="603"/>
      <c r="CD1" s="603"/>
      <c r="CE1" s="603"/>
      <c r="CF1" s="603"/>
      <c r="CG1" s="603"/>
      <c r="CH1" s="603"/>
      <c r="CI1" s="603"/>
      <c r="CJ1" s="603"/>
      <c r="CK1" s="603"/>
      <c r="CL1" s="603"/>
      <c r="CM1" s="603"/>
      <c r="CN1" s="603"/>
      <c r="CO1" s="603"/>
      <c r="CP1" s="603"/>
      <c r="CQ1" s="603"/>
      <c r="CR1" s="603"/>
      <c r="CS1" s="603"/>
      <c r="CT1" s="603"/>
      <c r="CU1" s="603"/>
      <c r="CV1" s="603"/>
      <c r="CW1" s="603"/>
      <c r="CX1" s="603"/>
      <c r="CY1" s="603"/>
      <c r="CZ1" s="603"/>
      <c r="DA1" s="603"/>
      <c r="DB1" s="603"/>
      <c r="DC1" s="603"/>
      <c r="DD1" s="603"/>
      <c r="DE1" s="603"/>
    </row>
    <row r="2" spans="4:109" ht="18.75" x14ac:dyDescent="0.25">
      <c r="D2" s="837"/>
      <c r="E2" s="1049" t="s">
        <v>24</v>
      </c>
      <c r="F2" s="844" t="s">
        <v>524</v>
      </c>
      <c r="G2" s="649" t="s">
        <v>525</v>
      </c>
      <c r="H2" s="845" t="s">
        <v>526</v>
      </c>
      <c r="I2" s="1072" t="s">
        <v>528</v>
      </c>
      <c r="J2" s="1072" t="s">
        <v>543</v>
      </c>
      <c r="K2" s="1068" t="s">
        <v>534</v>
      </c>
      <c r="L2" s="1051" t="s">
        <v>556</v>
      </c>
      <c r="M2" s="1051"/>
      <c r="N2" s="1052" t="s">
        <v>561</v>
      </c>
      <c r="O2" s="1052"/>
      <c r="P2" s="1051" t="s">
        <v>559</v>
      </c>
      <c r="Q2" s="1051"/>
      <c r="R2" s="1051" t="s">
        <v>558</v>
      </c>
      <c r="S2" s="1067"/>
      <c r="T2" s="603"/>
      <c r="U2" s="603"/>
      <c r="V2" s="603"/>
      <c r="W2" s="603"/>
      <c r="X2" s="603"/>
      <c r="Y2" s="603"/>
      <c r="Z2" s="603"/>
      <c r="AA2" s="603"/>
      <c r="AB2" s="603"/>
      <c r="AC2" s="603"/>
      <c r="AD2" s="603"/>
      <c r="AE2" s="603"/>
      <c r="AF2" s="603"/>
      <c r="AG2" s="603"/>
      <c r="AH2" s="603"/>
      <c r="AI2" s="603"/>
      <c r="AJ2" s="603"/>
      <c r="AK2" s="603"/>
      <c r="AL2" s="603"/>
      <c r="AM2" s="603"/>
      <c r="AN2" s="603"/>
      <c r="AO2" s="603"/>
      <c r="AP2" s="603"/>
      <c r="AQ2" s="603"/>
      <c r="AR2" s="603"/>
      <c r="AS2" s="603"/>
      <c r="AT2" s="603"/>
      <c r="AU2" s="603"/>
      <c r="AV2" s="603"/>
      <c r="AW2" s="603"/>
      <c r="AX2" s="603"/>
      <c r="AY2" s="603"/>
      <c r="AZ2" s="603"/>
      <c r="BA2" s="603"/>
      <c r="BB2" s="603"/>
      <c r="BC2" s="603"/>
      <c r="BD2" s="603"/>
      <c r="BE2" s="603"/>
      <c r="BF2" s="603"/>
      <c r="BG2" s="603"/>
      <c r="BH2" s="603"/>
      <c r="BI2" s="603"/>
      <c r="BJ2" s="603"/>
      <c r="BK2" s="603"/>
      <c r="BL2" s="603"/>
      <c r="BM2" s="603"/>
      <c r="BN2" s="603"/>
      <c r="BO2" s="603"/>
      <c r="BP2" s="603"/>
      <c r="BQ2" s="603"/>
      <c r="BR2" s="603"/>
      <c r="BS2" s="603"/>
      <c r="BT2" s="603"/>
      <c r="BU2" s="603"/>
      <c r="BV2" s="603"/>
      <c r="BW2" s="603"/>
      <c r="BX2" s="603"/>
      <c r="BY2" s="603"/>
      <c r="BZ2" s="603"/>
      <c r="CA2" s="603"/>
      <c r="CB2" s="603"/>
      <c r="CC2" s="603"/>
      <c r="CD2" s="603"/>
      <c r="CE2" s="603"/>
      <c r="CF2" s="603"/>
      <c r="CG2" s="603"/>
      <c r="CH2" s="603"/>
      <c r="CI2" s="603"/>
      <c r="CJ2" s="603"/>
      <c r="CK2" s="603"/>
      <c r="CL2" s="603"/>
      <c r="CM2" s="603"/>
      <c r="CN2" s="603"/>
      <c r="CO2" s="603"/>
      <c r="CP2" s="603"/>
      <c r="CQ2" s="603"/>
      <c r="CR2" s="603"/>
      <c r="CS2" s="603"/>
      <c r="CT2" s="603"/>
      <c r="CU2" s="603"/>
      <c r="CV2" s="603"/>
      <c r="CW2" s="603"/>
      <c r="CX2" s="603"/>
      <c r="CY2" s="603"/>
      <c r="CZ2" s="603"/>
      <c r="DA2" s="603"/>
      <c r="DB2" s="603"/>
      <c r="DC2" s="603"/>
      <c r="DD2" s="603"/>
      <c r="DE2" s="603"/>
    </row>
    <row r="3" spans="4:109" ht="16.5" customHeight="1" thickBot="1" x14ac:dyDescent="0.3">
      <c r="D3" s="837"/>
      <c r="E3" s="1050"/>
      <c r="F3" s="393" t="s">
        <v>562</v>
      </c>
      <c r="G3" s="394" t="s">
        <v>562</v>
      </c>
      <c r="H3" s="394" t="s">
        <v>562</v>
      </c>
      <c r="I3" s="1073"/>
      <c r="J3" s="1073"/>
      <c r="K3" s="1069"/>
      <c r="L3" s="846" t="s">
        <v>555</v>
      </c>
      <c r="M3" s="564" t="s">
        <v>557</v>
      </c>
      <c r="N3" s="846" t="s">
        <v>555</v>
      </c>
      <c r="O3" s="564" t="s">
        <v>557</v>
      </c>
      <c r="P3" s="846" t="s">
        <v>555</v>
      </c>
      <c r="Q3" s="564" t="s">
        <v>557</v>
      </c>
      <c r="R3" s="565" t="s">
        <v>560</v>
      </c>
      <c r="S3" s="566" t="s">
        <v>557</v>
      </c>
      <c r="T3" s="603"/>
      <c r="U3" s="603"/>
      <c r="V3" s="603"/>
      <c r="W3" s="603"/>
      <c r="X3" s="603"/>
      <c r="Y3" s="603"/>
      <c r="Z3" s="603"/>
      <c r="AA3" s="603"/>
      <c r="AB3" s="603"/>
      <c r="AC3" s="603"/>
      <c r="AD3" s="603"/>
      <c r="AE3" s="603"/>
      <c r="AF3" s="603"/>
      <c r="AG3" s="603"/>
      <c r="AH3" s="603"/>
      <c r="AI3" s="603"/>
      <c r="AJ3" s="603"/>
      <c r="AK3" s="603"/>
      <c r="AL3" s="603"/>
      <c r="AM3" s="603"/>
      <c r="AN3" s="603"/>
      <c r="AO3" s="603"/>
      <c r="AP3" s="603"/>
      <c r="AQ3" s="603"/>
      <c r="AR3" s="603"/>
      <c r="AS3" s="603"/>
      <c r="AT3" s="603"/>
      <c r="AU3" s="603"/>
      <c r="AV3" s="603"/>
      <c r="AW3" s="603"/>
      <c r="AX3" s="603"/>
      <c r="AY3" s="603"/>
      <c r="AZ3" s="603"/>
      <c r="BA3" s="603"/>
      <c r="BB3" s="603"/>
      <c r="BC3" s="603"/>
      <c r="BD3" s="603"/>
      <c r="BE3" s="603"/>
      <c r="BF3" s="603"/>
      <c r="BG3" s="603"/>
      <c r="BH3" s="603"/>
      <c r="BI3" s="603"/>
      <c r="BJ3" s="603"/>
      <c r="BK3" s="603"/>
      <c r="BL3" s="603"/>
      <c r="BM3" s="603"/>
      <c r="BN3" s="603"/>
      <c r="BO3" s="603"/>
      <c r="BP3" s="603"/>
      <c r="BQ3" s="603"/>
      <c r="BR3" s="603"/>
      <c r="BS3" s="603"/>
      <c r="BT3" s="603"/>
      <c r="BU3" s="603"/>
      <c r="BV3" s="603"/>
      <c r="BW3" s="603"/>
      <c r="BX3" s="603"/>
      <c r="BY3" s="603"/>
      <c r="BZ3" s="603"/>
      <c r="CA3" s="603"/>
      <c r="CB3" s="603"/>
      <c r="CC3" s="603"/>
      <c r="CD3" s="603"/>
      <c r="CE3" s="603"/>
      <c r="CF3" s="603"/>
      <c r="CG3" s="603"/>
      <c r="CH3" s="603"/>
      <c r="CI3" s="603"/>
      <c r="CJ3" s="603"/>
      <c r="CK3" s="603"/>
      <c r="CL3" s="603"/>
      <c r="CM3" s="603"/>
      <c r="CN3" s="603"/>
      <c r="CO3" s="603"/>
      <c r="CP3" s="603"/>
      <c r="CQ3" s="603"/>
      <c r="CR3" s="603"/>
      <c r="CS3" s="603"/>
      <c r="CT3" s="603"/>
      <c r="CU3" s="603"/>
      <c r="CV3" s="603"/>
      <c r="CW3" s="603"/>
      <c r="CX3" s="603"/>
      <c r="CY3" s="603"/>
      <c r="CZ3" s="603"/>
      <c r="DA3" s="603"/>
      <c r="DB3" s="603"/>
      <c r="DC3" s="603"/>
      <c r="DD3" s="603"/>
      <c r="DE3" s="603"/>
    </row>
    <row r="4" spans="4:109" ht="16.5" customHeight="1" x14ac:dyDescent="0.3">
      <c r="D4" s="838"/>
      <c r="E4" s="777" t="s">
        <v>692</v>
      </c>
      <c r="F4" s="834">
        <f>'P2'!C10</f>
        <v>18.649999999999999</v>
      </c>
      <c r="G4" s="833">
        <f>'P2'!D10*SQRT('P2'!E4^2+1)</f>
        <v>12.884705080055189</v>
      </c>
      <c r="H4" s="606">
        <v>0.25</v>
      </c>
      <c r="I4" s="644"/>
      <c r="J4" s="443" t="s">
        <v>650</v>
      </c>
      <c r="K4" s="827">
        <f>2*(F4+G4)*H4</f>
        <v>15.767352540027595</v>
      </c>
      <c r="L4" s="395"/>
      <c r="M4" s="396"/>
      <c r="N4" s="395"/>
      <c r="O4" s="385"/>
      <c r="P4" s="791"/>
      <c r="Q4" s="385"/>
      <c r="R4" s="386"/>
      <c r="S4" s="385"/>
      <c r="T4" s="398"/>
      <c r="U4" s="398"/>
    </row>
    <row r="5" spans="4:109" ht="16.5" customHeight="1" x14ac:dyDescent="0.25">
      <c r="D5" s="838"/>
      <c r="E5" s="778" t="s">
        <v>654</v>
      </c>
      <c r="F5" s="606">
        <f>2.45+2-0.7</f>
        <v>3.75</v>
      </c>
      <c r="G5" s="398"/>
      <c r="H5" s="606">
        <v>1.7</v>
      </c>
      <c r="I5" s="398"/>
      <c r="J5" s="443" t="s">
        <v>649</v>
      </c>
      <c r="K5" s="827">
        <f>IF(AND(F5&lt;&gt;"",H5&lt;&gt;""),F5*H5,"")</f>
        <v>6.375</v>
      </c>
      <c r="L5" s="395"/>
      <c r="M5" s="396"/>
      <c r="N5" s="395"/>
      <c r="O5" s="385"/>
      <c r="P5" s="791"/>
      <c r="Q5" s="385"/>
      <c r="R5" s="386"/>
      <c r="S5" s="385"/>
      <c r="T5" s="398"/>
      <c r="U5" s="398"/>
    </row>
    <row r="6" spans="4:109" ht="16.5" customHeight="1" x14ac:dyDescent="0.3">
      <c r="D6" s="838"/>
      <c r="E6" s="778" t="s">
        <v>655</v>
      </c>
      <c r="F6" s="834">
        <f>IF(F5&lt;&gt;"",F5,"")</f>
        <v>3.75</v>
      </c>
      <c r="G6" s="626"/>
      <c r="H6" s="834">
        <f>H35-H5</f>
        <v>1.3</v>
      </c>
      <c r="I6" s="563"/>
      <c r="J6" s="443" t="s">
        <v>649</v>
      </c>
      <c r="K6" s="827">
        <f>F6*H6+0.75*'P2'!V19*(H35-2.2)</f>
        <v>5.4749999999999996</v>
      </c>
      <c r="L6" s="395"/>
      <c r="M6" s="396"/>
      <c r="N6" s="395"/>
      <c r="O6" s="385"/>
      <c r="P6" s="791"/>
      <c r="Q6" s="385"/>
      <c r="R6" s="386"/>
      <c r="S6" s="385"/>
      <c r="T6" s="398"/>
      <c r="U6" s="398"/>
    </row>
    <row r="7" spans="4:109" ht="16.5" customHeight="1" thickBot="1" x14ac:dyDescent="0.35">
      <c r="D7" s="838"/>
      <c r="E7" s="779" t="s">
        <v>656</v>
      </c>
      <c r="F7" s="606">
        <f>2.2+2.4</f>
        <v>4.5999999999999996</v>
      </c>
      <c r="G7" s="645"/>
      <c r="H7" s="645"/>
      <c r="I7" s="390"/>
      <c r="J7" s="648" t="s">
        <v>225</v>
      </c>
      <c r="K7" s="827">
        <f>F7</f>
        <v>4.5999999999999996</v>
      </c>
      <c r="L7" s="792"/>
      <c r="M7" s="793"/>
      <c r="N7" s="395"/>
      <c r="O7" s="385"/>
      <c r="P7" s="791"/>
      <c r="Q7" s="385"/>
      <c r="R7" s="386"/>
      <c r="S7" s="385"/>
      <c r="T7" s="398"/>
      <c r="U7" s="398"/>
    </row>
    <row r="8" spans="4:109" ht="16.5" customHeight="1" x14ac:dyDescent="0.3">
      <c r="D8" s="838"/>
      <c r="E8" s="778" t="s">
        <v>657</v>
      </c>
      <c r="F8" s="627"/>
      <c r="G8" s="628"/>
      <c r="H8" s="628"/>
      <c r="I8" s="629"/>
      <c r="J8" s="443" t="s">
        <v>649</v>
      </c>
      <c r="K8" s="827">
        <f>'P2'!V20</f>
        <v>3.85</v>
      </c>
      <c r="L8" s="794"/>
      <c r="M8" s="793"/>
      <c r="N8" s="395"/>
      <c r="O8" s="385"/>
      <c r="P8" s="791"/>
      <c r="Q8" s="385"/>
      <c r="R8" s="386"/>
      <c r="S8" s="385"/>
      <c r="T8" s="398"/>
      <c r="U8" s="398"/>
    </row>
    <row r="9" spans="4:109" ht="16.5" customHeight="1" thickBot="1" x14ac:dyDescent="0.35">
      <c r="D9" s="838"/>
      <c r="E9" s="778" t="s">
        <v>658</v>
      </c>
      <c r="F9" s="630"/>
      <c r="G9" s="630"/>
      <c r="H9" s="630"/>
      <c r="I9" s="631"/>
      <c r="J9" s="443" t="s">
        <v>649</v>
      </c>
      <c r="K9" s="828">
        <f>'P2'!V25</f>
        <v>50.63</v>
      </c>
      <c r="L9" s="794"/>
      <c r="M9" s="793"/>
      <c r="N9" s="395"/>
      <c r="O9" s="385"/>
      <c r="P9" s="791"/>
      <c r="Q9" s="385"/>
      <c r="R9" s="386"/>
      <c r="S9" s="385"/>
      <c r="T9" s="398"/>
      <c r="U9" s="398"/>
    </row>
    <row r="10" spans="4:109" ht="16.5" customHeight="1" thickBot="1" x14ac:dyDescent="0.3">
      <c r="D10" s="838"/>
      <c r="E10" s="598"/>
      <c r="F10" s="517"/>
      <c r="G10" s="517"/>
      <c r="H10" s="517"/>
      <c r="I10" s="518"/>
      <c r="J10" s="518"/>
      <c r="K10" s="829"/>
      <c r="L10" s="795"/>
      <c r="M10" s="387"/>
      <c r="N10" s="795"/>
      <c r="O10" s="388"/>
      <c r="P10" s="795"/>
      <c r="Q10" s="388"/>
      <c r="R10" s="389"/>
      <c r="S10" s="567"/>
      <c r="T10" s="398"/>
      <c r="U10" s="398"/>
    </row>
    <row r="11" spans="4:109" ht="18.75" thickBot="1" x14ac:dyDescent="0.3">
      <c r="D11" s="839" t="s">
        <v>540</v>
      </c>
      <c r="E11" s="780" t="s">
        <v>553</v>
      </c>
      <c r="F11" s="419"/>
      <c r="G11" s="419"/>
      <c r="H11" s="419"/>
      <c r="I11" s="419"/>
      <c r="J11" s="419"/>
      <c r="K11" s="420"/>
      <c r="L11" s="420"/>
      <c r="M11" s="420"/>
      <c r="N11" s="420"/>
      <c r="O11" s="420"/>
      <c r="P11" s="420"/>
      <c r="Q11" s="420"/>
      <c r="R11" s="420"/>
      <c r="S11" s="425"/>
      <c r="T11" s="398"/>
      <c r="U11" s="398"/>
    </row>
    <row r="12" spans="4:109" ht="14.25" customHeight="1" x14ac:dyDescent="0.25">
      <c r="D12" s="406"/>
      <c r="E12" s="781" t="s">
        <v>579</v>
      </c>
      <c r="F12" s="654">
        <v>137.91</v>
      </c>
      <c r="G12" s="655">
        <v>0.5</v>
      </c>
      <c r="H12" s="602">
        <f>IF(H21+H20+H19&gt;0,H21+H20+H19,"")</f>
        <v>0.95</v>
      </c>
      <c r="I12" s="435"/>
      <c r="J12" s="443" t="s">
        <v>650</v>
      </c>
      <c r="K12" s="428">
        <f>IF(F12*G12*H12&gt;0,F12*G12*H12,"")</f>
        <v>65.507249999999999</v>
      </c>
      <c r="L12" s="426"/>
      <c r="M12" s="426"/>
      <c r="N12" s="426"/>
      <c r="O12" s="776">
        <f t="shared" ref="O12:O15" si="0">IF(K12="","",K12)</f>
        <v>65.507249999999999</v>
      </c>
      <c r="P12" s="426"/>
      <c r="Q12" s="426"/>
      <c r="R12" s="426"/>
      <c r="S12" s="519"/>
      <c r="T12" s="398"/>
      <c r="U12" s="398"/>
    </row>
    <row r="13" spans="4:109" x14ac:dyDescent="0.3">
      <c r="D13" s="840">
        <v>0.5</v>
      </c>
      <c r="E13" s="782" t="s">
        <v>552</v>
      </c>
      <c r="F13" s="593">
        <f>IF(G12&lt;&gt;"",G12,"")</f>
        <v>0.5</v>
      </c>
      <c r="G13" s="833">
        <f>IF(G12&lt;&gt;"",G12,"")</f>
        <v>0.5</v>
      </c>
      <c r="H13" s="602">
        <f>IF(H12&lt;&gt;"",H12,"")</f>
        <v>0.95</v>
      </c>
      <c r="I13" s="656">
        <v>2</v>
      </c>
      <c r="J13" s="446" t="s">
        <v>650</v>
      </c>
      <c r="K13" s="428">
        <f>IF(AND(F13&lt;&gt;"",G13&lt;&gt;"",H13&lt;&gt;"",I13&lt;&gt;""),F13*G13*H13*I13,"")</f>
        <v>0.47499999999999998</v>
      </c>
      <c r="L13" s="426"/>
      <c r="M13" s="426"/>
      <c r="N13" s="426"/>
      <c r="O13" s="776">
        <f t="shared" si="0"/>
        <v>0.47499999999999998</v>
      </c>
      <c r="P13" s="426"/>
      <c r="Q13" s="426"/>
      <c r="R13" s="426"/>
      <c r="S13" s="519"/>
      <c r="T13" s="398"/>
      <c r="U13" s="398"/>
    </row>
    <row r="14" spans="4:109" x14ac:dyDescent="0.25">
      <c r="D14" s="840">
        <v>0.6</v>
      </c>
      <c r="E14" s="783" t="s">
        <v>704</v>
      </c>
      <c r="F14" s="602">
        <f>IF(F12+F13*I13&gt;0,F12+F13*I13,"")</f>
        <v>138.91</v>
      </c>
      <c r="G14" s="602">
        <f>IF(AND(G12&lt;&gt;"",G21&lt;&gt;""),G12-G21,"")</f>
        <v>0.35</v>
      </c>
      <c r="H14" s="602">
        <f>IF(H21&lt;&gt;"",H21,"")</f>
        <v>0.7</v>
      </c>
      <c r="I14" s="434"/>
      <c r="J14" s="442" t="s">
        <v>650</v>
      </c>
      <c r="K14" s="431">
        <f>IF(AND(F14&lt;&gt;"",G14&lt;&gt;"",H14&lt;&gt;""),F14*G14*H14,"")</f>
        <v>34.032949999999992</v>
      </c>
      <c r="M14" s="320"/>
      <c r="O14" s="776">
        <f t="shared" si="0"/>
        <v>34.032949999999992</v>
      </c>
      <c r="R14" s="320"/>
      <c r="T14" s="398"/>
      <c r="U14" s="398"/>
    </row>
    <row r="15" spans="4:109" ht="18.75" thickBot="1" x14ac:dyDescent="0.3">
      <c r="D15" s="840">
        <v>0.7</v>
      </c>
      <c r="E15" s="783" t="s">
        <v>581</v>
      </c>
      <c r="F15" s="646"/>
      <c r="G15" s="647"/>
      <c r="H15" s="656"/>
      <c r="I15" s="775"/>
      <c r="J15" s="442" t="s">
        <v>650</v>
      </c>
      <c r="K15" s="427">
        <f>'P2'!V25</f>
        <v>50.63</v>
      </c>
      <c r="L15" s="426"/>
      <c r="M15" s="426"/>
      <c r="N15" s="426"/>
      <c r="O15" s="776">
        <f t="shared" si="0"/>
        <v>50.63</v>
      </c>
      <c r="P15" s="426"/>
      <c r="Q15" s="426"/>
      <c r="R15" s="426"/>
      <c r="S15" s="519"/>
      <c r="T15" s="398"/>
      <c r="U15" s="398"/>
    </row>
    <row r="16" spans="4:109" ht="18.75" thickBot="1" x14ac:dyDescent="0.3">
      <c r="D16" s="838"/>
      <c r="E16" s="784"/>
      <c r="F16" s="1070" t="s">
        <v>563</v>
      </c>
      <c r="G16" s="1070"/>
      <c r="H16" s="1070"/>
      <c r="I16" s="1070"/>
      <c r="J16" s="1070"/>
      <c r="K16" s="1071"/>
      <c r="L16" s="452"/>
      <c r="M16" s="453"/>
      <c r="N16" s="796" t="s">
        <v>566</v>
      </c>
      <c r="O16" s="454" t="str">
        <f>IF(SUM(O12:O13)&gt;"",SUM(O12:O13),"")</f>
        <v/>
      </c>
      <c r="P16" s="453"/>
      <c r="Q16" s="453"/>
      <c r="R16" s="453"/>
      <c r="S16" s="520"/>
      <c r="T16" s="398"/>
      <c r="U16" s="398"/>
    </row>
    <row r="17" spans="1:21" ht="15" customHeight="1" thickBot="1" x14ac:dyDescent="0.3">
      <c r="D17" s="839" t="s">
        <v>539</v>
      </c>
      <c r="E17" s="650" t="s">
        <v>0</v>
      </c>
      <c r="F17" s="546"/>
      <c r="G17" s="419"/>
      <c r="H17" s="419"/>
      <c r="I17" s="419"/>
      <c r="J17" s="419"/>
      <c r="K17" s="420"/>
      <c r="L17" s="420"/>
      <c r="M17" s="421"/>
      <c r="N17" s="422"/>
      <c r="O17" s="423"/>
      <c r="P17" s="422"/>
      <c r="Q17" s="423"/>
      <c r="R17" s="424"/>
      <c r="S17" s="561"/>
      <c r="T17" s="398"/>
      <c r="U17" s="398"/>
    </row>
    <row r="18" spans="1:21" ht="14.25" customHeight="1" x14ac:dyDescent="0.25">
      <c r="D18" s="838"/>
      <c r="E18" s="779" t="s">
        <v>29</v>
      </c>
      <c r="F18" s="657"/>
      <c r="G18" s="655"/>
      <c r="H18" s="655"/>
      <c r="I18" s="436"/>
      <c r="J18" s="442" t="s">
        <v>650</v>
      </c>
      <c r="K18" s="427" t="str">
        <f>IF(F18*G18*H18&gt;0,F18*G18*H18,"")</f>
        <v/>
      </c>
      <c r="L18" s="797">
        <v>350</v>
      </c>
      <c r="M18" s="455" t="str">
        <f>IF(K18="","",L18*K18*0.001*1.02)</f>
        <v/>
      </c>
      <c r="N18" s="798">
        <v>0.45</v>
      </c>
      <c r="O18" s="456" t="str">
        <f>IF(K18="","",+N18*K18*1.03)</f>
        <v/>
      </c>
      <c r="P18" s="798">
        <v>0.85</v>
      </c>
      <c r="Q18" s="456" t="str">
        <f>IF(K18="","",P18*K18*1.44*1.03)</f>
        <v/>
      </c>
      <c r="R18" s="481">
        <v>90</v>
      </c>
      <c r="S18" s="521" t="str">
        <f t="shared" ref="S18" si="1">IF(K18="","",R18*K18*0.001*1.05)</f>
        <v/>
      </c>
      <c r="T18" s="398"/>
      <c r="U18" s="398"/>
    </row>
    <row r="19" spans="1:21" ht="14.25" customHeight="1" x14ac:dyDescent="0.25">
      <c r="D19" s="838"/>
      <c r="E19" s="779" t="s">
        <v>1</v>
      </c>
      <c r="F19" s="832">
        <f>IF(F12&lt;&gt;"",F12,"")</f>
        <v>137.91</v>
      </c>
      <c r="G19" s="600">
        <v>0.6</v>
      </c>
      <c r="H19" s="357">
        <f>IF(F12&lt;&gt;"",0.05,"")</f>
        <v>0.05</v>
      </c>
      <c r="I19" s="437"/>
      <c r="J19" s="443" t="s">
        <v>650</v>
      </c>
      <c r="K19" s="428">
        <f>IF(AND(F19&lt;&gt;"",H19&lt;&gt;"",G19&lt;&gt;""),F19*H19*G19,"")</f>
        <v>4.1372999999999998</v>
      </c>
      <c r="L19" s="797">
        <v>150</v>
      </c>
      <c r="M19" s="455">
        <f t="shared" ref="M19:M31" si="2">IF(K19="","",L19*K19*0.001*1.02)</f>
        <v>0.63300689999999993</v>
      </c>
      <c r="N19" s="798">
        <v>0.4</v>
      </c>
      <c r="O19" s="456">
        <f>IF(K19="","",+N19*K19*1.03)</f>
        <v>1.7045676000000001</v>
      </c>
      <c r="P19" s="798">
        <v>0.8</v>
      </c>
      <c r="Q19" s="456">
        <f>IF(K19="","",P19*K19*1.44*1.03)</f>
        <v>4.9091546880000001</v>
      </c>
      <c r="R19" s="481"/>
      <c r="S19" s="522"/>
      <c r="T19" s="398"/>
      <c r="U19" s="415"/>
    </row>
    <row r="20" spans="1:21" ht="14.25" customHeight="1" x14ac:dyDescent="0.25">
      <c r="D20" s="838"/>
      <c r="E20" s="779" t="s">
        <v>2</v>
      </c>
      <c r="F20" s="832">
        <f>IF(F12&lt;&gt;"",F12,"")</f>
        <v>137.91</v>
      </c>
      <c r="G20" s="357">
        <f>IF(G19&lt;&gt;"",G19,"")</f>
        <v>0.6</v>
      </c>
      <c r="H20" s="600">
        <v>0.2</v>
      </c>
      <c r="I20" s="437"/>
      <c r="J20" s="443" t="s">
        <v>650</v>
      </c>
      <c r="K20" s="428">
        <f>IF(AND(F20&lt;&gt;"",H20&lt;&gt;"",G20&lt;&gt;""),F20*H20*G20,"")</f>
        <v>16.549199999999999</v>
      </c>
      <c r="L20" s="797">
        <v>250</v>
      </c>
      <c r="M20" s="455">
        <f t="shared" si="2"/>
        <v>4.2200460000000009</v>
      </c>
      <c r="N20" s="798">
        <v>0.45</v>
      </c>
      <c r="O20" s="456">
        <f t="shared" ref="O20" si="3">IF(K20="","",+N20*K20*1.03)</f>
        <v>7.6705542000000007</v>
      </c>
      <c r="P20" s="798">
        <v>0.85</v>
      </c>
      <c r="Q20" s="456">
        <f t="shared" ref="Q20" si="4">IF(K20="","",P20*K20*1.44*1.03)</f>
        <v>20.863907423999997</v>
      </c>
      <c r="R20" s="481">
        <v>30</v>
      </c>
      <c r="S20" s="521">
        <f>IF(K20="","",R20*K20*0.001*1.05)</f>
        <v>0.52129980000000009</v>
      </c>
      <c r="T20" s="398"/>
      <c r="U20" s="398"/>
    </row>
    <row r="21" spans="1:21" ht="14.25" customHeight="1" x14ac:dyDescent="0.25">
      <c r="A21" s="324" t="s">
        <v>3</v>
      </c>
      <c r="B21" s="324">
        <v>400</v>
      </c>
      <c r="D21" s="838"/>
      <c r="E21" s="779" t="s">
        <v>3</v>
      </c>
      <c r="F21" s="832">
        <f>IF(F12&lt;&gt;"",F12,"")</f>
        <v>137.91</v>
      </c>
      <c r="G21" s="357">
        <f>IF(F12="","",IF(AND(F12&lt;&gt;"",$E$21="Mur de soubassement 20"),0.2,0.15))</f>
        <v>0.15</v>
      </c>
      <c r="H21" s="600">
        <v>0.7</v>
      </c>
      <c r="I21" s="355">
        <f>IF(AND(K21&lt;&gt;"",G34&lt;&gt;""),ROUNDUP(K21*G34,0),"")</f>
        <v>1159</v>
      </c>
      <c r="J21" s="443" t="s">
        <v>649</v>
      </c>
      <c r="K21" s="428">
        <f>IF(AND(H21&lt;&gt;"",F21&lt;&gt;""),H21*F21,"")</f>
        <v>96.536999999999992</v>
      </c>
      <c r="L21" s="797">
        <f>VLOOKUP(E21,A21:B22,2,0)</f>
        <v>400</v>
      </c>
      <c r="M21" s="456">
        <f>IF(I21="","",+I21*1.02/L21)</f>
        <v>2.9554500000000004</v>
      </c>
      <c r="N21" s="479"/>
      <c r="O21" s="456">
        <f>IF(M21="","",+M21*3*1.03)</f>
        <v>9.1323405000000015</v>
      </c>
      <c r="P21" s="479"/>
      <c r="Q21" s="457"/>
      <c r="R21" s="480"/>
      <c r="S21" s="523"/>
      <c r="T21" s="398"/>
      <c r="U21" s="398"/>
    </row>
    <row r="22" spans="1:21" ht="14.25" customHeight="1" x14ac:dyDescent="0.25">
      <c r="A22" s="324" t="s">
        <v>4</v>
      </c>
      <c r="B22" s="324">
        <v>300</v>
      </c>
      <c r="D22" s="838"/>
      <c r="E22" s="779" t="s">
        <v>5</v>
      </c>
      <c r="F22" s="832">
        <f>IF(F12&lt;&gt;"",F12,"")</f>
        <v>137.91</v>
      </c>
      <c r="G22" s="357">
        <f>IF(F12="","",IF(AND(F12&lt;&gt;"",$E$21="Mur de soubassement 20"),0.2,0.15))</f>
        <v>0.15</v>
      </c>
      <c r="H22" s="830">
        <f>IF(F22&lt;&gt;"",0.2,"")</f>
        <v>0.2</v>
      </c>
      <c r="I22" s="437"/>
      <c r="J22" s="443" t="s">
        <v>650</v>
      </c>
      <c r="K22" s="428">
        <f>IF(AND(H22&lt;&gt;"",F22&gt;0),+G22*H22*F22,"")</f>
        <v>4.1372999999999998</v>
      </c>
      <c r="L22" s="797">
        <v>350</v>
      </c>
      <c r="M22" s="455">
        <f t="shared" si="2"/>
        <v>1.4770160999999999</v>
      </c>
      <c r="N22" s="798">
        <v>0.45</v>
      </c>
      <c r="O22" s="456">
        <f t="shared" ref="O22:O29" si="5">IF(K22="","",+N22*K22*1.03)</f>
        <v>1.9176385500000002</v>
      </c>
      <c r="P22" s="798">
        <v>0.85</v>
      </c>
      <c r="Q22" s="456">
        <f t="shared" ref="Q22:Q29" si="6">IF(K22="","",P22*K22*1.44*1.03)</f>
        <v>5.2159768559999993</v>
      </c>
      <c r="R22" s="481">
        <v>70</v>
      </c>
      <c r="S22" s="521">
        <f>IF(K22="","",R22*K22*0.001*1.05)</f>
        <v>0.30409155000000004</v>
      </c>
      <c r="T22" s="398"/>
      <c r="U22" s="398"/>
    </row>
    <row r="23" spans="1:21" ht="14.25" customHeight="1" x14ac:dyDescent="0.25">
      <c r="D23" s="838"/>
      <c r="E23" s="779" t="s">
        <v>6</v>
      </c>
      <c r="F23" s="832">
        <f>IF(F13&lt;&gt;"",F13,"")</f>
        <v>0.5</v>
      </c>
      <c r="G23" s="832">
        <f>IF(G13&lt;&gt;"",G13,"")</f>
        <v>0.5</v>
      </c>
      <c r="H23" s="830">
        <f>IF(I13&lt;&gt;"",H19,"")</f>
        <v>0.05</v>
      </c>
      <c r="I23" s="357">
        <f>IF(I13&lt;&gt;"",I13,"")</f>
        <v>2</v>
      </c>
      <c r="J23" s="443" t="s">
        <v>650</v>
      </c>
      <c r="K23" s="428">
        <f>IF(AND(+F23&lt;&gt;"",G23&lt;&gt;"",H23&lt;&gt;"",I23&lt;&gt;""),+F23*G23*H23*I23,"")</f>
        <v>2.5000000000000001E-2</v>
      </c>
      <c r="L23" s="797">
        <f>+L19</f>
        <v>150</v>
      </c>
      <c r="M23" s="455">
        <f t="shared" si="2"/>
        <v>3.8249999999999998E-3</v>
      </c>
      <c r="N23" s="798">
        <f>N19</f>
        <v>0.4</v>
      </c>
      <c r="O23" s="456">
        <f t="shared" si="5"/>
        <v>1.0300000000000002E-2</v>
      </c>
      <c r="P23" s="798">
        <f>P19</f>
        <v>0.8</v>
      </c>
      <c r="Q23" s="456">
        <f t="shared" si="6"/>
        <v>2.9664000000000006E-2</v>
      </c>
      <c r="R23" s="481"/>
      <c r="S23" s="524"/>
      <c r="T23" s="398"/>
      <c r="U23" s="398"/>
    </row>
    <row r="24" spans="1:21" ht="14.25" customHeight="1" x14ac:dyDescent="0.25">
      <c r="C24" s="1057"/>
      <c r="D24" s="838"/>
      <c r="E24" s="779" t="s">
        <v>7</v>
      </c>
      <c r="F24" s="832">
        <f>IF(F23&lt;&gt;"",F23,"")</f>
        <v>0.5</v>
      </c>
      <c r="G24" s="832">
        <f>IF(G23&lt;&gt;"",G23,"")</f>
        <v>0.5</v>
      </c>
      <c r="H24" s="357">
        <f>IF(I13&lt;&gt;"",H20,"")</f>
        <v>0.2</v>
      </c>
      <c r="I24" s="357">
        <f>IF(I13&lt;&gt;"",I13,"")</f>
        <v>2</v>
      </c>
      <c r="J24" s="443" t="s">
        <v>650</v>
      </c>
      <c r="K24" s="428">
        <f>IF(AND(F24&lt;&gt;"",G24&lt;&gt;"",H24&lt;&gt;"",I24&lt;&gt;""),F24*G24*H24*I24,"")</f>
        <v>0.1</v>
      </c>
      <c r="L24" s="797">
        <f>L22</f>
        <v>350</v>
      </c>
      <c r="M24" s="455">
        <f t="shared" si="2"/>
        <v>3.5700000000000003E-2</v>
      </c>
      <c r="N24" s="798">
        <v>0.45</v>
      </c>
      <c r="O24" s="456">
        <f t="shared" si="5"/>
        <v>4.6350000000000009E-2</v>
      </c>
      <c r="P24" s="798">
        <v>0.85</v>
      </c>
      <c r="Q24" s="456">
        <f t="shared" si="6"/>
        <v>0.12607200000000002</v>
      </c>
      <c r="R24" s="481">
        <v>50</v>
      </c>
      <c r="S24" s="521">
        <f t="shared" ref="S24:S29" si="7">IF(K24="","",R24*K24*0.001*1.05)</f>
        <v>5.2500000000000003E-3</v>
      </c>
      <c r="T24" s="398"/>
      <c r="U24" s="398"/>
    </row>
    <row r="25" spans="1:21" ht="14.25" customHeight="1" x14ac:dyDescent="0.25">
      <c r="C25" s="1057"/>
      <c r="D25" s="838"/>
      <c r="E25" s="779" t="s">
        <v>580</v>
      </c>
      <c r="F25" s="658"/>
      <c r="G25" s="600"/>
      <c r="H25" s="600"/>
      <c r="I25" s="600"/>
      <c r="J25" s="443" t="s">
        <v>650</v>
      </c>
      <c r="K25" s="428" t="str">
        <f>IF(AND(F25&lt;&gt;"",G25&lt;&gt;"",H25&lt;&gt;"",I25&lt;&gt;""),F25*G25*H25*I25,"")</f>
        <v/>
      </c>
      <c r="L25" s="797">
        <f>L22</f>
        <v>350</v>
      </c>
      <c r="M25" s="455" t="str">
        <f t="shared" si="2"/>
        <v/>
      </c>
      <c r="N25" s="798">
        <v>0.45</v>
      </c>
      <c r="O25" s="456" t="str">
        <f t="shared" si="5"/>
        <v/>
      </c>
      <c r="P25" s="798">
        <v>0.85</v>
      </c>
      <c r="Q25" s="456" t="str">
        <f t="shared" si="6"/>
        <v/>
      </c>
      <c r="R25" s="481">
        <v>90</v>
      </c>
      <c r="S25" s="521" t="str">
        <f t="shared" si="7"/>
        <v/>
      </c>
      <c r="T25" s="398"/>
      <c r="U25" s="398"/>
    </row>
    <row r="26" spans="1:21" ht="14.25" customHeight="1" x14ac:dyDescent="0.25">
      <c r="C26" s="1057"/>
      <c r="D26" s="838"/>
      <c r="E26" s="779" t="s">
        <v>8</v>
      </c>
      <c r="F26" s="658"/>
      <c r="G26" s="600"/>
      <c r="H26" s="600"/>
      <c r="I26" s="659"/>
      <c r="J26" s="443" t="s">
        <v>650</v>
      </c>
      <c r="K26" s="428" t="str">
        <f>IF((+G26*H26*F26*I26)&gt;0,+G26*H26*F26*I26,"")</f>
        <v/>
      </c>
      <c r="L26" s="797">
        <f>L22</f>
        <v>350</v>
      </c>
      <c r="M26" s="455" t="str">
        <f t="shared" si="2"/>
        <v/>
      </c>
      <c r="N26" s="798">
        <v>0.45</v>
      </c>
      <c r="O26" s="456" t="str">
        <f t="shared" si="5"/>
        <v/>
      </c>
      <c r="P26" s="798">
        <v>0.85</v>
      </c>
      <c r="Q26" s="456" t="str">
        <f t="shared" si="6"/>
        <v/>
      </c>
      <c r="R26" s="481">
        <v>110</v>
      </c>
      <c r="S26" s="521" t="str">
        <f t="shared" si="7"/>
        <v/>
      </c>
      <c r="T26" s="398"/>
      <c r="U26" s="398"/>
    </row>
    <row r="27" spans="1:21" ht="14.25" customHeight="1" x14ac:dyDescent="0.25">
      <c r="C27" s="1057"/>
      <c r="D27" s="838"/>
      <c r="E27" s="779" t="s">
        <v>9</v>
      </c>
      <c r="F27" s="658"/>
      <c r="G27" s="357">
        <f>IF(F12="","",IF(AND(F12&lt;&gt;"",$E$21="Mur de soubassement 20"),0.2,0.15))</f>
        <v>0.15</v>
      </c>
      <c r="H27" s="600"/>
      <c r="I27" s="659">
        <v>19</v>
      </c>
      <c r="J27" s="443" t="s">
        <v>653</v>
      </c>
      <c r="K27" s="428" t="str">
        <f>IF(AND(F27&lt;&gt;"",G27&lt;&gt;"",H27&lt;&gt;"",I27&lt;&gt;""),F27*G27*H27*I27,"")</f>
        <v/>
      </c>
      <c r="L27" s="797">
        <f>L22</f>
        <v>350</v>
      </c>
      <c r="M27" s="455" t="str">
        <f t="shared" si="2"/>
        <v/>
      </c>
      <c r="N27" s="798">
        <v>0.45</v>
      </c>
      <c r="O27" s="456" t="str">
        <f t="shared" si="5"/>
        <v/>
      </c>
      <c r="P27" s="798">
        <v>0.85</v>
      </c>
      <c r="Q27" s="456" t="str">
        <f t="shared" si="6"/>
        <v/>
      </c>
      <c r="R27" s="481">
        <f>R22</f>
        <v>70</v>
      </c>
      <c r="S27" s="521" t="str">
        <f t="shared" si="7"/>
        <v/>
      </c>
      <c r="T27" s="398"/>
      <c r="U27" s="398"/>
    </row>
    <row r="28" spans="1:21" ht="14.25" customHeight="1" x14ac:dyDescent="0.25">
      <c r="C28" s="1057"/>
      <c r="D28" s="838"/>
      <c r="E28" s="779" t="s">
        <v>10</v>
      </c>
      <c r="F28" s="658"/>
      <c r="G28" s="600"/>
      <c r="H28" s="600"/>
      <c r="I28" s="438"/>
      <c r="J28" s="443" t="s">
        <v>653</v>
      </c>
      <c r="K28" s="428" t="str">
        <f>IF((G28*H28*F28)&gt;0,G28*H28*F28,"")</f>
        <v/>
      </c>
      <c r="L28" s="797">
        <f>L22</f>
        <v>350</v>
      </c>
      <c r="M28" s="455" t="str">
        <f t="shared" si="2"/>
        <v/>
      </c>
      <c r="N28" s="798">
        <v>0.45</v>
      </c>
      <c r="O28" s="456" t="str">
        <f t="shared" si="5"/>
        <v/>
      </c>
      <c r="P28" s="798">
        <v>0.85</v>
      </c>
      <c r="Q28" s="456" t="str">
        <f t="shared" si="6"/>
        <v/>
      </c>
      <c r="R28" s="481">
        <v>75</v>
      </c>
      <c r="S28" s="521" t="str">
        <f t="shared" si="7"/>
        <v/>
      </c>
      <c r="T28" s="398"/>
      <c r="U28" s="398"/>
    </row>
    <row r="29" spans="1:21" ht="14.25" customHeight="1" x14ac:dyDescent="0.25">
      <c r="D29" s="838"/>
      <c r="E29" s="779" t="s">
        <v>11</v>
      </c>
      <c r="F29" s="658">
        <v>17.53</v>
      </c>
      <c r="G29" s="600">
        <v>10.78</v>
      </c>
      <c r="H29" s="600">
        <v>0.1</v>
      </c>
      <c r="I29" s="659">
        <v>1</v>
      </c>
      <c r="J29" s="443" t="s">
        <v>650</v>
      </c>
      <c r="K29" s="428">
        <f>IF((+F29*G29*H29*I29)&gt;0,+F29*G29*H29*I29,"")</f>
        <v>18.89734</v>
      </c>
      <c r="L29" s="797">
        <f>L22</f>
        <v>350</v>
      </c>
      <c r="M29" s="455">
        <f t="shared" si="2"/>
        <v>6.74635038</v>
      </c>
      <c r="N29" s="798">
        <v>0.45</v>
      </c>
      <c r="O29" s="456">
        <f t="shared" si="5"/>
        <v>8.7589170900000006</v>
      </c>
      <c r="P29" s="798">
        <v>0.85</v>
      </c>
      <c r="Q29" s="456">
        <f t="shared" si="6"/>
        <v>23.824254484800001</v>
      </c>
      <c r="R29" s="481">
        <v>50</v>
      </c>
      <c r="S29" s="521">
        <f t="shared" si="7"/>
        <v>0.99211035000000003</v>
      </c>
      <c r="T29" s="398"/>
      <c r="U29" s="398"/>
    </row>
    <row r="30" spans="1:21" ht="14.25" customHeight="1" x14ac:dyDescent="0.25">
      <c r="D30" s="838"/>
      <c r="E30" s="779" t="s">
        <v>34</v>
      </c>
      <c r="F30" s="399"/>
      <c r="G30" s="399"/>
      <c r="H30" s="399"/>
      <c r="I30" s="399"/>
      <c r="J30" s="446" t="s">
        <v>650</v>
      </c>
      <c r="K30" s="428">
        <f>IF((+F29*G29*5*I29)&gt;0,+F29*G29*0.05*I29,"")</f>
        <v>9.4486699999999999</v>
      </c>
      <c r="L30" s="797">
        <v>400</v>
      </c>
      <c r="M30" s="456">
        <f t="shared" si="2"/>
        <v>3.85505736</v>
      </c>
      <c r="N30" s="798">
        <v>1</v>
      </c>
      <c r="O30" s="456">
        <f>IF(K30="","",N30*K30*1.03)</f>
        <v>9.7321301000000009</v>
      </c>
      <c r="P30" s="798"/>
      <c r="Q30" s="458"/>
      <c r="R30" s="481"/>
      <c r="S30" s="799"/>
      <c r="T30" s="398"/>
      <c r="U30" s="398"/>
    </row>
    <row r="31" spans="1:21" ht="14.25" customHeight="1" thickBot="1" x14ac:dyDescent="0.3">
      <c r="D31" s="838"/>
      <c r="E31" s="779" t="s">
        <v>567</v>
      </c>
      <c r="F31" s="399"/>
      <c r="G31" s="399"/>
      <c r="H31" s="399"/>
      <c r="I31" s="399"/>
      <c r="J31" s="446" t="s">
        <v>650</v>
      </c>
      <c r="K31" s="428">
        <f>IF(K21="","",IF(AND(K21&lt;&gt;"",$E$21="Mur de soubassement 15"),0.028875*$K$21,0.0385*$K$21))</f>
        <v>2.7875058749999999</v>
      </c>
      <c r="L31" s="800">
        <v>250</v>
      </c>
      <c r="M31" s="456">
        <f t="shared" si="2"/>
        <v>0.71081399812500001</v>
      </c>
      <c r="N31" s="801">
        <v>1</v>
      </c>
      <c r="O31" s="456">
        <f>IF(K31="","",N31*K31*1.03)</f>
        <v>2.8711310512499999</v>
      </c>
      <c r="P31" s="801"/>
      <c r="Q31" s="458"/>
      <c r="R31" s="802"/>
      <c r="S31" s="799"/>
      <c r="T31" s="398"/>
      <c r="U31" s="398"/>
    </row>
    <row r="32" spans="1:21" ht="14.25" customHeight="1" thickBot="1" x14ac:dyDescent="0.3">
      <c r="D32" s="838"/>
      <c r="E32" s="779"/>
      <c r="F32" s="1070" t="s">
        <v>569</v>
      </c>
      <c r="G32" s="1070"/>
      <c r="H32" s="1070"/>
      <c r="I32" s="1070"/>
      <c r="J32" s="1070"/>
      <c r="K32" s="1071"/>
      <c r="L32" s="803" t="s">
        <v>27</v>
      </c>
      <c r="M32" s="547">
        <f>SUM(M18:M20,M22:M30)</f>
        <v>16.971001740000002</v>
      </c>
      <c r="N32" s="796" t="s">
        <v>566</v>
      </c>
      <c r="O32" s="547">
        <f>SUM(O18:O20,O22:O30)</f>
        <v>29.840457540000003</v>
      </c>
      <c r="P32" s="804" t="s">
        <v>27</v>
      </c>
      <c r="Q32" s="547">
        <f>SUM(Q18:Q20,Q22:Q30)</f>
        <v>54.969029452800001</v>
      </c>
      <c r="R32" s="804" t="s">
        <v>27</v>
      </c>
      <c r="S32" s="548">
        <f>SUM(S18:S20,S22:S30)</f>
        <v>1.8227517</v>
      </c>
      <c r="T32" s="398"/>
      <c r="U32" s="398"/>
    </row>
    <row r="33" spans="3:22" ht="18.75" thickBot="1" x14ac:dyDescent="0.3">
      <c r="D33" s="839" t="s">
        <v>538</v>
      </c>
      <c r="E33" s="785" t="s">
        <v>28</v>
      </c>
      <c r="F33" s="1063"/>
      <c r="G33" s="1064"/>
      <c r="H33" s="1064"/>
      <c r="I33" s="1064"/>
      <c r="J33" s="1064"/>
      <c r="K33" s="1064"/>
      <c r="L33" s="549"/>
      <c r="M33" s="550"/>
      <c r="N33" s="551"/>
      <c r="O33" s="552"/>
      <c r="P33" s="551"/>
      <c r="Q33" s="552"/>
      <c r="R33" s="424"/>
      <c r="S33" s="561"/>
      <c r="T33" s="398"/>
      <c r="U33" s="398"/>
    </row>
    <row r="34" spans="3:22" ht="15.75" customHeight="1" x14ac:dyDescent="0.3">
      <c r="D34" s="838"/>
      <c r="E34" s="786" t="s">
        <v>544</v>
      </c>
      <c r="F34" s="411" t="s">
        <v>582</v>
      </c>
      <c r="G34" s="831">
        <v>12</v>
      </c>
      <c r="H34" s="399"/>
      <c r="I34" s="358">
        <f>IF(K34="","",ROUNDUP(K34*$G$34,0))</f>
        <v>2038</v>
      </c>
      <c r="J34" s="442" t="s">
        <v>648</v>
      </c>
      <c r="K34" s="432">
        <f>IF(AND(K36&lt;&gt;"",K35&lt;&gt;""),K35+K36,IF(AND(K35&lt;&gt;"",K36=""),K35,""))</f>
        <v>169.78</v>
      </c>
      <c r="L34" s="805">
        <v>500</v>
      </c>
      <c r="M34" s="459">
        <f>IF(I34="","",+I34*1.02/L34)</f>
        <v>4.1575200000000008</v>
      </c>
      <c r="N34" s="333"/>
      <c r="O34" s="459">
        <f>IF(M34="","",+M34*3*1.03)</f>
        <v>12.846736800000002</v>
      </c>
      <c r="P34" s="333"/>
      <c r="Q34" s="331"/>
      <c r="R34" s="334"/>
      <c r="S34" s="525"/>
      <c r="T34" s="392" t="str">
        <f>IF(AND(T36&lt;&gt;"",T35&lt;&gt;""),T35+T36,IF(AND(T35&lt;&gt;"",T36=""),T35,""))</f>
        <v/>
      </c>
      <c r="U34" s="398"/>
    </row>
    <row r="35" spans="3:22" x14ac:dyDescent="0.25">
      <c r="D35" s="838"/>
      <c r="E35" s="779" t="s">
        <v>547</v>
      </c>
      <c r="F35" s="397">
        <v>64.22</v>
      </c>
      <c r="G35" s="357">
        <f>IF(F12="","",IF(AND(F12&lt;&gt;"",$E$21="Mur de soubassement 20"),0.2,0.15))</f>
        <v>0.15</v>
      </c>
      <c r="H35" s="660">
        <v>3</v>
      </c>
      <c r="I35" s="322">
        <f>IF(K35="","",ROUNDUP(K35*$G$34,0))</f>
        <v>2038</v>
      </c>
      <c r="J35" s="443" t="s">
        <v>649</v>
      </c>
      <c r="K35" s="430">
        <f>IF(AND(F35&lt;&gt;"",H35&lt;&gt;"",K37=""),F35*H35,IF(AND(F35&lt;&gt;"",H35&lt;&gt;"",K37&lt;&gt;""),F35*H35-K37,""))</f>
        <v>169.78</v>
      </c>
      <c r="L35" s="805">
        <v>500</v>
      </c>
      <c r="M35" s="456">
        <f>IF(I35="","",+I35*1.02/L35)</f>
        <v>4.1575200000000008</v>
      </c>
      <c r="N35" s="333"/>
      <c r="O35" s="456">
        <f>IF(M35="","",+M35*3*1.03)</f>
        <v>12.846736800000002</v>
      </c>
      <c r="P35" s="333"/>
      <c r="Q35" s="331"/>
      <c r="R35" s="334"/>
      <c r="S35" s="525"/>
      <c r="T35" s="398"/>
      <c r="U35" s="398"/>
    </row>
    <row r="36" spans="3:22" x14ac:dyDescent="0.25">
      <c r="D36" s="838"/>
      <c r="E36" s="779" t="s">
        <v>549</v>
      </c>
      <c r="F36" s="599">
        <v>17.649999999999999</v>
      </c>
      <c r="G36" s="600">
        <v>11.5</v>
      </c>
      <c r="H36" s="357">
        <f>IF(AND(G36&lt;&gt;"",K65=""),(0.25*G36)/2,"")</f>
        <v>1.4375</v>
      </c>
      <c r="I36" s="357">
        <f>IF(F36&gt;0,ROUNDUP(F36/4,0)+1,"")</f>
        <v>6</v>
      </c>
      <c r="J36" s="443" t="s">
        <v>648</v>
      </c>
      <c r="K36" s="430" t="str">
        <f>IF(AND(G36&lt;&gt;"",H36&lt;&gt;"",G35&lt;&gt;"",F72=""),(2*G36*H36)*(0.5-G35/8),"")</f>
        <v/>
      </c>
      <c r="L36" s="352"/>
      <c r="M36" s="336"/>
      <c r="N36" s="333"/>
      <c r="O36" s="331"/>
      <c r="P36" s="333"/>
      <c r="Q36" s="331"/>
      <c r="R36" s="335"/>
      <c r="S36" s="525"/>
      <c r="T36" s="843">
        <f>IF(AND(G36&lt;&gt;"",H36&lt;&gt;"",G35&lt;&gt;""),(2*G36*H36)*(0.5-G35/8),"")</f>
        <v>15.911328125000001</v>
      </c>
      <c r="U36" s="843">
        <f>IF(OR(AND(G36="",H36="",G35=""),AND(G36="",H36="",G35&gt;0)),"",(2*G36*H36)*(0.5-G35/8))</f>
        <v>15.911328125000001</v>
      </c>
      <c r="V36" s="843"/>
    </row>
    <row r="37" spans="3:22" ht="29.25" customHeight="1" x14ac:dyDescent="0.25">
      <c r="D37" s="840" t="s">
        <v>661</v>
      </c>
      <c r="E37" s="787" t="s">
        <v>702</v>
      </c>
      <c r="F37" s="1065" t="s">
        <v>701</v>
      </c>
      <c r="G37" s="1065"/>
      <c r="H37" s="1065"/>
      <c r="I37" s="1065"/>
      <c r="J37" s="526"/>
      <c r="K37" s="430">
        <f>IF(AND(F35&gt;0,H35&gt;0,SUM(K38:K42)&gt;0),SUM(K38:K42),"")</f>
        <v>22.880000000000003</v>
      </c>
      <c r="L37" s="352"/>
      <c r="M37" s="1053" t="s">
        <v>568</v>
      </c>
      <c r="N37" s="1053"/>
      <c r="O37" s="1053"/>
      <c r="P37" s="1053"/>
      <c r="Q37" s="1053"/>
      <c r="R37" s="1053"/>
      <c r="S37" s="525"/>
      <c r="T37" s="843"/>
      <c r="U37" s="843"/>
      <c r="V37" s="843"/>
    </row>
    <row r="38" spans="3:22" x14ac:dyDescent="0.25">
      <c r="D38" s="840" t="s">
        <v>662</v>
      </c>
      <c r="E38" s="598" t="s">
        <v>12</v>
      </c>
      <c r="F38" s="569" t="s">
        <v>661</v>
      </c>
      <c r="G38" s="601">
        <v>1</v>
      </c>
      <c r="H38" s="601">
        <v>1.1000000000000001</v>
      </c>
      <c r="I38" s="661">
        <v>5</v>
      </c>
      <c r="J38" s="835" t="s">
        <v>649</v>
      </c>
      <c r="K38" s="428">
        <f>IF(I38*H38*G38&gt;0,I38*H38*G38,"")</f>
        <v>5.5</v>
      </c>
      <c r="L38" s="352"/>
      <c r="M38" s="1054" t="str">
        <f>CONCATENATE(I34," Agglos 15 cm  creux et ",I43," Agglos 10 cm creux")</f>
        <v>2038 Agglos 15 cm  creux et 2556 Agglos 10 cm creux</v>
      </c>
      <c r="N38" s="1055"/>
      <c r="O38" s="1055"/>
      <c r="P38" s="1055"/>
      <c r="Q38" s="1055"/>
      <c r="R38" s="1056"/>
      <c r="S38" s="525"/>
      <c r="T38" s="843">
        <f>SUMIF(F38:F42,"Baie ext",K38:K42)+SUMIF(F47:F51,"Baie ext",K47:K51)</f>
        <v>22.880000000000003</v>
      </c>
      <c r="U38" s="843">
        <f>SUMIF(F47:F51,"Baie ext",K47:K51)</f>
        <v>0</v>
      </c>
      <c r="V38" s="843" t="s">
        <v>663</v>
      </c>
    </row>
    <row r="39" spans="3:22" x14ac:dyDescent="0.25">
      <c r="D39" s="838"/>
      <c r="E39" s="598" t="s">
        <v>13</v>
      </c>
      <c r="F39" s="569" t="s">
        <v>661</v>
      </c>
      <c r="G39" s="601">
        <v>0.8</v>
      </c>
      <c r="H39" s="601">
        <v>1.1000000000000001</v>
      </c>
      <c r="I39" s="661">
        <v>1</v>
      </c>
      <c r="J39" s="443" t="s">
        <v>649</v>
      </c>
      <c r="K39" s="428">
        <f t="shared" ref="K39:K42" si="8">IF(I39*H39*G39&gt;0,I39*H39*G39,"")</f>
        <v>0.88000000000000012</v>
      </c>
      <c r="L39" s="352"/>
      <c r="M39" s="1039"/>
      <c r="N39" s="1040"/>
      <c r="O39" s="1040"/>
      <c r="P39" s="1040"/>
      <c r="Q39" s="1040"/>
      <c r="R39" s="1041"/>
      <c r="S39" s="525"/>
      <c r="T39" s="843">
        <f>SUMIF(F38:F42,"Baie int",K38:K42)+SUMIF(F47:F51,"Baie int",K47:K51)</f>
        <v>24.2</v>
      </c>
      <c r="U39" s="843">
        <f>SUMIF(F47:F51,"Baie int",K47:K51)</f>
        <v>24.2</v>
      </c>
      <c r="V39" s="843" t="s">
        <v>664</v>
      </c>
    </row>
    <row r="40" spans="3:22" x14ac:dyDescent="0.25">
      <c r="D40" s="838"/>
      <c r="E40" s="598" t="s">
        <v>14</v>
      </c>
      <c r="F40" s="569" t="s">
        <v>661</v>
      </c>
      <c r="G40" s="601">
        <v>1.2</v>
      </c>
      <c r="H40" s="601">
        <v>2.2000000000000002</v>
      </c>
      <c r="I40" s="661">
        <v>2</v>
      </c>
      <c r="J40" s="443" t="s">
        <v>649</v>
      </c>
      <c r="K40" s="428">
        <f t="shared" si="8"/>
        <v>5.28</v>
      </c>
      <c r="L40" s="352"/>
      <c r="M40" s="1039"/>
      <c r="N40" s="1040"/>
      <c r="O40" s="1040"/>
      <c r="P40" s="1040"/>
      <c r="Q40" s="1040"/>
      <c r="R40" s="1041"/>
      <c r="S40" s="525"/>
      <c r="T40" s="843"/>
      <c r="U40" s="843"/>
      <c r="V40" s="843"/>
    </row>
    <row r="41" spans="3:22" x14ac:dyDescent="0.25">
      <c r="C41" s="1057" t="s">
        <v>546</v>
      </c>
      <c r="D41" s="838"/>
      <c r="E41" s="598" t="s">
        <v>15</v>
      </c>
      <c r="F41" s="569" t="s">
        <v>661</v>
      </c>
      <c r="G41" s="601">
        <v>1.5</v>
      </c>
      <c r="H41" s="601">
        <v>2.2000000000000002</v>
      </c>
      <c r="I41" s="661">
        <v>3</v>
      </c>
      <c r="J41" s="443" t="s">
        <v>649</v>
      </c>
      <c r="K41" s="428">
        <f t="shared" si="8"/>
        <v>9.9</v>
      </c>
      <c r="L41" s="352"/>
      <c r="M41" s="1039"/>
      <c r="N41" s="1040"/>
      <c r="O41" s="1040"/>
      <c r="P41" s="1040"/>
      <c r="Q41" s="1040"/>
      <c r="R41" s="1041"/>
      <c r="S41" s="525"/>
      <c r="T41" s="843"/>
      <c r="U41" s="843"/>
      <c r="V41" s="843"/>
    </row>
    <row r="42" spans="3:22" ht="18.75" thickBot="1" x14ac:dyDescent="0.3">
      <c r="C42" s="1057"/>
      <c r="D42" s="838"/>
      <c r="E42" s="598" t="s">
        <v>16</v>
      </c>
      <c r="F42" s="569" t="s">
        <v>661</v>
      </c>
      <c r="G42" s="601">
        <v>0.6</v>
      </c>
      <c r="H42" s="601">
        <v>1.1000000000000001</v>
      </c>
      <c r="I42" s="661">
        <v>2</v>
      </c>
      <c r="J42" s="443" t="s">
        <v>649</v>
      </c>
      <c r="K42" s="428">
        <f t="shared" si="8"/>
        <v>1.32</v>
      </c>
      <c r="L42" s="353"/>
      <c r="M42" s="354"/>
      <c r="N42" s="350"/>
      <c r="O42" s="345"/>
      <c r="P42" s="350"/>
      <c r="Q42" s="345"/>
      <c r="R42" s="351"/>
      <c r="S42" s="527"/>
      <c r="T42" s="843"/>
      <c r="U42" s="843"/>
      <c r="V42" s="843"/>
    </row>
    <row r="43" spans="3:22" x14ac:dyDescent="0.25">
      <c r="C43" s="1057"/>
      <c r="D43" s="838"/>
      <c r="E43" s="779" t="s">
        <v>545</v>
      </c>
      <c r="F43" s="399"/>
      <c r="G43" s="399"/>
      <c r="H43" s="399"/>
      <c r="I43" s="322">
        <f>IF(K43="","",ROUNDUP(K43*G34,0))</f>
        <v>2556</v>
      </c>
      <c r="J43" s="835" t="s">
        <v>649</v>
      </c>
      <c r="K43" s="432">
        <f>IF(AND(K45&lt;&gt;"",K44&lt;&gt;""),K44+K45,IF(AND(K44&lt;&gt;"",K45=""),K44,""))</f>
        <v>212.98796874999999</v>
      </c>
      <c r="L43" s="806">
        <v>600</v>
      </c>
      <c r="M43" s="460">
        <f>IF(I43="","",+I43*1.02/L43)</f>
        <v>4.3452000000000002</v>
      </c>
      <c r="N43" s="493"/>
      <c r="O43" s="460">
        <f>IF(M43="","",+M43*3*1.03)</f>
        <v>13.426668000000001</v>
      </c>
      <c r="P43" s="348"/>
      <c r="Q43" s="344"/>
      <c r="R43" s="349"/>
      <c r="S43" s="528"/>
      <c r="T43" s="843">
        <f>IF(AND(K45&lt;&gt;"",K44&lt;&gt;""),K44+K45,IF(AND(K44&lt;&gt;"",K45=""),K44,""))</f>
        <v>212.98796874999999</v>
      </c>
      <c r="U43" s="843"/>
      <c r="V43" s="843"/>
    </row>
    <row r="44" spans="3:22" ht="18.75" thickBot="1" x14ac:dyDescent="0.3">
      <c r="C44" s="1057"/>
      <c r="D44" s="838"/>
      <c r="E44" s="779" t="s">
        <v>548</v>
      </c>
      <c r="F44" s="397">
        <f>IF(AND($F$19&lt;&gt;"",F35&lt;&gt;""),$F$19-F35,IF(AND($F$19&lt;&gt;"",F35=""),$F$19,""))</f>
        <v>73.69</v>
      </c>
      <c r="G44" s="357">
        <f>IF(F44&lt;&gt;"",0.1,"")</f>
        <v>0.1</v>
      </c>
      <c r="H44" s="357">
        <f>IF(H35&lt;&gt;"",H35,"")</f>
        <v>3</v>
      </c>
      <c r="I44" s="322">
        <f>IF(K44="","",ROUNDUP(K44*$G$34,0))</f>
        <v>2363</v>
      </c>
      <c r="J44" s="443" t="s">
        <v>649</v>
      </c>
      <c r="K44" s="430">
        <f>IF(AND(F44&lt;&gt;"",H44&lt;&gt;"",K46=""),F44*H44,IF(AND(F44&lt;&gt;"",H44&lt;&gt;"",K46&lt;&gt;""),F44*H44-K46,""))</f>
        <v>196.87</v>
      </c>
      <c r="L44" s="807">
        <v>600</v>
      </c>
      <c r="M44" s="461">
        <f>IF(I44="","",+I44*1.02/L44)</f>
        <v>4.0171000000000001</v>
      </c>
      <c r="N44" s="494"/>
      <c r="O44" s="461">
        <f>IF(M44="","",+M44*3*1.03)</f>
        <v>12.412839000000002</v>
      </c>
      <c r="P44" s="350"/>
      <c r="Q44" s="345"/>
      <c r="R44" s="351"/>
      <c r="S44" s="527"/>
      <c r="T44" s="398"/>
      <c r="U44" s="398" t="str">
        <f>IF(AND(K46&gt;"",F44&gt;"",H44&gt;""),F44*H44-K46,IF(AND(H44*F44&gt;0,K46=""),F44*H44,""))</f>
        <v/>
      </c>
    </row>
    <row r="45" spans="3:22" x14ac:dyDescent="0.25">
      <c r="C45" s="1057"/>
      <c r="D45" s="838"/>
      <c r="E45" s="779" t="s">
        <v>550</v>
      </c>
      <c r="F45" s="397">
        <f>IF(F36="","",F36)</f>
        <v>17.649999999999999</v>
      </c>
      <c r="G45" s="357">
        <f>IF(G36="","",G36)</f>
        <v>11.5</v>
      </c>
      <c r="H45" s="357">
        <f>IF(G45="","",(0.25*G45)/2)</f>
        <v>1.4375</v>
      </c>
      <c r="I45" s="357">
        <f>IF(F45="","",ROUNDUP(F45/4,0)+1)</f>
        <v>6</v>
      </c>
      <c r="J45" s="443" t="s">
        <v>649</v>
      </c>
      <c r="K45" s="430">
        <f>IF(AND(G45&lt;&gt;"",H45&lt;&gt;"",G44&lt;&gt;""),(2*G45*H45)*(0.5-G44/8),"")</f>
        <v>16.117968749999999</v>
      </c>
      <c r="L45" s="482"/>
      <c r="M45" s="462"/>
      <c r="N45" s="493"/>
      <c r="O45" s="473"/>
      <c r="P45" s="348"/>
      <c r="Q45" s="344"/>
      <c r="R45" s="349"/>
      <c r="S45" s="528"/>
      <c r="T45" s="398"/>
      <c r="U45" s="398"/>
    </row>
    <row r="46" spans="3:22" x14ac:dyDescent="0.25">
      <c r="C46" s="1057"/>
      <c r="D46" s="838"/>
      <c r="E46" s="788" t="s">
        <v>703</v>
      </c>
      <c r="F46" s="526"/>
      <c r="G46" s="399"/>
      <c r="H46" s="399"/>
      <c r="I46" s="399"/>
      <c r="J46" s="399"/>
      <c r="K46" s="430">
        <f>IF(AND(F44&gt;0,H44&gt;0,SUM(K47:K51)&gt;0),SUM(K47:K51),"")</f>
        <v>24.2</v>
      </c>
      <c r="L46" s="483"/>
      <c r="M46" s="463"/>
      <c r="N46" s="495"/>
      <c r="O46" s="474"/>
      <c r="P46" s="333"/>
      <c r="Q46" s="331"/>
      <c r="R46" s="334"/>
      <c r="S46" s="525"/>
      <c r="T46" s="398"/>
      <c r="U46" s="398"/>
    </row>
    <row r="47" spans="3:22" x14ac:dyDescent="0.25">
      <c r="C47" s="1057"/>
      <c r="D47" s="838"/>
      <c r="E47" s="598" t="s">
        <v>12</v>
      </c>
      <c r="F47" s="569" t="s">
        <v>662</v>
      </c>
      <c r="G47" s="600">
        <v>0.7</v>
      </c>
      <c r="H47" s="600">
        <v>2.2000000000000002</v>
      </c>
      <c r="I47" s="659">
        <v>4</v>
      </c>
      <c r="J47" s="443" t="s">
        <v>649</v>
      </c>
      <c r="K47" s="428">
        <f t="shared" ref="K47:K51" si="9">IF(I47*H47*G47&gt;0,I47*H47*G47,"")</f>
        <v>6.16</v>
      </c>
      <c r="L47" s="483"/>
      <c r="M47" s="463"/>
      <c r="N47" s="495"/>
      <c r="O47" s="474"/>
      <c r="P47" s="333"/>
      <c r="Q47" s="331"/>
      <c r="R47" s="334"/>
      <c r="S47" s="525"/>
      <c r="T47" s="398"/>
      <c r="U47" s="398"/>
    </row>
    <row r="48" spans="3:22" x14ac:dyDescent="0.25">
      <c r="C48" s="1057"/>
      <c r="D48" s="838"/>
      <c r="E48" s="598" t="s">
        <v>13</v>
      </c>
      <c r="F48" s="569" t="s">
        <v>662</v>
      </c>
      <c r="G48" s="600">
        <v>0.8</v>
      </c>
      <c r="H48" s="600">
        <v>2.2000000000000002</v>
      </c>
      <c r="I48" s="659">
        <v>3</v>
      </c>
      <c r="J48" s="443" t="s">
        <v>649</v>
      </c>
      <c r="K48" s="428">
        <f t="shared" si="9"/>
        <v>5.2800000000000011</v>
      </c>
      <c r="L48" s="483"/>
      <c r="M48" s="463"/>
      <c r="N48" s="495"/>
      <c r="O48" s="474"/>
      <c r="P48" s="333"/>
      <c r="Q48" s="331"/>
      <c r="R48" s="334"/>
      <c r="S48" s="525"/>
      <c r="T48" s="398"/>
      <c r="U48" s="398"/>
    </row>
    <row r="49" spans="2:21" x14ac:dyDescent="0.25">
      <c r="C49" s="1057"/>
      <c r="D49" s="838"/>
      <c r="E49" s="598" t="s">
        <v>14</v>
      </c>
      <c r="F49" s="569" t="s">
        <v>662</v>
      </c>
      <c r="G49" s="600">
        <v>0.9</v>
      </c>
      <c r="H49" s="600">
        <v>2.2000000000000002</v>
      </c>
      <c r="I49" s="659">
        <v>6</v>
      </c>
      <c r="J49" s="443" t="s">
        <v>649</v>
      </c>
      <c r="K49" s="428">
        <f t="shared" si="9"/>
        <v>11.88</v>
      </c>
      <c r="L49" s="483"/>
      <c r="M49" s="463"/>
      <c r="N49" s="495"/>
      <c r="O49" s="474"/>
      <c r="P49" s="333"/>
      <c r="Q49" s="331"/>
      <c r="R49" s="334"/>
      <c r="S49" s="525"/>
      <c r="T49" s="398"/>
      <c r="U49" s="398"/>
    </row>
    <row r="50" spans="2:21" x14ac:dyDescent="0.25">
      <c r="C50" s="1057"/>
      <c r="D50" s="838"/>
      <c r="E50" s="598" t="s">
        <v>15</v>
      </c>
      <c r="F50" s="569" t="s">
        <v>662</v>
      </c>
      <c r="G50" s="600">
        <v>0.8</v>
      </c>
      <c r="H50" s="600">
        <v>1.1000000000000001</v>
      </c>
      <c r="I50" s="659">
        <v>1</v>
      </c>
      <c r="J50" s="443" t="s">
        <v>649</v>
      </c>
      <c r="K50" s="428">
        <f t="shared" si="9"/>
        <v>0.88000000000000012</v>
      </c>
      <c r="L50" s="483"/>
      <c r="M50" s="463"/>
      <c r="N50" s="495"/>
      <c r="O50" s="474"/>
      <c r="P50" s="333"/>
      <c r="Q50" s="331"/>
      <c r="R50" s="334"/>
      <c r="S50" s="525"/>
      <c r="T50" s="398"/>
      <c r="U50" s="398"/>
    </row>
    <row r="51" spans="2:21" ht="18.75" thickBot="1" x14ac:dyDescent="0.3">
      <c r="C51" s="1057"/>
      <c r="D51" s="838"/>
      <c r="E51" s="598" t="s">
        <v>16</v>
      </c>
      <c r="F51" s="569" t="s">
        <v>662</v>
      </c>
      <c r="G51" s="662"/>
      <c r="H51" s="662"/>
      <c r="I51" s="663"/>
      <c r="J51" s="443" t="s">
        <v>649</v>
      </c>
      <c r="K51" s="428" t="str">
        <f t="shared" si="9"/>
        <v/>
      </c>
      <c r="L51" s="484"/>
      <c r="M51" s="464"/>
      <c r="N51" s="494"/>
      <c r="O51" s="475"/>
      <c r="P51" s="350"/>
      <c r="Q51" s="345"/>
      <c r="R51" s="351"/>
      <c r="S51" s="527"/>
      <c r="T51" s="398"/>
      <c r="U51" s="398"/>
    </row>
    <row r="52" spans="2:21" x14ac:dyDescent="0.25">
      <c r="C52" s="1057"/>
      <c r="D52" s="838"/>
      <c r="E52" s="779" t="s">
        <v>31</v>
      </c>
      <c r="F52" s="397">
        <f>IF(OR(SUM(G47:G51)&gt;0,SUM(G38:G42)&gt;0),0.4+SUM(G38:G42,G47:G51),"")</f>
        <v>8.7000000000000011</v>
      </c>
      <c r="G52" s="655"/>
      <c r="H52" s="655"/>
      <c r="I52" s="440"/>
      <c r="J52" s="443" t="s">
        <v>650</v>
      </c>
      <c r="K52" s="428" t="str">
        <f>IF(AND(F52&lt;&gt;"",G52&lt;&gt;"",H52&lt;&gt;""),(G52*H52*F52),"")</f>
        <v/>
      </c>
      <c r="L52" s="806">
        <v>350</v>
      </c>
      <c r="M52" s="465" t="str">
        <f t="shared" ref="M52" si="10">IF(K52="","",L52*K52*0.001*1.02)</f>
        <v/>
      </c>
      <c r="N52" s="808">
        <v>0.45</v>
      </c>
      <c r="O52" s="465" t="str">
        <f t="shared" ref="O52" si="11">IF(K52="","",+N52*K52*1.03)</f>
        <v/>
      </c>
      <c r="P52" s="809">
        <v>0.85</v>
      </c>
      <c r="Q52" s="465" t="str">
        <f t="shared" ref="Q52" si="12">IF(K52="","",P52*K52*1.44*1.03)</f>
        <v/>
      </c>
      <c r="R52" s="810">
        <v>70</v>
      </c>
      <c r="S52" s="529" t="str">
        <f t="shared" ref="S52" si="13">IF(K52="","",R52*K52*0.001*1.05)</f>
        <v/>
      </c>
      <c r="T52" s="398"/>
      <c r="U52" s="398"/>
    </row>
    <row r="53" spans="2:21" x14ac:dyDescent="0.25">
      <c r="C53" s="1057"/>
      <c r="D53" s="838"/>
      <c r="E53" s="779" t="s">
        <v>17</v>
      </c>
      <c r="F53" s="658"/>
      <c r="G53" s="440"/>
      <c r="H53" s="600"/>
      <c r="I53" s="323" t="str">
        <f>IF(K53="","",K53*24)</f>
        <v/>
      </c>
      <c r="J53" s="445" t="s">
        <v>648</v>
      </c>
      <c r="K53" s="428" t="str">
        <f>IF((H53*F53)&gt;0,H53*F53,"")</f>
        <v/>
      </c>
      <c r="L53" s="811">
        <v>650</v>
      </c>
      <c r="M53" s="459" t="str">
        <f>IF(I53="","",+I53*1.02/L53)</f>
        <v/>
      </c>
      <c r="N53" s="505"/>
      <c r="O53" s="459" t="str">
        <f>IF(M53="","",+M53*3*1.03)</f>
        <v/>
      </c>
      <c r="P53" s="488"/>
      <c r="Q53" s="477"/>
      <c r="R53" s="508"/>
      <c r="S53" s="530"/>
      <c r="T53" s="398"/>
      <c r="U53" s="398"/>
    </row>
    <row r="54" spans="2:21" x14ac:dyDescent="0.25">
      <c r="C54" s="1057"/>
      <c r="D54" s="840">
        <v>0.15</v>
      </c>
      <c r="E54" s="779" t="s">
        <v>18</v>
      </c>
      <c r="F54" s="397">
        <f>IF(OR(F44&lt;&gt;"",+F35&lt;&gt;""),F44+F35,"")</f>
        <v>137.91</v>
      </c>
      <c r="G54" s="357">
        <f>G22</f>
        <v>0.15</v>
      </c>
      <c r="H54" s="357">
        <f>H22</f>
        <v>0.2</v>
      </c>
      <c r="I54" s="440"/>
      <c r="J54" s="443" t="s">
        <v>650</v>
      </c>
      <c r="K54" s="428">
        <f>IF(AND(G54&lt;&gt;"",H54&lt;&gt;"",F54&lt;&gt;""),+G54*H54*F54,"")</f>
        <v>4.1372999999999998</v>
      </c>
      <c r="L54" s="811">
        <v>350</v>
      </c>
      <c r="M54" s="466">
        <f>IF(K54="","",L54*K54*0.001*1.02)</f>
        <v>1.4770160999999999</v>
      </c>
      <c r="N54" s="812">
        <v>0.45</v>
      </c>
      <c r="O54" s="466">
        <f>IF(K54="","",+N54*K54*1.03)</f>
        <v>1.9176385500000002</v>
      </c>
      <c r="P54" s="813">
        <v>0.85</v>
      </c>
      <c r="Q54" s="466">
        <f>IF(K54="","",P54*K54*1.44*1.03)</f>
        <v>5.2159768559999993</v>
      </c>
      <c r="R54" s="814">
        <v>70</v>
      </c>
      <c r="S54" s="531">
        <f t="shared" ref="S54:S59" si="14">IF(K54="","",R54*K54*0.001*1.05)</f>
        <v>0.30409155000000004</v>
      </c>
      <c r="T54" s="398"/>
      <c r="U54" s="398"/>
    </row>
    <row r="55" spans="2:21" x14ac:dyDescent="0.25">
      <c r="C55" s="1057"/>
      <c r="D55" s="840">
        <v>0.2</v>
      </c>
      <c r="E55" s="779" t="s">
        <v>19</v>
      </c>
      <c r="F55" s="397" t="str">
        <f>IF(+F25&lt;&gt;"",F25,"")</f>
        <v/>
      </c>
      <c r="G55" s="357">
        <f>+G25</f>
        <v>0</v>
      </c>
      <c r="H55" s="601">
        <v>3</v>
      </c>
      <c r="I55" s="357" t="str">
        <f>IF(I25&lt;&gt;"",+I25,"")</f>
        <v/>
      </c>
      <c r="J55" s="443" t="s">
        <v>650</v>
      </c>
      <c r="K55" s="428" t="str">
        <f>IF(AND(F55&lt;&gt;"",G55&lt;&gt;"",H55&lt;&gt;"",I55&lt;&gt;""),F55*G55*H55*I55,"")</f>
        <v/>
      </c>
      <c r="L55" s="815">
        <v>350</v>
      </c>
      <c r="M55" s="456" t="str">
        <f t="shared" ref="M55:M59" si="15">IF(K55="","",L55*K55*0.001*1.02)</f>
        <v/>
      </c>
      <c r="N55" s="812">
        <v>0.45</v>
      </c>
      <c r="O55" s="456" t="str">
        <f t="shared" ref="O55:O59" si="16">IF(K55="","",+N55*K55*1.03)</f>
        <v/>
      </c>
      <c r="P55" s="813">
        <v>0.85</v>
      </c>
      <c r="Q55" s="456" t="str">
        <f t="shared" ref="Q55:Q59" si="17">IF(K55="","",P55*K55*1.44*1.03)</f>
        <v/>
      </c>
      <c r="R55" s="814">
        <v>90</v>
      </c>
      <c r="S55" s="521" t="str">
        <f t="shared" si="14"/>
        <v/>
      </c>
      <c r="T55" s="398"/>
      <c r="U55" s="398"/>
    </row>
    <row r="56" spans="2:21" x14ac:dyDescent="0.25">
      <c r="D56" s="840">
        <v>0.25</v>
      </c>
      <c r="E56" s="779" t="s">
        <v>10</v>
      </c>
      <c r="F56" s="658" t="str">
        <f>IF(F28&lt;&gt;"",F28,"")</f>
        <v/>
      </c>
      <c r="G56" s="600"/>
      <c r="H56" s="600"/>
      <c r="I56" s="440"/>
      <c r="J56" s="443" t="s">
        <v>650</v>
      </c>
      <c r="K56" s="428" t="str">
        <f>IF(AND(G56&lt;&gt;"",H56&lt;&gt;"",F56&lt;&gt;""),G56*H56*F56,"")</f>
        <v/>
      </c>
      <c r="L56" s="815">
        <v>350</v>
      </c>
      <c r="M56" s="456" t="str">
        <f t="shared" si="15"/>
        <v/>
      </c>
      <c r="N56" s="812">
        <f>N55</f>
        <v>0.45</v>
      </c>
      <c r="O56" s="456" t="str">
        <f t="shared" si="16"/>
        <v/>
      </c>
      <c r="P56" s="813">
        <f>P55</f>
        <v>0.85</v>
      </c>
      <c r="Q56" s="456" t="str">
        <f t="shared" si="17"/>
        <v/>
      </c>
      <c r="R56" s="814">
        <v>75</v>
      </c>
      <c r="S56" s="521" t="str">
        <f t="shared" si="14"/>
        <v/>
      </c>
      <c r="T56" s="398"/>
      <c r="U56" s="398"/>
    </row>
    <row r="57" spans="2:21" x14ac:dyDescent="0.25">
      <c r="D57" s="840">
        <v>0.3</v>
      </c>
      <c r="E57" s="779" t="s">
        <v>20</v>
      </c>
      <c r="F57" s="397" t="str">
        <f>IF(+F27&lt;&gt;"",F27,"")</f>
        <v/>
      </c>
      <c r="G57" s="600">
        <f>+G27</f>
        <v>0.15</v>
      </c>
      <c r="H57" s="600">
        <v>3</v>
      </c>
      <c r="I57" s="600">
        <f>IF(+I27&lt;&gt;"",+I27,"")</f>
        <v>19</v>
      </c>
      <c r="J57" s="443" t="s">
        <v>650</v>
      </c>
      <c r="K57" s="428" t="str">
        <f>IF(AND(F57&lt;&gt;"",G57&lt;&gt;"",H57&lt;&gt;"",I57&lt;&gt;""),F57*G57*H57*I57,"")</f>
        <v/>
      </c>
      <c r="L57" s="815">
        <v>350</v>
      </c>
      <c r="M57" s="456" t="str">
        <f t="shared" si="15"/>
        <v/>
      </c>
      <c r="N57" s="812">
        <v>0.45</v>
      </c>
      <c r="O57" s="456" t="str">
        <f t="shared" si="16"/>
        <v/>
      </c>
      <c r="P57" s="813">
        <v>0.85</v>
      </c>
      <c r="Q57" s="456" t="str">
        <f t="shared" si="17"/>
        <v/>
      </c>
      <c r="R57" s="814">
        <v>70</v>
      </c>
      <c r="S57" s="521" t="str">
        <f t="shared" si="14"/>
        <v/>
      </c>
      <c r="T57" s="398"/>
      <c r="U57" s="398"/>
    </row>
    <row r="58" spans="2:21" x14ac:dyDescent="0.25">
      <c r="D58" s="840">
        <v>0.4</v>
      </c>
      <c r="E58" s="779" t="s">
        <v>21</v>
      </c>
      <c r="F58" s="658"/>
      <c r="G58" s="600"/>
      <c r="H58" s="600"/>
      <c r="I58" s="600"/>
      <c r="J58" s="443" t="s">
        <v>650</v>
      </c>
      <c r="K58" s="428" t="str">
        <f>IF((G58*H58*F58*I58)&gt;0,G58*H58*F58*I58,"")</f>
        <v/>
      </c>
      <c r="L58" s="815">
        <v>350</v>
      </c>
      <c r="M58" s="456" t="str">
        <f t="shared" si="15"/>
        <v/>
      </c>
      <c r="N58" s="812">
        <v>0.45</v>
      </c>
      <c r="O58" s="456" t="str">
        <f t="shared" si="16"/>
        <v/>
      </c>
      <c r="P58" s="813">
        <v>0.85</v>
      </c>
      <c r="Q58" s="456" t="str">
        <f t="shared" si="17"/>
        <v/>
      </c>
      <c r="R58" s="814">
        <v>110</v>
      </c>
      <c r="S58" s="521" t="str">
        <f t="shared" si="14"/>
        <v/>
      </c>
      <c r="T58" s="398"/>
      <c r="U58" s="398"/>
    </row>
    <row r="59" spans="2:21" x14ac:dyDescent="0.25">
      <c r="D59" s="840">
        <v>0.5</v>
      </c>
      <c r="E59" s="779" t="s">
        <v>22</v>
      </c>
      <c r="F59" s="399"/>
      <c r="G59" s="399"/>
      <c r="H59" s="399"/>
      <c r="I59" s="399"/>
      <c r="J59" s="443" t="s">
        <v>650</v>
      </c>
      <c r="K59" s="429">
        <f>IF(AND(I60&gt;=2,F61&lt;&gt;"",I61&lt;&gt;""),((((SQRT(H61^2+G61^2)*H62)+((H61*G61)/2))*F61*I61*I60)+((F61*1.2)*(F61*2+F60)*H63*(I60-1))),IF(AND(I60=1,F61&lt;&gt;"",I61&lt;&gt;""),((((SQRT(H61^2+G61^2)*H62)+((H61*G61)/2))*F61*I61*I60)+((F61*1.2)*(F61*2+F60)*H63*I60)),""))</f>
        <v>1.4519372657420784</v>
      </c>
      <c r="L59" s="815">
        <v>350</v>
      </c>
      <c r="M59" s="456">
        <f t="shared" si="15"/>
        <v>0.51834160386992201</v>
      </c>
      <c r="N59" s="812">
        <v>0.45</v>
      </c>
      <c r="O59" s="456">
        <f t="shared" si="16"/>
        <v>0.67297292267145337</v>
      </c>
      <c r="P59" s="813">
        <v>0.85</v>
      </c>
      <c r="Q59" s="456">
        <f t="shared" si="17"/>
        <v>1.830486349666353</v>
      </c>
      <c r="R59" s="814">
        <v>100</v>
      </c>
      <c r="S59" s="521">
        <f t="shared" si="14"/>
        <v>0.15245341290291825</v>
      </c>
      <c r="T59" s="398"/>
      <c r="U59" s="398"/>
    </row>
    <row r="60" spans="2:21" ht="17.25" thickBot="1" x14ac:dyDescent="0.3">
      <c r="D60" s="840">
        <v>0.6</v>
      </c>
      <c r="E60" s="789" t="s">
        <v>533</v>
      </c>
      <c r="F60" s="658">
        <v>0.1</v>
      </c>
      <c r="G60" s="440"/>
      <c r="H60" s="440"/>
      <c r="I60" s="600">
        <v>1</v>
      </c>
      <c r="J60" s="443"/>
      <c r="K60" s="428">
        <f>IF(AND(K61&lt;&gt;"",K62&lt;&gt;"",K63&lt;&gt;""),SUM(K61:K63),"")</f>
        <v>1.4519372657420784</v>
      </c>
      <c r="L60" s="816"/>
      <c r="M60" s="467">
        <f ca="1">IF($K$60&lt;&gt;"",SUM(M60:M63),"")</f>
        <v>0</v>
      </c>
      <c r="N60" s="506"/>
      <c r="O60" s="467" t="str">
        <f ca="1">IF($K$60&lt;&gt;"",SUM(O60:O63),"")</f>
        <v/>
      </c>
      <c r="P60" s="489"/>
      <c r="Q60" s="467" t="str">
        <f ca="1">IF($K$60&lt;&gt;"",SUM(Q60:Q63),"")</f>
        <v/>
      </c>
      <c r="R60" s="506"/>
      <c r="S60" s="532" t="str">
        <f ca="1">IF($K$60&lt;&gt;"",SUM(S60:S63),"")</f>
        <v/>
      </c>
      <c r="T60" s="398"/>
      <c r="U60" s="398"/>
    </row>
    <row r="61" spans="2:21" x14ac:dyDescent="0.25">
      <c r="D61" s="840">
        <v>0.7</v>
      </c>
      <c r="E61" s="789" t="s">
        <v>530</v>
      </c>
      <c r="F61" s="658">
        <v>1</v>
      </c>
      <c r="G61" s="600">
        <v>0.28999999999999998</v>
      </c>
      <c r="H61" s="600">
        <v>0.17499999999999999</v>
      </c>
      <c r="I61" s="600">
        <v>16</v>
      </c>
      <c r="J61" s="443" t="s">
        <v>650</v>
      </c>
      <c r="K61" s="427">
        <f>IF(AND(I60&lt;&gt;"",F61&lt;&gt;"",I61&lt;&gt;""),F61*I61*I60*(G61*H61)/2,"")</f>
        <v>0.40599999999999997</v>
      </c>
      <c r="L61" s="817">
        <v>350</v>
      </c>
      <c r="M61" s="468">
        <f t="shared" ref="M61:M63" si="18">IF(K61="","",L61*K61*0.001*1.02)</f>
        <v>0.14494200000000002</v>
      </c>
      <c r="N61" s="808">
        <v>0.45</v>
      </c>
      <c r="O61" s="468">
        <f t="shared" ref="O61:O63" si="19">IF(K61="","",+N61*K61*1.03)</f>
        <v>0.18818100000000001</v>
      </c>
      <c r="P61" s="809">
        <v>0.85</v>
      </c>
      <c r="Q61" s="468">
        <f t="shared" ref="Q61:Q63" si="20">IF(K61="","",P61*K61*1.44*1.03)</f>
        <v>0.51185231999999992</v>
      </c>
      <c r="R61" s="810">
        <v>100</v>
      </c>
      <c r="S61" s="533">
        <f t="shared" ref="S61:S63" si="21">IF(K61="","",R61*K61*0.001*1.05)</f>
        <v>4.2630000000000001E-2</v>
      </c>
      <c r="T61" s="398"/>
      <c r="U61" s="398"/>
    </row>
    <row r="62" spans="2:21" x14ac:dyDescent="0.25">
      <c r="B62" s="324">
        <v>1</v>
      </c>
      <c r="D62" s="841"/>
      <c r="E62" s="789" t="s">
        <v>531</v>
      </c>
      <c r="F62" s="653">
        <f>IF(AND(F61&lt;&gt;"",G61*H61&gt;0),I61*SQRT(G61^2+H61^2),"")</f>
        <v>5.4193726574207828</v>
      </c>
      <c r="G62" s="357">
        <f>IF(F61&lt;&gt;"",F61,"")</f>
        <v>1</v>
      </c>
      <c r="H62" s="600">
        <v>0.1</v>
      </c>
      <c r="I62" s="357">
        <f t="shared" ref="I62" si="22">IF(I60&lt;&gt;"",I60,"")</f>
        <v>1</v>
      </c>
      <c r="J62" s="443" t="s">
        <v>650</v>
      </c>
      <c r="K62" s="428">
        <f>IF(AND(F62&lt;&gt;"",G62&lt;&gt;"",H62&lt;&gt;"",I62&lt;&gt;""),F62*G62*H62*I62,"")</f>
        <v>0.54193726574207834</v>
      </c>
      <c r="L62" s="815">
        <v>350</v>
      </c>
      <c r="M62" s="469">
        <f t="shared" si="18"/>
        <v>0.19347160386992199</v>
      </c>
      <c r="N62" s="812">
        <v>0.45</v>
      </c>
      <c r="O62" s="469">
        <f t="shared" si="19"/>
        <v>0.25118792267145329</v>
      </c>
      <c r="P62" s="813">
        <v>0.85</v>
      </c>
      <c r="Q62" s="469">
        <f t="shared" si="20"/>
        <v>0.6832311496663529</v>
      </c>
      <c r="R62" s="814">
        <v>100</v>
      </c>
      <c r="S62" s="534">
        <f t="shared" si="21"/>
        <v>5.6903412902918234E-2</v>
      </c>
      <c r="T62" s="398"/>
      <c r="U62" s="398"/>
    </row>
    <row r="63" spans="2:21" ht="13.5" customHeight="1" thickBot="1" x14ac:dyDescent="0.3">
      <c r="B63" s="324">
        <v>2</v>
      </c>
      <c r="D63" s="841"/>
      <c r="E63" s="789" t="s">
        <v>532</v>
      </c>
      <c r="F63" s="397">
        <f>IF(F61="","",1.2*F61)</f>
        <v>1.2</v>
      </c>
      <c r="G63" s="830">
        <f>IF(F61="","",2*F61+F60)</f>
        <v>2.1</v>
      </c>
      <c r="H63" s="600">
        <v>0.2</v>
      </c>
      <c r="I63" s="357">
        <f t="shared" ref="I63" si="23">IF(I60&gt;=2,I60-1,IF(I60=1,I60,""))</f>
        <v>1</v>
      </c>
      <c r="J63" s="443" t="s">
        <v>650</v>
      </c>
      <c r="K63" s="428">
        <f>IF(AND(F63&lt;&gt;"",G63&lt;&gt;"",H63&lt;&gt;"",I63&lt;&gt;""),F63*G63*H63*I63,"")</f>
        <v>0.504</v>
      </c>
      <c r="L63" s="816">
        <v>350</v>
      </c>
      <c r="M63" s="470">
        <f t="shared" si="18"/>
        <v>0.179928</v>
      </c>
      <c r="N63" s="506">
        <v>0.45</v>
      </c>
      <c r="O63" s="470">
        <f t="shared" si="19"/>
        <v>0.23360400000000001</v>
      </c>
      <c r="P63" s="489">
        <v>0.85</v>
      </c>
      <c r="Q63" s="470">
        <f t="shared" si="20"/>
        <v>0.63540288</v>
      </c>
      <c r="R63" s="818">
        <v>100</v>
      </c>
      <c r="S63" s="535">
        <f t="shared" si="21"/>
        <v>5.2920000000000002E-2</v>
      </c>
      <c r="T63" s="398"/>
      <c r="U63" s="398"/>
    </row>
    <row r="64" spans="2:21" x14ac:dyDescent="0.25">
      <c r="D64" s="838"/>
      <c r="E64" s="779" t="s">
        <v>541</v>
      </c>
      <c r="F64" s="660"/>
      <c r="G64" s="660"/>
      <c r="H64" s="660">
        <v>0.1</v>
      </c>
      <c r="I64" s="660"/>
      <c r="J64" s="443" t="s">
        <v>650</v>
      </c>
      <c r="K64" s="428" t="str">
        <f>IF((+F64*G64*H64*I64)&gt;0,+F64*G64*H64*I64,"")</f>
        <v/>
      </c>
      <c r="L64" s="806">
        <v>350</v>
      </c>
      <c r="M64" s="471" t="str">
        <f t="shared" ref="M64" si="24">IF(K64="","",L64*K64*0.001*1.02)</f>
        <v/>
      </c>
      <c r="N64" s="819">
        <v>0.45</v>
      </c>
      <c r="O64" s="471" t="str">
        <f t="shared" ref="O64" si="25">IF(K64="","",+N64*K64*1.03)</f>
        <v/>
      </c>
      <c r="P64" s="809">
        <v>0.85</v>
      </c>
      <c r="Q64" s="471" t="str">
        <f t="shared" ref="Q64" si="26">IF(K64="","",P64*K64*1.44*1.03)</f>
        <v/>
      </c>
      <c r="R64" s="810">
        <v>50</v>
      </c>
      <c r="S64" s="536" t="str">
        <f t="shared" ref="S64" si="27">IF(K64="","",R64*K64*0.001*1.05)</f>
        <v/>
      </c>
      <c r="T64" s="398"/>
      <c r="U64" s="398"/>
    </row>
    <row r="65" spans="1:21" x14ac:dyDescent="0.25">
      <c r="D65" s="840">
        <v>1.4999999999999999E-2</v>
      </c>
      <c r="E65" s="779" t="s">
        <v>542</v>
      </c>
      <c r="F65" s="413" t="s">
        <v>564</v>
      </c>
      <c r="G65" s="830">
        <v>12</v>
      </c>
      <c r="H65" s="440"/>
      <c r="I65" s="323" t="str">
        <f>IF(K65="","",K65*G65)</f>
        <v/>
      </c>
      <c r="J65" s="445" t="s">
        <v>648</v>
      </c>
      <c r="K65" s="428" t="str">
        <f>IF(AND(F64&lt;&gt;"",G64&lt;&gt;""),+F64*G64*I64,"")</f>
        <v/>
      </c>
      <c r="L65" s="811">
        <v>300</v>
      </c>
      <c r="M65" s="456" t="str">
        <f>IF(I65="","",+I65*1.02/L65)</f>
        <v/>
      </c>
      <c r="N65" s="330"/>
      <c r="O65" s="456" t="str">
        <f>IF(M65="","",+M65*3*1.03)</f>
        <v/>
      </c>
      <c r="P65" s="495"/>
      <c r="Q65" s="477"/>
      <c r="R65" s="509"/>
      <c r="S65" s="530"/>
      <c r="T65" s="398"/>
      <c r="U65" s="398"/>
    </row>
    <row r="66" spans="1:21" ht="15.75" customHeight="1" x14ac:dyDescent="0.25">
      <c r="D66" s="840">
        <v>0.02</v>
      </c>
      <c r="E66" s="779" t="s">
        <v>574</v>
      </c>
      <c r="F66" s="439"/>
      <c r="G66" s="440"/>
      <c r="H66" s="440"/>
      <c r="I66" s="440"/>
      <c r="J66" s="443" t="s">
        <v>650</v>
      </c>
      <c r="K66" s="428" t="str">
        <f>IF((+F64*G64*0.05*I64)&gt;0,+F64*G64*0.05*I64,"")</f>
        <v/>
      </c>
      <c r="L66" s="811">
        <v>400</v>
      </c>
      <c r="M66" s="456" t="str">
        <f t="shared" ref="M66:M69" si="28">IF(K66="","",L66*K66*0.001*1.02)</f>
        <v/>
      </c>
      <c r="N66" s="820">
        <v>1</v>
      </c>
      <c r="O66" s="456" t="str">
        <f>IF(K66="","",N66*K66*1.03)</f>
        <v/>
      </c>
      <c r="P66" s="495"/>
      <c r="Q66" s="477"/>
      <c r="R66" s="508"/>
      <c r="S66" s="530"/>
      <c r="T66" s="398"/>
      <c r="U66" s="398"/>
    </row>
    <row r="67" spans="1:21" ht="13.5" customHeight="1" x14ac:dyDescent="0.25">
      <c r="D67" s="840">
        <v>0.03</v>
      </c>
      <c r="E67" s="779" t="s">
        <v>575</v>
      </c>
      <c r="F67" s="397">
        <f>IF(AND(F36&lt;&gt;"",G36&lt;&gt;""),2*(F36+G36),"")</f>
        <v>58.3</v>
      </c>
      <c r="G67" s="600">
        <v>1.4999999999999999E-2</v>
      </c>
      <c r="H67" s="830">
        <f>IF(AND(H22&lt;&gt;"",H35&lt;&gt;"",+H21&lt;&gt;"",H54&lt;&gt;""),H22+H54+H35+H21/2,"")</f>
        <v>3.75</v>
      </c>
      <c r="I67" s="399"/>
      <c r="J67" s="443" t="s">
        <v>648</v>
      </c>
      <c r="K67" s="431">
        <f>IF(AND(F67&lt;&gt;"",H67&lt;&gt;"",G36&lt;&gt;"",H36&lt;&gt;""),(F67*H67+G36*H36-(SUMIF(F38:F42,"Baie ext",K38:K42)+SUMIF(F47:F51,"Baie ext",K47:K51)))*G67,IF(AND(F67&lt;&gt;"",H67&lt;&gt;"",G36="",H36=""),(F67*H67-(SUMIF(F38:F42,"Baie ext",K38:K42)+SUMIF(F47:F51,"Baie ext",K47:K51)))*G67,""))</f>
        <v>3.1841437500000001</v>
      </c>
      <c r="L67" s="811">
        <v>350</v>
      </c>
      <c r="M67" s="466">
        <f t="shared" si="28"/>
        <v>1.1367393187500001</v>
      </c>
      <c r="N67" s="820">
        <v>1</v>
      </c>
      <c r="O67" s="456">
        <f t="shared" ref="O67:O68" si="29">IF(K67="","",N67*K67*1.03)</f>
        <v>3.2796680625000003</v>
      </c>
      <c r="P67" s="813"/>
      <c r="Q67" s="477"/>
      <c r="R67" s="508"/>
      <c r="S67" s="530"/>
      <c r="T67" s="398"/>
      <c r="U67" s="398"/>
    </row>
    <row r="68" spans="1:21" ht="13.5" customHeight="1" x14ac:dyDescent="0.25">
      <c r="D68" s="840">
        <v>0.04</v>
      </c>
      <c r="E68" s="779" t="s">
        <v>577</v>
      </c>
      <c r="F68" s="397">
        <f>IF(AND(F12&lt;&gt;"",F67&lt;&gt;""),F12-F67,"")</f>
        <v>79.61</v>
      </c>
      <c r="G68" s="600">
        <v>1.4999999999999999E-2</v>
      </c>
      <c r="H68" s="357">
        <f>IF(AND(H35&lt;&gt;"",H54&lt;&gt;""),H35+H54,"")</f>
        <v>3.2</v>
      </c>
      <c r="I68" s="399"/>
      <c r="J68" s="443" t="s">
        <v>648</v>
      </c>
      <c r="K68" s="431">
        <f>IF(AND(F68&lt;&gt;"",H68&lt;&gt;""),(F68*H68-(SUMIF(F38:F42,"Baie int",K38:K42)+SUMIF(F47:F51,"Baie int",K47:K51)))*G68,"")</f>
        <v>3.4582800000000002</v>
      </c>
      <c r="L68" s="811">
        <v>250</v>
      </c>
      <c r="M68" s="466">
        <f t="shared" si="28"/>
        <v>0.88186140000000013</v>
      </c>
      <c r="N68" s="820">
        <v>1</v>
      </c>
      <c r="O68" s="456">
        <f t="shared" si="29"/>
        <v>3.5620284000000004</v>
      </c>
      <c r="P68" s="495"/>
      <c r="Q68" s="477"/>
      <c r="R68" s="508"/>
      <c r="S68" s="530"/>
      <c r="T68" s="398"/>
      <c r="U68" s="398"/>
    </row>
    <row r="69" spans="1:21" ht="13.5" customHeight="1" thickBot="1" x14ac:dyDescent="0.3">
      <c r="D69" s="840">
        <v>0.05</v>
      </c>
      <c r="E69" s="779" t="s">
        <v>576</v>
      </c>
      <c r="F69" s="441"/>
      <c r="G69" s="441"/>
      <c r="H69" s="441"/>
      <c r="I69" s="399"/>
      <c r="J69" s="443" t="s">
        <v>650</v>
      </c>
      <c r="K69" s="431">
        <f>IF(AND(K34&lt;&gt;"",K43=""),K34*0.028875,IF(AND(K34="",K43&lt;&gt;""),K43*0.01925,IF(AND(K34&lt;&gt;"",K43&lt;&gt;""),K34*0.028875+K43*0.01925,"")))</f>
        <v>9.0024158984374996</v>
      </c>
      <c r="L69" s="807">
        <v>250</v>
      </c>
      <c r="M69" s="472">
        <f t="shared" si="28"/>
        <v>2.2956160541015622</v>
      </c>
      <c r="N69" s="821">
        <v>1</v>
      </c>
      <c r="O69" s="476">
        <f>IF(K69="","",N69*K69*1.03)</f>
        <v>9.2724883753906244</v>
      </c>
      <c r="P69" s="494"/>
      <c r="Q69" s="478"/>
      <c r="R69" s="510"/>
      <c r="S69" s="537"/>
      <c r="T69" s="398"/>
      <c r="U69" s="398"/>
    </row>
    <row r="70" spans="1:21" ht="13.5" customHeight="1" thickBot="1" x14ac:dyDescent="0.3">
      <c r="D70" s="838"/>
      <c r="E70" s="790"/>
      <c r="F70" s="1058" t="s">
        <v>570</v>
      </c>
      <c r="G70" s="1058"/>
      <c r="H70" s="1058"/>
      <c r="I70" s="1058"/>
      <c r="J70" s="1058"/>
      <c r="K70" s="1059"/>
      <c r="L70" s="803" t="s">
        <v>27</v>
      </c>
      <c r="M70" s="553">
        <f>SUM(M54:M59,M66,M64,M52)</f>
        <v>1.995357703869922</v>
      </c>
      <c r="N70" s="822" t="s">
        <v>651</v>
      </c>
      <c r="O70" s="553">
        <f>SUM(O54:O59,O66,O64,O52)</f>
        <v>2.5906114726714535</v>
      </c>
      <c r="P70" s="804" t="s">
        <v>27</v>
      </c>
      <c r="Q70" s="553">
        <f>SUM(Q54:Q59,Q66,Q64,Q52)</f>
        <v>7.0464632056663525</v>
      </c>
      <c r="R70" s="651" t="s">
        <v>27</v>
      </c>
      <c r="S70" s="554">
        <f>SUM(S54:S59,S66,S64,S52)</f>
        <v>0.45654496290291829</v>
      </c>
      <c r="T70" s="398"/>
      <c r="U70" s="398"/>
    </row>
    <row r="71" spans="1:21" ht="24.75" customHeight="1" thickBot="1" x14ac:dyDescent="0.3">
      <c r="D71" s="839" t="s">
        <v>652</v>
      </c>
      <c r="E71" s="595" t="s">
        <v>23</v>
      </c>
      <c r="F71" s="1062" t="s">
        <v>578</v>
      </c>
      <c r="G71" s="1062"/>
      <c r="H71" s="1062"/>
      <c r="I71" s="1062"/>
      <c r="J71" s="1062"/>
      <c r="K71" s="1062"/>
      <c r="L71" s="555"/>
      <c r="M71" s="556"/>
      <c r="N71" s="557"/>
      <c r="O71" s="558"/>
      <c r="P71" s="559"/>
      <c r="Q71" s="558"/>
      <c r="R71" s="560"/>
      <c r="S71" s="562"/>
      <c r="T71" s="398"/>
      <c r="U71" s="398"/>
    </row>
    <row r="72" spans="1:21" ht="18" customHeight="1" x14ac:dyDescent="0.25">
      <c r="D72" s="838"/>
      <c r="E72" s="597" t="s">
        <v>565</v>
      </c>
      <c r="F72" s="657">
        <v>1</v>
      </c>
      <c r="G72" s="1044" t="s">
        <v>705</v>
      </c>
      <c r="H72" s="1045"/>
      <c r="I72" s="1045"/>
      <c r="J72" s="1045"/>
      <c r="K72" s="1045"/>
      <c r="L72" s="1045"/>
      <c r="M72" s="1045"/>
      <c r="N72" s="330"/>
      <c r="O72" s="337"/>
      <c r="P72" s="492"/>
      <c r="Q72" s="337"/>
      <c r="R72" s="342"/>
      <c r="S72" s="525"/>
      <c r="T72" s="398"/>
      <c r="U72" s="398"/>
    </row>
    <row r="73" spans="1:21" ht="18.75" thickBot="1" x14ac:dyDescent="0.3">
      <c r="D73" s="838"/>
      <c r="E73" s="598" t="s">
        <v>36</v>
      </c>
      <c r="F73" s="658" t="s">
        <v>37</v>
      </c>
      <c r="G73" s="1046"/>
      <c r="H73" s="1047"/>
      <c r="I73" s="1047"/>
      <c r="J73" s="1047"/>
      <c r="K73" s="1047"/>
      <c r="L73" s="1047"/>
      <c r="M73" s="1047"/>
      <c r="N73" s="507"/>
      <c r="O73" s="338"/>
      <c r="P73" s="491"/>
      <c r="Q73" s="338"/>
      <c r="R73" s="343"/>
      <c r="S73" s="527"/>
      <c r="T73" s="398"/>
      <c r="U73" s="398"/>
    </row>
    <row r="74" spans="1:21" x14ac:dyDescent="0.25">
      <c r="D74" s="838"/>
      <c r="E74" s="779" t="s">
        <v>544</v>
      </c>
      <c r="F74" s="399"/>
      <c r="G74" s="538"/>
      <c r="H74" s="399"/>
      <c r="I74" s="322">
        <f>IF(K74="","",ROUNDUP(K74*$G$34,0))</f>
        <v>2312</v>
      </c>
      <c r="J74" s="448" t="s">
        <v>648</v>
      </c>
      <c r="K74" s="432">
        <f>IF(AND(K75="",K76&gt;0),K76,IF(K76="",K75,K75+K76))</f>
        <v>192.66</v>
      </c>
      <c r="L74" s="823">
        <v>500</v>
      </c>
      <c r="M74" s="459">
        <f>IF(I74="","",+I74*1.02/L74)</f>
        <v>4.7164800000000007</v>
      </c>
      <c r="N74" s="330"/>
      <c r="O74" s="500">
        <f>IF(M74="","",+M74*3*1.03)</f>
        <v>14.573923200000003</v>
      </c>
      <c r="P74" s="495"/>
      <c r="Q74" s="331"/>
      <c r="R74" s="342"/>
      <c r="S74" s="525"/>
      <c r="T74" s="398"/>
      <c r="U74" s="398"/>
    </row>
    <row r="75" spans="1:21" ht="17.25" customHeight="1" thickBot="1" x14ac:dyDescent="0.3">
      <c r="A75" s="326" t="s">
        <v>37</v>
      </c>
      <c r="D75" s="838"/>
      <c r="E75" s="779" t="s">
        <v>551</v>
      </c>
      <c r="F75" s="658">
        <f>F35</f>
        <v>64.22</v>
      </c>
      <c r="G75" s="357">
        <f>IF(F72&lt;&gt;"",0.15,"")</f>
        <v>0.15</v>
      </c>
      <c r="H75" s="600">
        <v>3</v>
      </c>
      <c r="I75" s="322">
        <f>IF(K75="","",ROUNDUP(K75*$G$34,0))</f>
        <v>2312</v>
      </c>
      <c r="J75" s="443" t="s">
        <v>649</v>
      </c>
      <c r="K75" s="432">
        <f>IF(OR($F$72="",F75="",H75=""),"",IF(K77="",F75*H75*$F$72,(F75*H75-K77)*$F$72))</f>
        <v>192.66</v>
      </c>
      <c r="L75" s="823">
        <v>500</v>
      </c>
      <c r="M75" s="456">
        <f>IF(I75="","",+I75*1.02/L75)</f>
        <v>4.7164800000000007</v>
      </c>
      <c r="N75" s="330"/>
      <c r="O75" s="501">
        <f>IF(M75="","",+M75*3*1.03)</f>
        <v>14.573923200000003</v>
      </c>
      <c r="P75" s="495"/>
      <c r="Q75" s="331"/>
      <c r="R75" s="342"/>
      <c r="S75" s="525"/>
      <c r="T75" s="398"/>
      <c r="U75" s="398"/>
    </row>
    <row r="76" spans="1:21" ht="19.5" customHeight="1" x14ac:dyDescent="0.25">
      <c r="A76" s="326" t="s">
        <v>38</v>
      </c>
      <c r="D76" s="838"/>
      <c r="E76" s="779" t="s">
        <v>695</v>
      </c>
      <c r="F76" s="599">
        <v>7.2</v>
      </c>
      <c r="G76" s="601">
        <v>6.4</v>
      </c>
      <c r="H76" s="357"/>
      <c r="I76" s="357" t="str">
        <f>IF(AND(F76&lt;&gt;"",F72&lt;&gt;"",F73="sans plancher"),ROUNDUP(F76/4,0)+1,"")</f>
        <v/>
      </c>
      <c r="J76" s="443" t="s">
        <v>649</v>
      </c>
      <c r="K76" s="432" t="str">
        <f>IF(OR(AND(G76="",H76="",G75=""),AND(G76="",H76="",G75&gt;0),F73="avec plancher"),"",(2*G76*H76)*(0.5-G75/8))</f>
        <v/>
      </c>
      <c r="L76" s="485"/>
      <c r="M76" s="497"/>
      <c r="N76" s="418"/>
      <c r="O76" s="502"/>
      <c r="P76" s="490"/>
      <c r="Q76" s="340"/>
      <c r="R76" s="341"/>
      <c r="S76" s="528"/>
      <c r="T76" s="398"/>
      <c r="U76" s="398"/>
    </row>
    <row r="77" spans="1:21" x14ac:dyDescent="0.25">
      <c r="D77" s="838"/>
      <c r="E77" s="779" t="s">
        <v>529</v>
      </c>
      <c r="F77" s="439"/>
      <c r="G77" s="440"/>
      <c r="H77" s="440"/>
      <c r="I77" s="440"/>
      <c r="J77" s="447"/>
      <c r="K77" s="430" t="str">
        <f>IF(AND($F$72&gt;0,F75&gt;0,H75&gt;0,SUM(K78:K82)&gt;0),$F$72*SUM(K78:K82),"")</f>
        <v/>
      </c>
      <c r="L77" s="487"/>
      <c r="M77" s="498"/>
      <c r="N77" s="330"/>
      <c r="O77" s="503"/>
      <c r="P77" s="492"/>
      <c r="Q77" s="337"/>
      <c r="R77" s="342"/>
      <c r="S77" s="525"/>
      <c r="T77" s="398"/>
      <c r="U77" s="398"/>
    </row>
    <row r="78" spans="1:21" x14ac:dyDescent="0.25">
      <c r="A78" s="324">
        <v>1</v>
      </c>
      <c r="D78" s="838"/>
      <c r="E78" s="598" t="s">
        <v>700</v>
      </c>
      <c r="F78" s="569" t="s">
        <v>662</v>
      </c>
      <c r="G78" s="600"/>
      <c r="H78" s="600">
        <v>2.2000000000000002</v>
      </c>
      <c r="I78" s="659">
        <v>1</v>
      </c>
      <c r="J78" s="443" t="s">
        <v>649</v>
      </c>
      <c r="K78" s="428"/>
      <c r="L78" s="487"/>
      <c r="M78" s="498"/>
      <c r="N78" s="330"/>
      <c r="O78" s="503"/>
      <c r="P78" s="492"/>
      <c r="Q78" s="337"/>
      <c r="R78" s="342"/>
      <c r="S78" s="525"/>
      <c r="T78" s="398"/>
      <c r="U78" s="398"/>
    </row>
    <row r="79" spans="1:21" x14ac:dyDescent="0.25">
      <c r="A79" s="324">
        <v>2</v>
      </c>
      <c r="D79" s="838"/>
      <c r="E79" s="598" t="s">
        <v>699</v>
      </c>
      <c r="F79" s="569" t="s">
        <v>662</v>
      </c>
      <c r="G79" s="600"/>
      <c r="H79" s="600"/>
      <c r="I79" s="659"/>
      <c r="J79" s="443" t="s">
        <v>649</v>
      </c>
      <c r="K79" s="428" t="str">
        <f t="shared" ref="K79:K80" si="30">IF(I79*H79*G79&gt;0,I79*H79*G79,"")</f>
        <v/>
      </c>
      <c r="L79" s="487"/>
      <c r="M79" s="498"/>
      <c r="N79" s="330"/>
      <c r="O79" s="503"/>
      <c r="P79" s="492"/>
      <c r="Q79" s="337"/>
      <c r="R79" s="342"/>
      <c r="S79" s="525"/>
      <c r="T79" s="398"/>
      <c r="U79" s="398"/>
    </row>
    <row r="80" spans="1:21" x14ac:dyDescent="0.25">
      <c r="A80" s="324">
        <v>3</v>
      </c>
      <c r="D80" s="838"/>
      <c r="E80" s="598" t="s">
        <v>698</v>
      </c>
      <c r="F80" s="569" t="s">
        <v>662</v>
      </c>
      <c r="G80" s="600"/>
      <c r="H80" s="600"/>
      <c r="I80" s="659"/>
      <c r="J80" s="443" t="s">
        <v>649</v>
      </c>
      <c r="K80" s="428" t="str">
        <f t="shared" si="30"/>
        <v/>
      </c>
      <c r="L80" s="487"/>
      <c r="M80" s="498"/>
      <c r="N80" s="330"/>
      <c r="O80" s="503"/>
      <c r="P80" s="492"/>
      <c r="Q80" s="337"/>
      <c r="R80" s="342"/>
      <c r="S80" s="525"/>
      <c r="T80" s="398"/>
      <c r="U80" s="398"/>
    </row>
    <row r="81" spans="1:22" x14ac:dyDescent="0.25">
      <c r="A81" s="324">
        <v>4</v>
      </c>
      <c r="D81" s="838"/>
      <c r="E81" s="598" t="s">
        <v>696</v>
      </c>
      <c r="F81" s="569" t="s">
        <v>662</v>
      </c>
      <c r="G81" s="600"/>
      <c r="H81" s="600"/>
      <c r="I81" s="659"/>
      <c r="J81" s="443" t="s">
        <v>649</v>
      </c>
      <c r="K81" s="428" t="str">
        <f t="shared" ref="K81:K82" si="31">IF(I81*H81*G81&gt;0,I81*H81*G81,"")</f>
        <v/>
      </c>
      <c r="L81" s="487"/>
      <c r="M81" s="498"/>
      <c r="N81" s="330"/>
      <c r="O81" s="503"/>
      <c r="P81" s="492"/>
      <c r="Q81" s="337"/>
      <c r="R81" s="342"/>
      <c r="S81" s="525"/>
      <c r="T81" s="398"/>
      <c r="U81" s="398"/>
    </row>
    <row r="82" spans="1:22" ht="18.75" thickBot="1" x14ac:dyDescent="0.3">
      <c r="A82" s="324">
        <v>5</v>
      </c>
      <c r="D82" s="838"/>
      <c r="E82" s="598" t="s">
        <v>697</v>
      </c>
      <c r="F82" s="569" t="s">
        <v>662</v>
      </c>
      <c r="G82" s="600"/>
      <c r="H82" s="600"/>
      <c r="I82" s="659"/>
      <c r="J82" s="443" t="s">
        <v>649</v>
      </c>
      <c r="K82" s="428" t="str">
        <f t="shared" si="31"/>
        <v/>
      </c>
      <c r="L82" s="486"/>
      <c r="M82" s="499"/>
      <c r="N82" s="507"/>
      <c r="O82" s="504"/>
      <c r="P82" s="491"/>
      <c r="Q82" s="338"/>
      <c r="R82" s="343"/>
      <c r="S82" s="527"/>
      <c r="T82" s="398"/>
      <c r="U82" s="398"/>
    </row>
    <row r="83" spans="1:22" x14ac:dyDescent="0.25">
      <c r="A83" s="324">
        <v>9</v>
      </c>
      <c r="D83" s="838"/>
      <c r="E83" s="779" t="s">
        <v>545</v>
      </c>
      <c r="F83" s="399"/>
      <c r="G83" s="399"/>
      <c r="H83" s="399"/>
      <c r="I83" s="322">
        <f>IF(K83="","",ROUNDUP(K83*11.5,0))</f>
        <v>2525</v>
      </c>
      <c r="J83" s="445" t="s">
        <v>648</v>
      </c>
      <c r="K83" s="432">
        <f>IF(AND(K84="",K85&gt;0),K85,IF(K85="",K84,K84+K85))</f>
        <v>219.53</v>
      </c>
      <c r="L83" s="823">
        <v>600</v>
      </c>
      <c r="M83" s="459">
        <f>IF(I83="","",+I83*1.02/L83)</f>
        <v>4.2925000000000004</v>
      </c>
      <c r="N83" s="330"/>
      <c r="O83" s="500">
        <f>IF(M83="","",+M83*3*1.03)</f>
        <v>13.263825000000002</v>
      </c>
      <c r="P83" s="495"/>
      <c r="Q83" s="331"/>
      <c r="R83" s="342"/>
      <c r="S83" s="525"/>
      <c r="T83" s="398"/>
      <c r="U83" s="398"/>
    </row>
    <row r="84" spans="1:22" ht="18.75" thickBot="1" x14ac:dyDescent="0.3">
      <c r="D84" s="838"/>
      <c r="E84" s="779" t="s">
        <v>548</v>
      </c>
      <c r="F84" s="658">
        <f>IF(F75="","",$F$19-F75)</f>
        <v>73.69</v>
      </c>
      <c r="G84" s="357">
        <v>0.1</v>
      </c>
      <c r="H84" s="357">
        <f>IF(H75="","",H75)</f>
        <v>3</v>
      </c>
      <c r="I84" s="322">
        <f>IF(K84="","",ROUNDUP(K84*$G$34,0))</f>
        <v>2635</v>
      </c>
      <c r="J84" s="443" t="s">
        <v>649</v>
      </c>
      <c r="K84" s="432">
        <f>IF(OR($F$72="",F84="",H84=""),"",IF(K86="",F84*H84*$F$72,(F84*H84-K86)*$F$72))</f>
        <v>219.53</v>
      </c>
      <c r="L84" s="823">
        <v>600</v>
      </c>
      <c r="M84" s="456">
        <f>IF(I84="","",+I84*1.02/L84)</f>
        <v>4.4795000000000007</v>
      </c>
      <c r="N84" s="330"/>
      <c r="O84" s="501">
        <f>IF(M84="","",+M84*3*1.03)</f>
        <v>13.841655000000001</v>
      </c>
      <c r="P84" s="495"/>
      <c r="Q84" s="331"/>
      <c r="R84" s="342"/>
      <c r="S84" s="525"/>
      <c r="T84" s="398"/>
      <c r="U84" s="398"/>
    </row>
    <row r="85" spans="1:22" x14ac:dyDescent="0.25">
      <c r="C85" s="1057"/>
      <c r="D85" s="838"/>
      <c r="E85" s="779" t="s">
        <v>527</v>
      </c>
      <c r="F85" s="414">
        <f>IF(F76="","",F76)</f>
        <v>7.2</v>
      </c>
      <c r="G85" s="356">
        <f>IF(G76="","",G76)</f>
        <v>6.4</v>
      </c>
      <c r="H85" s="357" t="str">
        <f>IF(AND(F72&lt;&gt;"",F73="sans plancher",G85&lt;&gt;""),(0.25*G85)/2,"")</f>
        <v/>
      </c>
      <c r="I85" s="357" t="str">
        <f>IF(AND(F85&lt;&gt;"",F72&lt;&gt;"",F73="sans plancher"),ROUNDUP(F85/4,0)+1,"")</f>
        <v/>
      </c>
      <c r="J85" s="443" t="s">
        <v>649</v>
      </c>
      <c r="K85" s="432" t="str">
        <f>IF(AND(G85&lt;&gt;"",H85&lt;&gt;"",G84&lt;&gt;"",I85&lt;&gt;""),(I85-2)*G85*H85*(0.5-G84/8),"")</f>
        <v/>
      </c>
      <c r="L85" s="485"/>
      <c r="M85" s="497"/>
      <c r="N85" s="418"/>
      <c r="O85" s="502"/>
      <c r="P85" s="490"/>
      <c r="Q85" s="340"/>
      <c r="R85" s="341"/>
      <c r="S85" s="528"/>
      <c r="T85" s="398"/>
      <c r="U85" s="416"/>
    </row>
    <row r="86" spans="1:22" x14ac:dyDescent="0.25">
      <c r="C86" s="1057"/>
      <c r="D86" s="838"/>
      <c r="E86" s="779" t="s">
        <v>529</v>
      </c>
      <c r="F86" s="399"/>
      <c r="G86" s="399"/>
      <c r="H86" s="399"/>
      <c r="I86" s="399"/>
      <c r="J86" s="526"/>
      <c r="K86" s="430">
        <f>IF(AND($F$72&gt;0,F84&gt;0,H84&gt;0,SUM(K87:K91)&gt;0),$F$72*SUM(K87:K91),"")</f>
        <v>1.54</v>
      </c>
      <c r="L86" s="487"/>
      <c r="M86" s="498"/>
      <c r="N86" s="330"/>
      <c r="O86" s="503"/>
      <c r="P86" s="492"/>
      <c r="Q86" s="337"/>
      <c r="R86" s="342"/>
      <c r="S86" s="525"/>
      <c r="T86" s="398"/>
      <c r="U86" s="416"/>
    </row>
    <row r="87" spans="1:22" x14ac:dyDescent="0.25">
      <c r="C87" s="1057"/>
      <c r="D87" s="838"/>
      <c r="E87" s="598" t="s">
        <v>12</v>
      </c>
      <c r="F87" s="569" t="s">
        <v>661</v>
      </c>
      <c r="G87" s="600">
        <v>0.7</v>
      </c>
      <c r="H87" s="600">
        <v>2.2000000000000002</v>
      </c>
      <c r="I87" s="600">
        <v>1</v>
      </c>
      <c r="J87" s="443" t="s">
        <v>649</v>
      </c>
      <c r="K87" s="428">
        <f>IF(I87*H87*G87&gt;0,I87*H87*G87,"")</f>
        <v>1.54</v>
      </c>
      <c r="L87" s="487"/>
      <c r="M87" s="498"/>
      <c r="N87" s="330"/>
      <c r="O87" s="503"/>
      <c r="P87" s="492"/>
      <c r="Q87" s="337"/>
      <c r="R87" s="342"/>
      <c r="S87" s="525"/>
      <c r="T87" s="398"/>
      <c r="U87" s="398"/>
    </row>
    <row r="88" spans="1:22" x14ac:dyDescent="0.25">
      <c r="C88" s="1057"/>
      <c r="D88" s="838"/>
      <c r="E88" s="598" t="s">
        <v>13</v>
      </c>
      <c r="F88" s="569" t="s">
        <v>662</v>
      </c>
      <c r="G88" s="600"/>
      <c r="H88" s="600"/>
      <c r="I88" s="600">
        <v>1</v>
      </c>
      <c r="J88" s="443" t="s">
        <v>649</v>
      </c>
      <c r="K88" s="428" t="str">
        <f t="shared" ref="K88:K91" si="32">IF(I88*H88*G88&gt;0,I88*H88*G88,"")</f>
        <v/>
      </c>
      <c r="L88" s="487"/>
      <c r="M88" s="498"/>
      <c r="N88" s="330"/>
      <c r="O88" s="503"/>
      <c r="P88" s="492"/>
      <c r="Q88" s="337"/>
      <c r="R88" s="342"/>
      <c r="S88" s="525"/>
      <c r="T88" s="398"/>
      <c r="U88" s="398"/>
    </row>
    <row r="89" spans="1:22" x14ac:dyDescent="0.25">
      <c r="C89" s="1057"/>
      <c r="D89" s="838"/>
      <c r="E89" s="598" t="s">
        <v>14</v>
      </c>
      <c r="F89" s="569" t="s">
        <v>662</v>
      </c>
      <c r="G89" s="600"/>
      <c r="H89" s="600"/>
      <c r="I89" s="600">
        <v>1</v>
      </c>
      <c r="J89" s="443" t="s">
        <v>649</v>
      </c>
      <c r="K89" s="428" t="str">
        <f t="shared" si="32"/>
        <v/>
      </c>
      <c r="L89" s="487"/>
      <c r="M89" s="498"/>
      <c r="N89" s="330"/>
      <c r="O89" s="503"/>
      <c r="P89" s="492"/>
      <c r="Q89" s="337"/>
      <c r="R89" s="342"/>
      <c r="S89" s="525"/>
      <c r="T89" s="398"/>
      <c r="U89" s="398"/>
    </row>
    <row r="90" spans="1:22" x14ac:dyDescent="0.25">
      <c r="C90" s="1057"/>
      <c r="D90" s="838"/>
      <c r="E90" s="598" t="s">
        <v>15</v>
      </c>
      <c r="F90" s="569" t="s">
        <v>662</v>
      </c>
      <c r="G90" s="600"/>
      <c r="H90" s="600"/>
      <c r="I90" s="600">
        <v>1</v>
      </c>
      <c r="J90" s="443" t="s">
        <v>649</v>
      </c>
      <c r="K90" s="428" t="str">
        <f t="shared" si="32"/>
        <v/>
      </c>
      <c r="L90" s="487"/>
      <c r="M90" s="498"/>
      <c r="N90" s="330"/>
      <c r="O90" s="503"/>
      <c r="P90" s="492"/>
      <c r="Q90" s="337"/>
      <c r="R90" s="342"/>
      <c r="S90" s="525"/>
      <c r="T90" s="398"/>
      <c r="U90" s="398"/>
    </row>
    <row r="91" spans="1:22" ht="18.75" thickBot="1" x14ac:dyDescent="0.3">
      <c r="C91" s="1057"/>
      <c r="D91" s="838"/>
      <c r="E91" s="598" t="s">
        <v>16</v>
      </c>
      <c r="F91" s="569" t="s">
        <v>662</v>
      </c>
      <c r="G91" s="600"/>
      <c r="H91" s="600"/>
      <c r="I91" s="600">
        <v>1</v>
      </c>
      <c r="J91" s="443" t="s">
        <v>649</v>
      </c>
      <c r="K91" s="428" t="str">
        <f t="shared" si="32"/>
        <v/>
      </c>
      <c r="L91" s="486"/>
      <c r="M91" s="499"/>
      <c r="N91" s="507"/>
      <c r="O91" s="504"/>
      <c r="P91" s="491"/>
      <c r="Q91" s="338"/>
      <c r="R91" s="343"/>
      <c r="S91" s="527"/>
      <c r="T91" s="398"/>
      <c r="U91" s="398"/>
    </row>
    <row r="92" spans="1:22" x14ac:dyDescent="0.25">
      <c r="C92" s="1057"/>
      <c r="D92" s="838"/>
      <c r="E92" s="779" t="s">
        <v>31</v>
      </c>
      <c r="F92" s="658">
        <f>IF(F72&gt;="","",IF(OR(SUM(G78:G82)&gt;0,SUM(G87:G91)&gt;0),SUM(G78:G82,G87:G91)+0.4,""))</f>
        <v>1.1000000000000001</v>
      </c>
      <c r="G92" s="600">
        <v>1</v>
      </c>
      <c r="H92" s="600">
        <v>1</v>
      </c>
      <c r="I92" s="440"/>
      <c r="J92" s="443" t="s">
        <v>650</v>
      </c>
      <c r="K92" s="428">
        <f>IF(OR(F72&gt;"",F92&gt;="",G92&gt;="",H92&gt;=""),"",(G92*H92*F92)*$F$72)</f>
        <v>1.1000000000000001</v>
      </c>
      <c r="L92" s="811">
        <f>L67</f>
        <v>350</v>
      </c>
      <c r="M92" s="456">
        <f t="shared" ref="M92" si="33">IF(K92="","",L92*K92*0.001*1.02)</f>
        <v>0.39270000000000005</v>
      </c>
      <c r="N92" s="820">
        <v>0.45</v>
      </c>
      <c r="O92" s="501">
        <f t="shared" ref="O92" si="34">IF(K92="","",+N92*K92*1.03)</f>
        <v>0.50985000000000003</v>
      </c>
      <c r="P92" s="813">
        <v>0.85</v>
      </c>
      <c r="Q92" s="456">
        <f t="shared" ref="Q92" si="35">IF(K92="","",P92*K92*1.44*1.03)</f>
        <v>1.386792</v>
      </c>
      <c r="R92" s="824">
        <v>70</v>
      </c>
      <c r="S92" s="521">
        <f t="shared" ref="S92:S95" si="36">IF(K92="","",R92*K92*0.001*1.05)</f>
        <v>8.0850000000000005E-2</v>
      </c>
      <c r="T92" s="398"/>
      <c r="U92" s="398"/>
    </row>
    <row r="93" spans="1:22" x14ac:dyDescent="0.25">
      <c r="C93" s="1057"/>
      <c r="D93" s="838"/>
      <c r="E93" s="779" t="s">
        <v>17</v>
      </c>
      <c r="F93" s="658">
        <v>1</v>
      </c>
      <c r="G93" s="440"/>
      <c r="H93" s="600">
        <v>1</v>
      </c>
      <c r="I93" s="323">
        <f>IF(K93="","",K93*24)</f>
        <v>24</v>
      </c>
      <c r="J93" s="445" t="s">
        <v>648</v>
      </c>
      <c r="K93" s="428">
        <f>IF((F72*H93*F93)&gt;0,$F$72*H93*F93,"")</f>
        <v>1</v>
      </c>
      <c r="L93" s="811">
        <v>650</v>
      </c>
      <c r="M93" s="459">
        <f>IF(I93="","",+I93*1.02/L93)</f>
        <v>3.7661538461538462E-2</v>
      </c>
      <c r="N93" s="330"/>
      <c r="O93" s="500">
        <f>IF(M93="","",+M93*3*1.03)</f>
        <v>0.11637415384615384</v>
      </c>
      <c r="P93" s="488"/>
      <c r="Q93" s="477"/>
      <c r="R93" s="509"/>
      <c r="S93" s="530"/>
      <c r="T93" s="398"/>
      <c r="U93" s="398"/>
    </row>
    <row r="94" spans="1:22" x14ac:dyDescent="0.25">
      <c r="C94" s="1057"/>
      <c r="D94" s="838"/>
      <c r="E94" s="779" t="s">
        <v>18</v>
      </c>
      <c r="F94" s="397">
        <f>IF(AND(F75&lt;&gt;"",F84&lt;&gt;""),SUM(F84,F75),"")</f>
        <v>137.91</v>
      </c>
      <c r="G94" s="357">
        <f>IF(AND(G54&lt;&gt;"",F72&lt;&gt;""),+G54,"")</f>
        <v>0.15</v>
      </c>
      <c r="H94" s="600">
        <v>0.2</v>
      </c>
      <c r="I94" s="440"/>
      <c r="J94" s="443" t="s">
        <v>650</v>
      </c>
      <c r="K94" s="428">
        <f>IF(AND($F$72&lt;&gt;"",G94&lt;&gt;"",H94&lt;&gt;"",F94&lt;&gt;""),G94*H94*F94*$F$72,"")</f>
        <v>4.1372999999999998</v>
      </c>
      <c r="L94" s="811">
        <f>L22</f>
        <v>350</v>
      </c>
      <c r="M94" s="456">
        <f>IF(K94="","",L94*K94*0.001*1.02)</f>
        <v>1.4770160999999999</v>
      </c>
      <c r="N94" s="820">
        <f>N22</f>
        <v>0.45</v>
      </c>
      <c r="O94" s="501">
        <f>IF(K94="","",+N94*K94*1.03)</f>
        <v>1.9176385500000002</v>
      </c>
      <c r="P94" s="813">
        <f>P22</f>
        <v>0.85</v>
      </c>
      <c r="Q94" s="456">
        <f>IF(K94="","",P94*K94*1.44*1.03)</f>
        <v>5.2159768559999993</v>
      </c>
      <c r="R94" s="824">
        <f>R22</f>
        <v>70</v>
      </c>
      <c r="S94" s="521">
        <f t="shared" si="36"/>
        <v>0.30409155000000004</v>
      </c>
      <c r="T94" s="398"/>
      <c r="U94" s="398"/>
    </row>
    <row r="95" spans="1:22" x14ac:dyDescent="0.25">
      <c r="C95" s="1057"/>
      <c r="D95" s="838"/>
      <c r="E95" s="779" t="s">
        <v>19</v>
      </c>
      <c r="F95" s="397" t="str">
        <f>IF(AND(F55&lt;&gt;"",F72&lt;&gt;""),F55,"")</f>
        <v/>
      </c>
      <c r="G95" s="357">
        <f>IF(AND(G55&lt;&gt;"",F72&lt;&gt;""),G55,"")</f>
        <v>0</v>
      </c>
      <c r="H95" s="600">
        <v>3</v>
      </c>
      <c r="I95" s="357" t="str">
        <f>IF(AND(I55&lt;&gt;"",F72&lt;&gt;""),I55,"")</f>
        <v/>
      </c>
      <c r="J95" s="443" t="s">
        <v>650</v>
      </c>
      <c r="K95" s="428" t="str">
        <f>IF(AND(F95&lt;&gt;"",G95&lt;&gt;"",H95&lt;&gt;"",I95&lt;&gt;"",$F$72&lt;&gt;""),F95*G95*H95*I95*$F$72,"")</f>
        <v/>
      </c>
      <c r="L95" s="811">
        <f>L25</f>
        <v>350</v>
      </c>
      <c r="M95" s="456" t="str">
        <f t="shared" ref="M95" si="37">IF(K95="","",L95*K95*0.001*1.02)</f>
        <v/>
      </c>
      <c r="N95" s="820">
        <v>0.45</v>
      </c>
      <c r="O95" s="501" t="str">
        <f t="shared" ref="O95" si="38">IF(K95="","",+N95*K95*1.03)</f>
        <v/>
      </c>
      <c r="P95" s="813">
        <v>0.85</v>
      </c>
      <c r="Q95" s="456" t="str">
        <f t="shared" ref="Q95" si="39">IF(K95="","",P95*K95*1.44*1.03)</f>
        <v/>
      </c>
      <c r="R95" s="824">
        <v>90</v>
      </c>
      <c r="S95" s="521" t="str">
        <f t="shared" si="36"/>
        <v/>
      </c>
      <c r="T95" s="398"/>
      <c r="U95" s="398"/>
    </row>
    <row r="96" spans="1:22" x14ac:dyDescent="0.25">
      <c r="C96" s="1057"/>
      <c r="D96" s="838"/>
      <c r="E96" s="779" t="s">
        <v>10</v>
      </c>
      <c r="F96" s="397" t="str">
        <f>F56</f>
        <v/>
      </c>
      <c r="G96" s="600">
        <v>3</v>
      </c>
      <c r="H96" s="600">
        <v>0.2</v>
      </c>
      <c r="I96" s="440"/>
      <c r="J96" s="443" t="s">
        <v>650</v>
      </c>
      <c r="K96" s="428" t="str">
        <f>IF(AND(G96&lt;&gt;"",H96&lt;&gt;"",F96&lt;&gt;""),G96*H96*F96*F72,"")</f>
        <v/>
      </c>
      <c r="L96" s="811">
        <f>L95</f>
        <v>350</v>
      </c>
      <c r="M96" s="456" t="str">
        <f t="shared" ref="M96:M99" si="40">IF(K96="","",L96*K96*0.001*1.02)</f>
        <v/>
      </c>
      <c r="N96" s="820">
        <v>0.45</v>
      </c>
      <c r="O96" s="501" t="str">
        <f t="shared" ref="O96:O98" si="41">IF(K96="","",+N96*K96*1.03)</f>
        <v/>
      </c>
      <c r="P96" s="813">
        <v>0.85</v>
      </c>
      <c r="Q96" s="456" t="str">
        <f t="shared" ref="Q96:Q99" si="42">IF(K96="","",P96*K96*1.44*1.03)</f>
        <v/>
      </c>
      <c r="R96" s="824">
        <v>75</v>
      </c>
      <c r="S96" s="521" t="str">
        <f t="shared" ref="S96:S99" si="43">IF(K96="","",R96*K96*0.001*1.05)</f>
        <v/>
      </c>
      <c r="T96" s="417"/>
      <c r="U96" s="398"/>
      <c r="V96" s="513"/>
    </row>
    <row r="97" spans="2:21" x14ac:dyDescent="0.25">
      <c r="C97" s="1057"/>
      <c r="D97" s="838"/>
      <c r="E97" s="779" t="s">
        <v>20</v>
      </c>
      <c r="F97" s="397" t="str">
        <f>IF(AND(F57&lt;&gt;"",F72&lt;&gt;""),F57,"")</f>
        <v/>
      </c>
      <c r="G97" s="357">
        <f>IF(AND(F72&lt;&gt;"",G57&lt;&gt;""),G57,"")</f>
        <v>0.15</v>
      </c>
      <c r="H97" s="600">
        <v>3</v>
      </c>
      <c r="I97" s="357">
        <f>I57</f>
        <v>19</v>
      </c>
      <c r="J97" s="443" t="s">
        <v>650</v>
      </c>
      <c r="K97" s="428" t="str">
        <f>IF(AND(F97&lt;&gt;"",G97&lt;&gt;"",H97&lt;&gt;"",I97&lt;&gt;"",$F$72&lt;&gt;""),F97*G97*H97*I97*$F$72,"")</f>
        <v/>
      </c>
      <c r="L97" s="811">
        <v>350</v>
      </c>
      <c r="M97" s="456" t="str">
        <f t="shared" si="40"/>
        <v/>
      </c>
      <c r="N97" s="820">
        <v>0.45</v>
      </c>
      <c r="O97" s="501" t="str">
        <f t="shared" si="41"/>
        <v/>
      </c>
      <c r="P97" s="813">
        <v>0.85</v>
      </c>
      <c r="Q97" s="456" t="str">
        <f t="shared" si="42"/>
        <v/>
      </c>
      <c r="R97" s="824">
        <v>70</v>
      </c>
      <c r="S97" s="521" t="str">
        <f t="shared" si="43"/>
        <v/>
      </c>
      <c r="T97" s="398"/>
      <c r="U97" s="398"/>
    </row>
    <row r="98" spans="2:21" x14ac:dyDescent="0.25">
      <c r="D98" s="838"/>
      <c r="E98" s="779" t="s">
        <v>21</v>
      </c>
      <c r="F98" s="658">
        <v>2</v>
      </c>
      <c r="G98" s="600">
        <v>3</v>
      </c>
      <c r="H98" s="600">
        <v>0.15</v>
      </c>
      <c r="I98" s="600">
        <v>1</v>
      </c>
      <c r="J98" s="443" t="s">
        <v>650</v>
      </c>
      <c r="K98" s="428">
        <f>IF(AND(F98&lt;&gt;"",G98&lt;&gt;"",H98&lt;&gt;"",I98&lt;&gt;"",$F$72&lt;&gt;""),F98*G98*H98*I98*$F$72,"")</f>
        <v>0.89999999999999991</v>
      </c>
      <c r="L98" s="811">
        <v>350</v>
      </c>
      <c r="M98" s="456">
        <f t="shared" si="40"/>
        <v>0.32129999999999997</v>
      </c>
      <c r="N98" s="820">
        <v>0.45</v>
      </c>
      <c r="O98" s="501">
        <f t="shared" si="41"/>
        <v>0.41714999999999997</v>
      </c>
      <c r="P98" s="813">
        <v>0.85</v>
      </c>
      <c r="Q98" s="456">
        <f t="shared" si="42"/>
        <v>1.1346479999999999</v>
      </c>
      <c r="R98" s="824">
        <v>110</v>
      </c>
      <c r="S98" s="521">
        <f t="shared" si="43"/>
        <v>0.10395</v>
      </c>
      <c r="T98" s="398"/>
      <c r="U98" s="398"/>
    </row>
    <row r="99" spans="2:21" ht="18.75" thickBot="1" x14ac:dyDescent="0.3">
      <c r="D99" s="838"/>
      <c r="E99" s="779" t="s">
        <v>22</v>
      </c>
      <c r="F99" s="439"/>
      <c r="G99" s="440"/>
      <c r="H99" s="440"/>
      <c r="I99" s="440"/>
      <c r="J99" s="443" t="s">
        <v>650</v>
      </c>
      <c r="K99" s="428" t="str">
        <f>IF(AND(I100&gt;=2,F101&lt;&gt;"",I101&lt;&gt;"",F72&gt;=2),((((SQRT(H101^2+G101^2)*H102)+((H101*G101)/2))*F101*I101*I100)+((F101*1.2)*(F101*2+F100)*H103*(I100-1)))*(F72-1),IF(AND(I100=1,F101&lt;&gt;"",I101&lt;&gt;"",F72&gt;=2),((((SQRT(H101^2+G101^2)*H102)+((H101*G101)/2))*F101*I101*I100)+((F101*1.2)*(F101*2+F100)*H103*I100))*(F72-1),""))</f>
        <v/>
      </c>
      <c r="L99" s="811">
        <v>350</v>
      </c>
      <c r="M99" s="456" t="str">
        <f t="shared" si="40"/>
        <v/>
      </c>
      <c r="N99" s="820">
        <v>0.45</v>
      </c>
      <c r="O99" s="501" t="str">
        <f>IF(K99="","",+N99*K99*1.03)</f>
        <v/>
      </c>
      <c r="P99" s="813">
        <v>0.85</v>
      </c>
      <c r="Q99" s="456" t="str">
        <f t="shared" si="42"/>
        <v/>
      </c>
      <c r="R99" s="824">
        <v>100</v>
      </c>
      <c r="S99" s="521" t="str">
        <f t="shared" si="43"/>
        <v/>
      </c>
      <c r="T99" s="398"/>
      <c r="U99" s="398"/>
    </row>
    <row r="100" spans="2:21" x14ac:dyDescent="0.25">
      <c r="D100" s="838"/>
      <c r="E100" s="789" t="s">
        <v>533</v>
      </c>
      <c r="F100" s="658">
        <f>F60</f>
        <v>0.1</v>
      </c>
      <c r="G100" s="440"/>
      <c r="H100" s="440"/>
      <c r="I100" s="600">
        <v>2</v>
      </c>
      <c r="J100" s="444"/>
      <c r="K100" s="428" t="str">
        <f>IF(AND(F72&gt;=2,K101&lt;&gt;"",K102&lt;&gt;"",K103&lt;&gt;""),(F72-1)*SUM(K101:K103),"")</f>
        <v/>
      </c>
      <c r="L100" s="346"/>
      <c r="M100" s="497"/>
      <c r="N100" s="418"/>
      <c r="O100" s="502"/>
      <c r="P100" s="490"/>
      <c r="Q100" s="502"/>
      <c r="R100" s="341"/>
      <c r="S100" s="539"/>
      <c r="T100" s="398"/>
      <c r="U100" s="398"/>
    </row>
    <row r="101" spans="2:21" x14ac:dyDescent="0.25">
      <c r="D101" s="838"/>
      <c r="E101" s="789" t="s">
        <v>530</v>
      </c>
      <c r="F101" s="658">
        <v>1</v>
      </c>
      <c r="G101" s="357">
        <f>G61</f>
        <v>0.28999999999999998</v>
      </c>
      <c r="H101" s="357">
        <f>H61</f>
        <v>0.17499999999999999</v>
      </c>
      <c r="I101" s="600">
        <v>16</v>
      </c>
      <c r="J101" s="443" t="s">
        <v>650</v>
      </c>
      <c r="K101" s="432">
        <f>IF(AND(I100&lt;&gt;"",F101&lt;&gt;"",I101&lt;&gt;""),F101*I101*I100*(G101*H101)/2,"")</f>
        <v>0.81199999999999994</v>
      </c>
      <c r="L101" s="339"/>
      <c r="M101" s="498"/>
      <c r="N101" s="330"/>
      <c r="O101" s="503"/>
      <c r="P101" s="492"/>
      <c r="Q101" s="503"/>
      <c r="R101" s="342"/>
      <c r="S101" s="540"/>
      <c r="T101" s="398"/>
      <c r="U101" s="398"/>
    </row>
    <row r="102" spans="2:21" x14ac:dyDescent="0.25">
      <c r="D102" s="838"/>
      <c r="E102" s="789" t="s">
        <v>531</v>
      </c>
      <c r="F102" s="412">
        <f>IF(AND(F101&gt;0,G101*H101&gt;0),I101*SQRT(G101^2+H101^2),"")</f>
        <v>5.4193726574207828</v>
      </c>
      <c r="G102" s="357">
        <f>IF(F101&lt;&gt;"",F101,"")</f>
        <v>1</v>
      </c>
      <c r="H102" s="357">
        <f>H62</f>
        <v>0.1</v>
      </c>
      <c r="I102" s="357">
        <f>IF(I100&lt;&gt;"",I100,"")</f>
        <v>2</v>
      </c>
      <c r="J102" s="443" t="s">
        <v>650</v>
      </c>
      <c r="K102" s="541">
        <f>IF(AND(F102&lt;&gt;"",G102&lt;&gt;"",H102&lt;&gt;"",I102&lt;&gt;""),F102*G102*H102*I102,"")</f>
        <v>1.0838745314841567</v>
      </c>
      <c r="L102" s="339"/>
      <c r="M102" s="498"/>
      <c r="N102" s="330"/>
      <c r="O102" s="503"/>
      <c r="P102" s="492"/>
      <c r="Q102" s="503"/>
      <c r="R102" s="342"/>
      <c r="S102" s="540"/>
      <c r="T102" s="398"/>
      <c r="U102" s="398"/>
    </row>
    <row r="103" spans="2:21" ht="18.75" thickBot="1" x14ac:dyDescent="0.3">
      <c r="D103" s="838"/>
      <c r="E103" s="789" t="s">
        <v>532</v>
      </c>
      <c r="F103" s="397">
        <f>IF(F101="","",1.2*F101)</f>
        <v>1.2</v>
      </c>
      <c r="G103" s="357">
        <f>IF(F101="","",2*F101+F100)</f>
        <v>2.1</v>
      </c>
      <c r="H103" s="357">
        <f>H63</f>
        <v>0.2</v>
      </c>
      <c r="I103" s="357">
        <f>IF(I100&gt;=2,I100-1,IF(I100=1,I100,""))</f>
        <v>1</v>
      </c>
      <c r="J103" s="443" t="s">
        <v>650</v>
      </c>
      <c r="K103" s="432">
        <f>IF(AND(F103&lt;&gt;"",G103&lt;&gt;"",H103&lt;&gt;"",I103&lt;&gt;""),F103*G103*H103*I103,"")</f>
        <v>0.504</v>
      </c>
      <c r="L103" s="347"/>
      <c r="M103" s="499"/>
      <c r="N103" s="507"/>
      <c r="O103" s="504"/>
      <c r="P103" s="491"/>
      <c r="Q103" s="504"/>
      <c r="R103" s="343"/>
      <c r="S103" s="542"/>
      <c r="T103" s="398"/>
      <c r="U103" s="398"/>
    </row>
    <row r="104" spans="2:21" x14ac:dyDescent="0.25">
      <c r="B104" s="324">
        <v>1</v>
      </c>
      <c r="D104" s="838"/>
      <c r="E104" s="779" t="s">
        <v>541</v>
      </c>
      <c r="F104" s="660">
        <v>1</v>
      </c>
      <c r="G104" s="660">
        <v>1</v>
      </c>
      <c r="H104" s="660">
        <v>0.1</v>
      </c>
      <c r="I104" s="660">
        <v>1</v>
      </c>
      <c r="J104" s="443" t="s">
        <v>650</v>
      </c>
      <c r="K104" s="429">
        <f>IF(AND(F72&gt;=1,F104*G104*H104*I104&gt;0,F73="avec plancher"),F72*F104*G104*H104*I104,IF(AND(F72&gt;=2,F104*G104*H104*I104&gt;0,F73="sans plancher"),(F72-1)*F104*G104*H104*I104,""))</f>
        <v>0.1</v>
      </c>
      <c r="L104" s="811">
        <v>350</v>
      </c>
      <c r="M104" s="456">
        <f t="shared" ref="M104" si="44">IF(K104="","",L104*K104*0.001*1.02)</f>
        <v>3.5700000000000003E-2</v>
      </c>
      <c r="N104" s="812">
        <v>0.45</v>
      </c>
      <c r="O104" s="456">
        <f t="shared" ref="O104" si="45">IF(K104="","",+N104*K104*1.03)</f>
        <v>4.6350000000000009E-2</v>
      </c>
      <c r="P104" s="813">
        <v>0.85</v>
      </c>
      <c r="Q104" s="456">
        <f t="shared" ref="Q104" si="46">IF(K104="","",P104*K104*1.44*1.03)</f>
        <v>0.12607200000000002</v>
      </c>
      <c r="R104" s="814">
        <v>50</v>
      </c>
      <c r="S104" s="521">
        <f t="shared" ref="S104" si="47">IF(K104="","",R104*K104*0.001*1.05)</f>
        <v>5.2500000000000003E-3</v>
      </c>
      <c r="T104" s="398"/>
      <c r="U104" s="398"/>
    </row>
    <row r="105" spans="2:21" x14ac:dyDescent="0.25">
      <c r="B105" s="324">
        <v>2</v>
      </c>
      <c r="D105" s="838"/>
      <c r="E105" s="779" t="s">
        <v>542</v>
      </c>
      <c r="F105" s="413" t="s">
        <v>564</v>
      </c>
      <c r="G105" s="600">
        <v>12</v>
      </c>
      <c r="H105" s="440"/>
      <c r="I105" s="323">
        <f>IF(K105="","",K105*G105)</f>
        <v>12</v>
      </c>
      <c r="J105" s="445" t="s">
        <v>648</v>
      </c>
      <c r="K105" s="543">
        <f>IF(OR(F104="",G104="",F72=""),"",IF(AND(F104&lt;&gt;"",G104&lt;&gt;"",F73="sans plancher",F72=1),"",IF(AND(F104&lt;&gt;"",G104&lt;&gt;"",F73="sans plancher",F72&gt;=2),F104*G104*I104*(F72-1),IF(AND(F104&lt;&gt;"",G104&lt;&gt;"",F73="avec plancher",F72&gt;=1),F104*G104*I104*F72))))</f>
        <v>1</v>
      </c>
      <c r="L105" s="811">
        <f>L65</f>
        <v>300</v>
      </c>
      <c r="M105" s="456">
        <f>IF(K105="","",+K105*1.02/L105)</f>
        <v>3.4000000000000002E-3</v>
      </c>
      <c r="N105" s="330"/>
      <c r="O105" s="501">
        <f>IF(M105="","",+M105*3*1.03)</f>
        <v>1.0506000000000001E-2</v>
      </c>
      <c r="P105" s="495"/>
      <c r="Q105" s="331"/>
      <c r="R105" s="342"/>
      <c r="S105" s="525"/>
      <c r="T105" s="398"/>
      <c r="U105" s="398"/>
    </row>
    <row r="106" spans="2:21" x14ac:dyDescent="0.25">
      <c r="B106" s="324">
        <v>3</v>
      </c>
      <c r="D106" s="838"/>
      <c r="E106" s="779" t="s">
        <v>35</v>
      </c>
      <c r="F106" s="449"/>
      <c r="G106" s="449"/>
      <c r="H106" s="449"/>
      <c r="I106" s="449"/>
      <c r="J106" s="443" t="s">
        <v>650</v>
      </c>
      <c r="K106" s="543">
        <f>IF(AND(F72&gt;=1,F104*G104*I104&gt;0,F73="avec plancher"),F72*F104*G104*0.05*I104,IF(AND(F72&gt;=2,F104*G104*I104&gt;0,F73="sans plancher"),(F72-1)*F104*G104*0.05*I104,""))</f>
        <v>0.05</v>
      </c>
      <c r="L106" s="811">
        <f>L30</f>
        <v>400</v>
      </c>
      <c r="M106" s="456">
        <f>IF(K106="","",L106*K106*0.001*1.02)</f>
        <v>2.0400000000000001E-2</v>
      </c>
      <c r="N106" s="820">
        <v>1</v>
      </c>
      <c r="O106" s="501">
        <f>IF(K106="","",N106*K106*1.03)</f>
        <v>5.1500000000000004E-2</v>
      </c>
      <c r="P106" s="496"/>
      <c r="Q106" s="332"/>
      <c r="R106" s="511"/>
      <c r="S106" s="544"/>
      <c r="T106" s="398"/>
      <c r="U106" s="398"/>
    </row>
    <row r="107" spans="2:21" x14ac:dyDescent="0.25">
      <c r="D107" s="841"/>
      <c r="E107" s="779" t="s">
        <v>571</v>
      </c>
      <c r="F107" s="397">
        <f>IF(AND(F76&lt;&gt;"",G76&lt;&gt;""),2*(F76+G76),"")</f>
        <v>27.200000000000003</v>
      </c>
      <c r="G107" s="600">
        <v>1.4999999999999999E-2</v>
      </c>
      <c r="H107" s="357">
        <f>IF(AND(H75&lt;&gt;"",H94&lt;&gt;""),H75+H94,"")</f>
        <v>3.2</v>
      </c>
      <c r="I107" s="399"/>
      <c r="J107" s="443" t="s">
        <v>648</v>
      </c>
      <c r="K107" s="431">
        <f>IF(AND(F107&lt;&gt;"",H107&lt;&gt;"",K76&lt;&gt;""),(F107*H107+K76-(SUMIF(F78:F82,"Baie ext",K78:K82)+SUMIF(F87:F91,"Baie ext",K87:K91)))*G107,IF(AND(F107&lt;&gt;"",H107&lt;&gt;"",K76=""),(F107*H107-(SUMIF(F78:F82,"Baie ext",K78:K82)+SUMIF(F87:F91,"Baie ext",K87:K91)))*G107,""))</f>
        <v>1.2825000000000002</v>
      </c>
      <c r="L107" s="811">
        <v>350</v>
      </c>
      <c r="M107" s="466">
        <f t="shared" ref="M107:M109" si="48">IF(K107="","",L107*K107*0.001*1.02)</f>
        <v>0.45785250000000011</v>
      </c>
      <c r="N107" s="820">
        <v>1</v>
      </c>
      <c r="O107" s="501">
        <f t="shared" ref="O107:O108" si="49">IF(K107="","",N107*K107*1.03)</f>
        <v>1.3209750000000002</v>
      </c>
      <c r="P107" s="813"/>
      <c r="Q107" s="331"/>
      <c r="R107" s="509"/>
      <c r="S107" s="525"/>
      <c r="T107" s="398"/>
      <c r="U107" s="398"/>
    </row>
    <row r="108" spans="2:21" x14ac:dyDescent="0.25">
      <c r="D108" s="841"/>
      <c r="E108" s="779" t="s">
        <v>572</v>
      </c>
      <c r="F108" s="397">
        <f>IF(SUM(F75,F84,-F107)&gt;0,SUM(F75,F84,-F107),"")</f>
        <v>110.71</v>
      </c>
      <c r="G108" s="600">
        <v>1.4999999999999999E-2</v>
      </c>
      <c r="H108" s="357">
        <f>IF(AND(H75&lt;&gt;"",H94&lt;&gt;""),H75+H94,"")</f>
        <v>3.2</v>
      </c>
      <c r="I108" s="399"/>
      <c r="J108" s="446" t="s">
        <v>648</v>
      </c>
      <c r="K108" s="431">
        <f>IF(AND(F108&lt;&gt;"",H108&lt;&gt;""),(F108*H108-(SUMIF(F78:F82,"Baie int",K78:K82)+SUMIF(F87:F91,"Baie int",K87:K91)))*G108,"")</f>
        <v>5.3140799999999997</v>
      </c>
      <c r="L108" s="811">
        <v>250</v>
      </c>
      <c r="M108" s="466">
        <f t="shared" si="48"/>
        <v>1.3550903999999999</v>
      </c>
      <c r="N108" s="820">
        <v>1</v>
      </c>
      <c r="O108" s="501">
        <f t="shared" si="49"/>
        <v>5.4735024000000001</v>
      </c>
      <c r="P108" s="495"/>
      <c r="Q108" s="331"/>
      <c r="R108" s="509"/>
      <c r="S108" s="525"/>
      <c r="T108" s="398"/>
      <c r="U108" s="398"/>
    </row>
    <row r="109" spans="2:21" ht="15" customHeight="1" thickBot="1" x14ac:dyDescent="0.3">
      <c r="D109" s="841"/>
      <c r="E109" s="779" t="s">
        <v>573</v>
      </c>
      <c r="F109" s="836"/>
      <c r="G109" s="836"/>
      <c r="H109" s="836"/>
      <c r="I109" s="450"/>
      <c r="J109" s="443" t="s">
        <v>650</v>
      </c>
      <c r="K109" s="433">
        <f>IF(AND(K74&lt;&gt;"",K83&lt;&gt;""),K74*0.028875+K83*0.01925,"")</f>
        <v>9.7890100000000011</v>
      </c>
      <c r="L109" s="807">
        <v>250</v>
      </c>
      <c r="M109" s="472">
        <f t="shared" si="48"/>
        <v>2.4961975500000002</v>
      </c>
      <c r="N109" s="821">
        <v>1</v>
      </c>
      <c r="O109" s="476">
        <f>IF(K109="","",N109*K109*1.03)</f>
        <v>10.082680300000002</v>
      </c>
      <c r="P109" s="494"/>
      <c r="Q109" s="345"/>
      <c r="R109" s="510"/>
      <c r="S109" s="527"/>
      <c r="T109" s="398"/>
      <c r="U109" s="398"/>
    </row>
    <row r="110" spans="2:21" ht="15" customHeight="1" thickBot="1" x14ac:dyDescent="0.3">
      <c r="D110" s="841"/>
      <c r="E110" s="790"/>
      <c r="F110" s="1060" t="s">
        <v>570</v>
      </c>
      <c r="G110" s="1060"/>
      <c r="H110" s="1060"/>
      <c r="I110" s="1060"/>
      <c r="J110" s="1060"/>
      <c r="K110" s="1061"/>
      <c r="L110" s="825" t="s">
        <v>27</v>
      </c>
      <c r="M110" s="451">
        <f>SUM(M94:M99,M106,M104,M92)</f>
        <v>2.2471160999999999</v>
      </c>
      <c r="N110" s="826" t="s">
        <v>566</v>
      </c>
      <c r="O110" s="451">
        <f>SUM(O94:O99,O106,O104,O92)</f>
        <v>2.9424885500000002</v>
      </c>
      <c r="P110" s="800" t="s">
        <v>27</v>
      </c>
      <c r="Q110" s="451">
        <f>SUM(Q94:Q99,Q106,Q104,Q92)</f>
        <v>7.8634888559999991</v>
      </c>
      <c r="R110" s="800" t="s">
        <v>27</v>
      </c>
      <c r="S110" s="545">
        <f>SUM(S94:S99,S106,S104,S92)</f>
        <v>0.49414155000000004</v>
      </c>
      <c r="T110" s="398"/>
      <c r="U110" s="417"/>
    </row>
    <row r="111" spans="2:21" ht="14.25" customHeight="1" thickBot="1" x14ac:dyDescent="0.3">
      <c r="B111" s="320"/>
      <c r="D111" s="841"/>
      <c r="E111" s="596" t="s">
        <v>536</v>
      </c>
      <c r="F111" s="594" t="s">
        <v>537</v>
      </c>
      <c r="G111" s="1048" t="s">
        <v>535</v>
      </c>
      <c r="H111" s="1048"/>
      <c r="I111" s="1042" t="s">
        <v>693</v>
      </c>
      <c r="J111" s="1042"/>
      <c r="K111" s="1042"/>
      <c r="L111" s="1042" t="s">
        <v>33</v>
      </c>
      <c r="M111" s="1042"/>
      <c r="N111" s="1043"/>
      <c r="O111" s="514"/>
      <c r="P111" s="514"/>
      <c r="Q111" s="514"/>
      <c r="R111" s="515"/>
      <c r="S111" s="516"/>
      <c r="T111" s="398"/>
      <c r="U111" s="398"/>
    </row>
    <row r="112" spans="2:21" x14ac:dyDescent="0.25">
      <c r="D112" s="841"/>
      <c r="E112" s="402"/>
      <c r="F112" s="403"/>
      <c r="G112" s="403"/>
      <c r="H112" s="404"/>
      <c r="I112" s="404"/>
      <c r="J112" s="404"/>
      <c r="K112" s="405"/>
      <c r="L112" s="406"/>
      <c r="M112" s="407"/>
      <c r="N112" s="406"/>
      <c r="O112" s="406"/>
      <c r="P112" s="406"/>
      <c r="Q112" s="406"/>
      <c r="R112" s="408"/>
      <c r="S112" s="406"/>
      <c r="T112" s="406"/>
      <c r="U112" s="406"/>
    </row>
    <row r="113" spans="4:21" x14ac:dyDescent="0.25">
      <c r="D113" s="841"/>
      <c r="E113" s="402"/>
      <c r="F113" s="409">
        <f>IF(AND(I100&lt;&gt;"",F101&lt;&gt;"",I101&lt;&gt;""),((H101*G101)/2)*F101*I101*I100)</f>
        <v>0.81199999999999994</v>
      </c>
      <c r="G113" s="403"/>
      <c r="H113" s="410"/>
      <c r="I113" s="404"/>
      <c r="J113" s="404"/>
      <c r="K113" s="405"/>
      <c r="L113" s="406"/>
      <c r="M113" s="407"/>
      <c r="N113" s="406"/>
      <c r="O113" s="406"/>
      <c r="P113" s="406"/>
      <c r="Q113" s="406"/>
      <c r="R113" s="408"/>
      <c r="S113" s="406"/>
      <c r="T113" s="406"/>
      <c r="U113" s="406"/>
    </row>
    <row r="114" spans="4:21" x14ac:dyDescent="0.25">
      <c r="D114" s="841"/>
      <c r="E114" s="402"/>
      <c r="F114" s="409">
        <f>IF(AND(I100&lt;&gt;"",F101&lt;&gt;"",I101&lt;&gt;""),F101*I101*I100*H102*SQRT(H101^2+G101^2),"")</f>
        <v>1.0838745314841567</v>
      </c>
      <c r="G114" s="403"/>
      <c r="H114" s="404"/>
      <c r="I114" s="404"/>
      <c r="J114" s="404"/>
      <c r="K114" s="405"/>
      <c r="L114" s="406"/>
      <c r="M114" s="407"/>
      <c r="N114" s="406"/>
      <c r="O114" s="406"/>
      <c r="P114" s="406"/>
      <c r="Q114" s="406"/>
      <c r="R114" s="408"/>
      <c r="S114" s="406"/>
      <c r="T114" s="406"/>
      <c r="U114" s="406"/>
    </row>
    <row r="115" spans="4:21" x14ac:dyDescent="0.25">
      <c r="D115" s="841"/>
      <c r="E115" s="402"/>
      <c r="F115" s="409">
        <f>IF(AND(I100&gt;=2,F101&lt;&gt;"",I101&lt;&gt;""),(F101*1.2)*(F101*2+F100)*H103*(I100-1),IF(AND(I100=1,F101&lt;&gt;"",I101&lt;&gt;""),(F101*1.2)*(F101*2+F100)*H103*I100,""))</f>
        <v>0.504</v>
      </c>
      <c r="G115" s="403"/>
      <c r="H115" s="404"/>
      <c r="I115" s="404"/>
      <c r="J115" s="404"/>
      <c r="K115" s="405"/>
      <c r="L115" s="406"/>
      <c r="M115" s="407"/>
      <c r="N115" s="406"/>
      <c r="O115" s="406"/>
      <c r="P115" s="406"/>
      <c r="Q115" s="406"/>
      <c r="R115" s="408"/>
      <c r="S115" s="406"/>
      <c r="T115" s="406"/>
      <c r="U115" s="406"/>
    </row>
    <row r="116" spans="4:21" x14ac:dyDescent="0.25">
      <c r="D116" s="841"/>
      <c r="E116" s="402"/>
      <c r="F116" s="403"/>
      <c r="G116" s="403"/>
      <c r="H116" s="404"/>
      <c r="I116" s="404"/>
      <c r="J116" s="404"/>
      <c r="K116" s="405"/>
      <c r="L116" s="406"/>
      <c r="M116" s="407"/>
      <c r="N116" s="406"/>
      <c r="O116" s="406"/>
      <c r="P116" s="406"/>
      <c r="Q116" s="406"/>
      <c r="R116" s="408"/>
      <c r="S116" s="406"/>
      <c r="T116" s="406"/>
      <c r="U116" s="406"/>
    </row>
    <row r="117" spans="4:21" x14ac:dyDescent="0.25">
      <c r="D117" s="841"/>
      <c r="E117" s="398"/>
      <c r="F117" s="390"/>
      <c r="G117" s="390"/>
      <c r="H117" s="390"/>
      <c r="I117" s="390"/>
      <c r="J117" s="390"/>
      <c r="K117" s="392"/>
      <c r="L117" s="398"/>
      <c r="M117" s="400"/>
      <c r="N117" s="398"/>
      <c r="O117" s="398"/>
      <c r="P117" s="398"/>
      <c r="Q117" s="398"/>
      <c r="R117" s="401"/>
      <c r="S117" s="398"/>
      <c r="T117" s="398"/>
      <c r="U117" s="398"/>
    </row>
    <row r="118" spans="4:21" x14ac:dyDescent="0.25">
      <c r="D118" s="841"/>
      <c r="E118" s="398"/>
      <c r="F118" s="390"/>
      <c r="G118" s="390"/>
      <c r="H118" s="390"/>
      <c r="I118" s="512"/>
      <c r="J118" s="390"/>
      <c r="K118" s="391"/>
      <c r="L118" s="398"/>
      <c r="M118" s="400"/>
      <c r="N118" s="398"/>
      <c r="O118" s="398"/>
      <c r="P118" s="398"/>
      <c r="Q118" s="398"/>
      <c r="R118" s="401"/>
      <c r="S118" s="398"/>
      <c r="T118" s="398"/>
      <c r="U118" s="398"/>
    </row>
    <row r="119" spans="4:21" x14ac:dyDescent="0.25">
      <c r="D119" s="841"/>
      <c r="E119" s="398"/>
      <c r="F119" s="390"/>
      <c r="G119" s="390"/>
      <c r="H119" s="390"/>
      <c r="I119" s="390"/>
      <c r="J119" s="390"/>
      <c r="K119" s="392"/>
      <c r="L119" s="398"/>
      <c r="M119" s="400"/>
      <c r="N119" s="398"/>
      <c r="O119" s="398"/>
      <c r="P119" s="398"/>
      <c r="Q119" s="398"/>
      <c r="R119" s="401"/>
      <c r="S119" s="398"/>
      <c r="T119" s="398"/>
      <c r="U119" s="398"/>
    </row>
    <row r="120" spans="4:21" x14ac:dyDescent="0.25">
      <c r="D120" s="841"/>
      <c r="E120" s="398"/>
      <c r="F120" s="390"/>
      <c r="G120" s="390"/>
      <c r="H120" s="390"/>
      <c r="I120" s="390"/>
      <c r="J120" s="390"/>
      <c r="K120" s="392"/>
      <c r="L120" s="398"/>
      <c r="M120" s="400"/>
      <c r="N120" s="398"/>
      <c r="O120" s="398"/>
      <c r="P120" s="398"/>
      <c r="Q120" s="398"/>
      <c r="R120" s="401"/>
      <c r="S120" s="398"/>
      <c r="T120" s="398"/>
      <c r="U120" s="398"/>
    </row>
    <row r="121" spans="4:21" x14ac:dyDescent="0.25">
      <c r="D121" s="841"/>
      <c r="E121" s="398"/>
      <c r="F121" s="390"/>
      <c r="G121" s="390"/>
      <c r="H121" s="390"/>
      <c r="I121" s="390"/>
      <c r="J121" s="390"/>
      <c r="K121" s="392"/>
      <c r="L121" s="398"/>
      <c r="M121" s="400"/>
      <c r="N121" s="398"/>
      <c r="O121" s="398"/>
      <c r="P121" s="398"/>
      <c r="Q121" s="398"/>
      <c r="R121" s="401"/>
      <c r="S121" s="398"/>
      <c r="T121" s="398"/>
      <c r="U121" s="398"/>
    </row>
    <row r="122" spans="4:21" x14ac:dyDescent="0.25">
      <c r="D122" s="841"/>
      <c r="E122" s="398"/>
      <c r="F122" s="390"/>
      <c r="G122" s="390"/>
      <c r="H122" s="390"/>
      <c r="I122" s="390"/>
      <c r="J122" s="390"/>
      <c r="K122" s="392"/>
      <c r="L122" s="398"/>
      <c r="M122" s="400"/>
      <c r="N122" s="398"/>
      <c r="O122" s="398"/>
      <c r="P122" s="398"/>
      <c r="Q122" s="398"/>
      <c r="R122" s="401"/>
      <c r="S122" s="398"/>
      <c r="T122" s="398"/>
      <c r="U122" s="398"/>
    </row>
    <row r="123" spans="4:21" x14ac:dyDescent="0.25">
      <c r="D123" s="841"/>
      <c r="E123" s="398"/>
      <c r="F123" s="390"/>
      <c r="G123" s="390"/>
      <c r="H123" s="390"/>
      <c r="I123" s="390"/>
      <c r="J123" s="390"/>
      <c r="K123" s="392"/>
      <c r="L123" s="398"/>
      <c r="M123" s="400"/>
      <c r="N123" s="398"/>
      <c r="O123" s="398"/>
      <c r="P123" s="398"/>
      <c r="Q123" s="398"/>
      <c r="R123" s="401"/>
      <c r="S123" s="398"/>
      <c r="T123" s="398"/>
      <c r="U123" s="398"/>
    </row>
    <row r="124" spans="4:21" x14ac:dyDescent="0.25">
      <c r="D124" s="841"/>
      <c r="E124" s="398"/>
      <c r="F124" s="390"/>
      <c r="G124" s="390"/>
      <c r="H124" s="390"/>
      <c r="I124" s="390"/>
      <c r="J124" s="390"/>
      <c r="K124" s="392"/>
      <c r="L124" s="398"/>
      <c r="M124" s="400"/>
      <c r="N124" s="398"/>
      <c r="O124" s="398"/>
      <c r="P124" s="398"/>
      <c r="Q124" s="398"/>
      <c r="R124" s="401"/>
      <c r="S124" s="398"/>
      <c r="T124" s="398"/>
      <c r="U124" s="398"/>
    </row>
    <row r="125" spans="4:21" x14ac:dyDescent="0.25">
      <c r="D125" s="841"/>
      <c r="E125" s="398"/>
      <c r="F125" s="390"/>
      <c r="G125" s="390"/>
      <c r="H125" s="390"/>
      <c r="I125" s="390"/>
      <c r="J125" s="390"/>
      <c r="K125" s="392"/>
      <c r="L125" s="398"/>
      <c r="M125" s="400"/>
      <c r="N125" s="398"/>
      <c r="O125" s="398"/>
      <c r="P125" s="398"/>
      <c r="Q125" s="398"/>
      <c r="R125" s="401"/>
      <c r="S125" s="398"/>
      <c r="T125" s="398"/>
      <c r="U125" s="398"/>
    </row>
    <row r="126" spans="4:21" x14ac:dyDescent="0.25">
      <c r="D126" s="841"/>
      <c r="E126" s="398"/>
      <c r="F126" s="390"/>
      <c r="G126" s="390"/>
      <c r="H126" s="390"/>
      <c r="I126" s="390"/>
      <c r="J126" s="390"/>
      <c r="K126" s="392"/>
      <c r="L126" s="398"/>
      <c r="M126" s="400"/>
      <c r="N126" s="398"/>
      <c r="O126" s="398"/>
      <c r="P126" s="398"/>
      <c r="Q126" s="398"/>
      <c r="R126" s="401"/>
      <c r="S126" s="398"/>
      <c r="T126" s="398"/>
      <c r="U126" s="398"/>
    </row>
    <row r="127" spans="4:21" x14ac:dyDescent="0.25">
      <c r="D127" s="841"/>
      <c r="E127" s="398"/>
      <c r="F127" s="390"/>
      <c r="G127" s="390"/>
      <c r="H127" s="390"/>
      <c r="I127" s="390"/>
      <c r="J127" s="390"/>
      <c r="K127" s="392"/>
      <c r="L127" s="398"/>
      <c r="M127" s="400"/>
      <c r="N127" s="398"/>
      <c r="O127" s="398"/>
      <c r="P127" s="398"/>
      <c r="Q127" s="398"/>
      <c r="R127" s="401"/>
      <c r="S127" s="398"/>
      <c r="T127" s="398"/>
      <c r="U127" s="398"/>
    </row>
    <row r="128" spans="4:21" x14ac:dyDescent="0.25">
      <c r="D128" s="841"/>
      <c r="E128" s="398"/>
      <c r="F128" s="390"/>
      <c r="G128" s="390"/>
      <c r="H128" s="390"/>
      <c r="I128" s="390"/>
      <c r="J128" s="390"/>
      <c r="K128" s="392"/>
      <c r="L128" s="398"/>
      <c r="M128" s="400"/>
      <c r="N128" s="398"/>
      <c r="O128" s="398"/>
      <c r="P128" s="398"/>
      <c r="Q128" s="398"/>
      <c r="R128" s="401"/>
      <c r="S128" s="398"/>
      <c r="T128" s="398"/>
      <c r="U128" s="398"/>
    </row>
    <row r="129" spans="4:21" x14ac:dyDescent="0.25">
      <c r="D129" s="841"/>
      <c r="E129" s="398"/>
      <c r="F129" s="390"/>
      <c r="G129" s="390"/>
      <c r="H129" s="390"/>
      <c r="I129" s="390"/>
      <c r="J129" s="390"/>
      <c r="K129" s="392"/>
      <c r="L129" s="398"/>
      <c r="M129" s="400"/>
      <c r="N129" s="398"/>
      <c r="O129" s="398"/>
      <c r="P129" s="398"/>
      <c r="Q129" s="398"/>
      <c r="R129" s="401"/>
      <c r="S129" s="398"/>
      <c r="T129" s="398"/>
      <c r="U129" s="398"/>
    </row>
    <row r="130" spans="4:21" x14ac:dyDescent="0.25">
      <c r="D130" s="841"/>
      <c r="E130" s="398"/>
      <c r="F130" s="390"/>
      <c r="G130" s="390"/>
      <c r="H130" s="390"/>
      <c r="I130" s="390"/>
      <c r="J130" s="390"/>
      <c r="K130" s="392"/>
      <c r="L130" s="398"/>
      <c r="M130" s="400"/>
      <c r="N130" s="398"/>
      <c r="O130" s="398"/>
      <c r="P130" s="398"/>
      <c r="Q130" s="398"/>
      <c r="R130" s="401"/>
      <c r="S130" s="398"/>
      <c r="T130" s="398"/>
      <c r="U130" s="398"/>
    </row>
    <row r="131" spans="4:21" x14ac:dyDescent="0.25">
      <c r="D131" s="841"/>
      <c r="E131" s="398"/>
      <c r="F131" s="390"/>
      <c r="G131" s="390"/>
      <c r="H131" s="390"/>
      <c r="I131" s="390"/>
      <c r="J131" s="390"/>
      <c r="K131" s="392"/>
      <c r="L131" s="398"/>
      <c r="M131" s="400"/>
      <c r="N131" s="398"/>
      <c r="O131" s="398"/>
      <c r="P131" s="398"/>
      <c r="Q131" s="398"/>
      <c r="R131" s="401"/>
      <c r="S131" s="398"/>
      <c r="T131" s="398"/>
      <c r="U131" s="398"/>
    </row>
    <row r="132" spans="4:21" x14ac:dyDescent="0.25">
      <c r="D132" s="841"/>
      <c r="E132" s="398"/>
      <c r="F132" s="390"/>
      <c r="G132" s="390"/>
      <c r="H132" s="390"/>
      <c r="I132" s="390"/>
      <c r="J132" s="390"/>
      <c r="K132" s="392"/>
      <c r="L132" s="398"/>
      <c r="M132" s="400"/>
      <c r="N132" s="398"/>
      <c r="O132" s="398"/>
      <c r="P132" s="398"/>
      <c r="Q132" s="398"/>
      <c r="R132" s="401"/>
      <c r="S132" s="398"/>
      <c r="T132" s="398"/>
      <c r="U132" s="398"/>
    </row>
    <row r="133" spans="4:21" x14ac:dyDescent="0.25">
      <c r="D133" s="841"/>
      <c r="E133" s="398"/>
      <c r="F133" s="390"/>
      <c r="G133" s="390"/>
      <c r="H133" s="390"/>
      <c r="I133" s="390"/>
      <c r="J133" s="390"/>
      <c r="K133" s="392"/>
      <c r="L133" s="398"/>
      <c r="M133" s="400"/>
      <c r="N133" s="398"/>
      <c r="O133" s="398"/>
      <c r="P133" s="398"/>
      <c r="Q133" s="398"/>
      <c r="R133" s="401"/>
      <c r="S133" s="398"/>
      <c r="T133" s="398"/>
      <c r="U133" s="398"/>
    </row>
    <row r="134" spans="4:21" x14ac:dyDescent="0.25">
      <c r="D134" s="841"/>
      <c r="E134" s="398"/>
      <c r="F134" s="390"/>
      <c r="G134" s="390"/>
      <c r="H134" s="390"/>
      <c r="I134" s="390"/>
      <c r="J134" s="390"/>
      <c r="K134" s="392"/>
      <c r="L134" s="398"/>
      <c r="M134" s="400"/>
      <c r="N134" s="398"/>
      <c r="O134" s="398"/>
      <c r="P134" s="398"/>
      <c r="Q134" s="398"/>
      <c r="R134" s="401"/>
      <c r="S134" s="398"/>
      <c r="T134" s="398"/>
      <c r="U134" s="398"/>
    </row>
    <row r="135" spans="4:21" x14ac:dyDescent="0.25">
      <c r="D135" s="841"/>
      <c r="E135" s="398"/>
      <c r="F135" s="390"/>
      <c r="G135" s="390"/>
      <c r="H135" s="390"/>
      <c r="I135" s="390"/>
      <c r="J135" s="390"/>
      <c r="K135" s="392"/>
      <c r="L135" s="398"/>
      <c r="M135" s="400"/>
      <c r="N135" s="398"/>
      <c r="O135" s="398"/>
      <c r="P135" s="398"/>
      <c r="Q135" s="398"/>
      <c r="R135" s="401"/>
      <c r="S135" s="398"/>
      <c r="T135" s="398"/>
      <c r="U135" s="398"/>
    </row>
    <row r="136" spans="4:21" x14ac:dyDescent="0.25">
      <c r="D136" s="841"/>
      <c r="E136" s="398"/>
      <c r="F136" s="390"/>
      <c r="G136" s="390"/>
      <c r="H136" s="390"/>
      <c r="I136" s="390"/>
      <c r="J136" s="390"/>
      <c r="K136" s="392"/>
      <c r="L136" s="398"/>
      <c r="M136" s="400"/>
      <c r="N136" s="398"/>
      <c r="O136" s="398"/>
      <c r="P136" s="398"/>
      <c r="Q136" s="398"/>
      <c r="R136" s="401"/>
      <c r="S136" s="398"/>
      <c r="T136" s="398"/>
      <c r="U136" s="398"/>
    </row>
    <row r="137" spans="4:21" x14ac:dyDescent="0.25">
      <c r="D137" s="841"/>
      <c r="E137" s="398"/>
      <c r="F137" s="390"/>
      <c r="G137" s="390"/>
      <c r="H137" s="390"/>
      <c r="I137" s="390"/>
      <c r="J137" s="390"/>
      <c r="K137" s="392"/>
      <c r="L137" s="398"/>
      <c r="M137" s="400"/>
      <c r="N137" s="398"/>
      <c r="O137" s="398"/>
      <c r="P137" s="398"/>
      <c r="Q137" s="398"/>
      <c r="R137" s="401"/>
      <c r="S137" s="398"/>
      <c r="T137" s="398"/>
      <c r="U137" s="398"/>
    </row>
    <row r="138" spans="4:21" x14ac:dyDescent="0.25">
      <c r="D138" s="841"/>
      <c r="E138" s="398"/>
      <c r="F138" s="390"/>
      <c r="G138" s="390"/>
      <c r="H138" s="390"/>
      <c r="I138" s="390"/>
      <c r="J138" s="390"/>
      <c r="K138" s="392"/>
      <c r="L138" s="398"/>
      <c r="M138" s="400"/>
      <c r="N138" s="398"/>
      <c r="O138" s="398"/>
      <c r="P138" s="398"/>
      <c r="Q138" s="398"/>
      <c r="R138" s="401"/>
      <c r="S138" s="398"/>
      <c r="T138" s="398"/>
      <c r="U138" s="398"/>
    </row>
    <row r="139" spans="4:21" x14ac:dyDescent="0.25">
      <c r="D139" s="841"/>
      <c r="E139" s="398"/>
      <c r="F139" s="390"/>
      <c r="G139" s="390"/>
      <c r="H139" s="390"/>
      <c r="I139" s="390"/>
      <c r="J139" s="390"/>
      <c r="K139" s="392"/>
      <c r="L139" s="398"/>
      <c r="M139" s="400"/>
      <c r="N139" s="398"/>
      <c r="O139" s="398"/>
      <c r="P139" s="398"/>
      <c r="Q139" s="398"/>
      <c r="R139" s="401"/>
      <c r="S139" s="398"/>
      <c r="T139" s="398"/>
      <c r="U139" s="398"/>
    </row>
    <row r="140" spans="4:21" x14ac:dyDescent="0.25">
      <c r="D140" s="841"/>
      <c r="E140" s="398"/>
      <c r="F140" s="390"/>
      <c r="G140" s="390"/>
      <c r="H140" s="390"/>
      <c r="I140" s="390"/>
      <c r="J140" s="390"/>
      <c r="K140" s="392"/>
      <c r="L140" s="398"/>
      <c r="M140" s="400"/>
      <c r="N140" s="398"/>
      <c r="O140" s="398"/>
      <c r="P140" s="398"/>
      <c r="Q140" s="398"/>
      <c r="R140" s="401"/>
      <c r="S140" s="398"/>
      <c r="T140" s="398"/>
      <c r="U140" s="398"/>
    </row>
    <row r="141" spans="4:21" x14ac:dyDescent="0.25">
      <c r="D141" s="841"/>
      <c r="E141" s="398"/>
      <c r="F141" s="390"/>
      <c r="G141" s="390"/>
      <c r="H141" s="390"/>
      <c r="I141" s="390"/>
      <c r="J141" s="390"/>
      <c r="K141" s="392"/>
      <c r="L141" s="398"/>
      <c r="M141" s="400"/>
      <c r="N141" s="398"/>
      <c r="O141" s="398"/>
      <c r="P141" s="398"/>
      <c r="Q141" s="398"/>
      <c r="R141" s="401"/>
      <c r="S141" s="398"/>
      <c r="T141" s="398"/>
      <c r="U141" s="398"/>
    </row>
    <row r="142" spans="4:21" x14ac:dyDescent="0.25">
      <c r="D142" s="841"/>
      <c r="E142" s="398"/>
      <c r="F142" s="390"/>
      <c r="G142" s="390"/>
      <c r="H142" s="390"/>
      <c r="I142" s="390"/>
      <c r="J142" s="390"/>
      <c r="K142" s="392"/>
      <c r="L142" s="398"/>
      <c r="M142" s="400"/>
      <c r="N142" s="398"/>
      <c r="O142" s="398"/>
      <c r="P142" s="398"/>
      <c r="Q142" s="398"/>
      <c r="R142" s="401"/>
      <c r="S142" s="398"/>
      <c r="T142" s="398"/>
      <c r="U142" s="398"/>
    </row>
    <row r="143" spans="4:21" x14ac:dyDescent="0.25">
      <c r="D143" s="841"/>
      <c r="E143" s="398"/>
      <c r="F143" s="390"/>
      <c r="G143" s="390"/>
      <c r="H143" s="390"/>
      <c r="I143" s="390"/>
      <c r="J143" s="390"/>
      <c r="K143" s="392"/>
      <c r="L143" s="398"/>
      <c r="M143" s="400"/>
      <c r="N143" s="398"/>
      <c r="O143" s="398"/>
      <c r="P143" s="398"/>
      <c r="Q143" s="398"/>
      <c r="R143" s="401"/>
      <c r="S143" s="398"/>
      <c r="T143" s="398"/>
      <c r="U143" s="398"/>
    </row>
    <row r="144" spans="4:21" x14ac:dyDescent="0.25">
      <c r="D144" s="841"/>
      <c r="E144" s="398"/>
      <c r="F144" s="390"/>
      <c r="G144" s="390"/>
      <c r="H144" s="390"/>
      <c r="I144" s="390"/>
      <c r="J144" s="390"/>
      <c r="K144" s="392"/>
      <c r="L144" s="398"/>
      <c r="M144" s="400"/>
      <c r="N144" s="398"/>
      <c r="O144" s="398"/>
      <c r="P144" s="398"/>
      <c r="Q144" s="398"/>
      <c r="R144" s="401"/>
      <c r="S144" s="398"/>
      <c r="T144" s="398"/>
      <c r="U144" s="398"/>
    </row>
    <row r="145" spans="4:21" x14ac:dyDescent="0.25">
      <c r="D145" s="841"/>
      <c r="E145" s="398"/>
      <c r="F145" s="390"/>
      <c r="G145" s="390"/>
      <c r="H145" s="390"/>
      <c r="I145" s="390"/>
      <c r="J145" s="390"/>
      <c r="K145" s="392"/>
      <c r="L145" s="398"/>
      <c r="M145" s="400"/>
      <c r="N145" s="398"/>
      <c r="O145" s="398"/>
      <c r="P145" s="398"/>
      <c r="Q145" s="398"/>
      <c r="R145" s="401"/>
      <c r="S145" s="398"/>
      <c r="T145" s="398"/>
      <c r="U145" s="398"/>
    </row>
    <row r="146" spans="4:21" x14ac:dyDescent="0.25">
      <c r="D146" s="841"/>
      <c r="E146" s="398"/>
      <c r="F146" s="390"/>
      <c r="G146" s="390"/>
      <c r="H146" s="390"/>
      <c r="I146" s="390"/>
      <c r="J146" s="390"/>
      <c r="K146" s="392"/>
      <c r="L146" s="398"/>
      <c r="M146" s="400"/>
      <c r="N146" s="398"/>
      <c r="O146" s="398"/>
      <c r="P146" s="398"/>
      <c r="Q146" s="398"/>
      <c r="R146" s="401"/>
      <c r="S146" s="398"/>
      <c r="T146" s="398"/>
      <c r="U146" s="398"/>
    </row>
    <row r="147" spans="4:21" x14ac:dyDescent="0.25">
      <c r="D147" s="841"/>
      <c r="E147" s="398"/>
      <c r="F147" s="390"/>
      <c r="G147" s="390"/>
      <c r="H147" s="390"/>
      <c r="I147" s="390"/>
      <c r="J147" s="390"/>
      <c r="K147" s="392"/>
      <c r="L147" s="398"/>
      <c r="M147" s="400"/>
      <c r="N147" s="398"/>
      <c r="O147" s="398"/>
      <c r="P147" s="398"/>
      <c r="Q147" s="398"/>
      <c r="R147" s="401"/>
      <c r="S147" s="398"/>
      <c r="T147" s="398"/>
      <c r="U147" s="398"/>
    </row>
    <row r="148" spans="4:21" x14ac:dyDescent="0.25">
      <c r="D148" s="841"/>
      <c r="E148" s="398"/>
      <c r="F148" s="390"/>
      <c r="G148" s="390"/>
      <c r="H148" s="390"/>
      <c r="I148" s="390"/>
      <c r="J148" s="390"/>
      <c r="K148" s="392"/>
      <c r="L148" s="398"/>
      <c r="M148" s="400"/>
      <c r="N148" s="398"/>
      <c r="O148" s="398"/>
      <c r="P148" s="398"/>
      <c r="Q148" s="398"/>
      <c r="R148" s="401"/>
      <c r="S148" s="398"/>
      <c r="T148" s="398"/>
      <c r="U148" s="398"/>
    </row>
    <row r="149" spans="4:21" x14ac:dyDescent="0.25">
      <c r="D149" s="841"/>
      <c r="E149" s="398"/>
      <c r="F149" s="390"/>
      <c r="G149" s="390"/>
      <c r="H149" s="390"/>
      <c r="I149" s="390"/>
      <c r="J149" s="390"/>
      <c r="K149" s="392"/>
      <c r="L149" s="398"/>
      <c r="M149" s="400"/>
      <c r="N149" s="398"/>
      <c r="O149" s="398"/>
      <c r="P149" s="398"/>
      <c r="Q149" s="398"/>
      <c r="R149" s="401"/>
      <c r="S149" s="398"/>
      <c r="T149" s="398"/>
      <c r="U149" s="398"/>
    </row>
    <row r="150" spans="4:21" x14ac:dyDescent="0.25">
      <c r="D150" s="841"/>
      <c r="E150" s="398"/>
      <c r="F150" s="390"/>
      <c r="G150" s="390"/>
      <c r="H150" s="390"/>
      <c r="I150" s="390"/>
      <c r="J150" s="390"/>
      <c r="K150" s="392"/>
      <c r="L150" s="398"/>
      <c r="M150" s="400"/>
      <c r="N150" s="398"/>
      <c r="O150" s="398"/>
      <c r="P150" s="398"/>
      <c r="Q150" s="398"/>
      <c r="R150" s="401"/>
      <c r="S150" s="398"/>
      <c r="T150" s="398"/>
      <c r="U150" s="398"/>
    </row>
    <row r="151" spans="4:21" x14ac:dyDescent="0.25">
      <c r="D151" s="841"/>
      <c r="E151" s="398"/>
      <c r="F151" s="390"/>
      <c r="G151" s="390"/>
      <c r="H151" s="390"/>
      <c r="I151" s="390"/>
      <c r="J151" s="390"/>
      <c r="K151" s="392"/>
      <c r="L151" s="398"/>
      <c r="M151" s="400"/>
      <c r="N151" s="398"/>
      <c r="O151" s="398"/>
      <c r="P151" s="398"/>
      <c r="Q151" s="398"/>
      <c r="R151" s="401"/>
      <c r="S151" s="398"/>
      <c r="T151" s="398"/>
      <c r="U151" s="398"/>
    </row>
    <row r="152" spans="4:21" x14ac:dyDescent="0.25">
      <c r="D152" s="841"/>
      <c r="E152" s="398"/>
      <c r="F152" s="390"/>
      <c r="G152" s="390"/>
      <c r="H152" s="390"/>
      <c r="I152" s="390"/>
      <c r="J152" s="390"/>
      <c r="K152" s="392"/>
      <c r="L152" s="398"/>
      <c r="M152" s="400"/>
      <c r="N152" s="398"/>
      <c r="O152" s="398"/>
      <c r="P152" s="398"/>
      <c r="Q152" s="398"/>
      <c r="R152" s="401"/>
      <c r="S152" s="398"/>
      <c r="T152" s="398"/>
      <c r="U152" s="398"/>
    </row>
    <row r="153" spans="4:21" x14ac:dyDescent="0.25">
      <c r="D153" s="841"/>
      <c r="E153" s="398"/>
      <c r="F153" s="390"/>
      <c r="G153" s="390"/>
      <c r="H153" s="390"/>
      <c r="I153" s="390"/>
      <c r="J153" s="390"/>
      <c r="K153" s="392"/>
      <c r="L153" s="398"/>
      <c r="M153" s="400"/>
      <c r="N153" s="398"/>
      <c r="O153" s="398"/>
      <c r="P153" s="398"/>
      <c r="Q153" s="398"/>
      <c r="R153" s="401"/>
      <c r="S153" s="398"/>
      <c r="T153" s="398"/>
      <c r="U153" s="398"/>
    </row>
    <row r="154" spans="4:21" x14ac:dyDescent="0.25">
      <c r="D154" s="841"/>
      <c r="E154" s="398"/>
      <c r="F154" s="390"/>
      <c r="G154" s="390"/>
      <c r="H154" s="390"/>
      <c r="I154" s="390"/>
      <c r="J154" s="390"/>
      <c r="K154" s="392"/>
      <c r="L154" s="398"/>
      <c r="M154" s="400"/>
      <c r="N154" s="398"/>
      <c r="O154" s="398"/>
      <c r="P154" s="398"/>
      <c r="Q154" s="398"/>
      <c r="R154" s="401"/>
      <c r="S154" s="398"/>
      <c r="T154" s="398"/>
      <c r="U154" s="398"/>
    </row>
    <row r="155" spans="4:21" x14ac:dyDescent="0.25">
      <c r="D155" s="841"/>
      <c r="E155" s="398"/>
      <c r="F155" s="390"/>
      <c r="G155" s="390"/>
      <c r="H155" s="390"/>
      <c r="I155" s="390"/>
      <c r="J155" s="390"/>
      <c r="K155" s="392"/>
      <c r="L155" s="398"/>
      <c r="M155" s="400"/>
      <c r="N155" s="398"/>
      <c r="O155" s="398"/>
      <c r="P155" s="398"/>
      <c r="Q155" s="398"/>
      <c r="R155" s="401"/>
      <c r="S155" s="398"/>
      <c r="T155" s="398"/>
      <c r="U155" s="398"/>
    </row>
    <row r="156" spans="4:21" x14ac:dyDescent="0.25">
      <c r="D156" s="841"/>
      <c r="E156" s="398"/>
      <c r="F156" s="390"/>
      <c r="G156" s="390"/>
      <c r="H156" s="390"/>
      <c r="I156" s="390"/>
      <c r="J156" s="390"/>
      <c r="K156" s="392"/>
      <c r="L156" s="398"/>
      <c r="M156" s="400"/>
      <c r="N156" s="398"/>
      <c r="O156" s="398"/>
      <c r="P156" s="398"/>
      <c r="Q156" s="398"/>
      <c r="R156" s="401"/>
      <c r="S156" s="398"/>
      <c r="T156" s="398"/>
      <c r="U156" s="398"/>
    </row>
    <row r="157" spans="4:21" x14ac:dyDescent="0.25">
      <c r="D157" s="841"/>
      <c r="E157" s="398"/>
      <c r="F157" s="390"/>
      <c r="G157" s="390"/>
      <c r="H157" s="390"/>
      <c r="I157" s="390"/>
      <c r="J157" s="390"/>
      <c r="K157" s="392"/>
      <c r="L157" s="398"/>
      <c r="M157" s="400"/>
      <c r="N157" s="398"/>
      <c r="O157" s="398"/>
      <c r="P157" s="398"/>
      <c r="Q157" s="398"/>
      <c r="R157" s="401"/>
      <c r="S157" s="398"/>
      <c r="T157" s="398"/>
      <c r="U157" s="398"/>
    </row>
    <row r="158" spans="4:21" x14ac:dyDescent="0.25">
      <c r="D158" s="841"/>
      <c r="E158" s="398"/>
      <c r="F158" s="390"/>
      <c r="G158" s="390"/>
      <c r="H158" s="390"/>
      <c r="I158" s="390"/>
      <c r="J158" s="390"/>
      <c r="K158" s="392"/>
      <c r="L158" s="398"/>
      <c r="M158" s="400"/>
      <c r="N158" s="398"/>
      <c r="O158" s="398"/>
      <c r="P158" s="398"/>
      <c r="Q158" s="398"/>
      <c r="R158" s="401"/>
      <c r="S158" s="398"/>
      <c r="T158" s="398"/>
      <c r="U158" s="398"/>
    </row>
    <row r="159" spans="4:21" x14ac:dyDescent="0.25">
      <c r="D159" s="841"/>
      <c r="E159" s="398"/>
      <c r="F159" s="390"/>
      <c r="G159" s="390"/>
      <c r="H159" s="390"/>
      <c r="I159" s="390"/>
      <c r="J159" s="390"/>
      <c r="K159" s="392"/>
      <c r="L159" s="398"/>
      <c r="M159" s="400"/>
      <c r="N159" s="398"/>
      <c r="O159" s="398"/>
      <c r="P159" s="398"/>
      <c r="Q159" s="398"/>
      <c r="R159" s="401"/>
      <c r="S159" s="398"/>
      <c r="T159" s="398"/>
      <c r="U159" s="398"/>
    </row>
    <row r="160" spans="4:21" x14ac:dyDescent="0.25">
      <c r="D160" s="841"/>
      <c r="E160" s="398"/>
      <c r="F160" s="390"/>
      <c r="G160" s="390"/>
      <c r="H160" s="390"/>
      <c r="I160" s="390"/>
      <c r="J160" s="390"/>
      <c r="K160" s="392"/>
      <c r="L160" s="398"/>
      <c r="M160" s="400"/>
      <c r="N160" s="398"/>
      <c r="O160" s="398"/>
      <c r="P160" s="398"/>
      <c r="Q160" s="398"/>
      <c r="R160" s="401"/>
      <c r="S160" s="398"/>
      <c r="T160" s="398"/>
      <c r="U160" s="398"/>
    </row>
    <row r="161" spans="4:21" x14ac:dyDescent="0.25">
      <c r="D161" s="841"/>
      <c r="E161" s="398"/>
      <c r="F161" s="390"/>
      <c r="G161" s="390"/>
      <c r="H161" s="390"/>
      <c r="I161" s="390"/>
      <c r="J161" s="390"/>
      <c r="K161" s="392"/>
      <c r="L161" s="398"/>
      <c r="M161" s="400"/>
      <c r="N161" s="398"/>
      <c r="O161" s="398"/>
      <c r="P161" s="398"/>
      <c r="Q161" s="398"/>
      <c r="R161" s="401"/>
      <c r="S161" s="398"/>
      <c r="T161" s="398"/>
      <c r="U161" s="398"/>
    </row>
    <row r="162" spans="4:21" x14ac:dyDescent="0.25">
      <c r="D162" s="841"/>
      <c r="E162" s="398"/>
      <c r="F162" s="390"/>
      <c r="G162" s="390"/>
      <c r="H162" s="390"/>
      <c r="I162" s="390"/>
      <c r="J162" s="390"/>
      <c r="K162" s="392"/>
      <c r="L162" s="398"/>
      <c r="M162" s="400"/>
      <c r="N162" s="398"/>
      <c r="O162" s="398"/>
      <c r="P162" s="398"/>
      <c r="Q162" s="398"/>
      <c r="R162" s="401"/>
      <c r="S162" s="398"/>
      <c r="T162" s="398"/>
      <c r="U162" s="398"/>
    </row>
    <row r="163" spans="4:21" x14ac:dyDescent="0.25">
      <c r="D163" s="841"/>
      <c r="E163" s="398"/>
      <c r="F163" s="390"/>
      <c r="G163" s="390"/>
      <c r="H163" s="390"/>
      <c r="I163" s="390"/>
      <c r="J163" s="390"/>
      <c r="K163" s="392"/>
      <c r="L163" s="398"/>
      <c r="M163" s="400"/>
      <c r="N163" s="398"/>
      <c r="O163" s="398"/>
      <c r="P163" s="398"/>
      <c r="Q163" s="398"/>
      <c r="R163" s="401"/>
      <c r="S163" s="398"/>
      <c r="T163" s="398"/>
      <c r="U163" s="398"/>
    </row>
    <row r="164" spans="4:21" x14ac:dyDescent="0.25">
      <c r="D164" s="841"/>
      <c r="E164" s="398"/>
      <c r="F164" s="390"/>
      <c r="G164" s="390"/>
      <c r="H164" s="390"/>
      <c r="I164" s="390"/>
      <c r="J164" s="390"/>
      <c r="K164" s="392"/>
      <c r="L164" s="398"/>
      <c r="M164" s="400"/>
      <c r="N164" s="398"/>
      <c r="O164" s="398"/>
      <c r="P164" s="398"/>
      <c r="Q164" s="398"/>
      <c r="R164" s="401"/>
      <c r="S164" s="398"/>
      <c r="T164" s="398"/>
      <c r="U164" s="398"/>
    </row>
    <row r="165" spans="4:21" x14ac:dyDescent="0.25">
      <c r="D165" s="841"/>
      <c r="E165" s="398"/>
      <c r="F165" s="390"/>
      <c r="G165" s="390"/>
      <c r="H165" s="390"/>
      <c r="I165" s="390"/>
      <c r="J165" s="390"/>
      <c r="K165" s="392"/>
      <c r="L165" s="398"/>
      <c r="M165" s="400"/>
      <c r="N165" s="398"/>
      <c r="O165" s="398"/>
      <c r="P165" s="398"/>
      <c r="Q165" s="398"/>
      <c r="R165" s="401"/>
      <c r="S165" s="398"/>
      <c r="T165" s="398"/>
      <c r="U165" s="398"/>
    </row>
    <row r="166" spans="4:21" x14ac:dyDescent="0.25">
      <c r="D166" s="841"/>
      <c r="E166" s="398"/>
      <c r="F166" s="390"/>
      <c r="G166" s="390"/>
      <c r="H166" s="390"/>
      <c r="I166" s="390"/>
      <c r="J166" s="390"/>
      <c r="K166" s="392"/>
      <c r="L166" s="398"/>
      <c r="M166" s="400"/>
      <c r="N166" s="398"/>
      <c r="O166" s="398"/>
      <c r="P166" s="398"/>
      <c r="Q166" s="398"/>
      <c r="R166" s="401"/>
      <c r="S166" s="398"/>
      <c r="T166" s="398"/>
      <c r="U166" s="398"/>
    </row>
    <row r="167" spans="4:21" x14ac:dyDescent="0.25">
      <c r="D167" s="841"/>
      <c r="E167" s="398"/>
      <c r="F167" s="390"/>
      <c r="G167" s="390"/>
      <c r="H167" s="390"/>
      <c r="I167" s="390"/>
      <c r="J167" s="390"/>
      <c r="K167" s="392"/>
      <c r="L167" s="398"/>
      <c r="M167" s="400"/>
      <c r="N167" s="398"/>
      <c r="O167" s="398"/>
      <c r="P167" s="398"/>
      <c r="Q167" s="398"/>
      <c r="R167" s="401"/>
      <c r="S167" s="398"/>
      <c r="T167" s="398"/>
      <c r="U167" s="398"/>
    </row>
    <row r="168" spans="4:21" x14ac:dyDescent="0.25">
      <c r="D168" s="841"/>
      <c r="E168" s="398"/>
      <c r="F168" s="390"/>
      <c r="G168" s="390"/>
      <c r="H168" s="390"/>
      <c r="I168" s="390"/>
      <c r="J168" s="390"/>
      <c r="K168" s="392"/>
      <c r="L168" s="398"/>
      <c r="M168" s="400"/>
      <c r="N168" s="398"/>
      <c r="O168" s="398"/>
      <c r="P168" s="398"/>
      <c r="Q168" s="398"/>
      <c r="R168" s="401"/>
      <c r="S168" s="398"/>
      <c r="T168" s="398"/>
      <c r="U168" s="398"/>
    </row>
    <row r="169" spans="4:21" x14ac:dyDescent="0.25">
      <c r="D169" s="841"/>
      <c r="E169" s="398"/>
      <c r="F169" s="390"/>
      <c r="G169" s="390"/>
      <c r="H169" s="390"/>
      <c r="I169" s="390"/>
      <c r="J169" s="390"/>
      <c r="K169" s="392"/>
      <c r="L169" s="398"/>
      <c r="M169" s="400"/>
      <c r="N169" s="398"/>
      <c r="O169" s="398"/>
      <c r="P169" s="398"/>
      <c r="Q169" s="398"/>
      <c r="R169" s="401"/>
      <c r="S169" s="398"/>
      <c r="T169" s="398"/>
      <c r="U169" s="398"/>
    </row>
    <row r="170" spans="4:21" x14ac:dyDescent="0.25">
      <c r="D170" s="841"/>
      <c r="E170" s="398"/>
      <c r="F170" s="390"/>
      <c r="G170" s="390"/>
      <c r="H170" s="390"/>
      <c r="I170" s="390"/>
      <c r="J170" s="390"/>
      <c r="K170" s="392"/>
      <c r="L170" s="398"/>
      <c r="M170" s="400"/>
      <c r="N170" s="398"/>
      <c r="O170" s="398"/>
      <c r="P170" s="398"/>
      <c r="Q170" s="398"/>
      <c r="R170" s="401"/>
      <c r="S170" s="398"/>
      <c r="T170" s="398"/>
      <c r="U170" s="398"/>
    </row>
    <row r="171" spans="4:21" x14ac:dyDescent="0.25">
      <c r="D171" s="841"/>
      <c r="E171" s="398"/>
      <c r="F171" s="390"/>
      <c r="G171" s="390"/>
      <c r="H171" s="390"/>
      <c r="I171" s="390"/>
      <c r="J171" s="390"/>
      <c r="K171" s="392"/>
      <c r="L171" s="398"/>
      <c r="M171" s="400"/>
      <c r="N171" s="398"/>
      <c r="O171" s="398"/>
      <c r="P171" s="398"/>
      <c r="Q171" s="398"/>
      <c r="R171" s="401"/>
      <c r="S171" s="398"/>
      <c r="T171" s="398"/>
      <c r="U171" s="398"/>
    </row>
    <row r="172" spans="4:21" x14ac:dyDescent="0.25">
      <c r="D172" s="841"/>
      <c r="E172" s="398"/>
      <c r="F172" s="390"/>
      <c r="G172" s="390"/>
      <c r="H172" s="390"/>
      <c r="I172" s="390"/>
      <c r="J172" s="390"/>
      <c r="K172" s="392"/>
      <c r="L172" s="398"/>
      <c r="M172" s="400"/>
      <c r="N172" s="398"/>
      <c r="O172" s="398"/>
      <c r="P172" s="398"/>
      <c r="Q172" s="398"/>
      <c r="R172" s="401"/>
      <c r="S172" s="398"/>
      <c r="T172" s="398"/>
      <c r="U172" s="398"/>
    </row>
    <row r="173" spans="4:21" x14ac:dyDescent="0.25">
      <c r="D173" s="841"/>
      <c r="E173" s="398"/>
      <c r="F173" s="390"/>
      <c r="G173" s="390"/>
      <c r="H173" s="390"/>
      <c r="I173" s="390"/>
      <c r="J173" s="390"/>
      <c r="K173" s="392"/>
      <c r="L173" s="398"/>
      <c r="M173" s="400"/>
      <c r="N173" s="398"/>
      <c r="O173" s="398"/>
      <c r="P173" s="398"/>
      <c r="Q173" s="398"/>
      <c r="R173" s="401"/>
      <c r="S173" s="398"/>
      <c r="T173" s="398"/>
      <c r="U173" s="398"/>
    </row>
    <row r="174" spans="4:21" x14ac:dyDescent="0.25">
      <c r="D174" s="841"/>
      <c r="E174" s="398"/>
      <c r="F174" s="390"/>
      <c r="G174" s="390"/>
      <c r="H174" s="390"/>
      <c r="I174" s="390"/>
      <c r="J174" s="390"/>
      <c r="K174" s="392"/>
      <c r="L174" s="398"/>
      <c r="M174" s="400"/>
      <c r="N174" s="398"/>
      <c r="O174" s="398"/>
      <c r="P174" s="398"/>
      <c r="Q174" s="398"/>
      <c r="R174" s="401"/>
      <c r="S174" s="398"/>
      <c r="T174" s="398"/>
      <c r="U174" s="398"/>
    </row>
    <row r="175" spans="4:21" x14ac:dyDescent="0.25">
      <c r="D175" s="841"/>
      <c r="E175" s="398"/>
      <c r="F175" s="390"/>
      <c r="G175" s="390"/>
      <c r="H175" s="390"/>
      <c r="I175" s="390"/>
      <c r="J175" s="390"/>
      <c r="K175" s="392"/>
      <c r="L175" s="398"/>
      <c r="M175" s="400"/>
      <c r="N175" s="398"/>
      <c r="O175" s="398"/>
      <c r="P175" s="398"/>
      <c r="Q175" s="398"/>
      <c r="R175" s="401"/>
      <c r="S175" s="398"/>
      <c r="T175" s="398"/>
      <c r="U175" s="398"/>
    </row>
    <row r="176" spans="4:21" x14ac:dyDescent="0.25">
      <c r="D176" s="841"/>
      <c r="E176" s="398"/>
      <c r="F176" s="390"/>
      <c r="G176" s="390"/>
      <c r="H176" s="390"/>
      <c r="I176" s="390"/>
      <c r="J176" s="390"/>
      <c r="K176" s="392"/>
      <c r="L176" s="398"/>
      <c r="M176" s="400"/>
      <c r="N176" s="398"/>
      <c r="O176" s="398"/>
      <c r="P176" s="398"/>
      <c r="Q176" s="398"/>
      <c r="R176" s="401"/>
      <c r="S176" s="398"/>
      <c r="T176" s="398"/>
      <c r="U176" s="398"/>
    </row>
    <row r="177" spans="4:21" x14ac:dyDescent="0.25">
      <c r="D177" s="841"/>
      <c r="E177" s="398"/>
      <c r="F177" s="390"/>
      <c r="G177" s="390"/>
      <c r="H177" s="390"/>
      <c r="I177" s="390"/>
      <c r="J177" s="390"/>
      <c r="K177" s="392"/>
      <c r="L177" s="398"/>
      <c r="M177" s="400"/>
      <c r="N177" s="398"/>
      <c r="O177" s="398"/>
      <c r="P177" s="398"/>
      <c r="Q177" s="398"/>
      <c r="R177" s="401"/>
      <c r="S177" s="398"/>
      <c r="T177" s="398"/>
      <c r="U177" s="398"/>
    </row>
    <row r="178" spans="4:21" x14ac:dyDescent="0.25">
      <c r="D178" s="841"/>
      <c r="E178" s="398"/>
      <c r="F178" s="390"/>
      <c r="G178" s="390"/>
      <c r="H178" s="390"/>
      <c r="I178" s="390"/>
      <c r="J178" s="390"/>
      <c r="K178" s="392"/>
      <c r="L178" s="398"/>
      <c r="M178" s="400"/>
      <c r="N178" s="398"/>
      <c r="O178" s="398"/>
      <c r="P178" s="398"/>
      <c r="Q178" s="398"/>
      <c r="R178" s="401"/>
      <c r="S178" s="398"/>
      <c r="T178" s="398"/>
      <c r="U178" s="398"/>
    </row>
    <row r="179" spans="4:21" x14ac:dyDescent="0.25">
      <c r="D179" s="841"/>
      <c r="E179" s="398"/>
      <c r="F179" s="390"/>
      <c r="G179" s="390"/>
      <c r="H179" s="390"/>
      <c r="I179" s="390"/>
      <c r="J179" s="390"/>
      <c r="K179" s="392"/>
      <c r="L179" s="398"/>
      <c r="M179" s="400"/>
      <c r="N179" s="398"/>
      <c r="O179" s="398"/>
      <c r="P179" s="398"/>
      <c r="Q179" s="398"/>
      <c r="R179" s="401"/>
      <c r="S179" s="398"/>
      <c r="T179" s="398"/>
      <c r="U179" s="398"/>
    </row>
    <row r="180" spans="4:21" x14ac:dyDescent="0.25">
      <c r="D180" s="841"/>
      <c r="E180" s="398"/>
      <c r="F180" s="390"/>
      <c r="G180" s="390"/>
      <c r="H180" s="390"/>
      <c r="I180" s="390"/>
      <c r="J180" s="390"/>
      <c r="K180" s="392"/>
      <c r="L180" s="398"/>
      <c r="M180" s="400"/>
      <c r="N180" s="398"/>
      <c r="O180" s="398"/>
      <c r="P180" s="398"/>
      <c r="Q180" s="398"/>
      <c r="R180" s="401"/>
      <c r="S180" s="398"/>
      <c r="T180" s="398"/>
      <c r="U180" s="398"/>
    </row>
    <row r="181" spans="4:21" x14ac:dyDescent="0.25">
      <c r="D181" s="841"/>
      <c r="E181" s="398"/>
      <c r="F181" s="390"/>
      <c r="G181" s="390"/>
      <c r="H181" s="390"/>
      <c r="I181" s="390"/>
      <c r="J181" s="390"/>
      <c r="K181" s="392"/>
      <c r="L181" s="398"/>
      <c r="M181" s="400"/>
      <c r="N181" s="398"/>
      <c r="O181" s="398"/>
      <c r="P181" s="398"/>
      <c r="Q181" s="398"/>
      <c r="R181" s="401"/>
      <c r="S181" s="398"/>
      <c r="T181" s="398"/>
      <c r="U181" s="398"/>
    </row>
    <row r="182" spans="4:21" x14ac:dyDescent="0.25">
      <c r="D182" s="841"/>
      <c r="E182" s="398"/>
      <c r="F182" s="390"/>
      <c r="G182" s="390"/>
      <c r="H182" s="390"/>
      <c r="I182" s="390"/>
      <c r="J182" s="390"/>
      <c r="K182" s="392"/>
      <c r="L182" s="398"/>
      <c r="M182" s="400"/>
      <c r="N182" s="398"/>
      <c r="O182" s="398"/>
      <c r="P182" s="398"/>
      <c r="Q182" s="398"/>
      <c r="R182" s="401"/>
      <c r="S182" s="398"/>
      <c r="T182" s="398"/>
      <c r="U182" s="398"/>
    </row>
    <row r="183" spans="4:21" x14ac:dyDescent="0.25">
      <c r="D183" s="841"/>
      <c r="E183" s="398"/>
      <c r="F183" s="390"/>
      <c r="G183" s="390"/>
      <c r="H183" s="390"/>
      <c r="I183" s="390"/>
      <c r="J183" s="390"/>
      <c r="K183" s="392"/>
      <c r="L183" s="398"/>
      <c r="M183" s="400"/>
      <c r="N183" s="398"/>
      <c r="O183" s="398"/>
      <c r="P183" s="398"/>
      <c r="Q183" s="398"/>
      <c r="R183" s="401"/>
      <c r="S183" s="398"/>
      <c r="T183" s="398"/>
      <c r="U183" s="398"/>
    </row>
    <row r="184" spans="4:21" x14ac:dyDescent="0.25">
      <c r="D184" s="841"/>
      <c r="E184" s="398"/>
      <c r="F184" s="390"/>
      <c r="G184" s="390"/>
      <c r="H184" s="390"/>
      <c r="I184" s="390"/>
      <c r="J184" s="390"/>
      <c r="K184" s="392"/>
      <c r="L184" s="398"/>
      <c r="M184" s="400"/>
      <c r="N184" s="398"/>
      <c r="O184" s="398"/>
      <c r="P184" s="398"/>
      <c r="Q184" s="398"/>
      <c r="R184" s="401"/>
      <c r="S184" s="398"/>
      <c r="T184" s="398"/>
      <c r="U184" s="398"/>
    </row>
    <row r="185" spans="4:21" x14ac:dyDescent="0.25">
      <c r="D185" s="841"/>
      <c r="E185" s="398"/>
      <c r="F185" s="390"/>
      <c r="G185" s="390"/>
      <c r="H185" s="390"/>
      <c r="I185" s="390"/>
      <c r="J185" s="390"/>
      <c r="K185" s="392"/>
      <c r="L185" s="398"/>
      <c r="M185" s="400"/>
      <c r="N185" s="398"/>
      <c r="O185" s="398"/>
      <c r="P185" s="398"/>
      <c r="Q185" s="398"/>
      <c r="R185" s="401"/>
      <c r="S185" s="398"/>
      <c r="T185" s="398"/>
      <c r="U185" s="398"/>
    </row>
    <row r="186" spans="4:21" x14ac:dyDescent="0.25">
      <c r="D186" s="841"/>
      <c r="E186" s="398"/>
      <c r="F186" s="390"/>
      <c r="G186" s="390"/>
      <c r="H186" s="390"/>
      <c r="I186" s="390"/>
      <c r="J186" s="390"/>
      <c r="K186" s="392"/>
      <c r="L186" s="398"/>
      <c r="M186" s="400"/>
      <c r="N186" s="398"/>
      <c r="O186" s="398"/>
      <c r="P186" s="398"/>
      <c r="Q186" s="398"/>
      <c r="R186" s="401"/>
      <c r="S186" s="398"/>
      <c r="T186" s="398"/>
      <c r="U186" s="398"/>
    </row>
    <row r="187" spans="4:21" x14ac:dyDescent="0.25">
      <c r="D187" s="841"/>
      <c r="E187" s="398"/>
      <c r="F187" s="390"/>
      <c r="G187" s="390"/>
      <c r="H187" s="390"/>
      <c r="I187" s="390"/>
      <c r="J187" s="390"/>
      <c r="K187" s="392"/>
      <c r="L187" s="398"/>
      <c r="M187" s="400"/>
      <c r="N187" s="398"/>
      <c r="O187" s="398"/>
      <c r="P187" s="398"/>
      <c r="Q187" s="398"/>
      <c r="R187" s="401"/>
      <c r="S187" s="398"/>
      <c r="T187" s="398"/>
      <c r="U187" s="398"/>
    </row>
    <row r="188" spans="4:21" x14ac:dyDescent="0.25">
      <c r="D188" s="841"/>
      <c r="E188" s="398"/>
      <c r="F188" s="390"/>
      <c r="G188" s="390"/>
      <c r="H188" s="390"/>
      <c r="I188" s="390"/>
      <c r="J188" s="390"/>
      <c r="K188" s="392"/>
      <c r="L188" s="398"/>
      <c r="M188" s="400"/>
      <c r="N188" s="398"/>
      <c r="O188" s="398"/>
      <c r="P188" s="398"/>
      <c r="Q188" s="398"/>
      <c r="R188" s="401"/>
      <c r="S188" s="398"/>
      <c r="T188" s="398"/>
      <c r="U188" s="398"/>
    </row>
    <row r="189" spans="4:21" x14ac:dyDescent="0.25">
      <c r="D189" s="841"/>
      <c r="E189" s="398"/>
      <c r="F189" s="390"/>
      <c r="G189" s="390"/>
      <c r="H189" s="390"/>
      <c r="I189" s="390"/>
      <c r="J189" s="390"/>
      <c r="K189" s="392"/>
      <c r="L189" s="398"/>
      <c r="M189" s="400"/>
      <c r="N189" s="398"/>
      <c r="O189" s="398"/>
      <c r="P189" s="398"/>
      <c r="Q189" s="398"/>
      <c r="R189" s="401"/>
      <c r="S189" s="398"/>
      <c r="T189" s="398"/>
      <c r="U189" s="398"/>
    </row>
    <row r="190" spans="4:21" x14ac:dyDescent="0.25">
      <c r="D190" s="841"/>
      <c r="E190" s="398"/>
      <c r="F190" s="390"/>
      <c r="G190" s="390"/>
      <c r="H190" s="390"/>
      <c r="I190" s="390"/>
      <c r="J190" s="390"/>
      <c r="K190" s="392"/>
      <c r="L190" s="398"/>
      <c r="M190" s="400"/>
      <c r="N190" s="398"/>
      <c r="O190" s="398"/>
      <c r="P190" s="398"/>
      <c r="Q190" s="398"/>
      <c r="R190" s="401"/>
      <c r="S190" s="398"/>
      <c r="T190" s="398"/>
      <c r="U190" s="398"/>
    </row>
    <row r="191" spans="4:21" x14ac:dyDescent="0.25">
      <c r="D191" s="841"/>
      <c r="E191" s="398"/>
      <c r="F191" s="390"/>
      <c r="G191" s="390"/>
      <c r="H191" s="390"/>
      <c r="I191" s="390"/>
      <c r="J191" s="390"/>
      <c r="K191" s="392"/>
      <c r="L191" s="398"/>
      <c r="M191" s="400"/>
      <c r="N191" s="398"/>
      <c r="O191" s="398"/>
      <c r="P191" s="398"/>
      <c r="Q191" s="398"/>
      <c r="R191" s="401"/>
      <c r="S191" s="398"/>
      <c r="T191" s="398"/>
      <c r="U191" s="398"/>
    </row>
    <row r="192" spans="4:21" x14ac:dyDescent="0.25">
      <c r="D192" s="841"/>
      <c r="E192" s="398"/>
      <c r="F192" s="390"/>
      <c r="G192" s="390"/>
      <c r="H192" s="390"/>
      <c r="I192" s="390"/>
      <c r="J192" s="390"/>
      <c r="K192" s="392"/>
      <c r="L192" s="398"/>
      <c r="M192" s="400"/>
      <c r="N192" s="398"/>
      <c r="O192" s="398"/>
      <c r="P192" s="398"/>
      <c r="Q192" s="398"/>
      <c r="R192" s="401"/>
      <c r="S192" s="398"/>
      <c r="T192" s="398"/>
      <c r="U192" s="398"/>
    </row>
    <row r="193" spans="4:21" x14ac:dyDescent="0.25">
      <c r="D193" s="841"/>
      <c r="E193" s="398"/>
      <c r="F193" s="390"/>
      <c r="G193" s="390"/>
      <c r="H193" s="390"/>
      <c r="I193" s="390"/>
      <c r="J193" s="390"/>
      <c r="K193" s="392"/>
      <c r="L193" s="398"/>
      <c r="M193" s="400"/>
      <c r="N193" s="398"/>
      <c r="O193" s="398"/>
      <c r="P193" s="398"/>
      <c r="Q193" s="398"/>
      <c r="R193" s="401"/>
      <c r="S193" s="398"/>
      <c r="T193" s="398"/>
      <c r="U193" s="398"/>
    </row>
    <row r="194" spans="4:21" x14ac:dyDescent="0.25">
      <c r="D194" s="841"/>
      <c r="E194" s="398"/>
      <c r="F194" s="390"/>
      <c r="G194" s="390"/>
      <c r="H194" s="390"/>
      <c r="I194" s="390"/>
      <c r="J194" s="390"/>
      <c r="K194" s="392"/>
      <c r="L194" s="398"/>
      <c r="M194" s="400"/>
      <c r="N194" s="398"/>
      <c r="O194" s="398"/>
      <c r="P194" s="398"/>
      <c r="Q194" s="398"/>
      <c r="R194" s="401"/>
      <c r="S194" s="398"/>
      <c r="T194" s="398"/>
      <c r="U194" s="398"/>
    </row>
    <row r="195" spans="4:21" x14ac:dyDescent="0.25">
      <c r="D195" s="841"/>
      <c r="E195" s="398"/>
      <c r="F195" s="390"/>
      <c r="G195" s="390"/>
      <c r="H195" s="390"/>
      <c r="I195" s="390"/>
      <c r="J195" s="390"/>
      <c r="K195" s="392"/>
      <c r="L195" s="398"/>
      <c r="M195" s="400"/>
      <c r="N195" s="398"/>
      <c r="O195" s="398"/>
      <c r="P195" s="398"/>
      <c r="Q195" s="398"/>
      <c r="R195" s="401"/>
      <c r="S195" s="398"/>
      <c r="T195" s="398"/>
      <c r="U195" s="398"/>
    </row>
    <row r="196" spans="4:21" x14ac:dyDescent="0.25">
      <c r="D196" s="841"/>
      <c r="E196" s="398"/>
      <c r="F196" s="390"/>
      <c r="G196" s="390"/>
      <c r="H196" s="390"/>
      <c r="I196" s="390"/>
      <c r="J196" s="390"/>
      <c r="K196" s="392"/>
      <c r="L196" s="398"/>
      <c r="M196" s="400"/>
      <c r="N196" s="398"/>
      <c r="O196" s="398"/>
      <c r="P196" s="398"/>
      <c r="Q196" s="398"/>
      <c r="R196" s="401"/>
      <c r="S196" s="398"/>
      <c r="T196" s="398"/>
      <c r="U196" s="398"/>
    </row>
    <row r="197" spans="4:21" x14ac:dyDescent="0.25">
      <c r="D197" s="841"/>
      <c r="E197" s="398"/>
      <c r="F197" s="390"/>
      <c r="G197" s="390"/>
      <c r="H197" s="390"/>
      <c r="I197" s="390"/>
      <c r="J197" s="390"/>
      <c r="K197" s="392"/>
      <c r="L197" s="398"/>
      <c r="M197" s="400"/>
      <c r="N197" s="398"/>
      <c r="O197" s="398"/>
      <c r="P197" s="398"/>
      <c r="Q197" s="398"/>
      <c r="R197" s="401"/>
      <c r="S197" s="398"/>
      <c r="T197" s="398"/>
      <c r="U197" s="398"/>
    </row>
    <row r="198" spans="4:21" x14ac:dyDescent="0.25">
      <c r="D198" s="841"/>
      <c r="E198" s="398"/>
      <c r="F198" s="390"/>
      <c r="G198" s="390"/>
      <c r="H198" s="390"/>
      <c r="I198" s="390"/>
      <c r="J198" s="390"/>
      <c r="K198" s="392"/>
      <c r="L198" s="398"/>
      <c r="M198" s="400"/>
      <c r="N198" s="398"/>
      <c r="O198" s="398"/>
      <c r="P198" s="398"/>
      <c r="Q198" s="398"/>
      <c r="R198" s="401"/>
      <c r="S198" s="398"/>
      <c r="T198" s="398"/>
      <c r="U198" s="398"/>
    </row>
    <row r="199" spans="4:21" x14ac:dyDescent="0.25">
      <c r="D199" s="841"/>
      <c r="E199" s="398"/>
      <c r="F199" s="390"/>
      <c r="G199" s="390"/>
      <c r="H199" s="390"/>
      <c r="I199" s="390"/>
      <c r="J199" s="390"/>
      <c r="K199" s="392"/>
      <c r="L199" s="398"/>
      <c r="M199" s="400"/>
      <c r="N199" s="398"/>
      <c r="O199" s="398"/>
      <c r="P199" s="398"/>
      <c r="Q199" s="398"/>
      <c r="R199" s="401"/>
      <c r="S199" s="398"/>
      <c r="T199" s="398"/>
      <c r="U199" s="398"/>
    </row>
    <row r="200" spans="4:21" x14ac:dyDescent="0.25">
      <c r="D200" s="841"/>
      <c r="E200" s="398"/>
      <c r="F200" s="390"/>
      <c r="G200" s="390"/>
      <c r="H200" s="390"/>
      <c r="I200" s="390"/>
      <c r="J200" s="390"/>
      <c r="K200" s="392"/>
      <c r="L200" s="398"/>
      <c r="M200" s="400"/>
      <c r="N200" s="398"/>
      <c r="O200" s="398"/>
      <c r="P200" s="398"/>
      <c r="Q200" s="398"/>
      <c r="R200" s="401"/>
      <c r="S200" s="398"/>
      <c r="T200" s="398"/>
      <c r="U200" s="398"/>
    </row>
    <row r="201" spans="4:21" x14ac:dyDescent="0.25">
      <c r="D201" s="841"/>
      <c r="E201" s="398"/>
      <c r="F201" s="390"/>
      <c r="G201" s="390"/>
      <c r="H201" s="390"/>
      <c r="I201" s="390"/>
      <c r="J201" s="390"/>
      <c r="K201" s="392"/>
      <c r="L201" s="398"/>
      <c r="M201" s="400"/>
      <c r="N201" s="398"/>
      <c r="O201" s="398"/>
      <c r="P201" s="398"/>
      <c r="Q201" s="398"/>
      <c r="R201" s="401"/>
      <c r="S201" s="398"/>
      <c r="T201" s="398"/>
      <c r="U201" s="398"/>
    </row>
    <row r="202" spans="4:21" x14ac:dyDescent="0.25">
      <c r="D202" s="841"/>
      <c r="E202" s="398"/>
      <c r="F202" s="390"/>
      <c r="G202" s="390"/>
      <c r="H202" s="390"/>
      <c r="I202" s="390"/>
      <c r="J202" s="390"/>
      <c r="K202" s="392"/>
      <c r="L202" s="398"/>
      <c r="M202" s="400"/>
      <c r="N202" s="398"/>
      <c r="O202" s="398"/>
      <c r="P202" s="398"/>
      <c r="Q202" s="398"/>
      <c r="R202" s="401"/>
      <c r="S202" s="398"/>
      <c r="T202" s="398"/>
      <c r="U202" s="398"/>
    </row>
    <row r="203" spans="4:21" x14ac:dyDescent="0.25">
      <c r="D203" s="841"/>
      <c r="E203" s="398"/>
      <c r="F203" s="390"/>
      <c r="G203" s="390"/>
      <c r="H203" s="390"/>
      <c r="I203" s="390"/>
      <c r="J203" s="390"/>
      <c r="K203" s="392"/>
      <c r="L203" s="398"/>
      <c r="M203" s="400"/>
      <c r="N203" s="398"/>
      <c r="O203" s="398"/>
      <c r="P203" s="398"/>
      <c r="Q203" s="398"/>
      <c r="R203" s="401"/>
      <c r="S203" s="398"/>
      <c r="T203" s="398"/>
      <c r="U203" s="398"/>
    </row>
    <row r="204" spans="4:21" x14ac:dyDescent="0.25">
      <c r="D204" s="841"/>
      <c r="E204" s="398"/>
      <c r="F204" s="390"/>
      <c r="G204" s="390"/>
      <c r="H204" s="390"/>
      <c r="I204" s="390"/>
      <c r="J204" s="390"/>
      <c r="K204" s="392"/>
      <c r="L204" s="398"/>
      <c r="M204" s="400"/>
      <c r="N204" s="398"/>
      <c r="O204" s="398"/>
      <c r="P204" s="398"/>
      <c r="Q204" s="398"/>
      <c r="R204" s="401"/>
      <c r="S204" s="398"/>
      <c r="T204" s="398"/>
      <c r="U204" s="398"/>
    </row>
    <row r="205" spans="4:21" x14ac:dyDescent="0.25">
      <c r="D205" s="841"/>
      <c r="E205" s="398"/>
      <c r="F205" s="390"/>
      <c r="G205" s="390"/>
      <c r="H205" s="390"/>
      <c r="I205" s="390"/>
      <c r="J205" s="390"/>
      <c r="K205" s="392"/>
      <c r="L205" s="398"/>
      <c r="M205" s="400"/>
      <c r="N205" s="398"/>
      <c r="O205" s="398"/>
      <c r="P205" s="398"/>
      <c r="Q205" s="398"/>
      <c r="R205" s="401"/>
      <c r="S205" s="398"/>
      <c r="T205" s="398"/>
      <c r="U205" s="398"/>
    </row>
    <row r="206" spans="4:21" x14ac:dyDescent="0.25">
      <c r="D206" s="841"/>
      <c r="E206" s="398"/>
      <c r="F206" s="390"/>
      <c r="G206" s="390"/>
      <c r="H206" s="390"/>
      <c r="I206" s="390"/>
      <c r="J206" s="390"/>
      <c r="K206" s="392"/>
      <c r="L206" s="398"/>
      <c r="M206" s="400"/>
      <c r="N206" s="398"/>
      <c r="O206" s="398"/>
      <c r="P206" s="398"/>
      <c r="Q206" s="398"/>
      <c r="R206" s="401"/>
      <c r="S206" s="398"/>
      <c r="T206" s="398"/>
      <c r="U206" s="398"/>
    </row>
    <row r="207" spans="4:21" x14ac:dyDescent="0.25">
      <c r="D207" s="841"/>
      <c r="E207" s="398"/>
      <c r="F207" s="390"/>
      <c r="G207" s="390"/>
      <c r="H207" s="390"/>
      <c r="I207" s="390"/>
      <c r="J207" s="390"/>
      <c r="K207" s="392"/>
      <c r="L207" s="398"/>
      <c r="M207" s="400"/>
      <c r="N207" s="398"/>
      <c r="O207" s="398"/>
      <c r="P207" s="398"/>
      <c r="Q207" s="398"/>
      <c r="R207" s="401"/>
      <c r="S207" s="398"/>
      <c r="T207" s="398"/>
      <c r="U207" s="398"/>
    </row>
    <row r="208" spans="4:21" x14ac:dyDescent="0.25">
      <c r="D208" s="841"/>
      <c r="E208" s="398"/>
      <c r="F208" s="390"/>
      <c r="G208" s="390"/>
      <c r="H208" s="390"/>
      <c r="I208" s="390"/>
      <c r="J208" s="390"/>
      <c r="K208" s="392"/>
      <c r="L208" s="398"/>
      <c r="M208" s="400"/>
      <c r="N208" s="398"/>
      <c r="O208" s="398"/>
      <c r="P208" s="398"/>
      <c r="Q208" s="398"/>
      <c r="R208" s="401"/>
      <c r="S208" s="398"/>
      <c r="T208" s="398"/>
      <c r="U208" s="398"/>
    </row>
    <row r="209" spans="4:21" x14ac:dyDescent="0.25">
      <c r="D209" s="841"/>
      <c r="E209" s="398"/>
      <c r="F209" s="390"/>
      <c r="G209" s="390"/>
      <c r="H209" s="390"/>
      <c r="I209" s="390"/>
      <c r="J209" s="390"/>
      <c r="K209" s="392"/>
      <c r="L209" s="398"/>
      <c r="M209" s="400"/>
      <c r="N209" s="398"/>
      <c r="O209" s="398"/>
      <c r="P209" s="398"/>
      <c r="Q209" s="398"/>
      <c r="R209" s="401"/>
      <c r="S209" s="398"/>
      <c r="T209" s="398"/>
      <c r="U209" s="398"/>
    </row>
    <row r="210" spans="4:21" x14ac:dyDescent="0.25">
      <c r="D210" s="841"/>
      <c r="E210" s="398"/>
      <c r="F210" s="390"/>
      <c r="G210" s="390"/>
      <c r="H210" s="390"/>
      <c r="I210" s="390"/>
      <c r="J210" s="390"/>
      <c r="K210" s="392"/>
      <c r="L210" s="398"/>
      <c r="M210" s="400"/>
      <c r="N210" s="398"/>
      <c r="O210" s="398"/>
      <c r="P210" s="398"/>
      <c r="Q210" s="398"/>
      <c r="R210" s="401"/>
      <c r="S210" s="398"/>
      <c r="T210" s="398"/>
      <c r="U210" s="398"/>
    </row>
    <row r="211" spans="4:21" x14ac:dyDescent="0.25">
      <c r="D211" s="841"/>
      <c r="E211" s="398"/>
      <c r="F211" s="390"/>
      <c r="G211" s="390"/>
      <c r="H211" s="390"/>
      <c r="I211" s="390"/>
      <c r="J211" s="390"/>
      <c r="K211" s="392"/>
      <c r="L211" s="398"/>
      <c r="M211" s="400"/>
      <c r="N211" s="398"/>
      <c r="O211" s="398"/>
      <c r="P211" s="398"/>
      <c r="Q211" s="398"/>
      <c r="R211" s="401"/>
      <c r="S211" s="398"/>
      <c r="T211" s="398"/>
      <c r="U211" s="398"/>
    </row>
    <row r="212" spans="4:21" x14ac:dyDescent="0.25">
      <c r="D212" s="841"/>
      <c r="E212" s="398"/>
      <c r="F212" s="390"/>
      <c r="G212" s="390"/>
      <c r="H212" s="390"/>
      <c r="I212" s="390"/>
      <c r="J212" s="390"/>
      <c r="K212" s="392"/>
      <c r="L212" s="398"/>
      <c r="M212" s="400"/>
      <c r="N212" s="398"/>
      <c r="O212" s="398"/>
      <c r="P212" s="398"/>
      <c r="Q212" s="398"/>
      <c r="R212" s="401"/>
      <c r="S212" s="398"/>
      <c r="T212" s="398"/>
      <c r="U212" s="398"/>
    </row>
    <row r="213" spans="4:21" x14ac:dyDescent="0.25">
      <c r="D213" s="841"/>
      <c r="E213" s="398"/>
      <c r="F213" s="390"/>
      <c r="G213" s="390"/>
      <c r="H213" s="390"/>
      <c r="I213" s="390"/>
      <c r="J213" s="390"/>
      <c r="K213" s="392"/>
      <c r="L213" s="398"/>
      <c r="M213" s="400"/>
      <c r="N213" s="398"/>
      <c r="O213" s="398"/>
      <c r="P213" s="398"/>
      <c r="Q213" s="398"/>
      <c r="R213" s="401"/>
      <c r="S213" s="398"/>
      <c r="T213" s="398"/>
      <c r="U213" s="398"/>
    </row>
    <row r="214" spans="4:21" x14ac:dyDescent="0.25">
      <c r="D214" s="841"/>
      <c r="E214" s="398"/>
      <c r="F214" s="390"/>
      <c r="G214" s="390"/>
      <c r="H214" s="390"/>
      <c r="I214" s="390"/>
      <c r="J214" s="390"/>
      <c r="K214" s="392"/>
      <c r="L214" s="398"/>
      <c r="M214" s="400"/>
      <c r="N214" s="398"/>
      <c r="O214" s="398"/>
      <c r="P214" s="398"/>
      <c r="Q214" s="398"/>
      <c r="R214" s="401"/>
      <c r="S214" s="398"/>
      <c r="T214" s="398"/>
      <c r="U214" s="398"/>
    </row>
    <row r="215" spans="4:21" x14ac:dyDescent="0.25">
      <c r="D215" s="841"/>
      <c r="E215" s="398"/>
      <c r="F215" s="390"/>
      <c r="G215" s="390"/>
      <c r="H215" s="390"/>
      <c r="I215" s="390"/>
      <c r="J215" s="390"/>
      <c r="K215" s="392"/>
      <c r="L215" s="398"/>
      <c r="M215" s="400"/>
      <c r="N215" s="398"/>
      <c r="O215" s="398"/>
      <c r="P215" s="398"/>
      <c r="Q215" s="398"/>
      <c r="R215" s="401"/>
      <c r="S215" s="398"/>
      <c r="T215" s="398"/>
      <c r="U215" s="398"/>
    </row>
    <row r="216" spans="4:21" x14ac:dyDescent="0.25">
      <c r="D216" s="841"/>
      <c r="E216" s="398"/>
      <c r="F216" s="390"/>
      <c r="G216" s="390"/>
      <c r="H216" s="390"/>
      <c r="I216" s="390"/>
      <c r="J216" s="390"/>
      <c r="K216" s="392"/>
      <c r="L216" s="398"/>
      <c r="M216" s="400"/>
      <c r="N216" s="398"/>
      <c r="O216" s="398"/>
      <c r="P216" s="398"/>
      <c r="Q216" s="398"/>
      <c r="R216" s="401"/>
      <c r="S216" s="398"/>
      <c r="T216" s="398"/>
      <c r="U216" s="398"/>
    </row>
    <row r="217" spans="4:21" x14ac:dyDescent="0.25">
      <c r="D217" s="841"/>
      <c r="E217" s="398"/>
      <c r="F217" s="390"/>
      <c r="G217" s="390"/>
      <c r="H217" s="390"/>
      <c r="I217" s="390"/>
      <c r="J217" s="390"/>
      <c r="K217" s="392"/>
      <c r="L217" s="398"/>
      <c r="M217" s="400"/>
      <c r="N217" s="398"/>
      <c r="O217" s="398"/>
      <c r="P217" s="398"/>
      <c r="Q217" s="398"/>
      <c r="R217" s="401"/>
      <c r="S217" s="398"/>
      <c r="T217" s="398"/>
      <c r="U217" s="398"/>
    </row>
    <row r="218" spans="4:21" x14ac:dyDescent="0.25">
      <c r="D218" s="841"/>
      <c r="E218" s="398"/>
      <c r="F218" s="390"/>
      <c r="G218" s="390"/>
      <c r="H218" s="390"/>
      <c r="I218" s="390"/>
      <c r="J218" s="390"/>
      <c r="K218" s="392"/>
      <c r="L218" s="398"/>
      <c r="M218" s="400"/>
      <c r="N218" s="398"/>
      <c r="O218" s="398"/>
      <c r="P218" s="398"/>
      <c r="Q218" s="398"/>
      <c r="R218" s="401"/>
      <c r="S218" s="398"/>
      <c r="T218" s="398"/>
      <c r="U218" s="398"/>
    </row>
    <row r="219" spans="4:21" x14ac:dyDescent="0.25">
      <c r="D219" s="841"/>
      <c r="E219" s="398"/>
      <c r="F219" s="390"/>
      <c r="G219" s="390"/>
      <c r="H219" s="390"/>
      <c r="I219" s="390"/>
      <c r="J219" s="390"/>
      <c r="K219" s="392"/>
      <c r="L219" s="398"/>
      <c r="M219" s="400"/>
      <c r="N219" s="398"/>
      <c r="O219" s="398"/>
      <c r="P219" s="398"/>
      <c r="Q219" s="398"/>
      <c r="R219" s="401"/>
      <c r="S219" s="398"/>
      <c r="T219" s="398"/>
      <c r="U219" s="398"/>
    </row>
    <row r="220" spans="4:21" x14ac:dyDescent="0.25">
      <c r="D220" s="841"/>
      <c r="E220" s="398"/>
      <c r="F220" s="390"/>
      <c r="G220" s="390"/>
      <c r="H220" s="390"/>
      <c r="I220" s="390"/>
      <c r="J220" s="390"/>
      <c r="K220" s="392"/>
      <c r="L220" s="398"/>
      <c r="M220" s="400"/>
      <c r="N220" s="398"/>
      <c r="O220" s="398"/>
      <c r="P220" s="398"/>
      <c r="Q220" s="398"/>
      <c r="R220" s="401"/>
      <c r="S220" s="398"/>
      <c r="T220" s="398"/>
      <c r="U220" s="398"/>
    </row>
    <row r="221" spans="4:21" x14ac:dyDescent="0.25">
      <c r="D221" s="841"/>
      <c r="E221" s="398"/>
      <c r="F221" s="390"/>
      <c r="G221" s="390"/>
      <c r="H221" s="390"/>
      <c r="I221" s="390"/>
      <c r="J221" s="390"/>
      <c r="K221" s="392"/>
      <c r="L221" s="398"/>
      <c r="M221" s="400"/>
      <c r="N221" s="398"/>
      <c r="O221" s="398"/>
      <c r="P221" s="398"/>
      <c r="Q221" s="398"/>
      <c r="R221" s="401"/>
      <c r="S221" s="398"/>
      <c r="T221" s="398"/>
      <c r="U221" s="398"/>
    </row>
    <row r="222" spans="4:21" x14ac:dyDescent="0.25">
      <c r="D222" s="841"/>
      <c r="E222" s="398"/>
      <c r="F222" s="390"/>
      <c r="G222" s="390"/>
      <c r="H222" s="390"/>
      <c r="I222" s="390"/>
      <c r="J222" s="390"/>
      <c r="K222" s="392"/>
      <c r="L222" s="398"/>
      <c r="M222" s="400"/>
      <c r="N222" s="398"/>
      <c r="O222" s="398"/>
      <c r="P222" s="398"/>
      <c r="Q222" s="398"/>
      <c r="R222" s="401"/>
      <c r="S222" s="398"/>
      <c r="T222" s="398"/>
      <c r="U222" s="398"/>
    </row>
    <row r="223" spans="4:21" x14ac:dyDescent="0.25">
      <c r="D223" s="841"/>
      <c r="E223" s="398"/>
      <c r="F223" s="390"/>
      <c r="G223" s="390"/>
      <c r="H223" s="390"/>
      <c r="I223" s="390"/>
      <c r="J223" s="390"/>
      <c r="K223" s="392"/>
      <c r="L223" s="398"/>
      <c r="M223" s="400"/>
      <c r="N223" s="398"/>
      <c r="O223" s="398"/>
      <c r="P223" s="398"/>
      <c r="Q223" s="398"/>
      <c r="R223" s="401"/>
      <c r="S223" s="398"/>
      <c r="T223" s="398"/>
      <c r="U223" s="398"/>
    </row>
    <row r="224" spans="4:21" x14ac:dyDescent="0.25">
      <c r="D224" s="841"/>
      <c r="E224" s="398"/>
      <c r="F224" s="390"/>
      <c r="G224" s="390"/>
      <c r="H224" s="390"/>
      <c r="I224" s="390"/>
      <c r="J224" s="390"/>
      <c r="K224" s="392"/>
      <c r="L224" s="398"/>
      <c r="M224" s="400"/>
      <c r="N224" s="398"/>
      <c r="O224" s="398"/>
      <c r="P224" s="398"/>
      <c r="Q224" s="398"/>
      <c r="R224" s="401"/>
      <c r="S224" s="398"/>
      <c r="T224" s="398"/>
      <c r="U224" s="398"/>
    </row>
    <row r="225" spans="4:21" x14ac:dyDescent="0.25">
      <c r="D225" s="841"/>
      <c r="E225" s="398"/>
      <c r="F225" s="390"/>
      <c r="G225" s="390"/>
      <c r="H225" s="390"/>
      <c r="I225" s="390"/>
      <c r="J225" s="390"/>
      <c r="K225" s="392"/>
      <c r="L225" s="398"/>
      <c r="M225" s="400"/>
      <c r="N225" s="398"/>
      <c r="O225" s="398"/>
      <c r="P225" s="398"/>
      <c r="Q225" s="398"/>
      <c r="R225" s="401"/>
      <c r="S225" s="398"/>
      <c r="T225" s="398"/>
      <c r="U225" s="398"/>
    </row>
    <row r="226" spans="4:21" x14ac:dyDescent="0.25">
      <c r="D226" s="841"/>
      <c r="E226" s="398"/>
      <c r="F226" s="390"/>
      <c r="G226" s="390"/>
      <c r="H226" s="390"/>
      <c r="I226" s="390"/>
      <c r="J226" s="390"/>
      <c r="K226" s="392"/>
      <c r="L226" s="398"/>
      <c r="M226" s="400"/>
      <c r="N226" s="398"/>
      <c r="O226" s="398"/>
      <c r="P226" s="398"/>
      <c r="Q226" s="398"/>
      <c r="R226" s="401"/>
      <c r="S226" s="398"/>
      <c r="T226" s="398"/>
      <c r="U226" s="398"/>
    </row>
    <row r="227" spans="4:21" x14ac:dyDescent="0.25">
      <c r="D227" s="841"/>
      <c r="E227" s="398"/>
      <c r="F227" s="390"/>
      <c r="G227" s="390"/>
      <c r="H227" s="390"/>
      <c r="I227" s="390"/>
      <c r="J227" s="390"/>
      <c r="K227" s="392"/>
      <c r="L227" s="398"/>
      <c r="M227" s="400"/>
      <c r="N227" s="398"/>
      <c r="O227" s="398"/>
      <c r="P227" s="398"/>
      <c r="Q227" s="398"/>
      <c r="R227" s="401"/>
      <c r="S227" s="398"/>
      <c r="T227" s="398"/>
      <c r="U227" s="398"/>
    </row>
    <row r="228" spans="4:21" x14ac:dyDescent="0.25">
      <c r="D228" s="841"/>
      <c r="E228" s="398"/>
      <c r="F228" s="390"/>
      <c r="G228" s="390"/>
      <c r="H228" s="390"/>
      <c r="I228" s="390"/>
      <c r="J228" s="390"/>
      <c r="K228" s="392"/>
      <c r="L228" s="398"/>
      <c r="M228" s="400"/>
      <c r="N228" s="398"/>
      <c r="O228" s="398"/>
      <c r="P228" s="398"/>
      <c r="Q228" s="398"/>
      <c r="R228" s="401"/>
      <c r="S228" s="398"/>
      <c r="T228" s="398"/>
      <c r="U228" s="398"/>
    </row>
    <row r="229" spans="4:21" x14ac:dyDescent="0.25">
      <c r="D229" s="841"/>
      <c r="E229" s="398"/>
      <c r="F229" s="390"/>
      <c r="G229" s="390"/>
      <c r="H229" s="390"/>
      <c r="I229" s="390"/>
      <c r="J229" s="390"/>
      <c r="K229" s="392"/>
      <c r="L229" s="398"/>
      <c r="M229" s="400"/>
      <c r="N229" s="398"/>
      <c r="O229" s="398"/>
      <c r="P229" s="398"/>
      <c r="Q229" s="398"/>
      <c r="R229" s="401"/>
      <c r="S229" s="398"/>
      <c r="T229" s="398"/>
      <c r="U229" s="398"/>
    </row>
    <row r="230" spans="4:21" x14ac:dyDescent="0.25">
      <c r="D230" s="841"/>
      <c r="E230" s="398"/>
      <c r="F230" s="390"/>
      <c r="G230" s="390"/>
      <c r="H230" s="390"/>
      <c r="I230" s="390"/>
      <c r="J230" s="390"/>
      <c r="K230" s="392"/>
      <c r="L230" s="398"/>
      <c r="M230" s="400"/>
      <c r="N230" s="398"/>
      <c r="O230" s="398"/>
      <c r="P230" s="398"/>
      <c r="Q230" s="398"/>
      <c r="R230" s="401"/>
      <c r="S230" s="398"/>
      <c r="T230" s="398"/>
      <c r="U230" s="398"/>
    </row>
    <row r="231" spans="4:21" x14ac:dyDescent="0.25">
      <c r="D231" s="841"/>
      <c r="E231" s="398"/>
      <c r="F231" s="390"/>
      <c r="G231" s="390"/>
      <c r="H231" s="390"/>
      <c r="I231" s="390"/>
      <c r="J231" s="390"/>
      <c r="K231" s="392"/>
      <c r="L231" s="398"/>
      <c r="M231" s="400"/>
      <c r="N231" s="398"/>
      <c r="O231" s="398"/>
      <c r="P231" s="398"/>
      <c r="Q231" s="398"/>
      <c r="R231" s="401"/>
      <c r="S231" s="398"/>
      <c r="T231" s="398"/>
      <c r="U231" s="398"/>
    </row>
    <row r="232" spans="4:21" x14ac:dyDescent="0.25">
      <c r="D232" s="841"/>
      <c r="E232" s="398"/>
      <c r="F232" s="390"/>
      <c r="G232" s="390"/>
      <c r="H232" s="390"/>
      <c r="I232" s="390"/>
      <c r="J232" s="390"/>
      <c r="K232" s="392"/>
      <c r="L232" s="398"/>
      <c r="M232" s="400"/>
      <c r="N232" s="398"/>
      <c r="O232" s="398"/>
      <c r="P232" s="398"/>
      <c r="Q232" s="398"/>
      <c r="R232" s="401"/>
      <c r="S232" s="398"/>
      <c r="T232" s="398"/>
      <c r="U232" s="398"/>
    </row>
    <row r="233" spans="4:21" x14ac:dyDescent="0.25">
      <c r="D233" s="841"/>
      <c r="E233" s="398"/>
      <c r="F233" s="390"/>
      <c r="G233" s="390"/>
      <c r="H233" s="390"/>
      <c r="I233" s="390"/>
      <c r="J233" s="390"/>
      <c r="K233" s="392"/>
      <c r="L233" s="398"/>
      <c r="M233" s="400"/>
      <c r="N233" s="398"/>
      <c r="O233" s="398"/>
      <c r="P233" s="398"/>
      <c r="Q233" s="398"/>
      <c r="R233" s="401"/>
      <c r="S233" s="398"/>
      <c r="T233" s="398"/>
      <c r="U233" s="398"/>
    </row>
    <row r="234" spans="4:21" x14ac:dyDescent="0.25">
      <c r="D234" s="841"/>
      <c r="E234" s="398"/>
      <c r="F234" s="390"/>
      <c r="G234" s="390"/>
      <c r="H234" s="390"/>
      <c r="I234" s="390"/>
      <c r="J234" s="390"/>
      <c r="K234" s="392"/>
      <c r="L234" s="398"/>
      <c r="M234" s="400"/>
      <c r="N234" s="398"/>
      <c r="O234" s="398"/>
      <c r="P234" s="398"/>
      <c r="Q234" s="398"/>
      <c r="R234" s="401"/>
      <c r="S234" s="398"/>
      <c r="T234" s="398"/>
      <c r="U234" s="398"/>
    </row>
    <row r="235" spans="4:21" x14ac:dyDescent="0.25">
      <c r="D235" s="841"/>
      <c r="E235" s="398"/>
      <c r="F235" s="390"/>
      <c r="G235" s="390"/>
      <c r="H235" s="390"/>
      <c r="I235" s="390"/>
      <c r="J235" s="390"/>
      <c r="K235" s="392"/>
      <c r="L235" s="398"/>
      <c r="M235" s="400"/>
      <c r="N235" s="398"/>
      <c r="O235" s="398"/>
      <c r="P235" s="398"/>
      <c r="Q235" s="398"/>
      <c r="R235" s="401"/>
      <c r="S235" s="398"/>
      <c r="T235" s="398"/>
      <c r="U235" s="398"/>
    </row>
    <row r="236" spans="4:21" x14ac:dyDescent="0.25">
      <c r="D236" s="841"/>
      <c r="E236" s="398"/>
      <c r="F236" s="390"/>
      <c r="G236" s="390"/>
      <c r="H236" s="390"/>
      <c r="I236" s="390"/>
      <c r="J236" s="390"/>
      <c r="K236" s="392"/>
      <c r="L236" s="398"/>
      <c r="M236" s="400"/>
      <c r="N236" s="398"/>
      <c r="O236" s="398"/>
      <c r="P236" s="398"/>
      <c r="Q236" s="398"/>
      <c r="R236" s="401"/>
      <c r="S236" s="398"/>
      <c r="T236" s="398"/>
      <c r="U236" s="398"/>
    </row>
    <row r="237" spans="4:21" x14ac:dyDescent="0.25">
      <c r="D237" s="841"/>
      <c r="E237" s="398"/>
      <c r="F237" s="390"/>
      <c r="G237" s="390"/>
      <c r="H237" s="390"/>
      <c r="I237" s="390"/>
      <c r="J237" s="390"/>
      <c r="K237" s="392"/>
      <c r="L237" s="398"/>
      <c r="M237" s="400"/>
      <c r="N237" s="398"/>
      <c r="O237" s="398"/>
      <c r="P237" s="398"/>
      <c r="Q237" s="398"/>
      <c r="R237" s="401"/>
      <c r="S237" s="398"/>
      <c r="T237" s="398"/>
      <c r="U237" s="398"/>
    </row>
    <row r="238" spans="4:21" x14ac:dyDescent="0.25">
      <c r="D238" s="841"/>
      <c r="E238" s="398"/>
      <c r="F238" s="390"/>
      <c r="G238" s="390"/>
      <c r="H238" s="390"/>
      <c r="I238" s="390"/>
      <c r="J238" s="390"/>
      <c r="K238" s="392"/>
      <c r="L238" s="398"/>
      <c r="M238" s="400"/>
      <c r="N238" s="398"/>
      <c r="O238" s="398"/>
      <c r="P238" s="398"/>
      <c r="Q238" s="398"/>
      <c r="R238" s="401"/>
      <c r="S238" s="398"/>
      <c r="T238" s="398"/>
      <c r="U238" s="398"/>
    </row>
    <row r="239" spans="4:21" x14ac:dyDescent="0.25">
      <c r="D239" s="841"/>
      <c r="E239" s="398"/>
      <c r="F239" s="390"/>
      <c r="G239" s="390"/>
      <c r="H239" s="390"/>
      <c r="I239" s="390"/>
      <c r="J239" s="390"/>
      <c r="K239" s="392"/>
      <c r="L239" s="398"/>
      <c r="M239" s="400"/>
      <c r="N239" s="398"/>
      <c r="O239" s="398"/>
      <c r="P239" s="398"/>
      <c r="Q239" s="398"/>
      <c r="R239" s="401"/>
      <c r="S239" s="398"/>
      <c r="T239" s="398"/>
      <c r="U239" s="398"/>
    </row>
    <row r="240" spans="4:21" x14ac:dyDescent="0.25">
      <c r="D240" s="841"/>
      <c r="E240" s="398"/>
      <c r="F240" s="390"/>
      <c r="G240" s="390"/>
      <c r="H240" s="390"/>
      <c r="I240" s="390"/>
      <c r="J240" s="390"/>
      <c r="K240" s="392"/>
      <c r="L240" s="398"/>
      <c r="M240" s="400"/>
      <c r="N240" s="398"/>
      <c r="O240" s="398"/>
      <c r="P240" s="398"/>
      <c r="Q240" s="398"/>
      <c r="R240" s="401"/>
      <c r="S240" s="398"/>
      <c r="T240" s="398"/>
      <c r="U240" s="398"/>
    </row>
    <row r="241" spans="4:21" x14ac:dyDescent="0.25">
      <c r="D241" s="841"/>
      <c r="E241" s="398"/>
      <c r="F241" s="390"/>
      <c r="G241" s="390"/>
      <c r="H241" s="390"/>
      <c r="I241" s="390"/>
      <c r="J241" s="390"/>
      <c r="K241" s="392"/>
      <c r="L241" s="398"/>
      <c r="M241" s="400"/>
      <c r="N241" s="398"/>
      <c r="O241" s="398"/>
      <c r="P241" s="398"/>
      <c r="Q241" s="398"/>
      <c r="R241" s="401"/>
      <c r="S241" s="398"/>
      <c r="T241" s="398"/>
      <c r="U241" s="398"/>
    </row>
    <row r="242" spans="4:21" x14ac:dyDescent="0.25">
      <c r="D242" s="841"/>
      <c r="E242" s="398"/>
      <c r="F242" s="390"/>
      <c r="G242" s="390"/>
      <c r="H242" s="390"/>
      <c r="I242" s="390"/>
      <c r="J242" s="390"/>
      <c r="K242" s="392"/>
      <c r="L242" s="398"/>
      <c r="M242" s="400"/>
      <c r="N242" s="398"/>
      <c r="O242" s="398"/>
      <c r="P242" s="398"/>
      <c r="Q242" s="398"/>
      <c r="R242" s="401"/>
      <c r="S242" s="398"/>
      <c r="T242" s="398"/>
      <c r="U242" s="398"/>
    </row>
    <row r="243" spans="4:21" x14ac:dyDescent="0.25">
      <c r="D243" s="841"/>
      <c r="E243" s="398"/>
      <c r="F243" s="390"/>
      <c r="G243" s="390"/>
      <c r="H243" s="390"/>
      <c r="I243" s="390"/>
      <c r="J243" s="390"/>
      <c r="K243" s="392"/>
      <c r="L243" s="398"/>
      <c r="M243" s="400"/>
      <c r="N243" s="398"/>
      <c r="O243" s="398"/>
      <c r="P243" s="398"/>
      <c r="Q243" s="398"/>
      <c r="R243" s="401"/>
      <c r="S243" s="398"/>
      <c r="T243" s="398"/>
      <c r="U243" s="398"/>
    </row>
    <row r="244" spans="4:21" x14ac:dyDescent="0.25">
      <c r="D244" s="841"/>
      <c r="E244" s="398"/>
      <c r="F244" s="390"/>
      <c r="G244" s="390"/>
      <c r="H244" s="390"/>
      <c r="I244" s="390"/>
      <c r="J244" s="390"/>
      <c r="K244" s="392"/>
      <c r="L244" s="398"/>
      <c r="M244" s="400"/>
      <c r="N244" s="398"/>
      <c r="O244" s="398"/>
      <c r="P244" s="398"/>
      <c r="Q244" s="398"/>
      <c r="R244" s="401"/>
      <c r="S244" s="398"/>
      <c r="T244" s="398"/>
      <c r="U244" s="398"/>
    </row>
    <row r="245" spans="4:21" x14ac:dyDescent="0.25">
      <c r="D245" s="841"/>
      <c r="E245" s="398"/>
      <c r="F245" s="390"/>
      <c r="G245" s="390"/>
      <c r="H245" s="390"/>
      <c r="I245" s="390"/>
      <c r="J245" s="390"/>
      <c r="K245" s="392"/>
      <c r="L245" s="398"/>
      <c r="M245" s="400"/>
      <c r="N245" s="398"/>
      <c r="O245" s="398"/>
      <c r="P245" s="398"/>
      <c r="Q245" s="398"/>
      <c r="R245" s="401"/>
      <c r="S245" s="398"/>
      <c r="T245" s="398"/>
      <c r="U245" s="398"/>
    </row>
    <row r="246" spans="4:21" x14ac:dyDescent="0.25">
      <c r="D246" s="841"/>
      <c r="E246" s="398"/>
      <c r="F246" s="390"/>
      <c r="G246" s="390"/>
      <c r="H246" s="390"/>
      <c r="I246" s="390"/>
      <c r="J246" s="390"/>
      <c r="K246" s="392"/>
      <c r="L246" s="398"/>
      <c r="M246" s="400"/>
      <c r="N246" s="398"/>
      <c r="O246" s="398"/>
      <c r="P246" s="398"/>
      <c r="Q246" s="398"/>
      <c r="R246" s="401"/>
      <c r="S246" s="398"/>
      <c r="T246" s="398"/>
      <c r="U246" s="398"/>
    </row>
    <row r="247" spans="4:21" x14ac:dyDescent="0.25">
      <c r="D247" s="841"/>
      <c r="E247" s="398"/>
      <c r="F247" s="390"/>
      <c r="G247" s="390"/>
      <c r="H247" s="390"/>
      <c r="I247" s="390"/>
      <c r="J247" s="390"/>
      <c r="K247" s="392"/>
      <c r="L247" s="398"/>
      <c r="M247" s="400"/>
      <c r="N247" s="398"/>
      <c r="O247" s="398"/>
      <c r="P247" s="398"/>
      <c r="Q247" s="398"/>
      <c r="R247" s="401"/>
      <c r="S247" s="398"/>
      <c r="T247" s="398"/>
      <c r="U247" s="398"/>
    </row>
    <row r="248" spans="4:21" x14ac:dyDescent="0.25">
      <c r="D248" s="841"/>
      <c r="E248" s="398"/>
      <c r="F248" s="390"/>
      <c r="G248" s="390"/>
      <c r="H248" s="390"/>
      <c r="I248" s="390"/>
      <c r="J248" s="390"/>
      <c r="K248" s="392"/>
      <c r="L248" s="398"/>
      <c r="M248" s="400"/>
      <c r="N248" s="398"/>
      <c r="O248" s="398"/>
      <c r="P248" s="398"/>
      <c r="Q248" s="398"/>
      <c r="R248" s="401"/>
      <c r="S248" s="398"/>
      <c r="T248" s="398"/>
      <c r="U248" s="398"/>
    </row>
    <row r="249" spans="4:21" x14ac:dyDescent="0.25">
      <c r="D249" s="841"/>
      <c r="E249" s="398"/>
      <c r="F249" s="390"/>
      <c r="G249" s="390"/>
      <c r="H249" s="390"/>
      <c r="I249" s="390"/>
      <c r="J249" s="390"/>
      <c r="K249" s="392"/>
      <c r="L249" s="398"/>
      <c r="M249" s="400"/>
      <c r="N249" s="398"/>
      <c r="O249" s="398"/>
      <c r="P249" s="398"/>
      <c r="Q249" s="398"/>
      <c r="R249" s="401"/>
      <c r="S249" s="398"/>
      <c r="T249" s="398"/>
      <c r="U249" s="398"/>
    </row>
    <row r="250" spans="4:21" x14ac:dyDescent="0.25">
      <c r="D250" s="841"/>
      <c r="E250" s="398"/>
      <c r="F250" s="390"/>
      <c r="G250" s="390"/>
      <c r="H250" s="390"/>
      <c r="I250" s="390"/>
      <c r="J250" s="390"/>
      <c r="K250" s="392"/>
      <c r="L250" s="398"/>
      <c r="M250" s="400"/>
      <c r="N250" s="398"/>
      <c r="O250" s="398"/>
      <c r="P250" s="398"/>
      <c r="Q250" s="398"/>
      <c r="R250" s="401"/>
      <c r="S250" s="398"/>
      <c r="T250" s="398"/>
      <c r="U250" s="398"/>
    </row>
    <row r="251" spans="4:21" x14ac:dyDescent="0.25">
      <c r="D251" s="841"/>
      <c r="E251" s="398"/>
      <c r="F251" s="390"/>
      <c r="G251" s="390"/>
      <c r="H251" s="390"/>
      <c r="I251" s="390"/>
      <c r="J251" s="390"/>
      <c r="K251" s="392"/>
      <c r="L251" s="398"/>
      <c r="M251" s="400"/>
      <c r="N251" s="398"/>
      <c r="O251" s="398"/>
      <c r="P251" s="398"/>
      <c r="Q251" s="398"/>
      <c r="R251" s="401"/>
      <c r="S251" s="398"/>
      <c r="T251" s="398"/>
      <c r="U251" s="398"/>
    </row>
    <row r="252" spans="4:21" x14ac:dyDescent="0.25">
      <c r="D252" s="841"/>
      <c r="E252" s="398"/>
      <c r="F252" s="390"/>
      <c r="G252" s="390"/>
      <c r="H252" s="390"/>
      <c r="I252" s="390"/>
      <c r="J252" s="390"/>
      <c r="K252" s="392"/>
      <c r="L252" s="398"/>
      <c r="M252" s="400"/>
      <c r="N252" s="398"/>
      <c r="O252" s="398"/>
      <c r="P252" s="398"/>
      <c r="Q252" s="398"/>
      <c r="R252" s="401"/>
      <c r="S252" s="398"/>
      <c r="T252" s="398"/>
      <c r="U252" s="398"/>
    </row>
    <row r="253" spans="4:21" x14ac:dyDescent="0.25">
      <c r="D253" s="841"/>
      <c r="E253" s="398"/>
      <c r="F253" s="390"/>
      <c r="G253" s="390"/>
      <c r="H253" s="390"/>
      <c r="I253" s="390"/>
      <c r="J253" s="390"/>
      <c r="K253" s="392"/>
      <c r="L253" s="398"/>
      <c r="M253" s="400"/>
      <c r="N253" s="398"/>
      <c r="O253" s="398"/>
      <c r="P253" s="398"/>
      <c r="Q253" s="398"/>
      <c r="R253" s="401"/>
      <c r="S253" s="398"/>
      <c r="T253" s="398"/>
      <c r="U253" s="398"/>
    </row>
    <row r="254" spans="4:21" x14ac:dyDescent="0.25">
      <c r="D254" s="841"/>
      <c r="E254" s="398"/>
      <c r="F254" s="390"/>
      <c r="G254" s="390"/>
      <c r="H254" s="390"/>
      <c r="I254" s="390"/>
      <c r="J254" s="390"/>
      <c r="K254" s="392"/>
      <c r="L254" s="398"/>
      <c r="M254" s="400"/>
      <c r="N254" s="398"/>
      <c r="O254" s="398"/>
      <c r="P254" s="398"/>
      <c r="Q254" s="398"/>
      <c r="R254" s="401"/>
      <c r="S254" s="398"/>
      <c r="T254" s="398"/>
      <c r="U254" s="398"/>
    </row>
    <row r="255" spans="4:21" x14ac:dyDescent="0.25">
      <c r="D255" s="841"/>
      <c r="E255" s="398"/>
      <c r="F255" s="390"/>
      <c r="G255" s="390"/>
      <c r="H255" s="390"/>
      <c r="I255" s="390"/>
      <c r="J255" s="390"/>
      <c r="K255" s="392"/>
      <c r="L255" s="398"/>
      <c r="M255" s="400"/>
      <c r="N255" s="398"/>
      <c r="O255" s="398"/>
      <c r="P255" s="398"/>
      <c r="Q255" s="398"/>
      <c r="R255" s="401"/>
      <c r="S255" s="398"/>
      <c r="T255" s="398"/>
      <c r="U255" s="398"/>
    </row>
    <row r="256" spans="4:21" x14ac:dyDescent="0.25">
      <c r="D256" s="841"/>
      <c r="E256" s="398"/>
      <c r="F256" s="390"/>
      <c r="G256" s="390"/>
      <c r="H256" s="390"/>
      <c r="I256" s="390"/>
      <c r="J256" s="390"/>
      <c r="K256" s="392"/>
      <c r="L256" s="398"/>
      <c r="M256" s="400"/>
      <c r="N256" s="398"/>
      <c r="O256" s="398"/>
      <c r="P256" s="398"/>
      <c r="Q256" s="398"/>
      <c r="R256" s="401"/>
      <c r="S256" s="398"/>
      <c r="T256" s="398"/>
      <c r="U256" s="398"/>
    </row>
    <row r="257" spans="4:21" x14ac:dyDescent="0.25">
      <c r="D257" s="841"/>
      <c r="E257" s="398"/>
      <c r="F257" s="390"/>
      <c r="G257" s="390"/>
      <c r="H257" s="390"/>
      <c r="I257" s="390"/>
      <c r="J257" s="390"/>
      <c r="K257" s="392"/>
      <c r="L257" s="398"/>
      <c r="M257" s="400"/>
      <c r="N257" s="398"/>
      <c r="O257" s="398"/>
      <c r="P257" s="398"/>
      <c r="Q257" s="398"/>
      <c r="R257" s="401"/>
      <c r="S257" s="398"/>
      <c r="T257" s="398"/>
      <c r="U257" s="398"/>
    </row>
    <row r="258" spans="4:21" x14ac:dyDescent="0.25">
      <c r="D258" s="841"/>
      <c r="E258" s="398"/>
      <c r="F258" s="390"/>
      <c r="G258" s="390"/>
      <c r="H258" s="390"/>
      <c r="I258" s="390"/>
      <c r="J258" s="390"/>
      <c r="K258" s="392"/>
      <c r="L258" s="398"/>
      <c r="M258" s="400"/>
      <c r="N258" s="398"/>
      <c r="O258" s="398"/>
      <c r="P258" s="398"/>
      <c r="Q258" s="398"/>
      <c r="R258" s="401"/>
      <c r="S258" s="398"/>
      <c r="T258" s="398"/>
      <c r="U258" s="398"/>
    </row>
    <row r="259" spans="4:21" x14ac:dyDescent="0.25">
      <c r="D259" s="841"/>
      <c r="E259" s="398"/>
      <c r="F259" s="390"/>
      <c r="G259" s="390"/>
      <c r="H259" s="390"/>
      <c r="I259" s="390"/>
      <c r="J259" s="390"/>
      <c r="K259" s="392"/>
      <c r="L259" s="398"/>
      <c r="M259" s="400"/>
      <c r="N259" s="398"/>
      <c r="O259" s="398"/>
      <c r="P259" s="398"/>
      <c r="Q259" s="398"/>
      <c r="R259" s="401"/>
      <c r="S259" s="398"/>
      <c r="T259" s="398"/>
      <c r="U259" s="398"/>
    </row>
    <row r="260" spans="4:21" x14ac:dyDescent="0.25">
      <c r="D260" s="841"/>
      <c r="E260" s="398"/>
      <c r="F260" s="390"/>
      <c r="G260" s="390"/>
      <c r="H260" s="390"/>
      <c r="I260" s="390"/>
      <c r="J260" s="390"/>
      <c r="K260" s="392"/>
      <c r="L260" s="398"/>
      <c r="M260" s="400"/>
      <c r="N260" s="398"/>
      <c r="O260" s="398"/>
      <c r="P260" s="398"/>
      <c r="Q260" s="398"/>
      <c r="R260" s="401"/>
      <c r="S260" s="398"/>
      <c r="T260" s="398"/>
      <c r="U260" s="398"/>
    </row>
    <row r="261" spans="4:21" x14ac:dyDescent="0.25">
      <c r="D261" s="841"/>
      <c r="E261" s="398"/>
      <c r="F261" s="390"/>
      <c r="G261" s="390"/>
      <c r="H261" s="390"/>
      <c r="I261" s="390"/>
      <c r="J261" s="390"/>
      <c r="K261" s="392"/>
      <c r="L261" s="398"/>
      <c r="M261" s="400"/>
      <c r="N261" s="398"/>
      <c r="O261" s="398"/>
      <c r="P261" s="398"/>
      <c r="Q261" s="398"/>
      <c r="R261" s="401"/>
      <c r="S261" s="398"/>
      <c r="T261" s="398"/>
      <c r="U261" s="398"/>
    </row>
    <row r="262" spans="4:21" x14ac:dyDescent="0.25">
      <c r="D262" s="841"/>
      <c r="E262" s="398"/>
      <c r="F262" s="390"/>
      <c r="G262" s="390"/>
      <c r="H262" s="390"/>
      <c r="I262" s="390"/>
      <c r="J262" s="390"/>
      <c r="K262" s="392"/>
      <c r="L262" s="398"/>
      <c r="M262" s="400"/>
      <c r="N262" s="398"/>
      <c r="O262" s="398"/>
      <c r="P262" s="398"/>
      <c r="Q262" s="398"/>
      <c r="R262" s="401"/>
      <c r="S262" s="398"/>
      <c r="T262" s="398"/>
      <c r="U262" s="398"/>
    </row>
    <row r="263" spans="4:21" x14ac:dyDescent="0.25">
      <c r="D263" s="841"/>
      <c r="E263" s="398"/>
      <c r="F263" s="390"/>
      <c r="G263" s="390"/>
      <c r="H263" s="390"/>
      <c r="I263" s="390"/>
      <c r="J263" s="390"/>
      <c r="K263" s="392"/>
      <c r="L263" s="398"/>
      <c r="M263" s="400"/>
      <c r="N263" s="398"/>
      <c r="O263" s="398"/>
      <c r="P263" s="398"/>
      <c r="Q263" s="398"/>
      <c r="R263" s="401"/>
      <c r="S263" s="398"/>
      <c r="T263" s="398"/>
      <c r="U263" s="398"/>
    </row>
    <row r="264" spans="4:21" x14ac:dyDescent="0.25">
      <c r="D264" s="841"/>
      <c r="E264" s="398"/>
      <c r="F264" s="390"/>
      <c r="G264" s="390"/>
      <c r="H264" s="390"/>
      <c r="I264" s="390"/>
      <c r="J264" s="390"/>
      <c r="K264" s="392"/>
      <c r="L264" s="398"/>
      <c r="M264" s="400"/>
      <c r="N264" s="398"/>
      <c r="O264" s="398"/>
      <c r="P264" s="398"/>
      <c r="Q264" s="398"/>
      <c r="R264" s="401"/>
      <c r="S264" s="398"/>
      <c r="T264" s="398"/>
      <c r="U264" s="398"/>
    </row>
    <row r="265" spans="4:21" x14ac:dyDescent="0.25">
      <c r="D265" s="841"/>
      <c r="E265" s="398"/>
      <c r="F265" s="390"/>
      <c r="G265" s="390"/>
      <c r="H265" s="390"/>
      <c r="I265" s="390"/>
      <c r="J265" s="390"/>
      <c r="K265" s="392"/>
      <c r="L265" s="398"/>
      <c r="M265" s="400"/>
      <c r="N265" s="398"/>
      <c r="O265" s="398"/>
      <c r="P265" s="398"/>
      <c r="Q265" s="398"/>
      <c r="R265" s="401"/>
      <c r="S265" s="398"/>
      <c r="T265" s="398"/>
      <c r="U265" s="398"/>
    </row>
    <row r="266" spans="4:21" x14ac:dyDescent="0.25">
      <c r="D266" s="841"/>
      <c r="E266" s="398"/>
      <c r="F266" s="390"/>
      <c r="G266" s="390"/>
      <c r="H266" s="390"/>
      <c r="I266" s="390"/>
      <c r="J266" s="390"/>
      <c r="K266" s="392"/>
      <c r="L266" s="398"/>
      <c r="M266" s="400"/>
      <c r="N266" s="398"/>
      <c r="O266" s="398"/>
      <c r="P266" s="398"/>
      <c r="Q266" s="398"/>
      <c r="R266" s="401"/>
      <c r="S266" s="398"/>
      <c r="T266" s="398"/>
      <c r="U266" s="398"/>
    </row>
    <row r="267" spans="4:21" x14ac:dyDescent="0.25">
      <c r="D267" s="841"/>
      <c r="E267" s="398"/>
      <c r="F267" s="390"/>
      <c r="G267" s="390"/>
      <c r="H267" s="390"/>
      <c r="I267" s="390"/>
      <c r="J267" s="390"/>
      <c r="K267" s="392"/>
      <c r="L267" s="398"/>
      <c r="M267" s="400"/>
      <c r="N267" s="398"/>
      <c r="O267" s="398"/>
      <c r="P267" s="398"/>
      <c r="Q267" s="398"/>
      <c r="R267" s="401"/>
      <c r="S267" s="398"/>
      <c r="T267" s="398"/>
      <c r="U267" s="398"/>
    </row>
    <row r="268" spans="4:21" x14ac:dyDescent="0.25">
      <c r="D268" s="841"/>
      <c r="E268" s="398"/>
      <c r="F268" s="390"/>
      <c r="G268" s="390"/>
      <c r="H268" s="390"/>
      <c r="I268" s="390"/>
      <c r="J268" s="390"/>
      <c r="K268" s="392"/>
      <c r="L268" s="398"/>
      <c r="M268" s="400"/>
      <c r="N268" s="398"/>
      <c r="O268" s="398"/>
      <c r="P268" s="398"/>
      <c r="Q268" s="398"/>
      <c r="R268" s="401"/>
      <c r="S268" s="398"/>
      <c r="T268" s="398"/>
      <c r="U268" s="398"/>
    </row>
    <row r="269" spans="4:21" x14ac:dyDescent="0.25">
      <c r="D269" s="841"/>
      <c r="E269" s="398"/>
      <c r="F269" s="390"/>
      <c r="G269" s="390"/>
      <c r="H269" s="390"/>
      <c r="I269" s="390"/>
      <c r="J269" s="390"/>
      <c r="K269" s="392"/>
      <c r="L269" s="398"/>
      <c r="M269" s="400"/>
      <c r="N269" s="398"/>
      <c r="O269" s="398"/>
      <c r="P269" s="398"/>
      <c r="Q269" s="398"/>
      <c r="R269" s="401"/>
      <c r="S269" s="398"/>
      <c r="T269" s="398"/>
      <c r="U269" s="398"/>
    </row>
    <row r="270" spans="4:21" x14ac:dyDescent="0.25">
      <c r="D270" s="841"/>
      <c r="E270" s="398"/>
      <c r="F270" s="390"/>
      <c r="G270" s="390"/>
      <c r="H270" s="390"/>
      <c r="I270" s="390"/>
      <c r="J270" s="390"/>
      <c r="K270" s="392"/>
      <c r="L270" s="398"/>
      <c r="M270" s="400"/>
      <c r="N270" s="398"/>
      <c r="O270" s="398"/>
      <c r="P270" s="398"/>
      <c r="Q270" s="398"/>
      <c r="R270" s="401"/>
      <c r="S270" s="398"/>
      <c r="T270" s="398"/>
      <c r="U270" s="398"/>
    </row>
    <row r="271" spans="4:21" x14ac:dyDescent="0.25">
      <c r="D271" s="841"/>
      <c r="E271" s="398"/>
      <c r="F271" s="390"/>
      <c r="G271" s="390"/>
      <c r="H271" s="390"/>
      <c r="I271" s="390"/>
      <c r="J271" s="390"/>
      <c r="K271" s="392"/>
      <c r="L271" s="398"/>
      <c r="M271" s="400"/>
      <c r="N271" s="398"/>
      <c r="O271" s="398"/>
      <c r="P271" s="398"/>
      <c r="Q271" s="398"/>
      <c r="R271" s="401"/>
      <c r="S271" s="398"/>
      <c r="T271" s="398"/>
      <c r="U271" s="398"/>
    </row>
    <row r="272" spans="4:21" x14ac:dyDescent="0.25">
      <c r="D272" s="841"/>
      <c r="E272" s="398"/>
      <c r="F272" s="390"/>
      <c r="G272" s="390"/>
      <c r="H272" s="390"/>
      <c r="I272" s="390"/>
      <c r="J272" s="390"/>
      <c r="K272" s="392"/>
      <c r="L272" s="398"/>
      <c r="M272" s="400"/>
      <c r="N272" s="398"/>
      <c r="O272" s="398"/>
      <c r="P272" s="398"/>
      <c r="Q272" s="398"/>
      <c r="R272" s="401"/>
      <c r="S272" s="398"/>
      <c r="T272" s="398"/>
      <c r="U272" s="398"/>
    </row>
    <row r="273" spans="4:21" x14ac:dyDescent="0.25">
      <c r="D273" s="841"/>
      <c r="E273" s="398"/>
      <c r="F273" s="390"/>
      <c r="G273" s="390"/>
      <c r="H273" s="390"/>
      <c r="I273" s="390"/>
      <c r="J273" s="390"/>
      <c r="K273" s="392"/>
      <c r="L273" s="398"/>
      <c r="M273" s="400"/>
      <c r="N273" s="398"/>
      <c r="O273" s="398"/>
      <c r="P273" s="398"/>
      <c r="Q273" s="398"/>
      <c r="R273" s="401"/>
      <c r="S273" s="398"/>
      <c r="T273" s="398"/>
      <c r="U273" s="398"/>
    </row>
    <row r="274" spans="4:21" x14ac:dyDescent="0.25">
      <c r="D274" s="841"/>
      <c r="E274" s="398"/>
      <c r="F274" s="390"/>
      <c r="G274" s="390"/>
      <c r="H274" s="390"/>
      <c r="I274" s="390"/>
      <c r="J274" s="390"/>
      <c r="K274" s="392"/>
      <c r="L274" s="398"/>
      <c r="M274" s="400"/>
      <c r="N274" s="398"/>
      <c r="O274" s="398"/>
      <c r="P274" s="398"/>
      <c r="Q274" s="398"/>
      <c r="R274" s="401"/>
      <c r="S274" s="398"/>
      <c r="T274" s="398"/>
      <c r="U274" s="398"/>
    </row>
    <row r="275" spans="4:21" x14ac:dyDescent="0.25">
      <c r="D275" s="841"/>
      <c r="E275" s="398"/>
      <c r="F275" s="390"/>
      <c r="G275" s="390"/>
      <c r="H275" s="390"/>
      <c r="I275" s="390"/>
      <c r="J275" s="390"/>
      <c r="K275" s="392"/>
      <c r="L275" s="398"/>
      <c r="M275" s="400"/>
      <c r="N275" s="398"/>
      <c r="O275" s="398"/>
      <c r="P275" s="398"/>
      <c r="Q275" s="398"/>
      <c r="R275" s="401"/>
      <c r="S275" s="398"/>
      <c r="T275" s="398"/>
      <c r="U275" s="398"/>
    </row>
    <row r="276" spans="4:21" x14ac:dyDescent="0.25">
      <c r="D276" s="841"/>
      <c r="E276" s="398"/>
      <c r="F276" s="390"/>
      <c r="G276" s="390"/>
      <c r="H276" s="390"/>
      <c r="I276" s="390"/>
      <c r="J276" s="390"/>
      <c r="K276" s="392"/>
      <c r="L276" s="398"/>
      <c r="M276" s="400"/>
      <c r="N276" s="398"/>
      <c r="O276" s="398"/>
      <c r="P276" s="398"/>
      <c r="Q276" s="398"/>
      <c r="R276" s="401"/>
      <c r="S276" s="398"/>
      <c r="T276" s="398"/>
      <c r="U276" s="398"/>
    </row>
    <row r="277" spans="4:21" x14ac:dyDescent="0.25">
      <c r="D277" s="841"/>
      <c r="E277" s="398"/>
      <c r="F277" s="390"/>
      <c r="G277" s="390"/>
      <c r="H277" s="390"/>
      <c r="I277" s="390"/>
      <c r="J277" s="390"/>
      <c r="K277" s="392"/>
      <c r="L277" s="398"/>
      <c r="M277" s="400"/>
      <c r="N277" s="398"/>
      <c r="O277" s="398"/>
      <c r="P277" s="398"/>
      <c r="Q277" s="398"/>
      <c r="R277" s="401"/>
      <c r="S277" s="398"/>
      <c r="T277" s="398"/>
      <c r="U277" s="398"/>
    </row>
    <row r="278" spans="4:21" x14ac:dyDescent="0.25">
      <c r="D278" s="841"/>
      <c r="E278" s="398"/>
      <c r="F278" s="390"/>
      <c r="G278" s="390"/>
      <c r="H278" s="390"/>
      <c r="I278" s="390"/>
      <c r="J278" s="390"/>
      <c r="K278" s="392"/>
      <c r="L278" s="398"/>
      <c r="M278" s="400"/>
      <c r="N278" s="398"/>
      <c r="O278" s="398"/>
      <c r="P278" s="398"/>
      <c r="Q278" s="398"/>
      <c r="R278" s="401"/>
      <c r="S278" s="398"/>
      <c r="T278" s="398"/>
      <c r="U278" s="398"/>
    </row>
    <row r="279" spans="4:21" x14ac:dyDescent="0.25">
      <c r="D279" s="841"/>
      <c r="E279" s="398"/>
      <c r="F279" s="390"/>
      <c r="G279" s="390"/>
      <c r="H279" s="390"/>
      <c r="I279" s="390"/>
      <c r="J279" s="390"/>
      <c r="K279" s="392"/>
      <c r="L279" s="398"/>
      <c r="M279" s="400"/>
      <c r="N279" s="398"/>
      <c r="O279" s="398"/>
      <c r="P279" s="398"/>
      <c r="Q279" s="398"/>
      <c r="R279" s="401"/>
      <c r="S279" s="398"/>
      <c r="T279" s="398"/>
      <c r="U279" s="398"/>
    </row>
    <row r="280" spans="4:21" x14ac:dyDescent="0.25">
      <c r="D280" s="841"/>
      <c r="E280" s="398"/>
      <c r="F280" s="390"/>
      <c r="G280" s="390"/>
      <c r="H280" s="390"/>
      <c r="I280" s="390"/>
      <c r="J280" s="390"/>
      <c r="K280" s="392"/>
      <c r="L280" s="398"/>
      <c r="M280" s="400"/>
      <c r="N280" s="398"/>
      <c r="O280" s="398"/>
      <c r="P280" s="398"/>
      <c r="Q280" s="398"/>
      <c r="R280" s="401"/>
      <c r="S280" s="398"/>
      <c r="T280" s="398"/>
      <c r="U280" s="398"/>
    </row>
    <row r="281" spans="4:21" x14ac:dyDescent="0.25">
      <c r="D281" s="841"/>
      <c r="E281" s="398"/>
      <c r="F281" s="390"/>
      <c r="G281" s="390"/>
      <c r="H281" s="390"/>
      <c r="I281" s="390"/>
      <c r="J281" s="390"/>
      <c r="K281" s="392"/>
      <c r="L281" s="398"/>
      <c r="M281" s="400"/>
      <c r="N281" s="398"/>
      <c r="O281" s="398"/>
      <c r="P281" s="398"/>
      <c r="Q281" s="398"/>
      <c r="R281" s="401"/>
      <c r="S281" s="398"/>
      <c r="T281" s="398"/>
      <c r="U281" s="398"/>
    </row>
    <row r="282" spans="4:21" x14ac:dyDescent="0.25">
      <c r="D282" s="841"/>
      <c r="E282" s="398"/>
      <c r="F282" s="390"/>
      <c r="G282" s="390"/>
      <c r="H282" s="390"/>
      <c r="I282" s="390"/>
      <c r="J282" s="390"/>
      <c r="K282" s="392"/>
      <c r="L282" s="398"/>
      <c r="M282" s="400"/>
      <c r="N282" s="398"/>
      <c r="O282" s="398"/>
      <c r="P282" s="398"/>
      <c r="Q282" s="398"/>
      <c r="R282" s="401"/>
      <c r="S282" s="398"/>
      <c r="T282" s="398"/>
      <c r="U282" s="398"/>
    </row>
    <row r="283" spans="4:21" x14ac:dyDescent="0.25">
      <c r="D283" s="841"/>
      <c r="E283" s="398"/>
      <c r="F283" s="390"/>
      <c r="G283" s="390"/>
      <c r="H283" s="390"/>
      <c r="I283" s="390"/>
      <c r="J283" s="390"/>
      <c r="K283" s="392"/>
      <c r="L283" s="398"/>
      <c r="M283" s="400"/>
      <c r="N283" s="398"/>
      <c r="O283" s="398"/>
      <c r="P283" s="398"/>
      <c r="Q283" s="398"/>
      <c r="R283" s="401"/>
      <c r="S283" s="398"/>
      <c r="T283" s="398"/>
      <c r="U283" s="398"/>
    </row>
    <row r="284" spans="4:21" x14ac:dyDescent="0.25">
      <c r="D284" s="841"/>
      <c r="E284" s="398"/>
      <c r="F284" s="390"/>
      <c r="G284" s="390"/>
      <c r="H284" s="390"/>
      <c r="I284" s="390"/>
      <c r="J284" s="390"/>
      <c r="K284" s="392"/>
      <c r="L284" s="398"/>
      <c r="M284" s="400"/>
      <c r="N284" s="398"/>
      <c r="O284" s="398"/>
      <c r="P284" s="398"/>
      <c r="Q284" s="398"/>
      <c r="R284" s="401"/>
      <c r="S284" s="398"/>
      <c r="T284" s="398"/>
      <c r="U284" s="398"/>
    </row>
    <row r="285" spans="4:21" x14ac:dyDescent="0.25">
      <c r="D285" s="841"/>
      <c r="E285" s="398"/>
      <c r="F285" s="390"/>
      <c r="G285" s="390"/>
      <c r="H285" s="390"/>
      <c r="I285" s="390"/>
      <c r="J285" s="390"/>
      <c r="K285" s="392"/>
      <c r="L285" s="398"/>
      <c r="M285" s="400"/>
      <c r="N285" s="398"/>
      <c r="O285" s="398"/>
      <c r="P285" s="398"/>
      <c r="Q285" s="398"/>
      <c r="R285" s="401"/>
      <c r="S285" s="398"/>
      <c r="T285" s="398"/>
      <c r="U285" s="398"/>
    </row>
    <row r="286" spans="4:21" x14ac:dyDescent="0.25">
      <c r="D286" s="841"/>
      <c r="E286" s="398"/>
      <c r="F286" s="390"/>
      <c r="G286" s="390"/>
      <c r="H286" s="390"/>
      <c r="I286" s="390"/>
      <c r="J286" s="390"/>
      <c r="K286" s="392"/>
      <c r="L286" s="398"/>
      <c r="M286" s="400"/>
      <c r="N286" s="398"/>
      <c r="O286" s="398"/>
      <c r="P286" s="398"/>
      <c r="Q286" s="398"/>
      <c r="R286" s="401"/>
      <c r="S286" s="398"/>
      <c r="T286" s="398"/>
      <c r="U286" s="398"/>
    </row>
    <row r="287" spans="4:21" x14ac:dyDescent="0.25">
      <c r="D287" s="841"/>
      <c r="E287" s="398"/>
      <c r="F287" s="390"/>
      <c r="G287" s="390"/>
      <c r="H287" s="390"/>
      <c r="I287" s="390"/>
      <c r="J287" s="390"/>
      <c r="K287" s="392"/>
      <c r="L287" s="398"/>
      <c r="M287" s="400"/>
      <c r="N287" s="398"/>
      <c r="O287" s="398"/>
      <c r="P287" s="398"/>
      <c r="Q287" s="398"/>
      <c r="R287" s="401"/>
      <c r="S287" s="398"/>
      <c r="T287" s="398"/>
      <c r="U287" s="398"/>
    </row>
    <row r="288" spans="4:21" x14ac:dyDescent="0.25">
      <c r="D288" s="841"/>
      <c r="E288" s="398"/>
      <c r="F288" s="390"/>
      <c r="G288" s="390"/>
      <c r="H288" s="390"/>
      <c r="I288" s="390"/>
      <c r="J288" s="390"/>
      <c r="K288" s="392"/>
      <c r="L288" s="398"/>
      <c r="M288" s="400"/>
      <c r="N288" s="398"/>
      <c r="O288" s="398"/>
      <c r="P288" s="398"/>
      <c r="Q288" s="398"/>
      <c r="R288" s="401"/>
      <c r="S288" s="398"/>
      <c r="T288" s="398"/>
      <c r="U288" s="398"/>
    </row>
    <row r="289" spans="4:21" x14ac:dyDescent="0.25">
      <c r="D289" s="841"/>
      <c r="E289" s="398"/>
      <c r="F289" s="390"/>
      <c r="G289" s="390"/>
      <c r="H289" s="390"/>
      <c r="I289" s="390"/>
      <c r="J289" s="390"/>
      <c r="K289" s="392"/>
      <c r="L289" s="398"/>
      <c r="M289" s="400"/>
      <c r="N289" s="398"/>
      <c r="O289" s="398"/>
      <c r="P289" s="398"/>
      <c r="Q289" s="398"/>
      <c r="R289" s="401"/>
      <c r="S289" s="398"/>
      <c r="T289" s="398"/>
      <c r="U289" s="398"/>
    </row>
    <row r="290" spans="4:21" x14ac:dyDescent="0.25">
      <c r="D290" s="841"/>
      <c r="E290" s="398"/>
      <c r="F290" s="390"/>
      <c r="G290" s="390"/>
      <c r="H290" s="390"/>
      <c r="I290" s="390"/>
      <c r="J290" s="390"/>
      <c r="K290" s="392"/>
      <c r="L290" s="398"/>
      <c r="M290" s="400"/>
      <c r="N290" s="398"/>
      <c r="O290" s="398"/>
      <c r="P290" s="398"/>
      <c r="Q290" s="398"/>
      <c r="R290" s="401"/>
      <c r="S290" s="398"/>
      <c r="T290" s="398"/>
      <c r="U290" s="398"/>
    </row>
    <row r="291" spans="4:21" x14ac:dyDescent="0.25">
      <c r="D291" s="841"/>
      <c r="E291" s="398"/>
      <c r="F291" s="390"/>
      <c r="G291" s="390"/>
      <c r="H291" s="390"/>
      <c r="I291" s="390"/>
      <c r="J291" s="390"/>
      <c r="K291" s="392"/>
      <c r="L291" s="398"/>
      <c r="M291" s="400"/>
      <c r="N291" s="398"/>
      <c r="O291" s="398"/>
      <c r="P291" s="398"/>
      <c r="Q291" s="398"/>
      <c r="R291" s="401"/>
      <c r="S291" s="398"/>
      <c r="T291" s="398"/>
      <c r="U291" s="398"/>
    </row>
    <row r="292" spans="4:21" x14ac:dyDescent="0.25">
      <c r="D292" s="841"/>
      <c r="E292" s="398"/>
      <c r="F292" s="390"/>
      <c r="G292" s="390"/>
      <c r="H292" s="390"/>
      <c r="I292" s="390"/>
      <c r="J292" s="390"/>
      <c r="K292" s="392"/>
      <c r="L292" s="398"/>
      <c r="M292" s="400"/>
      <c r="N292" s="398"/>
      <c r="O292" s="398"/>
      <c r="P292" s="398"/>
      <c r="Q292" s="398"/>
      <c r="R292" s="401"/>
      <c r="S292" s="398"/>
      <c r="T292" s="398"/>
      <c r="U292" s="398"/>
    </row>
    <row r="293" spans="4:21" x14ac:dyDescent="0.25">
      <c r="D293" s="841"/>
      <c r="E293" s="398"/>
      <c r="F293" s="390"/>
      <c r="G293" s="390"/>
      <c r="H293" s="390"/>
      <c r="I293" s="390"/>
      <c r="J293" s="390"/>
      <c r="K293" s="392"/>
      <c r="L293" s="398"/>
      <c r="M293" s="400"/>
      <c r="N293" s="398"/>
      <c r="O293" s="398"/>
      <c r="P293" s="398"/>
      <c r="Q293" s="398"/>
      <c r="R293" s="401"/>
      <c r="S293" s="398"/>
      <c r="T293" s="398"/>
      <c r="U293" s="398"/>
    </row>
    <row r="294" spans="4:21" x14ac:dyDescent="0.25">
      <c r="D294" s="841"/>
      <c r="E294" s="398"/>
      <c r="F294" s="390"/>
      <c r="G294" s="390"/>
      <c r="H294" s="390"/>
      <c r="I294" s="390"/>
      <c r="J294" s="390"/>
      <c r="K294" s="392"/>
      <c r="L294" s="398"/>
      <c r="M294" s="400"/>
      <c r="N294" s="398"/>
      <c r="O294" s="398"/>
      <c r="P294" s="398"/>
      <c r="Q294" s="398"/>
      <c r="R294" s="401"/>
      <c r="S294" s="398"/>
      <c r="T294" s="398"/>
      <c r="U294" s="398"/>
    </row>
    <row r="295" spans="4:21" x14ac:dyDescent="0.25">
      <c r="D295" s="841"/>
      <c r="E295" s="398"/>
      <c r="F295" s="390"/>
      <c r="G295" s="390"/>
      <c r="H295" s="390"/>
      <c r="I295" s="390"/>
      <c r="J295" s="390"/>
      <c r="K295" s="392"/>
      <c r="L295" s="398"/>
      <c r="M295" s="400"/>
      <c r="N295" s="398"/>
      <c r="O295" s="398"/>
      <c r="P295" s="398"/>
      <c r="Q295" s="398"/>
      <c r="R295" s="401"/>
      <c r="S295" s="398"/>
      <c r="T295" s="398"/>
      <c r="U295" s="398"/>
    </row>
    <row r="296" spans="4:21" x14ac:dyDescent="0.25">
      <c r="D296" s="841"/>
      <c r="E296" s="398"/>
      <c r="F296" s="390"/>
      <c r="G296" s="390"/>
      <c r="H296" s="390"/>
      <c r="I296" s="390"/>
      <c r="J296" s="390"/>
      <c r="K296" s="392"/>
      <c r="L296" s="398"/>
      <c r="M296" s="400"/>
      <c r="N296" s="398"/>
      <c r="O296" s="398"/>
      <c r="P296" s="398"/>
      <c r="Q296" s="398"/>
      <c r="R296" s="401"/>
      <c r="S296" s="398"/>
      <c r="T296" s="398"/>
      <c r="U296" s="398"/>
    </row>
    <row r="297" spans="4:21" x14ac:dyDescent="0.25">
      <c r="D297" s="841"/>
      <c r="E297" s="398"/>
      <c r="F297" s="390"/>
      <c r="G297" s="390"/>
      <c r="H297" s="390"/>
      <c r="I297" s="390"/>
      <c r="J297" s="390"/>
      <c r="K297" s="392"/>
      <c r="L297" s="398"/>
      <c r="M297" s="400"/>
      <c r="N297" s="398"/>
      <c r="O297" s="398"/>
      <c r="P297" s="398"/>
      <c r="Q297" s="398"/>
      <c r="R297" s="401"/>
      <c r="S297" s="398"/>
      <c r="T297" s="398"/>
      <c r="U297" s="398"/>
    </row>
    <row r="298" spans="4:21" x14ac:dyDescent="0.25">
      <c r="D298" s="841"/>
      <c r="E298" s="398"/>
      <c r="F298" s="390"/>
      <c r="G298" s="390"/>
      <c r="H298" s="390"/>
      <c r="I298" s="390"/>
      <c r="J298" s="390"/>
      <c r="K298" s="392"/>
      <c r="L298" s="398"/>
      <c r="M298" s="400"/>
      <c r="N298" s="398"/>
      <c r="O298" s="398"/>
      <c r="P298" s="398"/>
      <c r="Q298" s="398"/>
      <c r="R298" s="401"/>
      <c r="S298" s="398"/>
      <c r="T298" s="398"/>
      <c r="U298" s="398"/>
    </row>
    <row r="299" spans="4:21" x14ac:dyDescent="0.25">
      <c r="D299" s="841"/>
      <c r="E299" s="398"/>
      <c r="F299" s="390"/>
      <c r="G299" s="390"/>
      <c r="H299" s="390"/>
      <c r="I299" s="390"/>
      <c r="J299" s="390"/>
      <c r="K299" s="392"/>
      <c r="L299" s="398"/>
      <c r="M299" s="400"/>
      <c r="N299" s="398"/>
      <c r="O299" s="398"/>
      <c r="P299" s="398"/>
      <c r="Q299" s="398"/>
      <c r="R299" s="401"/>
      <c r="S299" s="398"/>
      <c r="T299" s="398"/>
      <c r="U299" s="398"/>
    </row>
    <row r="300" spans="4:21" x14ac:dyDescent="0.25">
      <c r="D300" s="841"/>
      <c r="E300" s="398"/>
      <c r="F300" s="390"/>
      <c r="G300" s="390"/>
      <c r="H300" s="390"/>
      <c r="I300" s="390"/>
      <c r="J300" s="390"/>
      <c r="K300" s="392"/>
      <c r="L300" s="398"/>
      <c r="M300" s="400"/>
      <c r="N300" s="398"/>
      <c r="O300" s="398"/>
      <c r="P300" s="398"/>
      <c r="Q300" s="398"/>
      <c r="R300" s="401"/>
      <c r="S300" s="398"/>
      <c r="T300" s="398"/>
      <c r="U300" s="398"/>
    </row>
    <row r="301" spans="4:21" x14ac:dyDescent="0.25">
      <c r="D301" s="841"/>
      <c r="E301" s="398"/>
      <c r="F301" s="390"/>
      <c r="G301" s="390"/>
      <c r="H301" s="390"/>
      <c r="I301" s="390"/>
      <c r="J301" s="390"/>
      <c r="K301" s="392"/>
      <c r="L301" s="398"/>
      <c r="M301" s="400"/>
      <c r="N301" s="398"/>
      <c r="O301" s="398"/>
      <c r="P301" s="398"/>
      <c r="Q301" s="398"/>
      <c r="R301" s="401"/>
      <c r="S301" s="398"/>
      <c r="T301" s="398"/>
      <c r="U301" s="398"/>
    </row>
    <row r="302" spans="4:21" x14ac:dyDescent="0.25">
      <c r="D302" s="841"/>
      <c r="E302" s="398"/>
      <c r="F302" s="390"/>
      <c r="G302" s="390"/>
      <c r="H302" s="390"/>
      <c r="I302" s="390"/>
      <c r="J302" s="390"/>
      <c r="K302" s="392"/>
      <c r="L302" s="398"/>
      <c r="M302" s="400"/>
      <c r="N302" s="398"/>
      <c r="O302" s="398"/>
      <c r="P302" s="398"/>
      <c r="Q302" s="398"/>
      <c r="R302" s="401"/>
      <c r="S302" s="398"/>
      <c r="T302" s="398"/>
      <c r="U302" s="398"/>
    </row>
    <row r="303" spans="4:21" x14ac:dyDescent="0.25">
      <c r="D303" s="841"/>
      <c r="E303" s="398"/>
      <c r="F303" s="390"/>
      <c r="G303" s="390"/>
      <c r="H303" s="390"/>
      <c r="I303" s="390"/>
      <c r="J303" s="390"/>
      <c r="K303" s="392"/>
      <c r="L303" s="398"/>
      <c r="M303" s="400"/>
      <c r="N303" s="398"/>
      <c r="O303" s="398"/>
      <c r="P303" s="398"/>
      <c r="Q303" s="398"/>
      <c r="R303" s="401"/>
      <c r="S303" s="398"/>
      <c r="T303" s="398"/>
      <c r="U303" s="398"/>
    </row>
    <row r="304" spans="4:21" x14ac:dyDescent="0.25">
      <c r="D304" s="841"/>
      <c r="E304" s="398"/>
      <c r="F304" s="390"/>
      <c r="G304" s="390"/>
      <c r="H304" s="390"/>
      <c r="I304" s="390"/>
      <c r="J304" s="390"/>
      <c r="K304" s="392"/>
      <c r="L304" s="398"/>
      <c r="M304" s="400"/>
      <c r="N304" s="398"/>
      <c r="O304" s="398"/>
      <c r="P304" s="398"/>
      <c r="Q304" s="398"/>
      <c r="R304" s="401"/>
      <c r="S304" s="398"/>
      <c r="T304" s="398"/>
      <c r="U304" s="398"/>
    </row>
    <row r="305" spans="4:21" x14ac:dyDescent="0.25">
      <c r="D305" s="841"/>
      <c r="E305" s="398"/>
      <c r="F305" s="390"/>
      <c r="G305" s="390"/>
      <c r="H305" s="390"/>
      <c r="I305" s="390"/>
      <c r="J305" s="390"/>
      <c r="K305" s="392"/>
      <c r="L305" s="398"/>
      <c r="M305" s="400"/>
      <c r="N305" s="398"/>
      <c r="O305" s="398"/>
      <c r="P305" s="398"/>
      <c r="Q305" s="398"/>
      <c r="R305" s="401"/>
      <c r="S305" s="398"/>
      <c r="T305" s="398"/>
      <c r="U305" s="398"/>
    </row>
    <row r="306" spans="4:21" x14ac:dyDescent="0.25">
      <c r="D306" s="841"/>
      <c r="E306" s="398"/>
      <c r="F306" s="390"/>
      <c r="G306" s="390"/>
      <c r="H306" s="390"/>
      <c r="I306" s="390"/>
      <c r="J306" s="390"/>
      <c r="K306" s="392"/>
      <c r="L306" s="398"/>
      <c r="M306" s="400"/>
      <c r="N306" s="398"/>
      <c r="O306" s="398"/>
      <c r="P306" s="398"/>
      <c r="Q306" s="398"/>
      <c r="R306" s="401"/>
      <c r="S306" s="398"/>
      <c r="T306" s="398"/>
      <c r="U306" s="398"/>
    </row>
    <row r="307" spans="4:21" x14ac:dyDescent="0.25">
      <c r="D307" s="841"/>
      <c r="E307" s="398"/>
      <c r="F307" s="390"/>
      <c r="G307" s="390"/>
      <c r="H307" s="390"/>
      <c r="I307" s="390"/>
      <c r="J307" s="390"/>
      <c r="K307" s="392"/>
      <c r="L307" s="398"/>
      <c r="M307" s="400"/>
      <c r="N307" s="398"/>
      <c r="O307" s="398"/>
      <c r="P307" s="398"/>
      <c r="Q307" s="398"/>
      <c r="R307" s="401"/>
      <c r="S307" s="398"/>
      <c r="T307" s="398"/>
      <c r="U307" s="398"/>
    </row>
    <row r="308" spans="4:21" x14ac:dyDescent="0.25">
      <c r="D308" s="841"/>
      <c r="E308" s="398"/>
      <c r="F308" s="390"/>
      <c r="G308" s="390"/>
      <c r="H308" s="390"/>
      <c r="I308" s="390"/>
      <c r="J308" s="390"/>
      <c r="K308" s="392"/>
      <c r="L308" s="398"/>
      <c r="M308" s="400"/>
      <c r="N308" s="398"/>
      <c r="O308" s="398"/>
      <c r="P308" s="398"/>
      <c r="Q308" s="398"/>
      <c r="R308" s="401"/>
      <c r="S308" s="398"/>
      <c r="T308" s="398"/>
      <c r="U308" s="398"/>
    </row>
    <row r="309" spans="4:21" x14ac:dyDescent="0.25">
      <c r="D309" s="841"/>
      <c r="E309" s="398"/>
      <c r="F309" s="390"/>
      <c r="G309" s="390"/>
      <c r="H309" s="390"/>
      <c r="I309" s="390"/>
      <c r="J309" s="390"/>
      <c r="K309" s="392"/>
      <c r="L309" s="398"/>
      <c r="M309" s="400"/>
      <c r="N309" s="398"/>
      <c r="O309" s="398"/>
      <c r="P309" s="398"/>
      <c r="Q309" s="398"/>
      <c r="R309" s="401"/>
      <c r="S309" s="398"/>
      <c r="T309" s="398"/>
      <c r="U309" s="398"/>
    </row>
    <row r="310" spans="4:21" x14ac:dyDescent="0.25">
      <c r="D310" s="841"/>
      <c r="E310" s="398"/>
      <c r="F310" s="390"/>
      <c r="G310" s="390"/>
      <c r="H310" s="390"/>
      <c r="I310" s="390"/>
      <c r="J310" s="390"/>
      <c r="K310" s="392"/>
      <c r="L310" s="398"/>
      <c r="M310" s="400"/>
      <c r="N310" s="398"/>
      <c r="O310" s="398"/>
      <c r="P310" s="398"/>
      <c r="Q310" s="398"/>
      <c r="R310" s="401"/>
      <c r="S310" s="398"/>
      <c r="T310" s="398"/>
      <c r="U310" s="398"/>
    </row>
    <row r="311" spans="4:21" x14ac:dyDescent="0.25">
      <c r="D311" s="841"/>
      <c r="E311" s="398"/>
      <c r="F311" s="390"/>
      <c r="G311" s="390"/>
      <c r="H311" s="390"/>
      <c r="I311" s="390"/>
      <c r="J311" s="390"/>
      <c r="K311" s="392"/>
      <c r="L311" s="398"/>
      <c r="M311" s="400"/>
      <c r="N311" s="398"/>
      <c r="O311" s="398"/>
      <c r="P311" s="398"/>
      <c r="Q311" s="398"/>
      <c r="R311" s="401"/>
      <c r="S311" s="398"/>
      <c r="T311" s="398"/>
      <c r="U311" s="398"/>
    </row>
    <row r="312" spans="4:21" x14ac:dyDescent="0.25">
      <c r="D312" s="841"/>
      <c r="E312" s="398"/>
      <c r="F312" s="390"/>
      <c r="G312" s="390"/>
      <c r="H312" s="390"/>
      <c r="I312" s="390"/>
      <c r="J312" s="390"/>
      <c r="K312" s="392"/>
      <c r="L312" s="398"/>
      <c r="M312" s="400"/>
      <c r="N312" s="398"/>
      <c r="O312" s="398"/>
      <c r="P312" s="398"/>
      <c r="Q312" s="398"/>
      <c r="R312" s="401"/>
      <c r="S312" s="398"/>
      <c r="T312" s="398"/>
      <c r="U312" s="398"/>
    </row>
    <row r="313" spans="4:21" x14ac:dyDescent="0.25">
      <c r="D313" s="841"/>
      <c r="E313" s="398"/>
      <c r="F313" s="390"/>
      <c r="G313" s="390"/>
      <c r="H313" s="390"/>
      <c r="I313" s="390"/>
      <c r="J313" s="390"/>
      <c r="K313" s="392"/>
      <c r="L313" s="398"/>
      <c r="M313" s="400"/>
      <c r="N313" s="398"/>
      <c r="O313" s="398"/>
      <c r="P313" s="398"/>
      <c r="Q313" s="398"/>
      <c r="R313" s="401"/>
      <c r="S313" s="398"/>
      <c r="T313" s="398"/>
      <c r="U313" s="398"/>
    </row>
    <row r="314" spans="4:21" x14ac:dyDescent="0.25">
      <c r="D314" s="841"/>
      <c r="E314" s="398"/>
      <c r="F314" s="390"/>
      <c r="G314" s="390"/>
      <c r="H314" s="390"/>
      <c r="I314" s="390"/>
      <c r="J314" s="390"/>
      <c r="K314" s="392"/>
      <c r="L314" s="398"/>
      <c r="M314" s="400"/>
      <c r="N314" s="398"/>
      <c r="O314" s="398"/>
      <c r="P314" s="398"/>
      <c r="Q314" s="398"/>
      <c r="R314" s="401"/>
      <c r="S314" s="398"/>
      <c r="T314" s="398"/>
      <c r="U314" s="398"/>
    </row>
    <row r="315" spans="4:21" x14ac:dyDescent="0.25">
      <c r="D315" s="841"/>
      <c r="E315" s="398"/>
      <c r="F315" s="390"/>
      <c r="G315" s="390"/>
      <c r="H315" s="390"/>
      <c r="I315" s="390"/>
      <c r="J315" s="390"/>
      <c r="K315" s="392"/>
      <c r="L315" s="398"/>
      <c r="M315" s="400"/>
      <c r="N315" s="398"/>
      <c r="O315" s="398"/>
      <c r="P315" s="398"/>
      <c r="Q315" s="398"/>
      <c r="R315" s="401"/>
      <c r="S315" s="398"/>
      <c r="T315" s="398"/>
      <c r="U315" s="398"/>
    </row>
    <row r="316" spans="4:21" x14ac:dyDescent="0.25">
      <c r="D316" s="841"/>
      <c r="E316" s="398"/>
      <c r="F316" s="390"/>
      <c r="G316" s="390"/>
      <c r="H316" s="390"/>
      <c r="I316" s="390"/>
      <c r="J316" s="390"/>
      <c r="K316" s="392"/>
      <c r="L316" s="398"/>
      <c r="M316" s="400"/>
      <c r="N316" s="398"/>
      <c r="O316" s="398"/>
      <c r="P316" s="398"/>
      <c r="Q316" s="398"/>
      <c r="R316" s="401"/>
      <c r="S316" s="398"/>
      <c r="T316" s="398"/>
      <c r="U316" s="398"/>
    </row>
    <row r="317" spans="4:21" x14ac:dyDescent="0.25">
      <c r="D317" s="841"/>
      <c r="E317" s="398"/>
      <c r="F317" s="390"/>
      <c r="G317" s="390"/>
      <c r="H317" s="390"/>
      <c r="I317" s="390"/>
      <c r="J317" s="390"/>
      <c r="K317" s="392"/>
      <c r="L317" s="398"/>
      <c r="M317" s="400"/>
      <c r="N317" s="398"/>
      <c r="O317" s="398"/>
      <c r="P317" s="398"/>
      <c r="Q317" s="398"/>
      <c r="R317" s="401"/>
      <c r="S317" s="398"/>
      <c r="T317" s="398"/>
      <c r="U317" s="398"/>
    </row>
    <row r="318" spans="4:21" x14ac:dyDescent="0.25">
      <c r="D318" s="841"/>
      <c r="E318" s="398"/>
      <c r="F318" s="390"/>
      <c r="G318" s="390"/>
      <c r="H318" s="390"/>
      <c r="I318" s="390"/>
      <c r="J318" s="390"/>
      <c r="K318" s="392"/>
      <c r="L318" s="398"/>
      <c r="M318" s="400"/>
      <c r="N318" s="398"/>
      <c r="O318" s="398"/>
      <c r="P318" s="398"/>
      <c r="Q318" s="398"/>
      <c r="R318" s="401"/>
      <c r="S318" s="398"/>
      <c r="T318" s="398"/>
      <c r="U318" s="398"/>
    </row>
    <row r="319" spans="4:21" x14ac:dyDescent="0.25">
      <c r="D319" s="841"/>
      <c r="E319" s="398"/>
      <c r="F319" s="390"/>
      <c r="G319" s="390"/>
      <c r="H319" s="390"/>
      <c r="I319" s="390"/>
      <c r="J319" s="390"/>
      <c r="K319" s="392"/>
      <c r="L319" s="398"/>
      <c r="M319" s="400"/>
      <c r="N319" s="398"/>
      <c r="O319" s="398"/>
      <c r="P319" s="398"/>
      <c r="Q319" s="398"/>
      <c r="R319" s="401"/>
      <c r="S319" s="398"/>
      <c r="T319" s="398"/>
      <c r="U319" s="398"/>
    </row>
    <row r="320" spans="4:21" x14ac:dyDescent="0.25">
      <c r="D320" s="841"/>
      <c r="E320" s="398"/>
      <c r="F320" s="390"/>
      <c r="G320" s="390"/>
      <c r="H320" s="390"/>
      <c r="I320" s="390"/>
      <c r="J320" s="390"/>
      <c r="K320" s="392"/>
      <c r="L320" s="398"/>
      <c r="M320" s="400"/>
      <c r="N320" s="398"/>
      <c r="O320" s="398"/>
      <c r="P320" s="398"/>
      <c r="Q320" s="398"/>
      <c r="R320" s="401"/>
      <c r="S320" s="398"/>
      <c r="T320" s="398"/>
      <c r="U320" s="398"/>
    </row>
    <row r="321" spans="4:21" x14ac:dyDescent="0.25">
      <c r="D321" s="841"/>
      <c r="E321" s="398"/>
      <c r="F321" s="390"/>
      <c r="G321" s="390"/>
      <c r="H321" s="390"/>
      <c r="I321" s="390"/>
      <c r="J321" s="390"/>
      <c r="K321" s="392"/>
      <c r="L321" s="398"/>
      <c r="M321" s="400"/>
      <c r="N321" s="398"/>
      <c r="O321" s="398"/>
      <c r="P321" s="398"/>
      <c r="Q321" s="398"/>
      <c r="R321" s="401"/>
      <c r="S321" s="398"/>
      <c r="T321" s="398"/>
      <c r="U321" s="398"/>
    </row>
    <row r="322" spans="4:21" x14ac:dyDescent="0.25">
      <c r="D322" s="841"/>
      <c r="E322" s="398"/>
      <c r="F322" s="390"/>
      <c r="G322" s="390"/>
      <c r="H322" s="390"/>
      <c r="I322" s="390"/>
      <c r="J322" s="390"/>
      <c r="K322" s="392"/>
      <c r="L322" s="398"/>
      <c r="M322" s="400"/>
      <c r="N322" s="398"/>
      <c r="O322" s="398"/>
      <c r="P322" s="398"/>
      <c r="Q322" s="398"/>
      <c r="R322" s="401"/>
      <c r="S322" s="398"/>
      <c r="T322" s="398"/>
      <c r="U322" s="398"/>
    </row>
    <row r="323" spans="4:21" x14ac:dyDescent="0.25">
      <c r="D323" s="841"/>
      <c r="E323" s="398"/>
      <c r="F323" s="390"/>
      <c r="G323" s="390"/>
      <c r="H323" s="390"/>
      <c r="I323" s="390"/>
      <c r="J323" s="390"/>
      <c r="K323" s="392"/>
      <c r="L323" s="398"/>
      <c r="M323" s="400"/>
      <c r="N323" s="398"/>
      <c r="O323" s="398"/>
      <c r="P323" s="398"/>
      <c r="Q323" s="398"/>
      <c r="R323" s="401"/>
      <c r="S323" s="398"/>
      <c r="T323" s="398"/>
      <c r="U323" s="398"/>
    </row>
    <row r="324" spans="4:21" x14ac:dyDescent="0.25">
      <c r="D324" s="841"/>
      <c r="E324" s="398"/>
      <c r="F324" s="390"/>
      <c r="G324" s="390"/>
      <c r="H324" s="390"/>
      <c r="I324" s="390"/>
      <c r="J324" s="390"/>
      <c r="K324" s="392"/>
      <c r="L324" s="398"/>
      <c r="M324" s="400"/>
      <c r="N324" s="398"/>
      <c r="O324" s="398"/>
      <c r="P324" s="398"/>
      <c r="Q324" s="398"/>
      <c r="R324" s="401"/>
      <c r="S324" s="398"/>
      <c r="T324" s="398"/>
      <c r="U324" s="398"/>
    </row>
    <row r="325" spans="4:21" x14ac:dyDescent="0.25">
      <c r="D325" s="841"/>
      <c r="E325" s="398"/>
      <c r="F325" s="390"/>
      <c r="G325" s="390"/>
      <c r="H325" s="390"/>
      <c r="I325" s="390"/>
      <c r="J325" s="390"/>
      <c r="K325" s="392"/>
      <c r="L325" s="398"/>
      <c r="M325" s="400"/>
      <c r="N325" s="398"/>
      <c r="O325" s="398"/>
      <c r="P325" s="398"/>
      <c r="Q325" s="398"/>
      <c r="R325" s="401"/>
      <c r="S325" s="398"/>
      <c r="T325" s="398"/>
      <c r="U325" s="398"/>
    </row>
    <row r="326" spans="4:21" x14ac:dyDescent="0.25">
      <c r="D326" s="841"/>
      <c r="E326" s="398"/>
      <c r="F326" s="390"/>
      <c r="G326" s="390"/>
      <c r="H326" s="390"/>
      <c r="I326" s="390"/>
      <c r="J326" s="390"/>
      <c r="K326" s="392"/>
      <c r="L326" s="398"/>
      <c r="M326" s="400"/>
      <c r="N326" s="398"/>
      <c r="O326" s="398"/>
      <c r="P326" s="398"/>
      <c r="Q326" s="398"/>
      <c r="R326" s="401"/>
      <c r="S326" s="398"/>
      <c r="T326" s="398"/>
      <c r="U326" s="398"/>
    </row>
    <row r="327" spans="4:21" x14ac:dyDescent="0.25">
      <c r="D327" s="841"/>
      <c r="E327" s="398"/>
      <c r="F327" s="390"/>
      <c r="G327" s="390"/>
      <c r="H327" s="390"/>
      <c r="I327" s="390"/>
      <c r="J327" s="390"/>
      <c r="K327" s="392"/>
      <c r="L327" s="398"/>
      <c r="M327" s="400"/>
      <c r="N327" s="398"/>
      <c r="O327" s="398"/>
      <c r="P327" s="398"/>
      <c r="Q327" s="398"/>
      <c r="R327" s="401"/>
      <c r="S327" s="398"/>
      <c r="T327" s="398"/>
      <c r="U327" s="398"/>
    </row>
    <row r="328" spans="4:21" x14ac:dyDescent="0.25">
      <c r="D328" s="841"/>
      <c r="E328" s="398"/>
      <c r="F328" s="390"/>
      <c r="G328" s="390"/>
      <c r="H328" s="390"/>
      <c r="I328" s="390"/>
      <c r="J328" s="390"/>
      <c r="K328" s="392"/>
      <c r="L328" s="398"/>
      <c r="M328" s="400"/>
      <c r="N328" s="398"/>
      <c r="O328" s="398"/>
      <c r="P328" s="398"/>
      <c r="Q328" s="398"/>
      <c r="R328" s="401"/>
      <c r="S328" s="398"/>
      <c r="T328" s="398"/>
      <c r="U328" s="398"/>
    </row>
    <row r="329" spans="4:21" x14ac:dyDescent="0.25">
      <c r="D329" s="841"/>
      <c r="E329" s="398"/>
      <c r="F329" s="390"/>
      <c r="G329" s="390"/>
      <c r="H329" s="390"/>
      <c r="I329" s="390"/>
      <c r="J329" s="390"/>
      <c r="K329" s="392"/>
      <c r="L329" s="398"/>
      <c r="M329" s="400"/>
      <c r="N329" s="398"/>
      <c r="O329" s="398"/>
      <c r="P329" s="398"/>
      <c r="Q329" s="398"/>
      <c r="R329" s="401"/>
      <c r="S329" s="398"/>
      <c r="T329" s="398"/>
      <c r="U329" s="398"/>
    </row>
    <row r="330" spans="4:21" x14ac:dyDescent="0.25">
      <c r="D330" s="841"/>
      <c r="E330" s="398"/>
      <c r="F330" s="390"/>
      <c r="G330" s="390"/>
      <c r="H330" s="390"/>
      <c r="I330" s="390"/>
      <c r="J330" s="390"/>
      <c r="K330" s="392"/>
      <c r="L330" s="398"/>
      <c r="M330" s="400"/>
      <c r="N330" s="398"/>
      <c r="O330" s="398"/>
      <c r="P330" s="398"/>
      <c r="Q330" s="398"/>
      <c r="R330" s="401"/>
      <c r="S330" s="398"/>
      <c r="T330" s="398"/>
      <c r="U330" s="398"/>
    </row>
    <row r="331" spans="4:21" x14ac:dyDescent="0.25">
      <c r="D331" s="841"/>
      <c r="E331" s="398"/>
      <c r="F331" s="390"/>
      <c r="G331" s="390"/>
      <c r="H331" s="390"/>
      <c r="I331" s="390"/>
      <c r="J331" s="390"/>
      <c r="K331" s="392"/>
      <c r="L331" s="398"/>
      <c r="M331" s="400"/>
      <c r="N331" s="398"/>
      <c r="O331" s="398"/>
      <c r="P331" s="398"/>
      <c r="Q331" s="398"/>
      <c r="R331" s="401"/>
      <c r="S331" s="398"/>
      <c r="T331" s="398"/>
      <c r="U331" s="398"/>
    </row>
    <row r="332" spans="4:21" x14ac:dyDescent="0.25">
      <c r="D332" s="841"/>
      <c r="E332" s="398"/>
      <c r="F332" s="390"/>
      <c r="G332" s="390"/>
      <c r="H332" s="390"/>
      <c r="I332" s="390"/>
      <c r="J332" s="390"/>
      <c r="K332" s="392"/>
      <c r="L332" s="398"/>
      <c r="M332" s="400"/>
      <c r="N332" s="398"/>
      <c r="O332" s="398"/>
      <c r="P332" s="398"/>
      <c r="Q332" s="398"/>
      <c r="R332" s="401"/>
      <c r="S332" s="398"/>
      <c r="T332" s="398"/>
      <c r="U332" s="398"/>
    </row>
    <row r="333" spans="4:21" x14ac:dyDescent="0.25">
      <c r="D333" s="841"/>
      <c r="E333" s="398"/>
      <c r="F333" s="390"/>
      <c r="G333" s="390"/>
      <c r="H333" s="390"/>
      <c r="I333" s="390"/>
      <c r="J333" s="390"/>
      <c r="K333" s="392"/>
      <c r="L333" s="398"/>
      <c r="M333" s="400"/>
      <c r="N333" s="398"/>
      <c r="O333" s="398"/>
      <c r="P333" s="398"/>
      <c r="Q333" s="398"/>
      <c r="R333" s="401"/>
      <c r="S333" s="398"/>
      <c r="T333" s="398"/>
      <c r="U333" s="398"/>
    </row>
    <row r="334" spans="4:21" x14ac:dyDescent="0.25">
      <c r="D334" s="841"/>
      <c r="E334" s="398"/>
      <c r="F334" s="390"/>
      <c r="G334" s="390"/>
      <c r="H334" s="390"/>
      <c r="I334" s="390"/>
      <c r="J334" s="390"/>
      <c r="K334" s="392"/>
      <c r="L334" s="398"/>
      <c r="M334" s="400"/>
      <c r="N334" s="398"/>
      <c r="O334" s="398"/>
      <c r="P334" s="398"/>
      <c r="Q334" s="398"/>
      <c r="R334" s="401"/>
      <c r="S334" s="398"/>
      <c r="T334" s="398"/>
      <c r="U334" s="398"/>
    </row>
    <row r="335" spans="4:21" x14ac:dyDescent="0.25">
      <c r="D335" s="841"/>
      <c r="E335" s="398"/>
      <c r="F335" s="390"/>
      <c r="G335" s="390"/>
      <c r="H335" s="390"/>
      <c r="I335" s="390"/>
      <c r="J335" s="390"/>
      <c r="K335" s="392"/>
      <c r="L335" s="398"/>
      <c r="M335" s="400"/>
      <c r="N335" s="398"/>
      <c r="O335" s="398"/>
      <c r="P335" s="398"/>
      <c r="Q335" s="398"/>
      <c r="R335" s="401"/>
      <c r="S335" s="398"/>
      <c r="T335" s="398"/>
      <c r="U335" s="398"/>
    </row>
    <row r="336" spans="4:21" x14ac:dyDescent="0.25">
      <c r="D336" s="841"/>
      <c r="E336" s="398"/>
      <c r="F336" s="390"/>
      <c r="G336" s="390"/>
      <c r="H336" s="390"/>
      <c r="I336" s="390"/>
      <c r="J336" s="390"/>
      <c r="K336" s="392"/>
      <c r="L336" s="398"/>
      <c r="M336" s="400"/>
      <c r="N336" s="398"/>
      <c r="O336" s="398"/>
      <c r="P336" s="398"/>
      <c r="Q336" s="398"/>
      <c r="R336" s="401"/>
      <c r="S336" s="398"/>
      <c r="T336" s="398"/>
      <c r="U336" s="398"/>
    </row>
    <row r="337" spans="4:21" x14ac:dyDescent="0.25">
      <c r="D337" s="841"/>
      <c r="E337" s="398"/>
      <c r="F337" s="390"/>
      <c r="G337" s="390"/>
      <c r="H337" s="390"/>
      <c r="I337" s="390"/>
      <c r="J337" s="390"/>
      <c r="K337" s="392"/>
      <c r="L337" s="398"/>
      <c r="M337" s="400"/>
      <c r="N337" s="398"/>
      <c r="O337" s="398"/>
      <c r="P337" s="398"/>
      <c r="Q337" s="398"/>
      <c r="R337" s="401"/>
      <c r="S337" s="398"/>
      <c r="T337" s="398"/>
      <c r="U337" s="398"/>
    </row>
    <row r="338" spans="4:21" x14ac:dyDescent="0.25">
      <c r="D338" s="841"/>
      <c r="E338" s="398"/>
      <c r="F338" s="390"/>
      <c r="G338" s="390"/>
      <c r="H338" s="390"/>
      <c r="I338" s="390"/>
      <c r="J338" s="390"/>
      <c r="K338" s="392"/>
      <c r="L338" s="398"/>
      <c r="M338" s="400"/>
      <c r="N338" s="398"/>
      <c r="O338" s="398"/>
      <c r="P338" s="398"/>
      <c r="Q338" s="398"/>
      <c r="R338" s="401"/>
      <c r="S338" s="398"/>
      <c r="T338" s="398"/>
      <c r="U338" s="398"/>
    </row>
    <row r="339" spans="4:21" x14ac:dyDescent="0.25">
      <c r="D339" s="841"/>
      <c r="E339" s="398"/>
      <c r="F339" s="390"/>
      <c r="G339" s="390"/>
      <c r="H339" s="390"/>
      <c r="I339" s="390"/>
      <c r="J339" s="390"/>
      <c r="K339" s="392"/>
      <c r="L339" s="398"/>
      <c r="M339" s="400"/>
      <c r="N339" s="398"/>
      <c r="O339" s="398"/>
      <c r="P339" s="398"/>
      <c r="Q339" s="398"/>
      <c r="R339" s="401"/>
      <c r="S339" s="398"/>
      <c r="T339" s="398"/>
      <c r="U339" s="398"/>
    </row>
    <row r="340" spans="4:21" x14ac:dyDescent="0.25">
      <c r="D340" s="841"/>
      <c r="E340" s="398"/>
      <c r="F340" s="390"/>
      <c r="G340" s="390"/>
      <c r="H340" s="390"/>
      <c r="I340" s="390"/>
      <c r="J340" s="390"/>
      <c r="K340" s="392"/>
      <c r="L340" s="398"/>
      <c r="M340" s="400"/>
      <c r="N340" s="398"/>
      <c r="O340" s="398"/>
      <c r="P340" s="398"/>
      <c r="Q340" s="398"/>
      <c r="R340" s="401"/>
      <c r="S340" s="398"/>
      <c r="T340" s="398"/>
      <c r="U340" s="398"/>
    </row>
    <row r="341" spans="4:21" x14ac:dyDescent="0.25">
      <c r="D341" s="841"/>
      <c r="E341" s="398"/>
      <c r="F341" s="390"/>
      <c r="G341" s="390"/>
      <c r="H341" s="390"/>
      <c r="I341" s="390"/>
      <c r="J341" s="390"/>
      <c r="K341" s="392"/>
      <c r="L341" s="398"/>
      <c r="M341" s="400"/>
      <c r="N341" s="398"/>
      <c r="O341" s="398"/>
      <c r="P341" s="398"/>
      <c r="Q341" s="398"/>
      <c r="R341" s="401"/>
      <c r="S341" s="398"/>
      <c r="T341" s="398"/>
      <c r="U341" s="398"/>
    </row>
    <row r="342" spans="4:21" x14ac:dyDescent="0.25">
      <c r="D342" s="841"/>
      <c r="E342" s="398"/>
      <c r="F342" s="390"/>
      <c r="G342" s="390"/>
      <c r="H342" s="390"/>
      <c r="I342" s="390"/>
      <c r="J342" s="390"/>
      <c r="K342" s="392"/>
      <c r="L342" s="398"/>
      <c r="M342" s="400"/>
      <c r="N342" s="398"/>
      <c r="O342" s="398"/>
      <c r="P342" s="398"/>
      <c r="Q342" s="398"/>
      <c r="R342" s="401"/>
      <c r="S342" s="398"/>
      <c r="T342" s="398"/>
      <c r="U342" s="398"/>
    </row>
    <row r="343" spans="4:21" x14ac:dyDescent="0.25">
      <c r="D343" s="841"/>
      <c r="E343" s="398"/>
      <c r="F343" s="390"/>
      <c r="G343" s="390"/>
      <c r="H343" s="390"/>
      <c r="I343" s="390"/>
      <c r="J343" s="390"/>
      <c r="K343" s="392"/>
      <c r="L343" s="398"/>
      <c r="M343" s="400"/>
      <c r="N343" s="398"/>
      <c r="O343" s="398"/>
      <c r="P343" s="398"/>
      <c r="Q343" s="398"/>
      <c r="R343" s="401"/>
      <c r="S343" s="398"/>
      <c r="T343" s="398"/>
      <c r="U343" s="398"/>
    </row>
    <row r="344" spans="4:21" x14ac:dyDescent="0.25">
      <c r="D344" s="841"/>
      <c r="E344" s="398"/>
      <c r="F344" s="390"/>
      <c r="G344" s="390"/>
      <c r="H344" s="390"/>
      <c r="I344" s="390"/>
      <c r="J344" s="390"/>
      <c r="K344" s="392"/>
      <c r="L344" s="398"/>
      <c r="M344" s="400"/>
      <c r="N344" s="398"/>
      <c r="O344" s="398"/>
      <c r="P344" s="398"/>
      <c r="Q344" s="398"/>
      <c r="R344" s="401"/>
      <c r="S344" s="398"/>
      <c r="T344" s="398"/>
      <c r="U344" s="398"/>
    </row>
    <row r="345" spans="4:21" x14ac:dyDescent="0.25">
      <c r="D345" s="841"/>
      <c r="E345" s="398"/>
      <c r="F345" s="390"/>
      <c r="G345" s="390"/>
      <c r="H345" s="390"/>
      <c r="I345" s="390"/>
      <c r="J345" s="390"/>
      <c r="K345" s="392"/>
      <c r="L345" s="398"/>
      <c r="M345" s="400"/>
      <c r="N345" s="398"/>
      <c r="O345" s="398"/>
      <c r="P345" s="398"/>
      <c r="Q345" s="398"/>
      <c r="R345" s="401"/>
      <c r="S345" s="398"/>
      <c r="T345" s="398"/>
      <c r="U345" s="398"/>
    </row>
    <row r="346" spans="4:21" x14ac:dyDescent="0.25">
      <c r="D346" s="841"/>
      <c r="E346" s="398"/>
      <c r="F346" s="390"/>
      <c r="G346" s="390"/>
      <c r="H346" s="390"/>
      <c r="I346" s="390"/>
      <c r="J346" s="390"/>
      <c r="K346" s="392"/>
      <c r="L346" s="398"/>
      <c r="M346" s="400"/>
      <c r="N346" s="398"/>
      <c r="O346" s="398"/>
      <c r="P346" s="398"/>
      <c r="Q346" s="398"/>
      <c r="R346" s="401"/>
      <c r="S346" s="398"/>
      <c r="T346" s="398"/>
      <c r="U346" s="398"/>
    </row>
    <row r="347" spans="4:21" x14ac:dyDescent="0.25">
      <c r="D347" s="841"/>
      <c r="E347" s="398"/>
      <c r="F347" s="390"/>
      <c r="G347" s="390"/>
      <c r="H347" s="390"/>
      <c r="I347" s="390"/>
      <c r="J347" s="390"/>
      <c r="K347" s="392"/>
      <c r="L347" s="398"/>
      <c r="M347" s="400"/>
      <c r="N347" s="398"/>
      <c r="O347" s="398"/>
      <c r="P347" s="398"/>
      <c r="Q347" s="398"/>
      <c r="R347" s="401"/>
      <c r="S347" s="398"/>
      <c r="T347" s="398"/>
      <c r="U347" s="398"/>
    </row>
    <row r="348" spans="4:21" x14ac:dyDescent="0.25">
      <c r="D348" s="841"/>
      <c r="E348" s="398"/>
      <c r="F348" s="390"/>
      <c r="G348" s="390"/>
      <c r="H348" s="390"/>
      <c r="I348" s="390"/>
      <c r="J348" s="390"/>
      <c r="K348" s="392"/>
      <c r="L348" s="398"/>
      <c r="M348" s="400"/>
      <c r="N348" s="398"/>
      <c r="O348" s="398"/>
      <c r="P348" s="398"/>
      <c r="Q348" s="398"/>
      <c r="R348" s="401"/>
      <c r="S348" s="398"/>
      <c r="T348" s="398"/>
      <c r="U348" s="398"/>
    </row>
    <row r="349" spans="4:21" x14ac:dyDescent="0.25">
      <c r="D349" s="841"/>
      <c r="E349" s="398"/>
      <c r="F349" s="390"/>
      <c r="G349" s="390"/>
      <c r="H349" s="390"/>
      <c r="I349" s="390"/>
      <c r="J349" s="390"/>
      <c r="K349" s="392"/>
      <c r="L349" s="398"/>
      <c r="M349" s="400"/>
      <c r="N349" s="398"/>
      <c r="O349" s="398"/>
      <c r="P349" s="398"/>
      <c r="Q349" s="398"/>
      <c r="R349" s="401"/>
      <c r="S349" s="398"/>
      <c r="T349" s="398"/>
      <c r="U349" s="398"/>
    </row>
    <row r="350" spans="4:21" x14ac:dyDescent="0.25">
      <c r="D350" s="841"/>
      <c r="E350" s="398"/>
      <c r="F350" s="390"/>
      <c r="G350" s="390"/>
      <c r="H350" s="390"/>
      <c r="I350" s="390"/>
      <c r="J350" s="390"/>
      <c r="K350" s="392"/>
      <c r="L350" s="398"/>
      <c r="M350" s="400"/>
      <c r="N350" s="398"/>
      <c r="O350" s="398"/>
      <c r="P350" s="398"/>
      <c r="Q350" s="398"/>
      <c r="R350" s="401"/>
      <c r="S350" s="398"/>
      <c r="T350" s="398"/>
      <c r="U350" s="398"/>
    </row>
    <row r="351" spans="4:21" x14ac:dyDescent="0.25">
      <c r="D351" s="841"/>
      <c r="E351" s="398"/>
      <c r="F351" s="390"/>
      <c r="G351" s="390"/>
      <c r="H351" s="390"/>
      <c r="I351" s="390"/>
      <c r="J351" s="390"/>
      <c r="K351" s="392"/>
      <c r="L351" s="398"/>
      <c r="M351" s="400"/>
      <c r="N351" s="398"/>
      <c r="O351" s="398"/>
      <c r="P351" s="398"/>
      <c r="Q351" s="398"/>
      <c r="R351" s="401"/>
      <c r="S351" s="398"/>
      <c r="T351" s="398"/>
      <c r="U351" s="398"/>
    </row>
    <row r="352" spans="4:21" x14ac:dyDescent="0.25">
      <c r="D352" s="841"/>
      <c r="E352" s="398"/>
      <c r="F352" s="390"/>
      <c r="G352" s="390"/>
      <c r="H352" s="390"/>
      <c r="I352" s="390"/>
      <c r="J352" s="390"/>
      <c r="K352" s="392"/>
      <c r="L352" s="398"/>
      <c r="M352" s="400"/>
      <c r="N352" s="398"/>
      <c r="O352" s="398"/>
      <c r="P352" s="398"/>
      <c r="Q352" s="398"/>
      <c r="R352" s="401"/>
      <c r="S352" s="398"/>
      <c r="T352" s="398"/>
      <c r="U352" s="398"/>
    </row>
    <row r="353" spans="4:21" x14ac:dyDescent="0.25">
      <c r="D353" s="841"/>
      <c r="E353" s="398"/>
      <c r="F353" s="390"/>
      <c r="G353" s="390"/>
      <c r="H353" s="390"/>
      <c r="I353" s="390"/>
      <c r="J353" s="390"/>
      <c r="K353" s="392"/>
      <c r="L353" s="398"/>
      <c r="M353" s="400"/>
      <c r="N353" s="398"/>
      <c r="O353" s="398"/>
      <c r="P353" s="398"/>
      <c r="Q353" s="398"/>
      <c r="R353" s="401"/>
      <c r="S353" s="398"/>
      <c r="T353" s="398"/>
      <c r="U353" s="398"/>
    </row>
    <row r="354" spans="4:21" x14ac:dyDescent="0.25">
      <c r="D354" s="841"/>
      <c r="E354" s="398"/>
      <c r="F354" s="390"/>
      <c r="G354" s="390"/>
      <c r="H354" s="390"/>
      <c r="I354" s="390"/>
      <c r="J354" s="390"/>
      <c r="K354" s="392"/>
      <c r="L354" s="398"/>
      <c r="M354" s="400"/>
      <c r="N354" s="398"/>
      <c r="O354" s="398"/>
      <c r="P354" s="398"/>
      <c r="Q354" s="398"/>
      <c r="R354" s="401"/>
      <c r="S354" s="398"/>
      <c r="T354" s="398"/>
      <c r="U354" s="398"/>
    </row>
    <row r="355" spans="4:21" x14ac:dyDescent="0.25">
      <c r="D355" s="841"/>
      <c r="E355" s="398"/>
      <c r="F355" s="390"/>
      <c r="G355" s="390"/>
      <c r="H355" s="390"/>
      <c r="I355" s="390"/>
      <c r="J355" s="390"/>
      <c r="K355" s="392"/>
      <c r="L355" s="398"/>
      <c r="M355" s="400"/>
      <c r="N355" s="398"/>
      <c r="O355" s="398"/>
      <c r="P355" s="398"/>
      <c r="Q355" s="398"/>
      <c r="R355" s="401"/>
      <c r="S355" s="398"/>
      <c r="T355" s="398"/>
      <c r="U355" s="398"/>
    </row>
    <row r="356" spans="4:21" x14ac:dyDescent="0.25">
      <c r="D356" s="841"/>
      <c r="E356" s="398"/>
      <c r="F356" s="390"/>
      <c r="G356" s="390"/>
      <c r="H356" s="390"/>
      <c r="I356" s="390"/>
      <c r="J356" s="390"/>
      <c r="K356" s="392"/>
      <c r="L356" s="398"/>
      <c r="M356" s="400"/>
      <c r="N356" s="398"/>
      <c r="O356" s="398"/>
      <c r="P356" s="398"/>
      <c r="Q356" s="398"/>
      <c r="R356" s="401"/>
      <c r="S356" s="398"/>
      <c r="T356" s="398"/>
      <c r="U356" s="398"/>
    </row>
    <row r="357" spans="4:21" x14ac:dyDescent="0.25">
      <c r="D357" s="841"/>
      <c r="E357" s="398"/>
      <c r="F357" s="390"/>
      <c r="G357" s="390"/>
      <c r="H357" s="390"/>
      <c r="I357" s="390"/>
      <c r="J357" s="390"/>
      <c r="K357" s="392"/>
      <c r="L357" s="398"/>
      <c r="M357" s="400"/>
      <c r="N357" s="398"/>
      <c r="O357" s="398"/>
      <c r="P357" s="398"/>
      <c r="Q357" s="398"/>
      <c r="R357" s="401"/>
      <c r="S357" s="398"/>
      <c r="T357" s="398"/>
      <c r="U357" s="398"/>
    </row>
    <row r="358" spans="4:21" x14ac:dyDescent="0.25">
      <c r="D358" s="841"/>
      <c r="E358" s="398"/>
      <c r="F358" s="390"/>
      <c r="G358" s="390"/>
      <c r="H358" s="390"/>
      <c r="I358" s="390"/>
      <c r="J358" s="390"/>
      <c r="K358" s="392"/>
      <c r="L358" s="398"/>
      <c r="M358" s="400"/>
      <c r="N358" s="398"/>
      <c r="O358" s="398"/>
      <c r="P358" s="398"/>
      <c r="Q358" s="398"/>
      <c r="R358" s="401"/>
      <c r="S358" s="398"/>
      <c r="T358" s="398"/>
      <c r="U358" s="398"/>
    </row>
    <row r="359" spans="4:21" x14ac:dyDescent="0.25">
      <c r="D359" s="841"/>
      <c r="E359" s="398"/>
      <c r="F359" s="390"/>
      <c r="G359" s="390"/>
      <c r="H359" s="390"/>
      <c r="I359" s="390"/>
      <c r="J359" s="390"/>
      <c r="K359" s="392"/>
      <c r="L359" s="398"/>
      <c r="M359" s="400"/>
      <c r="N359" s="398"/>
      <c r="O359" s="398"/>
      <c r="P359" s="398"/>
      <c r="Q359" s="398"/>
      <c r="R359" s="401"/>
      <c r="S359" s="398"/>
      <c r="T359" s="398"/>
      <c r="U359" s="398"/>
    </row>
    <row r="360" spans="4:21" x14ac:dyDescent="0.25">
      <c r="D360" s="841"/>
      <c r="E360" s="398"/>
      <c r="F360" s="390"/>
      <c r="G360" s="390"/>
      <c r="H360" s="390"/>
      <c r="I360" s="390"/>
      <c r="J360" s="390"/>
      <c r="K360" s="392"/>
      <c r="L360" s="398"/>
      <c r="M360" s="400"/>
      <c r="N360" s="398"/>
      <c r="O360" s="398"/>
      <c r="P360" s="398"/>
      <c r="Q360" s="398"/>
      <c r="R360" s="401"/>
      <c r="S360" s="398"/>
      <c r="T360" s="398"/>
      <c r="U360" s="398"/>
    </row>
    <row r="361" spans="4:21" x14ac:dyDescent="0.25">
      <c r="D361" s="841"/>
      <c r="E361" s="398"/>
      <c r="F361" s="390"/>
      <c r="G361" s="390"/>
      <c r="H361" s="390"/>
      <c r="I361" s="390"/>
      <c r="J361" s="390"/>
      <c r="K361" s="392"/>
      <c r="L361" s="398"/>
      <c r="M361" s="400"/>
      <c r="N361" s="398"/>
      <c r="O361" s="398"/>
      <c r="P361" s="398"/>
      <c r="Q361" s="398"/>
      <c r="R361" s="401"/>
      <c r="S361" s="398"/>
      <c r="T361" s="398"/>
      <c r="U361" s="398"/>
    </row>
    <row r="362" spans="4:21" x14ac:dyDescent="0.25">
      <c r="D362" s="841"/>
      <c r="E362" s="398"/>
      <c r="F362" s="390"/>
      <c r="G362" s="390"/>
      <c r="H362" s="390"/>
      <c r="I362" s="390"/>
      <c r="J362" s="390"/>
      <c r="K362" s="392"/>
      <c r="L362" s="398"/>
      <c r="M362" s="400"/>
      <c r="N362" s="398"/>
      <c r="O362" s="398"/>
      <c r="P362" s="398"/>
      <c r="Q362" s="398"/>
      <c r="R362" s="401"/>
      <c r="S362" s="398"/>
      <c r="T362" s="398"/>
      <c r="U362" s="398"/>
    </row>
    <row r="363" spans="4:21" x14ac:dyDescent="0.25">
      <c r="D363" s="841"/>
      <c r="E363" s="398"/>
      <c r="F363" s="390"/>
      <c r="G363" s="390"/>
      <c r="H363" s="390"/>
      <c r="I363" s="390"/>
      <c r="J363" s="390"/>
      <c r="K363" s="392"/>
      <c r="L363" s="398"/>
      <c r="M363" s="400"/>
      <c r="N363" s="398"/>
      <c r="O363" s="398"/>
      <c r="P363" s="398"/>
      <c r="Q363" s="398"/>
      <c r="R363" s="401"/>
      <c r="S363" s="398"/>
      <c r="T363" s="398"/>
      <c r="U363" s="398"/>
    </row>
    <row r="364" spans="4:21" x14ac:dyDescent="0.25">
      <c r="D364" s="841"/>
      <c r="E364" s="398"/>
      <c r="F364" s="390"/>
      <c r="G364" s="390"/>
      <c r="H364" s="390"/>
      <c r="I364" s="390"/>
      <c r="J364" s="390"/>
      <c r="K364" s="392"/>
      <c r="L364" s="398"/>
      <c r="M364" s="400"/>
      <c r="N364" s="398"/>
      <c r="O364" s="398"/>
      <c r="P364" s="398"/>
      <c r="Q364" s="398"/>
      <c r="R364" s="401"/>
      <c r="S364" s="398"/>
      <c r="T364" s="398"/>
      <c r="U364" s="398"/>
    </row>
    <row r="365" spans="4:21" x14ac:dyDescent="0.25">
      <c r="D365" s="841"/>
      <c r="E365" s="398"/>
      <c r="F365" s="390"/>
      <c r="G365" s="390"/>
      <c r="H365" s="390"/>
      <c r="I365" s="390"/>
      <c r="J365" s="390"/>
      <c r="K365" s="392"/>
      <c r="L365" s="398"/>
      <c r="M365" s="400"/>
      <c r="N365" s="398"/>
      <c r="O365" s="398"/>
      <c r="P365" s="398"/>
      <c r="Q365" s="398"/>
      <c r="R365" s="401"/>
      <c r="S365" s="398"/>
      <c r="T365" s="398"/>
      <c r="U365" s="398"/>
    </row>
    <row r="366" spans="4:21" x14ac:dyDescent="0.25">
      <c r="D366" s="841"/>
      <c r="E366" s="398"/>
      <c r="F366" s="390"/>
      <c r="G366" s="390"/>
      <c r="H366" s="390"/>
      <c r="I366" s="390"/>
      <c r="J366" s="390"/>
      <c r="K366" s="392"/>
      <c r="L366" s="398"/>
      <c r="M366" s="400"/>
      <c r="N366" s="398"/>
      <c r="O366" s="398"/>
      <c r="P366" s="398"/>
      <c r="Q366" s="398"/>
      <c r="R366" s="401"/>
      <c r="S366" s="398"/>
      <c r="T366" s="398"/>
      <c r="U366" s="398"/>
    </row>
    <row r="367" spans="4:21" x14ac:dyDescent="0.25">
      <c r="D367" s="841"/>
      <c r="E367" s="398"/>
      <c r="F367" s="390"/>
      <c r="G367" s="390"/>
      <c r="H367" s="390"/>
      <c r="I367" s="390"/>
      <c r="J367" s="390"/>
      <c r="K367" s="392"/>
      <c r="L367" s="398"/>
      <c r="M367" s="400"/>
      <c r="N367" s="398"/>
      <c r="O367" s="398"/>
      <c r="P367" s="398"/>
      <c r="Q367" s="398"/>
      <c r="R367" s="401"/>
      <c r="S367" s="398"/>
      <c r="T367" s="398"/>
      <c r="U367" s="398"/>
    </row>
    <row r="368" spans="4:21" x14ac:dyDescent="0.25">
      <c r="D368" s="841"/>
      <c r="E368" s="398"/>
      <c r="F368" s="390"/>
      <c r="G368" s="390"/>
      <c r="H368" s="390"/>
      <c r="I368" s="390"/>
      <c r="J368" s="390"/>
      <c r="K368" s="392"/>
      <c r="L368" s="398"/>
      <c r="M368" s="400"/>
      <c r="N368" s="398"/>
      <c r="O368" s="398"/>
      <c r="P368" s="398"/>
      <c r="Q368" s="398"/>
      <c r="R368" s="401"/>
      <c r="S368" s="398"/>
      <c r="T368" s="398"/>
      <c r="U368" s="398"/>
    </row>
    <row r="369" spans="4:21" x14ac:dyDescent="0.25">
      <c r="D369" s="841"/>
      <c r="E369" s="398"/>
      <c r="F369" s="390"/>
      <c r="G369" s="390"/>
      <c r="H369" s="390"/>
      <c r="I369" s="390"/>
      <c r="J369" s="390"/>
      <c r="K369" s="392"/>
      <c r="L369" s="398"/>
      <c r="M369" s="400"/>
      <c r="N369" s="398"/>
      <c r="O369" s="398"/>
      <c r="P369" s="398"/>
      <c r="Q369" s="398"/>
      <c r="R369" s="401"/>
      <c r="S369" s="398"/>
      <c r="T369" s="398"/>
      <c r="U369" s="398"/>
    </row>
    <row r="370" spans="4:21" x14ac:dyDescent="0.25">
      <c r="D370" s="841"/>
      <c r="E370" s="398"/>
      <c r="F370" s="390"/>
      <c r="G370" s="390"/>
      <c r="H370" s="390"/>
      <c r="I370" s="390"/>
      <c r="J370" s="390"/>
      <c r="K370" s="392"/>
      <c r="L370" s="398"/>
      <c r="M370" s="400"/>
      <c r="N370" s="398"/>
      <c r="O370" s="398"/>
      <c r="P370" s="398"/>
      <c r="Q370" s="398"/>
      <c r="R370" s="401"/>
      <c r="S370" s="398"/>
      <c r="T370" s="398"/>
      <c r="U370" s="398"/>
    </row>
    <row r="371" spans="4:21" x14ac:dyDescent="0.25">
      <c r="D371" s="841"/>
      <c r="E371" s="398"/>
      <c r="F371" s="390"/>
      <c r="G371" s="390"/>
      <c r="H371" s="390"/>
      <c r="I371" s="390"/>
      <c r="J371" s="390"/>
      <c r="K371" s="392"/>
      <c r="L371" s="398"/>
      <c r="M371" s="400"/>
      <c r="N371" s="398"/>
      <c r="O371" s="398"/>
      <c r="P371" s="398"/>
      <c r="Q371" s="398"/>
      <c r="R371" s="401"/>
      <c r="S371" s="398"/>
      <c r="T371" s="398"/>
      <c r="U371" s="398"/>
    </row>
    <row r="372" spans="4:21" x14ac:dyDescent="0.25">
      <c r="D372" s="841"/>
      <c r="E372" s="398"/>
      <c r="F372" s="390"/>
      <c r="G372" s="390"/>
      <c r="H372" s="390"/>
      <c r="I372" s="390"/>
      <c r="J372" s="390"/>
      <c r="K372" s="392"/>
      <c r="L372" s="398"/>
      <c r="M372" s="400"/>
      <c r="N372" s="398"/>
      <c r="O372" s="398"/>
      <c r="P372" s="398"/>
      <c r="Q372" s="398"/>
      <c r="R372" s="401"/>
      <c r="S372" s="398"/>
      <c r="T372" s="398"/>
      <c r="U372" s="398"/>
    </row>
    <row r="373" spans="4:21" x14ac:dyDescent="0.25">
      <c r="D373" s="841"/>
      <c r="E373" s="398"/>
      <c r="F373" s="390"/>
      <c r="G373" s="390"/>
      <c r="H373" s="390"/>
      <c r="I373" s="390"/>
      <c r="J373" s="390"/>
      <c r="K373" s="392"/>
      <c r="L373" s="398"/>
      <c r="M373" s="400"/>
      <c r="N373" s="398"/>
      <c r="O373" s="398"/>
      <c r="P373" s="398"/>
      <c r="Q373" s="398"/>
      <c r="R373" s="401"/>
      <c r="S373" s="398"/>
      <c r="T373" s="398"/>
      <c r="U373" s="398"/>
    </row>
    <row r="374" spans="4:21" x14ac:dyDescent="0.25">
      <c r="D374" s="841"/>
      <c r="E374" s="398"/>
      <c r="F374" s="390"/>
      <c r="G374" s="390"/>
      <c r="H374" s="390"/>
      <c r="I374" s="390"/>
      <c r="J374" s="390"/>
      <c r="K374" s="392"/>
      <c r="L374" s="398"/>
      <c r="M374" s="400"/>
      <c r="N374" s="398"/>
      <c r="O374" s="398"/>
      <c r="P374" s="398"/>
      <c r="Q374" s="398"/>
      <c r="R374" s="401"/>
      <c r="S374" s="398"/>
      <c r="T374" s="398"/>
      <c r="U374" s="398"/>
    </row>
    <row r="375" spans="4:21" x14ac:dyDescent="0.25">
      <c r="D375" s="841"/>
      <c r="E375" s="398"/>
      <c r="F375" s="390"/>
      <c r="G375" s="390"/>
      <c r="H375" s="390"/>
      <c r="I375" s="390"/>
      <c r="J375" s="390"/>
      <c r="K375" s="392"/>
      <c r="L375" s="398"/>
      <c r="M375" s="400"/>
      <c r="N375" s="398"/>
      <c r="O375" s="398"/>
      <c r="P375" s="398"/>
      <c r="Q375" s="398"/>
      <c r="R375" s="401"/>
      <c r="S375" s="398"/>
      <c r="T375" s="398"/>
      <c r="U375" s="398"/>
    </row>
    <row r="376" spans="4:21" x14ac:dyDescent="0.25">
      <c r="D376" s="841"/>
      <c r="E376" s="398"/>
      <c r="F376" s="390"/>
      <c r="G376" s="390"/>
      <c r="H376" s="390"/>
      <c r="I376" s="390"/>
      <c r="J376" s="390"/>
      <c r="K376" s="392"/>
      <c r="L376" s="398"/>
      <c r="M376" s="400"/>
      <c r="N376" s="398"/>
      <c r="O376" s="398"/>
      <c r="P376" s="398"/>
      <c r="Q376" s="398"/>
      <c r="R376" s="401"/>
      <c r="S376" s="398"/>
      <c r="T376" s="398"/>
      <c r="U376" s="398"/>
    </row>
    <row r="377" spans="4:21" x14ac:dyDescent="0.25">
      <c r="D377" s="841"/>
      <c r="E377" s="398"/>
      <c r="F377" s="390"/>
      <c r="G377" s="390"/>
      <c r="H377" s="390"/>
      <c r="I377" s="390"/>
      <c r="J377" s="390"/>
      <c r="K377" s="392"/>
      <c r="L377" s="398"/>
      <c r="M377" s="400"/>
      <c r="N377" s="398"/>
      <c r="O377" s="398"/>
      <c r="P377" s="398"/>
      <c r="Q377" s="398"/>
      <c r="R377" s="401"/>
      <c r="S377" s="398"/>
      <c r="T377" s="398"/>
      <c r="U377" s="398"/>
    </row>
    <row r="378" spans="4:21" x14ac:dyDescent="0.25">
      <c r="D378" s="841"/>
      <c r="E378" s="398"/>
      <c r="F378" s="390"/>
      <c r="G378" s="390"/>
      <c r="H378" s="390"/>
      <c r="I378" s="390"/>
      <c r="J378" s="390"/>
      <c r="K378" s="392"/>
      <c r="L378" s="398"/>
      <c r="M378" s="400"/>
      <c r="N378" s="398"/>
      <c r="O378" s="398"/>
      <c r="P378" s="398"/>
      <c r="Q378" s="398"/>
      <c r="R378" s="401"/>
      <c r="S378" s="398"/>
      <c r="T378" s="398"/>
      <c r="U378" s="398"/>
    </row>
    <row r="379" spans="4:21" x14ac:dyDescent="0.25">
      <c r="D379" s="841"/>
      <c r="E379" s="398"/>
      <c r="F379" s="390"/>
      <c r="G379" s="390"/>
      <c r="H379" s="390"/>
      <c r="I379" s="390"/>
      <c r="J379" s="390"/>
      <c r="K379" s="392"/>
      <c r="L379" s="398"/>
      <c r="M379" s="400"/>
      <c r="N379" s="398"/>
      <c r="O379" s="398"/>
      <c r="P379" s="398"/>
      <c r="Q379" s="398"/>
      <c r="R379" s="401"/>
      <c r="S379" s="398"/>
      <c r="T379" s="398"/>
      <c r="U379" s="398"/>
    </row>
    <row r="380" spans="4:21" x14ac:dyDescent="0.25">
      <c r="D380" s="841"/>
      <c r="E380" s="398"/>
      <c r="F380" s="390"/>
      <c r="G380" s="390"/>
      <c r="H380" s="390"/>
      <c r="I380" s="390"/>
      <c r="J380" s="390"/>
      <c r="K380" s="392"/>
      <c r="L380" s="398"/>
      <c r="M380" s="400"/>
      <c r="N380" s="398"/>
      <c r="O380" s="398"/>
      <c r="P380" s="398"/>
      <c r="Q380" s="398"/>
      <c r="R380" s="401"/>
      <c r="S380" s="398"/>
      <c r="T380" s="398"/>
      <c r="U380" s="398"/>
    </row>
    <row r="381" spans="4:21" x14ac:dyDescent="0.25">
      <c r="D381" s="841"/>
      <c r="E381" s="398"/>
      <c r="F381" s="390"/>
      <c r="G381" s="390"/>
      <c r="H381" s="390"/>
      <c r="I381" s="390"/>
      <c r="J381" s="390"/>
      <c r="K381" s="392"/>
      <c r="L381" s="398"/>
      <c r="M381" s="400"/>
      <c r="N381" s="398"/>
      <c r="O381" s="398"/>
      <c r="P381" s="398"/>
      <c r="Q381" s="398"/>
      <c r="R381" s="401"/>
      <c r="S381" s="398"/>
      <c r="T381" s="398"/>
      <c r="U381" s="398"/>
    </row>
    <row r="382" spans="4:21" x14ac:dyDescent="0.25">
      <c r="D382" s="841"/>
      <c r="E382" s="398"/>
      <c r="F382" s="390"/>
      <c r="G382" s="390"/>
      <c r="H382" s="390"/>
      <c r="I382" s="390"/>
      <c r="J382" s="390"/>
      <c r="K382" s="392"/>
      <c r="L382" s="398"/>
      <c r="M382" s="400"/>
      <c r="N382" s="398"/>
      <c r="O382" s="398"/>
      <c r="P382" s="398"/>
      <c r="Q382" s="398"/>
      <c r="R382" s="401"/>
      <c r="S382" s="398"/>
      <c r="T382" s="398"/>
      <c r="U382" s="398"/>
    </row>
    <row r="383" spans="4:21" x14ac:dyDescent="0.25">
      <c r="D383" s="841"/>
      <c r="E383" s="398"/>
      <c r="F383" s="390"/>
      <c r="G383" s="390"/>
      <c r="H383" s="390"/>
      <c r="I383" s="390"/>
      <c r="J383" s="390"/>
      <c r="K383" s="392"/>
      <c r="L383" s="398"/>
      <c r="M383" s="400"/>
      <c r="N383" s="398"/>
      <c r="O383" s="398"/>
      <c r="P383" s="398"/>
      <c r="Q383" s="398"/>
      <c r="R383" s="401"/>
      <c r="S383" s="398"/>
      <c r="T383" s="398"/>
      <c r="U383" s="398"/>
    </row>
    <row r="384" spans="4:21" x14ac:dyDescent="0.25">
      <c r="D384" s="841"/>
      <c r="E384" s="398"/>
      <c r="F384" s="390"/>
      <c r="G384" s="390"/>
      <c r="H384" s="390"/>
      <c r="I384" s="390"/>
      <c r="J384" s="390"/>
      <c r="K384" s="392"/>
      <c r="L384" s="398"/>
      <c r="M384" s="400"/>
      <c r="N384" s="398"/>
      <c r="O384" s="398"/>
      <c r="P384" s="398"/>
      <c r="Q384" s="398"/>
      <c r="R384" s="401"/>
      <c r="S384" s="398"/>
      <c r="T384" s="398"/>
      <c r="U384" s="398"/>
    </row>
    <row r="385" spans="4:21" x14ac:dyDescent="0.25">
      <c r="D385" s="841"/>
      <c r="E385" s="398"/>
      <c r="F385" s="390"/>
      <c r="G385" s="390"/>
      <c r="H385" s="390"/>
      <c r="I385" s="390"/>
      <c r="J385" s="390"/>
      <c r="K385" s="392"/>
      <c r="L385" s="398"/>
      <c r="M385" s="400"/>
      <c r="N385" s="398"/>
      <c r="O385" s="398"/>
      <c r="P385" s="398"/>
      <c r="Q385" s="398"/>
      <c r="R385" s="401"/>
      <c r="S385" s="398"/>
      <c r="T385" s="398"/>
      <c r="U385" s="398"/>
    </row>
    <row r="386" spans="4:21" x14ac:dyDescent="0.25">
      <c r="D386" s="841"/>
      <c r="E386" s="398"/>
      <c r="F386" s="390"/>
      <c r="G386" s="390"/>
      <c r="H386" s="390"/>
      <c r="I386" s="390"/>
      <c r="J386" s="390"/>
      <c r="K386" s="392"/>
      <c r="L386" s="398"/>
      <c r="M386" s="400"/>
      <c r="N386" s="398"/>
      <c r="O386" s="398"/>
      <c r="P386" s="398"/>
      <c r="Q386" s="398"/>
      <c r="R386" s="401"/>
      <c r="S386" s="398"/>
      <c r="T386" s="398"/>
      <c r="U386" s="398"/>
    </row>
    <row r="387" spans="4:21" x14ac:dyDescent="0.25">
      <c r="D387" s="841"/>
      <c r="E387" s="398"/>
      <c r="F387" s="390"/>
      <c r="G387" s="390"/>
      <c r="H387" s="390"/>
      <c r="I387" s="390"/>
      <c r="J387" s="390"/>
      <c r="K387" s="392"/>
      <c r="L387" s="398"/>
      <c r="M387" s="400"/>
      <c r="N387" s="398"/>
      <c r="O387" s="398"/>
      <c r="P387" s="398"/>
      <c r="Q387" s="398"/>
      <c r="R387" s="401"/>
      <c r="S387" s="398"/>
      <c r="T387" s="398"/>
      <c r="U387" s="398"/>
    </row>
    <row r="388" spans="4:21" x14ac:dyDescent="0.25">
      <c r="D388" s="841"/>
      <c r="E388" s="398"/>
      <c r="F388" s="390"/>
      <c r="G388" s="390"/>
      <c r="H388" s="390"/>
      <c r="I388" s="390"/>
      <c r="J388" s="390"/>
      <c r="K388" s="392"/>
      <c r="L388" s="398"/>
      <c r="M388" s="400"/>
      <c r="N388" s="398"/>
      <c r="O388" s="398"/>
      <c r="P388" s="398"/>
      <c r="Q388" s="398"/>
      <c r="R388" s="401"/>
      <c r="S388" s="398"/>
      <c r="T388" s="398"/>
      <c r="U388" s="398"/>
    </row>
    <row r="389" spans="4:21" x14ac:dyDescent="0.25">
      <c r="D389" s="841"/>
      <c r="E389" s="398"/>
      <c r="F389" s="390"/>
      <c r="G389" s="390"/>
      <c r="H389" s="390"/>
      <c r="I389" s="390"/>
      <c r="J389" s="390"/>
      <c r="K389" s="392"/>
      <c r="L389" s="398"/>
      <c r="M389" s="400"/>
      <c r="N389" s="398"/>
      <c r="O389" s="398"/>
      <c r="P389" s="398"/>
      <c r="Q389" s="398"/>
      <c r="R389" s="401"/>
      <c r="S389" s="398"/>
      <c r="T389" s="398"/>
      <c r="U389" s="398"/>
    </row>
    <row r="390" spans="4:21" x14ac:dyDescent="0.25">
      <c r="D390" s="841"/>
      <c r="E390" s="398"/>
      <c r="F390" s="390"/>
      <c r="G390" s="390"/>
      <c r="H390" s="390"/>
      <c r="I390" s="390"/>
      <c r="J390" s="390"/>
      <c r="K390" s="392"/>
      <c r="L390" s="398"/>
      <c r="M390" s="400"/>
      <c r="N390" s="398"/>
      <c r="O390" s="398"/>
      <c r="P390" s="398"/>
      <c r="Q390" s="398"/>
      <c r="R390" s="401"/>
      <c r="S390" s="398"/>
      <c r="T390" s="398"/>
      <c r="U390" s="398"/>
    </row>
    <row r="391" spans="4:21" x14ac:dyDescent="0.25">
      <c r="D391" s="841"/>
      <c r="E391" s="398"/>
      <c r="F391" s="390"/>
      <c r="G391" s="390"/>
      <c r="H391" s="390"/>
      <c r="I391" s="390"/>
      <c r="J391" s="390"/>
      <c r="K391" s="392"/>
      <c r="L391" s="398"/>
      <c r="M391" s="400"/>
      <c r="N391" s="398"/>
      <c r="O391" s="398"/>
      <c r="P391" s="398"/>
      <c r="Q391" s="398"/>
      <c r="R391" s="401"/>
      <c r="S391" s="398"/>
      <c r="T391" s="398"/>
      <c r="U391" s="398"/>
    </row>
    <row r="392" spans="4:21" x14ac:dyDescent="0.25">
      <c r="D392" s="841"/>
      <c r="E392" s="398"/>
      <c r="F392" s="390"/>
      <c r="G392" s="390"/>
      <c r="H392" s="390"/>
      <c r="I392" s="390"/>
      <c r="J392" s="390"/>
      <c r="K392" s="392"/>
      <c r="L392" s="398"/>
      <c r="M392" s="400"/>
      <c r="N392" s="398"/>
      <c r="O392" s="398"/>
      <c r="P392" s="398"/>
      <c r="Q392" s="398"/>
      <c r="R392" s="401"/>
      <c r="S392" s="398"/>
      <c r="T392" s="398"/>
      <c r="U392" s="398"/>
    </row>
    <row r="393" spans="4:21" x14ac:dyDescent="0.25">
      <c r="D393" s="841"/>
      <c r="E393" s="398"/>
      <c r="F393" s="390"/>
      <c r="G393" s="390"/>
      <c r="H393" s="390"/>
      <c r="I393" s="390"/>
      <c r="J393" s="390"/>
      <c r="K393" s="392"/>
      <c r="L393" s="398"/>
      <c r="M393" s="400"/>
      <c r="N393" s="398"/>
      <c r="O393" s="398"/>
      <c r="P393" s="398"/>
      <c r="Q393" s="398"/>
      <c r="R393" s="401"/>
      <c r="S393" s="398"/>
      <c r="T393" s="398"/>
      <c r="U393" s="398"/>
    </row>
    <row r="394" spans="4:21" x14ac:dyDescent="0.25">
      <c r="D394" s="841"/>
      <c r="E394" s="398"/>
      <c r="F394" s="390"/>
      <c r="G394" s="390"/>
      <c r="H394" s="390"/>
      <c r="I394" s="390"/>
      <c r="J394" s="390"/>
      <c r="K394" s="392"/>
      <c r="L394" s="398"/>
      <c r="M394" s="400"/>
      <c r="N394" s="398"/>
      <c r="O394" s="398"/>
      <c r="P394" s="398"/>
      <c r="Q394" s="398"/>
      <c r="R394" s="401"/>
      <c r="S394" s="398"/>
      <c r="T394" s="398"/>
      <c r="U394" s="398"/>
    </row>
    <row r="395" spans="4:21" x14ac:dyDescent="0.25">
      <c r="D395" s="841"/>
      <c r="E395" s="398"/>
      <c r="F395" s="390"/>
      <c r="G395" s="390"/>
      <c r="H395" s="390"/>
      <c r="I395" s="390"/>
      <c r="J395" s="390"/>
      <c r="K395" s="392"/>
      <c r="L395" s="398"/>
      <c r="M395" s="400"/>
      <c r="N395" s="398"/>
      <c r="O395" s="398"/>
      <c r="P395" s="398"/>
      <c r="Q395" s="398"/>
      <c r="R395" s="401"/>
      <c r="S395" s="398"/>
      <c r="T395" s="398"/>
      <c r="U395" s="398"/>
    </row>
    <row r="396" spans="4:21" x14ac:dyDescent="0.25">
      <c r="D396" s="841"/>
      <c r="E396" s="398"/>
      <c r="F396" s="390"/>
      <c r="G396" s="390"/>
      <c r="H396" s="390"/>
      <c r="I396" s="390"/>
      <c r="J396" s="390"/>
      <c r="K396" s="392"/>
      <c r="L396" s="398"/>
      <c r="M396" s="400"/>
      <c r="N396" s="398"/>
      <c r="O396" s="398"/>
      <c r="P396" s="398"/>
      <c r="Q396" s="398"/>
      <c r="R396" s="401"/>
      <c r="S396" s="398"/>
      <c r="T396" s="398"/>
      <c r="U396" s="398"/>
    </row>
    <row r="397" spans="4:21" x14ac:dyDescent="0.25">
      <c r="D397" s="841"/>
      <c r="E397" s="398"/>
      <c r="F397" s="390"/>
      <c r="G397" s="390"/>
      <c r="H397" s="390"/>
      <c r="I397" s="390"/>
      <c r="J397" s="390"/>
      <c r="K397" s="392"/>
      <c r="L397" s="398"/>
      <c r="M397" s="400"/>
      <c r="N397" s="398"/>
      <c r="O397" s="398"/>
      <c r="P397" s="398"/>
      <c r="Q397" s="398"/>
      <c r="R397" s="401"/>
      <c r="S397" s="398"/>
      <c r="T397" s="398"/>
      <c r="U397" s="398"/>
    </row>
    <row r="398" spans="4:21" x14ac:dyDescent="0.25">
      <c r="D398" s="841"/>
      <c r="E398" s="398"/>
      <c r="F398" s="390"/>
      <c r="G398" s="390"/>
      <c r="H398" s="390"/>
      <c r="I398" s="390"/>
      <c r="J398" s="390"/>
      <c r="K398" s="392"/>
      <c r="L398" s="398"/>
      <c r="M398" s="400"/>
      <c r="N398" s="398"/>
      <c r="O398" s="398"/>
      <c r="P398" s="398"/>
      <c r="Q398" s="398"/>
      <c r="R398" s="401"/>
      <c r="S398" s="398"/>
      <c r="T398" s="398"/>
      <c r="U398" s="398"/>
    </row>
    <row r="399" spans="4:21" x14ac:dyDescent="0.25">
      <c r="D399" s="841"/>
      <c r="E399" s="398"/>
      <c r="F399" s="390"/>
      <c r="G399" s="390"/>
      <c r="H399" s="390"/>
      <c r="I399" s="390"/>
      <c r="J399" s="390"/>
      <c r="K399" s="392"/>
      <c r="L399" s="398"/>
      <c r="M399" s="400"/>
      <c r="N399" s="398"/>
      <c r="O399" s="398"/>
      <c r="P399" s="398"/>
      <c r="Q399" s="398"/>
      <c r="R399" s="401"/>
      <c r="S399" s="398"/>
      <c r="T399" s="398"/>
      <c r="U399" s="398"/>
    </row>
    <row r="400" spans="4:21" x14ac:dyDescent="0.25">
      <c r="D400" s="841"/>
      <c r="E400" s="398"/>
      <c r="F400" s="390"/>
      <c r="G400" s="390"/>
      <c r="H400" s="390"/>
      <c r="I400" s="390"/>
      <c r="J400" s="390"/>
      <c r="K400" s="392"/>
      <c r="L400" s="398"/>
      <c r="M400" s="400"/>
      <c r="N400" s="398"/>
      <c r="O400" s="398"/>
      <c r="P400" s="398"/>
      <c r="Q400" s="398"/>
      <c r="R400" s="401"/>
      <c r="S400" s="398"/>
      <c r="T400" s="398"/>
      <c r="U400" s="398"/>
    </row>
    <row r="401" spans="4:21" x14ac:dyDescent="0.25">
      <c r="D401" s="841"/>
      <c r="E401" s="398"/>
      <c r="F401" s="390"/>
      <c r="G401" s="390"/>
      <c r="H401" s="390"/>
      <c r="I401" s="390"/>
      <c r="J401" s="390"/>
      <c r="K401" s="392"/>
      <c r="L401" s="398"/>
      <c r="M401" s="400"/>
      <c r="N401" s="398"/>
      <c r="O401" s="398"/>
      <c r="P401" s="398"/>
      <c r="Q401" s="398"/>
      <c r="R401" s="401"/>
      <c r="S401" s="398"/>
      <c r="T401" s="398"/>
      <c r="U401" s="398"/>
    </row>
    <row r="402" spans="4:21" x14ac:dyDescent="0.25">
      <c r="D402" s="841"/>
      <c r="E402" s="398"/>
      <c r="F402" s="390"/>
      <c r="G402" s="390"/>
      <c r="H402" s="390"/>
      <c r="I402" s="390"/>
      <c r="J402" s="390"/>
      <c r="K402" s="392"/>
      <c r="L402" s="398"/>
      <c r="M402" s="400"/>
      <c r="N402" s="398"/>
      <c r="O402" s="398"/>
      <c r="P402" s="398"/>
      <c r="Q402" s="398"/>
      <c r="R402" s="401"/>
      <c r="S402" s="398"/>
      <c r="T402" s="398"/>
      <c r="U402" s="398"/>
    </row>
    <row r="403" spans="4:21" x14ac:dyDescent="0.25">
      <c r="D403" s="841"/>
      <c r="E403" s="398"/>
      <c r="F403" s="390"/>
      <c r="G403" s="390"/>
      <c r="H403" s="390"/>
      <c r="I403" s="390"/>
      <c r="J403" s="390"/>
      <c r="K403" s="392"/>
      <c r="L403" s="398"/>
      <c r="M403" s="400"/>
      <c r="N403" s="398"/>
      <c r="O403" s="398"/>
      <c r="P403" s="398"/>
      <c r="Q403" s="398"/>
      <c r="R403" s="401"/>
      <c r="S403" s="398"/>
      <c r="T403" s="398"/>
      <c r="U403" s="398"/>
    </row>
    <row r="404" spans="4:21" x14ac:dyDescent="0.25">
      <c r="D404" s="841"/>
      <c r="E404" s="398"/>
      <c r="F404" s="390"/>
      <c r="G404" s="390"/>
      <c r="H404" s="390"/>
      <c r="I404" s="390"/>
      <c r="J404" s="390"/>
      <c r="K404" s="392"/>
      <c r="L404" s="398"/>
      <c r="M404" s="400"/>
      <c r="N404" s="398"/>
      <c r="O404" s="398"/>
      <c r="P404" s="398"/>
      <c r="Q404" s="398"/>
      <c r="R404" s="401"/>
      <c r="S404" s="398"/>
      <c r="T404" s="398"/>
      <c r="U404" s="398"/>
    </row>
    <row r="405" spans="4:21" x14ac:dyDescent="0.25">
      <c r="D405" s="841"/>
      <c r="E405" s="398"/>
      <c r="F405" s="390"/>
      <c r="G405" s="390"/>
      <c r="H405" s="390"/>
      <c r="I405" s="390"/>
      <c r="J405" s="390"/>
      <c r="K405" s="392"/>
      <c r="L405" s="398"/>
      <c r="M405" s="400"/>
      <c r="N405" s="398"/>
      <c r="O405" s="398"/>
      <c r="P405" s="398"/>
      <c r="Q405" s="398"/>
      <c r="R405" s="401"/>
      <c r="S405" s="398"/>
      <c r="T405" s="398"/>
      <c r="U405" s="398"/>
    </row>
    <row r="406" spans="4:21" x14ac:dyDescent="0.25">
      <c r="D406" s="841"/>
      <c r="E406" s="398"/>
      <c r="F406" s="390"/>
      <c r="G406" s="390"/>
      <c r="H406" s="390"/>
      <c r="I406" s="390"/>
      <c r="J406" s="390"/>
      <c r="K406" s="392"/>
      <c r="L406" s="398"/>
      <c r="M406" s="400"/>
      <c r="N406" s="398"/>
      <c r="O406" s="398"/>
      <c r="P406" s="398"/>
      <c r="Q406" s="398"/>
      <c r="R406" s="401"/>
      <c r="S406" s="398"/>
      <c r="T406" s="398"/>
      <c r="U406" s="398"/>
    </row>
    <row r="407" spans="4:21" x14ac:dyDescent="0.25">
      <c r="D407" s="841"/>
      <c r="E407" s="398"/>
      <c r="F407" s="390"/>
      <c r="G407" s="390"/>
      <c r="H407" s="390"/>
      <c r="I407" s="390"/>
      <c r="J407" s="390"/>
      <c r="K407" s="392"/>
      <c r="L407" s="398"/>
      <c r="M407" s="400"/>
      <c r="N407" s="398"/>
      <c r="O407" s="398"/>
      <c r="P407" s="398"/>
      <c r="Q407" s="398"/>
      <c r="R407" s="401"/>
      <c r="S407" s="398"/>
      <c r="T407" s="398"/>
      <c r="U407" s="398"/>
    </row>
    <row r="408" spans="4:21" x14ac:dyDescent="0.25">
      <c r="D408" s="841"/>
      <c r="E408" s="398"/>
      <c r="F408" s="390"/>
      <c r="G408" s="390"/>
      <c r="H408" s="390"/>
      <c r="I408" s="390"/>
      <c r="J408" s="390"/>
      <c r="K408" s="392"/>
      <c r="L408" s="398"/>
      <c r="M408" s="400"/>
      <c r="N408" s="398"/>
      <c r="O408" s="398"/>
      <c r="P408" s="398"/>
      <c r="Q408" s="398"/>
      <c r="R408" s="401"/>
      <c r="S408" s="398"/>
      <c r="T408" s="398"/>
      <c r="U408" s="398"/>
    </row>
    <row r="409" spans="4:21" x14ac:dyDescent="0.25">
      <c r="D409" s="841"/>
      <c r="E409" s="398"/>
      <c r="F409" s="390"/>
      <c r="G409" s="390"/>
      <c r="H409" s="390"/>
      <c r="I409" s="390"/>
      <c r="J409" s="390"/>
      <c r="K409" s="392"/>
      <c r="L409" s="398"/>
      <c r="M409" s="400"/>
      <c r="N409" s="398"/>
      <c r="O409" s="398"/>
      <c r="P409" s="398"/>
      <c r="Q409" s="398"/>
      <c r="R409" s="401"/>
      <c r="S409" s="398"/>
      <c r="T409" s="398"/>
      <c r="U409" s="398"/>
    </row>
    <row r="410" spans="4:21" x14ac:dyDescent="0.25">
      <c r="D410" s="841"/>
      <c r="E410" s="398"/>
      <c r="F410" s="390"/>
      <c r="G410" s="390"/>
      <c r="H410" s="390"/>
      <c r="I410" s="390"/>
      <c r="J410" s="390"/>
      <c r="K410" s="392"/>
      <c r="L410" s="398"/>
      <c r="M410" s="400"/>
      <c r="N410" s="398"/>
      <c r="O410" s="398"/>
      <c r="P410" s="398"/>
      <c r="Q410" s="398"/>
      <c r="R410" s="401"/>
      <c r="S410" s="398"/>
      <c r="T410" s="398"/>
      <c r="U410" s="398"/>
    </row>
    <row r="411" spans="4:21" x14ac:dyDescent="0.25">
      <c r="D411" s="841"/>
      <c r="E411" s="398"/>
      <c r="F411" s="390"/>
      <c r="G411" s="390"/>
      <c r="H411" s="390"/>
      <c r="I411" s="390"/>
      <c r="J411" s="390"/>
      <c r="K411" s="392"/>
      <c r="L411" s="398"/>
      <c r="M411" s="400"/>
      <c r="N411" s="398"/>
      <c r="O411" s="398"/>
      <c r="P411" s="398"/>
      <c r="Q411" s="398"/>
      <c r="R411" s="401"/>
      <c r="S411" s="398"/>
      <c r="T411" s="398"/>
      <c r="U411" s="398"/>
    </row>
    <row r="412" spans="4:21" x14ac:dyDescent="0.25">
      <c r="D412" s="841"/>
      <c r="E412" s="398"/>
      <c r="F412" s="390"/>
      <c r="G412" s="390"/>
      <c r="H412" s="390"/>
      <c r="I412" s="390"/>
      <c r="J412" s="390"/>
      <c r="K412" s="392"/>
      <c r="L412" s="398"/>
      <c r="M412" s="400"/>
      <c r="N412" s="398"/>
      <c r="O412" s="398"/>
      <c r="P412" s="398"/>
      <c r="Q412" s="398"/>
      <c r="R412" s="401"/>
      <c r="S412" s="398"/>
      <c r="T412" s="398"/>
      <c r="U412" s="398"/>
    </row>
    <row r="413" spans="4:21" x14ac:dyDescent="0.25">
      <c r="D413" s="841"/>
      <c r="E413" s="398"/>
      <c r="F413" s="390"/>
      <c r="G413" s="390"/>
      <c r="H413" s="390"/>
      <c r="I413" s="390"/>
      <c r="J413" s="390"/>
      <c r="K413" s="392"/>
      <c r="L413" s="398"/>
      <c r="M413" s="400"/>
      <c r="N413" s="398"/>
      <c r="O413" s="398"/>
      <c r="P413" s="398"/>
      <c r="Q413" s="398"/>
      <c r="R413" s="401"/>
      <c r="S413" s="398"/>
      <c r="T413" s="398"/>
      <c r="U413" s="398"/>
    </row>
    <row r="414" spans="4:21" x14ac:dyDescent="0.25">
      <c r="D414" s="841"/>
      <c r="E414" s="398"/>
      <c r="F414" s="390"/>
      <c r="G414" s="390"/>
      <c r="H414" s="390"/>
      <c r="I414" s="390"/>
      <c r="J414" s="390"/>
      <c r="K414" s="392"/>
      <c r="L414" s="398"/>
      <c r="M414" s="400"/>
      <c r="N414" s="398"/>
      <c r="O414" s="398"/>
      <c r="P414" s="398"/>
      <c r="Q414" s="398"/>
      <c r="R414" s="401"/>
      <c r="S414" s="398"/>
      <c r="T414" s="398"/>
      <c r="U414" s="398"/>
    </row>
    <row r="415" spans="4:21" x14ac:dyDescent="0.25">
      <c r="D415" s="841"/>
      <c r="E415" s="398"/>
      <c r="F415" s="390"/>
      <c r="G415" s="390"/>
      <c r="H415" s="390"/>
      <c r="I415" s="390"/>
      <c r="J415" s="390"/>
      <c r="K415" s="392"/>
      <c r="L415" s="398"/>
      <c r="M415" s="400"/>
      <c r="N415" s="398"/>
      <c r="O415" s="398"/>
      <c r="P415" s="398"/>
      <c r="Q415" s="398"/>
      <c r="R415" s="401"/>
      <c r="S415" s="398"/>
      <c r="T415" s="398"/>
      <c r="U415" s="398"/>
    </row>
    <row r="416" spans="4:21" x14ac:dyDescent="0.25">
      <c r="D416" s="841"/>
      <c r="E416" s="398"/>
      <c r="F416" s="390"/>
      <c r="G416" s="390"/>
      <c r="H416" s="390"/>
      <c r="I416" s="390"/>
      <c r="J416" s="390"/>
      <c r="K416" s="392"/>
      <c r="L416" s="398"/>
      <c r="M416" s="400"/>
      <c r="N416" s="398"/>
      <c r="O416" s="398"/>
      <c r="P416" s="398"/>
      <c r="Q416" s="398"/>
      <c r="R416" s="401"/>
      <c r="S416" s="398"/>
      <c r="T416" s="398"/>
      <c r="U416" s="398"/>
    </row>
    <row r="417" spans="4:21" x14ac:dyDescent="0.25">
      <c r="D417" s="841"/>
      <c r="E417" s="398"/>
      <c r="F417" s="390"/>
      <c r="G417" s="390"/>
      <c r="H417" s="390"/>
      <c r="I417" s="390"/>
      <c r="J417" s="390"/>
      <c r="K417" s="392"/>
      <c r="L417" s="398"/>
      <c r="M417" s="400"/>
      <c r="N417" s="398"/>
      <c r="O417" s="398"/>
      <c r="P417" s="398"/>
      <c r="Q417" s="398"/>
      <c r="R417" s="401"/>
      <c r="S417" s="398"/>
      <c r="T417" s="398"/>
      <c r="U417" s="398"/>
    </row>
    <row r="418" spans="4:21" x14ac:dyDescent="0.25">
      <c r="D418" s="841"/>
      <c r="E418" s="398"/>
      <c r="F418" s="390"/>
      <c r="G418" s="390"/>
      <c r="H418" s="390"/>
      <c r="I418" s="390"/>
      <c r="J418" s="390"/>
      <c r="K418" s="392"/>
      <c r="L418" s="398"/>
      <c r="M418" s="400"/>
      <c r="N418" s="398"/>
      <c r="O418" s="398"/>
      <c r="P418" s="398"/>
      <c r="Q418" s="398"/>
      <c r="R418" s="401"/>
      <c r="S418" s="398"/>
      <c r="T418" s="398"/>
      <c r="U418" s="398"/>
    </row>
    <row r="419" spans="4:21" x14ac:dyDescent="0.25">
      <c r="D419" s="841"/>
      <c r="E419" s="398"/>
      <c r="F419" s="390"/>
      <c r="G419" s="390"/>
      <c r="H419" s="390"/>
      <c r="I419" s="390"/>
      <c r="J419" s="390"/>
      <c r="K419" s="392"/>
      <c r="L419" s="398"/>
      <c r="M419" s="400"/>
      <c r="N419" s="398"/>
      <c r="O419" s="398"/>
      <c r="P419" s="398"/>
      <c r="Q419" s="398"/>
      <c r="R419" s="401"/>
      <c r="S419" s="398"/>
      <c r="T419" s="398"/>
      <c r="U419" s="398"/>
    </row>
    <row r="420" spans="4:21" x14ac:dyDescent="0.25">
      <c r="D420" s="841"/>
      <c r="E420" s="398"/>
      <c r="F420" s="390"/>
      <c r="G420" s="390"/>
      <c r="H420" s="390"/>
      <c r="I420" s="390"/>
      <c r="J420" s="390"/>
      <c r="K420" s="392"/>
      <c r="L420" s="398"/>
      <c r="M420" s="400"/>
      <c r="N420" s="398"/>
      <c r="O420" s="398"/>
      <c r="P420" s="398"/>
      <c r="Q420" s="398"/>
      <c r="R420" s="401"/>
      <c r="S420" s="398"/>
      <c r="T420" s="398"/>
      <c r="U420" s="398"/>
    </row>
    <row r="421" spans="4:21" x14ac:dyDescent="0.25">
      <c r="D421" s="841"/>
      <c r="E421" s="398"/>
      <c r="F421" s="390"/>
      <c r="G421" s="390"/>
      <c r="H421" s="390"/>
      <c r="I421" s="390"/>
      <c r="J421" s="390"/>
      <c r="K421" s="392"/>
      <c r="L421" s="398"/>
      <c r="M421" s="400"/>
      <c r="N421" s="398"/>
      <c r="O421" s="398"/>
      <c r="P421" s="398"/>
      <c r="Q421" s="398"/>
      <c r="R421" s="401"/>
      <c r="S421" s="398"/>
      <c r="T421" s="398"/>
      <c r="U421" s="398"/>
    </row>
    <row r="422" spans="4:21" x14ac:dyDescent="0.25">
      <c r="D422" s="841"/>
      <c r="E422" s="398"/>
      <c r="F422" s="390"/>
      <c r="G422" s="390"/>
      <c r="H422" s="390"/>
      <c r="I422" s="390"/>
      <c r="J422" s="390"/>
      <c r="K422" s="392"/>
      <c r="L422" s="398"/>
      <c r="M422" s="400"/>
      <c r="N422" s="398"/>
      <c r="O422" s="398"/>
      <c r="P422" s="398"/>
      <c r="Q422" s="398"/>
      <c r="R422" s="401"/>
      <c r="S422" s="398"/>
      <c r="T422" s="398"/>
      <c r="U422" s="398"/>
    </row>
    <row r="423" spans="4:21" x14ac:dyDescent="0.25">
      <c r="D423" s="841"/>
      <c r="E423" s="398"/>
      <c r="F423" s="390"/>
      <c r="G423" s="390"/>
      <c r="H423" s="390"/>
      <c r="I423" s="390"/>
      <c r="J423" s="390"/>
      <c r="K423" s="392"/>
      <c r="L423" s="398"/>
      <c r="M423" s="400"/>
      <c r="N423" s="398"/>
      <c r="O423" s="398"/>
      <c r="P423" s="398"/>
      <c r="Q423" s="398"/>
      <c r="R423" s="401"/>
      <c r="S423" s="398"/>
      <c r="T423" s="398"/>
      <c r="U423" s="398"/>
    </row>
    <row r="424" spans="4:21" x14ac:dyDescent="0.25">
      <c r="D424" s="841"/>
      <c r="E424" s="398"/>
      <c r="F424" s="390"/>
      <c r="G424" s="390"/>
      <c r="H424" s="390"/>
      <c r="I424" s="390"/>
      <c r="J424" s="390"/>
      <c r="K424" s="392"/>
      <c r="L424" s="398"/>
      <c r="M424" s="400"/>
      <c r="N424" s="398"/>
      <c r="O424" s="398"/>
      <c r="P424" s="398"/>
      <c r="Q424" s="398"/>
      <c r="R424" s="401"/>
      <c r="S424" s="398"/>
      <c r="T424" s="398"/>
      <c r="U424" s="398"/>
    </row>
    <row r="425" spans="4:21" x14ac:dyDescent="0.25">
      <c r="D425" s="841"/>
      <c r="E425" s="398"/>
      <c r="F425" s="390"/>
      <c r="G425" s="390"/>
      <c r="H425" s="390"/>
      <c r="I425" s="390"/>
      <c r="J425" s="390"/>
      <c r="K425" s="392"/>
      <c r="L425" s="398"/>
      <c r="M425" s="400"/>
      <c r="N425" s="398"/>
      <c r="O425" s="398"/>
      <c r="P425" s="398"/>
      <c r="Q425" s="398"/>
      <c r="R425" s="401"/>
      <c r="S425" s="398"/>
      <c r="T425" s="398"/>
      <c r="U425" s="398"/>
    </row>
    <row r="426" spans="4:21" x14ac:dyDescent="0.25">
      <c r="D426" s="841"/>
      <c r="E426" s="398"/>
      <c r="F426" s="390"/>
      <c r="G426" s="390"/>
      <c r="H426" s="390"/>
      <c r="I426" s="390"/>
      <c r="J426" s="390"/>
      <c r="K426" s="392"/>
      <c r="L426" s="398"/>
      <c r="M426" s="400"/>
      <c r="N426" s="398"/>
      <c r="O426" s="398"/>
      <c r="P426" s="398"/>
      <c r="Q426" s="398"/>
      <c r="R426" s="401"/>
      <c r="S426" s="398"/>
      <c r="T426" s="398"/>
      <c r="U426" s="398"/>
    </row>
    <row r="427" spans="4:21" x14ac:dyDescent="0.25">
      <c r="D427" s="841"/>
      <c r="E427" s="398"/>
      <c r="F427" s="390"/>
      <c r="G427" s="390"/>
      <c r="H427" s="390"/>
      <c r="I427" s="390"/>
      <c r="J427" s="390"/>
      <c r="K427" s="392"/>
      <c r="L427" s="398"/>
      <c r="M427" s="400"/>
      <c r="N427" s="398"/>
      <c r="O427" s="398"/>
      <c r="P427" s="398"/>
      <c r="Q427" s="398"/>
      <c r="R427" s="401"/>
      <c r="S427" s="398"/>
      <c r="T427" s="398"/>
      <c r="U427" s="398"/>
    </row>
    <row r="428" spans="4:21" x14ac:dyDescent="0.25">
      <c r="D428" s="841"/>
      <c r="E428" s="398"/>
      <c r="F428" s="390"/>
      <c r="G428" s="390"/>
      <c r="H428" s="390"/>
      <c r="I428" s="390"/>
      <c r="J428" s="390"/>
      <c r="K428" s="392"/>
      <c r="L428" s="398"/>
      <c r="M428" s="400"/>
      <c r="N428" s="398"/>
      <c r="O428" s="398"/>
      <c r="P428" s="398"/>
      <c r="Q428" s="398"/>
      <c r="R428" s="401"/>
      <c r="S428" s="398"/>
      <c r="T428" s="398"/>
      <c r="U428" s="398"/>
    </row>
    <row r="429" spans="4:21" x14ac:dyDescent="0.25">
      <c r="D429" s="841"/>
      <c r="E429" s="398"/>
      <c r="F429" s="390"/>
      <c r="G429" s="390"/>
      <c r="H429" s="390"/>
      <c r="I429" s="390"/>
      <c r="J429" s="390"/>
      <c r="K429" s="392"/>
      <c r="L429" s="398"/>
      <c r="M429" s="400"/>
      <c r="N429" s="398"/>
      <c r="O429" s="398"/>
      <c r="P429" s="398"/>
      <c r="Q429" s="398"/>
      <c r="R429" s="401"/>
      <c r="S429" s="398"/>
      <c r="T429" s="398"/>
      <c r="U429" s="398"/>
    </row>
    <row r="430" spans="4:21" x14ac:dyDescent="0.25">
      <c r="D430" s="841"/>
      <c r="E430" s="398"/>
      <c r="F430" s="390"/>
      <c r="G430" s="390"/>
      <c r="H430" s="390"/>
      <c r="I430" s="390"/>
      <c r="J430" s="390"/>
      <c r="K430" s="392"/>
      <c r="L430" s="398"/>
      <c r="M430" s="400"/>
      <c r="N430" s="398"/>
      <c r="O430" s="398"/>
      <c r="P430" s="398"/>
      <c r="Q430" s="398"/>
      <c r="R430" s="401"/>
      <c r="S430" s="398"/>
      <c r="T430" s="398"/>
      <c r="U430" s="398"/>
    </row>
    <row r="431" spans="4:21" x14ac:dyDescent="0.25">
      <c r="D431" s="841"/>
      <c r="E431" s="398"/>
      <c r="F431" s="390"/>
      <c r="G431" s="390"/>
      <c r="H431" s="390"/>
      <c r="I431" s="390"/>
      <c r="J431" s="390"/>
      <c r="K431" s="392"/>
      <c r="L431" s="398"/>
      <c r="M431" s="400"/>
      <c r="N431" s="398"/>
      <c r="O431" s="398"/>
      <c r="P431" s="398"/>
      <c r="Q431" s="398"/>
      <c r="R431" s="401"/>
      <c r="S431" s="398"/>
      <c r="T431" s="398"/>
      <c r="U431" s="398"/>
    </row>
    <row r="432" spans="4:21" x14ac:dyDescent="0.25">
      <c r="D432" s="841"/>
      <c r="E432" s="398"/>
      <c r="F432" s="390"/>
      <c r="G432" s="390"/>
      <c r="H432" s="390"/>
      <c r="I432" s="390"/>
      <c r="J432" s="390"/>
      <c r="K432" s="392"/>
      <c r="L432" s="398"/>
      <c r="M432" s="400"/>
      <c r="N432" s="398"/>
      <c r="O432" s="398"/>
      <c r="P432" s="398"/>
      <c r="Q432" s="398"/>
      <c r="R432" s="401"/>
      <c r="S432" s="398"/>
      <c r="T432" s="398"/>
      <c r="U432" s="398"/>
    </row>
    <row r="433" spans="4:21" x14ac:dyDescent="0.25">
      <c r="D433" s="841"/>
      <c r="E433" s="398"/>
      <c r="F433" s="390"/>
      <c r="G433" s="390"/>
      <c r="H433" s="390"/>
      <c r="I433" s="390"/>
      <c r="J433" s="390"/>
      <c r="K433" s="392"/>
      <c r="L433" s="398"/>
      <c r="M433" s="400"/>
      <c r="N433" s="398"/>
      <c r="O433" s="398"/>
      <c r="P433" s="398"/>
      <c r="Q433" s="398"/>
      <c r="R433" s="401"/>
      <c r="S433" s="398"/>
      <c r="T433" s="398"/>
      <c r="U433" s="398"/>
    </row>
    <row r="434" spans="4:21" x14ac:dyDescent="0.25">
      <c r="D434" s="841"/>
      <c r="E434" s="398"/>
      <c r="F434" s="390"/>
      <c r="G434" s="390"/>
      <c r="H434" s="390"/>
      <c r="I434" s="390"/>
      <c r="J434" s="390"/>
      <c r="K434" s="392"/>
      <c r="L434" s="398"/>
      <c r="M434" s="400"/>
      <c r="N434" s="398"/>
      <c r="O434" s="398"/>
      <c r="P434" s="398"/>
      <c r="Q434" s="398"/>
      <c r="R434" s="401"/>
      <c r="S434" s="398"/>
      <c r="T434" s="398"/>
      <c r="U434" s="398"/>
    </row>
    <row r="435" spans="4:21" x14ac:dyDescent="0.25">
      <c r="D435" s="841"/>
      <c r="E435" s="398"/>
      <c r="F435" s="390"/>
      <c r="G435" s="390"/>
      <c r="H435" s="390"/>
      <c r="I435" s="390"/>
      <c r="J435" s="390"/>
      <c r="K435" s="392"/>
      <c r="L435" s="398"/>
      <c r="M435" s="400"/>
      <c r="N435" s="398"/>
      <c r="O435" s="398"/>
      <c r="P435" s="398"/>
      <c r="Q435" s="398"/>
      <c r="R435" s="401"/>
      <c r="S435" s="398"/>
      <c r="T435" s="398"/>
      <c r="U435" s="398"/>
    </row>
    <row r="436" spans="4:21" x14ac:dyDescent="0.25">
      <c r="D436" s="841"/>
      <c r="E436" s="398"/>
      <c r="F436" s="390"/>
      <c r="G436" s="390"/>
      <c r="H436" s="390"/>
      <c r="I436" s="390"/>
      <c r="J436" s="390"/>
      <c r="K436" s="392"/>
      <c r="L436" s="398"/>
      <c r="M436" s="400"/>
      <c r="N436" s="398"/>
      <c r="O436" s="398"/>
      <c r="P436" s="398"/>
      <c r="Q436" s="398"/>
      <c r="R436" s="401"/>
      <c r="S436" s="398"/>
      <c r="T436" s="398"/>
      <c r="U436" s="398"/>
    </row>
    <row r="437" spans="4:21" x14ac:dyDescent="0.25">
      <c r="D437" s="841"/>
      <c r="E437" s="398"/>
      <c r="F437" s="390"/>
      <c r="G437" s="390"/>
      <c r="H437" s="390"/>
      <c r="I437" s="390"/>
      <c r="J437" s="390"/>
      <c r="K437" s="392"/>
      <c r="L437" s="398"/>
      <c r="M437" s="400"/>
      <c r="N437" s="398"/>
      <c r="O437" s="398"/>
      <c r="P437" s="398"/>
      <c r="Q437" s="398"/>
      <c r="R437" s="401"/>
      <c r="S437" s="398"/>
      <c r="T437" s="398"/>
      <c r="U437" s="398"/>
    </row>
    <row r="438" spans="4:21" x14ac:dyDescent="0.25">
      <c r="D438" s="841"/>
      <c r="E438" s="398"/>
      <c r="F438" s="390"/>
      <c r="G438" s="390"/>
      <c r="H438" s="390"/>
      <c r="I438" s="390"/>
      <c r="J438" s="390"/>
      <c r="K438" s="392"/>
      <c r="L438" s="398"/>
      <c r="M438" s="400"/>
      <c r="N438" s="398"/>
      <c r="O438" s="398"/>
      <c r="P438" s="398"/>
      <c r="Q438" s="398"/>
      <c r="R438" s="401"/>
      <c r="S438" s="398"/>
      <c r="T438" s="398"/>
      <c r="U438" s="398"/>
    </row>
    <row r="439" spans="4:21" x14ac:dyDescent="0.25">
      <c r="D439" s="841"/>
      <c r="E439" s="398"/>
      <c r="F439" s="390"/>
      <c r="G439" s="390"/>
      <c r="H439" s="390"/>
      <c r="I439" s="390"/>
      <c r="J439" s="390"/>
      <c r="K439" s="392"/>
      <c r="L439" s="398"/>
      <c r="M439" s="400"/>
      <c r="N439" s="398"/>
      <c r="O439" s="398"/>
      <c r="P439" s="398"/>
      <c r="Q439" s="398"/>
      <c r="R439" s="401"/>
      <c r="S439" s="398"/>
      <c r="T439" s="398"/>
      <c r="U439" s="398"/>
    </row>
    <row r="440" spans="4:21" x14ac:dyDescent="0.25">
      <c r="D440" s="841"/>
      <c r="E440" s="398"/>
      <c r="F440" s="390"/>
      <c r="G440" s="390"/>
      <c r="H440" s="390"/>
      <c r="I440" s="390"/>
      <c r="J440" s="390"/>
      <c r="K440" s="392"/>
      <c r="L440" s="398"/>
      <c r="M440" s="400"/>
      <c r="N440" s="398"/>
      <c r="O440" s="398"/>
      <c r="P440" s="398"/>
      <c r="Q440" s="398"/>
      <c r="R440" s="401"/>
      <c r="S440" s="398"/>
      <c r="T440" s="398"/>
      <c r="U440" s="398"/>
    </row>
    <row r="441" spans="4:21" x14ac:dyDescent="0.25">
      <c r="D441" s="841"/>
      <c r="E441" s="398"/>
      <c r="F441" s="390"/>
      <c r="G441" s="390"/>
      <c r="H441" s="390"/>
      <c r="I441" s="390"/>
      <c r="J441" s="390"/>
      <c r="K441" s="392"/>
      <c r="L441" s="398"/>
      <c r="M441" s="400"/>
      <c r="N441" s="398"/>
      <c r="O441" s="398"/>
      <c r="P441" s="398"/>
      <c r="Q441" s="398"/>
      <c r="R441" s="401"/>
      <c r="S441" s="398"/>
      <c r="T441" s="398"/>
      <c r="U441" s="398"/>
    </row>
    <row r="442" spans="4:21" x14ac:dyDescent="0.25">
      <c r="D442" s="841"/>
      <c r="E442" s="398"/>
      <c r="F442" s="390"/>
      <c r="G442" s="390"/>
      <c r="H442" s="390"/>
      <c r="I442" s="390"/>
      <c r="J442" s="390"/>
      <c r="K442" s="392"/>
      <c r="L442" s="398"/>
      <c r="M442" s="400"/>
      <c r="N442" s="398"/>
      <c r="O442" s="398"/>
      <c r="P442" s="398"/>
      <c r="Q442" s="398"/>
      <c r="R442" s="401"/>
      <c r="S442" s="398"/>
      <c r="T442" s="398"/>
      <c r="U442" s="398"/>
    </row>
    <row r="443" spans="4:21" x14ac:dyDescent="0.25">
      <c r="D443" s="841"/>
      <c r="E443" s="398"/>
      <c r="F443" s="390"/>
      <c r="G443" s="390"/>
      <c r="H443" s="390"/>
      <c r="I443" s="390"/>
      <c r="J443" s="390"/>
      <c r="K443" s="392"/>
      <c r="L443" s="398"/>
      <c r="M443" s="400"/>
      <c r="N443" s="398"/>
      <c r="O443" s="398"/>
      <c r="P443" s="398"/>
      <c r="Q443" s="398"/>
      <c r="R443" s="401"/>
      <c r="S443" s="398"/>
      <c r="T443" s="398"/>
      <c r="U443" s="398"/>
    </row>
    <row r="444" spans="4:21" x14ac:dyDescent="0.25">
      <c r="D444" s="841"/>
      <c r="E444" s="398"/>
      <c r="F444" s="390"/>
      <c r="G444" s="390"/>
      <c r="H444" s="390"/>
      <c r="I444" s="390"/>
      <c r="J444" s="390"/>
      <c r="K444" s="392"/>
      <c r="L444" s="398"/>
      <c r="M444" s="400"/>
      <c r="N444" s="398"/>
      <c r="O444" s="398"/>
      <c r="P444" s="398"/>
      <c r="Q444" s="398"/>
      <c r="R444" s="401"/>
      <c r="S444" s="398"/>
      <c r="T444" s="398"/>
      <c r="U444" s="398"/>
    </row>
    <row r="445" spans="4:21" x14ac:dyDescent="0.25">
      <c r="D445" s="841"/>
      <c r="E445" s="398"/>
      <c r="F445" s="390"/>
      <c r="G445" s="390"/>
      <c r="H445" s="390"/>
      <c r="I445" s="390"/>
      <c r="J445" s="390"/>
      <c r="K445" s="392"/>
      <c r="L445" s="398"/>
      <c r="M445" s="400"/>
      <c r="N445" s="398"/>
      <c r="O445" s="398"/>
      <c r="P445" s="398"/>
      <c r="Q445" s="398"/>
      <c r="R445" s="401"/>
      <c r="S445" s="398"/>
      <c r="T445" s="398"/>
      <c r="U445" s="398"/>
    </row>
    <row r="446" spans="4:21" x14ac:dyDescent="0.25">
      <c r="D446" s="841"/>
      <c r="E446" s="398"/>
      <c r="F446" s="390"/>
      <c r="G446" s="390"/>
      <c r="H446" s="390"/>
      <c r="I446" s="390"/>
      <c r="J446" s="390"/>
      <c r="K446" s="392"/>
      <c r="L446" s="398"/>
      <c r="M446" s="400"/>
      <c r="N446" s="398"/>
      <c r="O446" s="398"/>
      <c r="P446" s="398"/>
      <c r="Q446" s="398"/>
      <c r="R446" s="401"/>
      <c r="S446" s="398"/>
      <c r="T446" s="398"/>
      <c r="U446" s="398"/>
    </row>
    <row r="447" spans="4:21" x14ac:dyDescent="0.25">
      <c r="D447" s="841"/>
      <c r="E447" s="398"/>
      <c r="F447" s="390"/>
      <c r="G447" s="390"/>
      <c r="H447" s="390"/>
      <c r="I447" s="390"/>
      <c r="J447" s="390"/>
      <c r="K447" s="392"/>
      <c r="L447" s="398"/>
      <c r="M447" s="400"/>
      <c r="N447" s="398"/>
      <c r="O447" s="398"/>
      <c r="P447" s="398"/>
      <c r="Q447" s="398"/>
      <c r="R447" s="401"/>
      <c r="S447" s="398"/>
      <c r="T447" s="398"/>
      <c r="U447" s="398"/>
    </row>
    <row r="448" spans="4:21" x14ac:dyDescent="0.25">
      <c r="D448" s="841"/>
      <c r="E448" s="398"/>
      <c r="F448" s="390"/>
      <c r="G448" s="390"/>
      <c r="H448" s="390"/>
      <c r="I448" s="390"/>
      <c r="J448" s="390"/>
      <c r="K448" s="392"/>
      <c r="L448" s="398"/>
      <c r="M448" s="400"/>
      <c r="N448" s="398"/>
      <c r="O448" s="398"/>
      <c r="P448" s="398"/>
      <c r="Q448" s="398"/>
      <c r="R448" s="401"/>
      <c r="S448" s="398"/>
      <c r="T448" s="398"/>
      <c r="U448" s="398"/>
    </row>
    <row r="449" spans="4:21" x14ac:dyDescent="0.25">
      <c r="D449" s="841"/>
      <c r="E449" s="398"/>
      <c r="F449" s="390"/>
      <c r="G449" s="390"/>
      <c r="H449" s="390"/>
      <c r="I449" s="390"/>
      <c r="J449" s="390"/>
      <c r="K449" s="392"/>
      <c r="L449" s="398"/>
      <c r="M449" s="400"/>
      <c r="N449" s="398"/>
      <c r="O449" s="398"/>
      <c r="P449" s="398"/>
      <c r="Q449" s="398"/>
      <c r="R449" s="401"/>
      <c r="S449" s="398"/>
      <c r="T449" s="398"/>
      <c r="U449" s="398"/>
    </row>
    <row r="450" spans="4:21" x14ac:dyDescent="0.25">
      <c r="D450" s="841"/>
      <c r="E450" s="398"/>
      <c r="F450" s="390"/>
      <c r="G450" s="390"/>
      <c r="H450" s="390"/>
      <c r="I450" s="390"/>
      <c r="J450" s="390"/>
      <c r="K450" s="392"/>
      <c r="L450" s="398"/>
      <c r="M450" s="400"/>
      <c r="N450" s="398"/>
      <c r="O450" s="398"/>
      <c r="P450" s="398"/>
      <c r="Q450" s="398"/>
      <c r="R450" s="401"/>
      <c r="S450" s="398"/>
      <c r="T450" s="398"/>
      <c r="U450" s="398"/>
    </row>
    <row r="451" spans="4:21" x14ac:dyDescent="0.25">
      <c r="D451" s="841"/>
      <c r="E451" s="398"/>
      <c r="F451" s="390"/>
      <c r="G451" s="390"/>
      <c r="H451" s="390"/>
      <c r="I451" s="390"/>
      <c r="J451" s="390"/>
      <c r="K451" s="392"/>
      <c r="L451" s="398"/>
      <c r="M451" s="400"/>
      <c r="N451" s="398"/>
      <c r="O451" s="398"/>
      <c r="P451" s="398"/>
      <c r="Q451" s="398"/>
      <c r="R451" s="401"/>
      <c r="S451" s="398"/>
      <c r="T451" s="398"/>
      <c r="U451" s="398"/>
    </row>
    <row r="452" spans="4:21" x14ac:dyDescent="0.25">
      <c r="D452" s="841"/>
      <c r="E452" s="398"/>
      <c r="F452" s="390"/>
      <c r="G452" s="390"/>
      <c r="H452" s="390"/>
      <c r="I452" s="390"/>
      <c r="J452" s="390"/>
      <c r="K452" s="392"/>
      <c r="L452" s="398"/>
      <c r="M452" s="400"/>
      <c r="N452" s="398"/>
      <c r="O452" s="398"/>
      <c r="P452" s="398"/>
      <c r="Q452" s="398"/>
      <c r="R452" s="401"/>
      <c r="S452" s="398"/>
      <c r="T452" s="398"/>
      <c r="U452" s="398"/>
    </row>
    <row r="453" spans="4:21" x14ac:dyDescent="0.25">
      <c r="D453" s="841"/>
      <c r="E453" s="398"/>
      <c r="F453" s="390"/>
      <c r="G453" s="390"/>
      <c r="H453" s="390"/>
      <c r="I453" s="390"/>
      <c r="J453" s="390"/>
      <c r="K453" s="392"/>
      <c r="L453" s="398"/>
      <c r="M453" s="400"/>
      <c r="N453" s="398"/>
      <c r="O453" s="398"/>
      <c r="P453" s="398"/>
      <c r="Q453" s="398"/>
      <c r="R453" s="401"/>
      <c r="S453" s="398"/>
      <c r="T453" s="398"/>
      <c r="U453" s="398"/>
    </row>
    <row r="454" spans="4:21" x14ac:dyDescent="0.25">
      <c r="D454" s="841"/>
      <c r="E454" s="398"/>
      <c r="F454" s="390"/>
      <c r="G454" s="390"/>
      <c r="H454" s="390"/>
      <c r="I454" s="390"/>
      <c r="J454" s="390"/>
      <c r="K454" s="392"/>
      <c r="L454" s="398"/>
      <c r="M454" s="400"/>
      <c r="N454" s="398"/>
      <c r="O454" s="398"/>
      <c r="P454" s="398"/>
      <c r="Q454" s="398"/>
      <c r="R454" s="401"/>
      <c r="S454" s="398"/>
      <c r="T454" s="398"/>
      <c r="U454" s="398"/>
    </row>
    <row r="455" spans="4:21" x14ac:dyDescent="0.25">
      <c r="D455" s="841"/>
      <c r="E455" s="398"/>
      <c r="F455" s="390"/>
      <c r="G455" s="390"/>
      <c r="H455" s="390"/>
      <c r="I455" s="390"/>
      <c r="J455" s="390"/>
      <c r="K455" s="392"/>
      <c r="L455" s="398"/>
      <c r="M455" s="400"/>
      <c r="N455" s="398"/>
      <c r="O455" s="398"/>
      <c r="P455" s="398"/>
      <c r="Q455" s="398"/>
      <c r="R455" s="401"/>
      <c r="S455" s="398"/>
      <c r="T455" s="398"/>
      <c r="U455" s="398"/>
    </row>
    <row r="456" spans="4:21" x14ac:dyDescent="0.25">
      <c r="D456" s="841"/>
      <c r="E456" s="398"/>
      <c r="F456" s="390"/>
      <c r="G456" s="390"/>
      <c r="H456" s="390"/>
      <c r="I456" s="390"/>
      <c r="J456" s="390"/>
      <c r="K456" s="392"/>
      <c r="L456" s="398"/>
      <c r="M456" s="400"/>
      <c r="N456" s="398"/>
      <c r="O456" s="398"/>
      <c r="P456" s="398"/>
      <c r="Q456" s="398"/>
      <c r="R456" s="401"/>
      <c r="S456" s="398"/>
      <c r="T456" s="398"/>
      <c r="U456" s="398"/>
    </row>
    <row r="457" spans="4:21" x14ac:dyDescent="0.25">
      <c r="D457" s="841"/>
      <c r="E457" s="398"/>
      <c r="F457" s="390"/>
      <c r="G457" s="390"/>
      <c r="H457" s="390"/>
      <c r="I457" s="390"/>
      <c r="J457" s="390"/>
      <c r="K457" s="392"/>
      <c r="L457" s="398"/>
      <c r="M457" s="400"/>
      <c r="N457" s="398"/>
      <c r="O457" s="398"/>
      <c r="P457" s="398"/>
      <c r="Q457" s="398"/>
      <c r="R457" s="401"/>
      <c r="S457" s="398"/>
      <c r="T457" s="398"/>
      <c r="U457" s="398"/>
    </row>
    <row r="458" spans="4:21" x14ac:dyDescent="0.25">
      <c r="D458" s="841"/>
      <c r="E458" s="398"/>
      <c r="F458" s="390"/>
      <c r="G458" s="390"/>
      <c r="H458" s="390"/>
      <c r="I458" s="390"/>
      <c r="J458" s="390"/>
      <c r="K458" s="392"/>
      <c r="L458" s="398"/>
      <c r="M458" s="400"/>
      <c r="N458" s="398"/>
      <c r="O458" s="398"/>
      <c r="P458" s="398"/>
      <c r="Q458" s="398"/>
      <c r="R458" s="401"/>
      <c r="S458" s="398"/>
      <c r="T458" s="398"/>
      <c r="U458" s="398"/>
    </row>
    <row r="459" spans="4:21" x14ac:dyDescent="0.25">
      <c r="D459" s="841"/>
      <c r="E459" s="398"/>
      <c r="F459" s="390"/>
      <c r="G459" s="390"/>
      <c r="H459" s="390"/>
      <c r="I459" s="390"/>
      <c r="J459" s="390"/>
      <c r="K459" s="392"/>
      <c r="L459" s="398"/>
      <c r="M459" s="400"/>
      <c r="N459" s="398"/>
      <c r="O459" s="398"/>
      <c r="P459" s="398"/>
      <c r="Q459" s="398"/>
      <c r="R459" s="401"/>
      <c r="S459" s="398"/>
      <c r="T459" s="398"/>
      <c r="U459" s="398"/>
    </row>
    <row r="460" spans="4:21" x14ac:dyDescent="0.25">
      <c r="D460" s="841"/>
      <c r="E460" s="398"/>
      <c r="F460" s="390"/>
      <c r="G460" s="390"/>
      <c r="H460" s="390"/>
      <c r="I460" s="390"/>
      <c r="J460" s="390"/>
      <c r="K460" s="392"/>
      <c r="L460" s="398"/>
      <c r="M460" s="400"/>
      <c r="N460" s="398"/>
      <c r="O460" s="398"/>
      <c r="P460" s="398"/>
      <c r="Q460" s="398"/>
      <c r="R460" s="401"/>
      <c r="S460" s="398"/>
      <c r="T460" s="398"/>
      <c r="U460" s="398"/>
    </row>
    <row r="461" spans="4:21" x14ac:dyDescent="0.25">
      <c r="D461" s="841"/>
      <c r="E461" s="398"/>
      <c r="F461" s="390"/>
      <c r="G461" s="390"/>
      <c r="H461" s="390"/>
      <c r="I461" s="390"/>
      <c r="J461" s="390"/>
      <c r="K461" s="392"/>
      <c r="L461" s="398"/>
      <c r="M461" s="400"/>
      <c r="N461" s="398"/>
      <c r="O461" s="398"/>
      <c r="P461" s="398"/>
      <c r="Q461" s="398"/>
      <c r="R461" s="401"/>
      <c r="S461" s="398"/>
      <c r="T461" s="398"/>
      <c r="U461" s="398"/>
    </row>
    <row r="462" spans="4:21" x14ac:dyDescent="0.25">
      <c r="D462" s="841"/>
      <c r="E462" s="398"/>
      <c r="F462" s="390"/>
      <c r="G462" s="390"/>
      <c r="H462" s="390"/>
      <c r="I462" s="390"/>
      <c r="J462" s="390"/>
      <c r="K462" s="392"/>
      <c r="L462" s="398"/>
      <c r="M462" s="400"/>
      <c r="N462" s="398"/>
      <c r="O462" s="398"/>
      <c r="P462" s="398"/>
      <c r="Q462" s="398"/>
      <c r="R462" s="401"/>
      <c r="S462" s="398"/>
      <c r="T462" s="398"/>
      <c r="U462" s="398"/>
    </row>
    <row r="463" spans="4:21" x14ac:dyDescent="0.25">
      <c r="D463" s="841"/>
      <c r="E463" s="398"/>
      <c r="F463" s="390"/>
      <c r="G463" s="390"/>
      <c r="H463" s="390"/>
      <c r="I463" s="390"/>
      <c r="J463" s="390"/>
      <c r="K463" s="392"/>
      <c r="L463" s="398"/>
      <c r="M463" s="400"/>
      <c r="N463" s="398"/>
      <c r="O463" s="398"/>
      <c r="P463" s="398"/>
      <c r="Q463" s="398"/>
      <c r="R463" s="401"/>
      <c r="S463" s="398"/>
      <c r="T463" s="398"/>
      <c r="U463" s="398"/>
    </row>
    <row r="464" spans="4:21" x14ac:dyDescent="0.25">
      <c r="D464" s="841"/>
      <c r="E464" s="398"/>
      <c r="F464" s="390"/>
      <c r="G464" s="390"/>
      <c r="H464" s="390"/>
      <c r="I464" s="390"/>
      <c r="J464" s="390"/>
      <c r="K464" s="392"/>
      <c r="L464" s="398"/>
      <c r="M464" s="400"/>
      <c r="N464" s="398"/>
      <c r="O464" s="398"/>
      <c r="P464" s="398"/>
      <c r="Q464" s="398"/>
      <c r="R464" s="401"/>
      <c r="S464" s="398"/>
      <c r="T464" s="398"/>
      <c r="U464" s="398"/>
    </row>
    <row r="465" spans="4:21" x14ac:dyDescent="0.25">
      <c r="D465" s="841"/>
      <c r="E465" s="398"/>
      <c r="F465" s="390"/>
      <c r="G465" s="390"/>
      <c r="H465" s="390"/>
      <c r="I465" s="390"/>
      <c r="J465" s="390"/>
      <c r="K465" s="392"/>
      <c r="L465" s="398"/>
      <c r="M465" s="400"/>
      <c r="N465" s="398"/>
      <c r="O465" s="398"/>
      <c r="P465" s="398"/>
      <c r="Q465" s="398"/>
      <c r="R465" s="401"/>
      <c r="S465" s="398"/>
      <c r="T465" s="398"/>
      <c r="U465" s="398"/>
    </row>
    <row r="466" spans="4:21" x14ac:dyDescent="0.25">
      <c r="D466" s="841"/>
      <c r="E466" s="398"/>
      <c r="F466" s="390"/>
      <c r="G466" s="390"/>
      <c r="H466" s="390"/>
      <c r="I466" s="390"/>
      <c r="J466" s="390"/>
      <c r="K466" s="392"/>
      <c r="L466" s="398"/>
      <c r="M466" s="400"/>
      <c r="N466" s="398"/>
      <c r="O466" s="398"/>
      <c r="P466" s="398"/>
      <c r="Q466" s="398"/>
      <c r="R466" s="401"/>
      <c r="S466" s="398"/>
      <c r="T466" s="398"/>
      <c r="U466" s="398"/>
    </row>
    <row r="467" spans="4:21" x14ac:dyDescent="0.25">
      <c r="D467" s="841"/>
      <c r="E467" s="398"/>
      <c r="F467" s="390"/>
      <c r="G467" s="390"/>
      <c r="H467" s="390"/>
      <c r="I467" s="390"/>
      <c r="J467" s="390"/>
      <c r="K467" s="392"/>
      <c r="L467" s="398"/>
      <c r="M467" s="400"/>
      <c r="N467" s="398"/>
      <c r="O467" s="398"/>
      <c r="P467" s="398"/>
      <c r="Q467" s="398"/>
      <c r="R467" s="401"/>
      <c r="S467" s="398"/>
      <c r="T467" s="398"/>
      <c r="U467" s="398"/>
    </row>
    <row r="468" spans="4:21" x14ac:dyDescent="0.25">
      <c r="D468" s="841"/>
      <c r="E468" s="398"/>
      <c r="F468" s="390"/>
      <c r="G468" s="390"/>
      <c r="H468" s="390"/>
      <c r="I468" s="390"/>
      <c r="J468" s="390"/>
      <c r="K468" s="392"/>
      <c r="L468" s="398"/>
      <c r="M468" s="400"/>
      <c r="N468" s="398"/>
      <c r="O468" s="398"/>
      <c r="P468" s="398"/>
      <c r="Q468" s="398"/>
      <c r="R468" s="401"/>
      <c r="S468" s="398"/>
      <c r="T468" s="398"/>
      <c r="U468" s="398"/>
    </row>
    <row r="469" spans="4:21" x14ac:dyDescent="0.25">
      <c r="D469" s="841"/>
      <c r="E469" s="398"/>
      <c r="F469" s="390"/>
      <c r="G469" s="390"/>
      <c r="H469" s="390"/>
      <c r="I469" s="390"/>
      <c r="J469" s="390"/>
      <c r="K469" s="392"/>
      <c r="L469" s="398"/>
      <c r="M469" s="400"/>
      <c r="N469" s="398"/>
      <c r="O469" s="398"/>
      <c r="P469" s="398"/>
      <c r="Q469" s="398"/>
      <c r="R469" s="401"/>
      <c r="S469" s="398"/>
      <c r="T469" s="398"/>
      <c r="U469" s="398"/>
    </row>
    <row r="470" spans="4:21" x14ac:dyDescent="0.25">
      <c r="D470" s="841"/>
      <c r="E470" s="398"/>
      <c r="F470" s="390"/>
      <c r="G470" s="390"/>
      <c r="H470" s="390"/>
      <c r="I470" s="390"/>
      <c r="J470" s="390"/>
      <c r="K470" s="392"/>
      <c r="L470" s="398"/>
      <c r="M470" s="400"/>
      <c r="N470" s="398"/>
      <c r="O470" s="398"/>
      <c r="P470" s="398"/>
      <c r="Q470" s="398"/>
      <c r="R470" s="401"/>
      <c r="S470" s="398"/>
      <c r="T470" s="398"/>
      <c r="U470" s="398"/>
    </row>
    <row r="471" spans="4:21" x14ac:dyDescent="0.25">
      <c r="D471" s="841"/>
      <c r="E471" s="398"/>
      <c r="F471" s="390"/>
      <c r="G471" s="390"/>
      <c r="H471" s="390"/>
      <c r="I471" s="390"/>
      <c r="J471" s="390"/>
      <c r="K471" s="392"/>
      <c r="L471" s="398"/>
      <c r="M471" s="400"/>
      <c r="N471" s="398"/>
      <c r="O471" s="398"/>
      <c r="P471" s="398"/>
      <c r="Q471" s="398"/>
      <c r="R471" s="401"/>
      <c r="S471" s="398"/>
      <c r="T471" s="398"/>
      <c r="U471" s="398"/>
    </row>
    <row r="472" spans="4:21" x14ac:dyDescent="0.25">
      <c r="D472" s="841"/>
      <c r="E472" s="398"/>
      <c r="F472" s="390"/>
      <c r="G472" s="390"/>
      <c r="H472" s="390"/>
      <c r="I472" s="390"/>
      <c r="J472" s="390"/>
      <c r="K472" s="392"/>
      <c r="L472" s="398"/>
      <c r="M472" s="400"/>
      <c r="N472" s="398"/>
      <c r="O472" s="398"/>
      <c r="P472" s="398"/>
      <c r="Q472" s="398"/>
      <c r="R472" s="401"/>
      <c r="S472" s="398"/>
      <c r="T472" s="398"/>
      <c r="U472" s="398"/>
    </row>
    <row r="473" spans="4:21" x14ac:dyDescent="0.25">
      <c r="D473" s="841"/>
      <c r="E473" s="398"/>
      <c r="F473" s="390"/>
      <c r="G473" s="390"/>
      <c r="H473" s="390"/>
      <c r="I473" s="390"/>
      <c r="J473" s="390"/>
      <c r="K473" s="392"/>
      <c r="L473" s="398"/>
      <c r="M473" s="400"/>
      <c r="N473" s="398"/>
      <c r="O473" s="398"/>
      <c r="P473" s="398"/>
      <c r="Q473" s="398"/>
      <c r="R473" s="401"/>
      <c r="S473" s="398"/>
      <c r="T473" s="398"/>
      <c r="U473" s="398"/>
    </row>
    <row r="474" spans="4:21" x14ac:dyDescent="0.25">
      <c r="D474" s="841"/>
      <c r="E474" s="398"/>
      <c r="F474" s="390"/>
      <c r="G474" s="390"/>
      <c r="H474" s="390"/>
      <c r="I474" s="390"/>
      <c r="J474" s="390"/>
      <c r="K474" s="392"/>
      <c r="L474" s="398"/>
      <c r="M474" s="400"/>
      <c r="N474" s="398"/>
      <c r="O474" s="398"/>
      <c r="P474" s="398"/>
      <c r="Q474" s="398"/>
      <c r="R474" s="401"/>
      <c r="S474" s="398"/>
      <c r="T474" s="398"/>
      <c r="U474" s="398"/>
    </row>
    <row r="475" spans="4:21" x14ac:dyDescent="0.25">
      <c r="D475" s="841"/>
      <c r="E475" s="398"/>
      <c r="F475" s="390"/>
      <c r="G475" s="390"/>
      <c r="H475" s="390"/>
      <c r="I475" s="390"/>
      <c r="J475" s="390"/>
      <c r="K475" s="392"/>
      <c r="L475" s="398"/>
      <c r="M475" s="400"/>
      <c r="N475" s="398"/>
      <c r="O475" s="398"/>
      <c r="P475" s="398"/>
      <c r="Q475" s="398"/>
      <c r="R475" s="401"/>
      <c r="S475" s="398"/>
      <c r="T475" s="398"/>
      <c r="U475" s="398"/>
    </row>
    <row r="476" spans="4:21" x14ac:dyDescent="0.25">
      <c r="D476" s="841"/>
      <c r="E476" s="398"/>
      <c r="F476" s="390"/>
      <c r="G476" s="390"/>
      <c r="H476" s="390"/>
      <c r="I476" s="390"/>
      <c r="J476" s="390"/>
      <c r="K476" s="392"/>
      <c r="L476" s="398"/>
      <c r="M476" s="400"/>
      <c r="N476" s="398"/>
      <c r="O476" s="398"/>
      <c r="P476" s="398"/>
      <c r="Q476" s="398"/>
      <c r="R476" s="401"/>
      <c r="S476" s="398"/>
      <c r="T476" s="398"/>
      <c r="U476" s="398"/>
    </row>
    <row r="477" spans="4:21" x14ac:dyDescent="0.25">
      <c r="D477" s="841"/>
      <c r="E477" s="398"/>
      <c r="F477" s="390"/>
      <c r="G477" s="390"/>
      <c r="H477" s="390"/>
      <c r="I477" s="390"/>
      <c r="J477" s="390"/>
      <c r="K477" s="392"/>
      <c r="L477" s="398"/>
      <c r="M477" s="400"/>
      <c r="N477" s="398"/>
      <c r="O477" s="398"/>
      <c r="P477" s="398"/>
      <c r="Q477" s="398"/>
      <c r="R477" s="401"/>
      <c r="S477" s="398"/>
      <c r="T477" s="398"/>
      <c r="U477" s="398"/>
    </row>
    <row r="478" spans="4:21" x14ac:dyDescent="0.25">
      <c r="D478" s="841"/>
      <c r="E478" s="398"/>
      <c r="F478" s="390"/>
      <c r="G478" s="390"/>
      <c r="H478" s="390"/>
      <c r="I478" s="390"/>
      <c r="J478" s="390"/>
      <c r="K478" s="392"/>
      <c r="L478" s="398"/>
      <c r="M478" s="400"/>
      <c r="N478" s="398"/>
      <c r="O478" s="398"/>
      <c r="P478" s="398"/>
      <c r="Q478" s="398"/>
      <c r="R478" s="401"/>
      <c r="S478" s="398"/>
      <c r="T478" s="398"/>
      <c r="U478" s="398"/>
    </row>
    <row r="479" spans="4:21" x14ac:dyDescent="0.25">
      <c r="D479" s="841"/>
      <c r="E479" s="398"/>
      <c r="F479" s="390"/>
      <c r="G479" s="390"/>
      <c r="H479" s="390"/>
      <c r="I479" s="390"/>
      <c r="J479" s="390"/>
      <c r="K479" s="392"/>
      <c r="L479" s="398"/>
      <c r="M479" s="400"/>
      <c r="N479" s="398"/>
      <c r="O479" s="398"/>
      <c r="P479" s="398"/>
      <c r="Q479" s="398"/>
      <c r="R479" s="401"/>
      <c r="S479" s="398"/>
      <c r="T479" s="398"/>
      <c r="U479" s="398"/>
    </row>
    <row r="480" spans="4:21" x14ac:dyDescent="0.25">
      <c r="D480" s="841"/>
      <c r="E480" s="398"/>
      <c r="F480" s="390"/>
      <c r="G480" s="390"/>
      <c r="H480" s="390"/>
      <c r="I480" s="390"/>
      <c r="J480" s="390"/>
      <c r="K480" s="392"/>
      <c r="L480" s="398"/>
      <c r="M480" s="400"/>
      <c r="N480" s="398"/>
      <c r="O480" s="398"/>
      <c r="P480" s="398"/>
      <c r="Q480" s="398"/>
      <c r="R480" s="401"/>
      <c r="S480" s="398"/>
      <c r="T480" s="398"/>
      <c r="U480" s="398"/>
    </row>
    <row r="481" spans="4:21" x14ac:dyDescent="0.25">
      <c r="D481" s="841"/>
      <c r="E481" s="398"/>
      <c r="F481" s="390"/>
      <c r="G481" s="390"/>
      <c r="H481" s="390"/>
      <c r="I481" s="390"/>
      <c r="J481" s="390"/>
      <c r="K481" s="392"/>
      <c r="L481" s="398"/>
      <c r="M481" s="400"/>
      <c r="N481" s="398"/>
      <c r="O481" s="398"/>
      <c r="P481" s="398"/>
      <c r="Q481" s="398"/>
      <c r="R481" s="401"/>
      <c r="S481" s="398"/>
      <c r="T481" s="398"/>
      <c r="U481" s="398"/>
    </row>
    <row r="482" spans="4:21" x14ac:dyDescent="0.25">
      <c r="D482" s="841"/>
      <c r="E482" s="398"/>
      <c r="F482" s="390"/>
      <c r="G482" s="390"/>
      <c r="H482" s="390"/>
      <c r="I482" s="390"/>
      <c r="J482" s="390"/>
      <c r="K482" s="392"/>
      <c r="L482" s="398"/>
      <c r="M482" s="400"/>
      <c r="N482" s="398"/>
      <c r="O482" s="398"/>
      <c r="P482" s="398"/>
      <c r="Q482" s="398"/>
      <c r="R482" s="401"/>
      <c r="S482" s="398"/>
      <c r="T482" s="398"/>
      <c r="U482" s="398"/>
    </row>
    <row r="483" spans="4:21" x14ac:dyDescent="0.25">
      <c r="D483" s="841"/>
      <c r="E483" s="398"/>
      <c r="F483" s="390"/>
      <c r="G483" s="390"/>
      <c r="H483" s="390"/>
      <c r="I483" s="390"/>
      <c r="J483" s="390"/>
      <c r="K483" s="392"/>
      <c r="L483" s="398"/>
      <c r="M483" s="400"/>
      <c r="N483" s="398"/>
      <c r="O483" s="398"/>
      <c r="P483" s="398"/>
      <c r="Q483" s="398"/>
      <c r="R483" s="401"/>
      <c r="S483" s="398"/>
      <c r="T483" s="398"/>
      <c r="U483" s="398"/>
    </row>
    <row r="484" spans="4:21" x14ac:dyDescent="0.25">
      <c r="D484" s="841"/>
      <c r="E484" s="398"/>
      <c r="F484" s="390"/>
      <c r="G484" s="390"/>
      <c r="H484" s="390"/>
      <c r="I484" s="390"/>
      <c r="J484" s="390"/>
      <c r="K484" s="392"/>
      <c r="L484" s="398"/>
      <c r="M484" s="400"/>
      <c r="N484" s="398"/>
      <c r="O484" s="398"/>
      <c r="P484" s="398"/>
      <c r="Q484" s="398"/>
      <c r="R484" s="401"/>
      <c r="S484" s="398"/>
      <c r="T484" s="398"/>
      <c r="U484" s="398"/>
    </row>
    <row r="485" spans="4:21" x14ac:dyDescent="0.25">
      <c r="D485" s="841"/>
      <c r="E485" s="398"/>
      <c r="F485" s="390"/>
      <c r="G485" s="390"/>
      <c r="H485" s="390"/>
      <c r="I485" s="390"/>
      <c r="J485" s="390"/>
      <c r="K485" s="392"/>
      <c r="L485" s="398"/>
      <c r="M485" s="400"/>
      <c r="N485" s="398"/>
      <c r="O485" s="398"/>
      <c r="P485" s="398"/>
      <c r="Q485" s="398"/>
      <c r="R485" s="401"/>
      <c r="S485" s="398"/>
      <c r="T485" s="398"/>
      <c r="U485" s="398"/>
    </row>
    <row r="486" spans="4:21" x14ac:dyDescent="0.25">
      <c r="D486" s="841"/>
      <c r="E486" s="398"/>
      <c r="F486" s="390"/>
      <c r="G486" s="390"/>
      <c r="H486" s="390"/>
      <c r="I486" s="390"/>
      <c r="J486" s="390"/>
      <c r="K486" s="392"/>
      <c r="L486" s="398"/>
      <c r="M486" s="400"/>
      <c r="N486" s="398"/>
      <c r="O486" s="398"/>
      <c r="P486" s="398"/>
      <c r="Q486" s="398"/>
      <c r="R486" s="401"/>
      <c r="S486" s="398"/>
      <c r="T486" s="398"/>
      <c r="U486" s="398"/>
    </row>
    <row r="487" spans="4:21" x14ac:dyDescent="0.25">
      <c r="D487" s="841"/>
      <c r="E487" s="398"/>
      <c r="F487" s="390"/>
      <c r="G487" s="390"/>
      <c r="H487" s="390"/>
      <c r="I487" s="390"/>
      <c r="J487" s="390"/>
      <c r="K487" s="392"/>
      <c r="L487" s="398"/>
      <c r="M487" s="400"/>
      <c r="N487" s="398"/>
      <c r="O487" s="398"/>
      <c r="P487" s="398"/>
      <c r="Q487" s="398"/>
      <c r="R487" s="401"/>
      <c r="S487" s="398"/>
      <c r="T487" s="398"/>
      <c r="U487" s="398"/>
    </row>
    <row r="488" spans="4:21" x14ac:dyDescent="0.25">
      <c r="D488" s="841"/>
      <c r="E488" s="398"/>
      <c r="F488" s="390"/>
      <c r="G488" s="390"/>
      <c r="H488" s="390"/>
      <c r="I488" s="390"/>
      <c r="J488" s="390"/>
      <c r="K488" s="392"/>
      <c r="L488" s="398"/>
      <c r="M488" s="400"/>
      <c r="N488" s="398"/>
      <c r="O488" s="398"/>
      <c r="P488" s="398"/>
      <c r="Q488" s="398"/>
      <c r="R488" s="401"/>
      <c r="S488" s="398"/>
      <c r="T488" s="398"/>
      <c r="U488" s="398"/>
    </row>
    <row r="489" spans="4:21" x14ac:dyDescent="0.25">
      <c r="D489" s="841"/>
      <c r="E489" s="398"/>
      <c r="F489" s="390"/>
      <c r="G489" s="390"/>
      <c r="H489" s="390"/>
      <c r="I489" s="390"/>
      <c r="J489" s="390"/>
      <c r="K489" s="392"/>
      <c r="L489" s="398"/>
      <c r="M489" s="400"/>
      <c r="N489" s="398"/>
      <c r="O489" s="398"/>
      <c r="P489" s="398"/>
      <c r="Q489" s="398"/>
      <c r="R489" s="401"/>
      <c r="S489" s="398"/>
      <c r="T489" s="398"/>
      <c r="U489" s="398"/>
    </row>
    <row r="490" spans="4:21" x14ac:dyDescent="0.25">
      <c r="D490" s="841"/>
      <c r="E490" s="398"/>
      <c r="F490" s="390"/>
      <c r="G490" s="390"/>
      <c r="H490" s="390"/>
      <c r="I490" s="390"/>
      <c r="J490" s="390"/>
      <c r="K490" s="392"/>
      <c r="L490" s="398"/>
      <c r="M490" s="400"/>
      <c r="N490" s="398"/>
      <c r="O490" s="398"/>
      <c r="P490" s="398"/>
      <c r="Q490" s="398"/>
      <c r="R490" s="401"/>
      <c r="S490" s="398"/>
      <c r="T490" s="398"/>
      <c r="U490" s="398"/>
    </row>
    <row r="491" spans="4:21" x14ac:dyDescent="0.25">
      <c r="D491" s="841"/>
      <c r="E491" s="398"/>
      <c r="F491" s="390"/>
      <c r="G491" s="390"/>
      <c r="H491" s="390"/>
      <c r="I491" s="390"/>
      <c r="J491" s="390"/>
      <c r="K491" s="392"/>
      <c r="L491" s="398"/>
      <c r="M491" s="400"/>
      <c r="N491" s="398"/>
      <c r="O491" s="398"/>
      <c r="P491" s="398"/>
      <c r="Q491" s="398"/>
      <c r="R491" s="401"/>
      <c r="S491" s="398"/>
      <c r="T491" s="398"/>
      <c r="U491" s="398"/>
    </row>
    <row r="492" spans="4:21" x14ac:dyDescent="0.25">
      <c r="D492" s="841"/>
      <c r="E492" s="398"/>
      <c r="F492" s="390"/>
      <c r="G492" s="390"/>
      <c r="H492" s="390"/>
      <c r="I492" s="390"/>
      <c r="J492" s="390"/>
      <c r="K492" s="392"/>
      <c r="L492" s="398"/>
      <c r="M492" s="400"/>
      <c r="N492" s="398"/>
      <c r="O492" s="398"/>
      <c r="P492" s="398"/>
      <c r="Q492" s="398"/>
      <c r="R492" s="401"/>
      <c r="S492" s="398"/>
      <c r="T492" s="398"/>
      <c r="U492" s="398"/>
    </row>
    <row r="493" spans="4:21" x14ac:dyDescent="0.25">
      <c r="D493" s="841"/>
      <c r="E493" s="398"/>
      <c r="F493" s="390"/>
      <c r="G493" s="390"/>
      <c r="H493" s="390"/>
      <c r="I493" s="390"/>
      <c r="J493" s="390"/>
      <c r="K493" s="392"/>
      <c r="L493" s="398"/>
      <c r="M493" s="400"/>
      <c r="N493" s="398"/>
      <c r="O493" s="398"/>
      <c r="P493" s="398"/>
      <c r="Q493" s="398"/>
      <c r="R493" s="401"/>
      <c r="S493" s="398"/>
      <c r="T493" s="398"/>
      <c r="U493" s="398"/>
    </row>
    <row r="494" spans="4:21" x14ac:dyDescent="0.25">
      <c r="D494" s="841"/>
      <c r="E494" s="398"/>
      <c r="F494" s="390"/>
      <c r="G494" s="390"/>
      <c r="H494" s="390"/>
      <c r="I494" s="390"/>
      <c r="J494" s="390"/>
      <c r="K494" s="392"/>
      <c r="L494" s="398"/>
      <c r="M494" s="400"/>
      <c r="N494" s="398"/>
      <c r="O494" s="398"/>
      <c r="P494" s="398"/>
      <c r="Q494" s="398"/>
      <c r="R494" s="401"/>
      <c r="S494" s="398"/>
      <c r="T494" s="398"/>
      <c r="U494" s="398"/>
    </row>
    <row r="495" spans="4:21" x14ac:dyDescent="0.25">
      <c r="D495" s="841"/>
      <c r="E495" s="398"/>
      <c r="F495" s="390"/>
      <c r="G495" s="390"/>
      <c r="H495" s="390"/>
      <c r="I495" s="390"/>
      <c r="J495" s="390"/>
      <c r="K495" s="392"/>
      <c r="L495" s="398"/>
      <c r="M495" s="400"/>
      <c r="N495" s="398"/>
      <c r="O495" s="398"/>
      <c r="P495" s="398"/>
      <c r="Q495" s="398"/>
      <c r="R495" s="401"/>
      <c r="S495" s="398"/>
      <c r="T495" s="398"/>
      <c r="U495" s="398"/>
    </row>
    <row r="496" spans="4:21" x14ac:dyDescent="0.25">
      <c r="D496" s="841"/>
      <c r="E496" s="398"/>
      <c r="F496" s="390"/>
      <c r="G496" s="390"/>
      <c r="H496" s="390"/>
      <c r="I496" s="390"/>
      <c r="J496" s="390"/>
      <c r="K496" s="392"/>
      <c r="L496" s="398"/>
      <c r="M496" s="400"/>
      <c r="N496" s="398"/>
      <c r="O496" s="398"/>
      <c r="P496" s="398"/>
      <c r="Q496" s="398"/>
      <c r="R496" s="401"/>
      <c r="S496" s="398"/>
      <c r="T496" s="398"/>
      <c r="U496" s="398"/>
    </row>
    <row r="497" spans="4:21" x14ac:dyDescent="0.25">
      <c r="D497" s="841"/>
      <c r="E497" s="398"/>
      <c r="F497" s="390"/>
      <c r="G497" s="390"/>
      <c r="H497" s="390"/>
      <c r="I497" s="390"/>
      <c r="J497" s="390"/>
      <c r="K497" s="392"/>
      <c r="L497" s="398"/>
      <c r="M497" s="400"/>
      <c r="N497" s="398"/>
      <c r="O497" s="398"/>
      <c r="P497" s="398"/>
      <c r="Q497" s="398"/>
      <c r="R497" s="401"/>
      <c r="S497" s="398"/>
      <c r="T497" s="398"/>
      <c r="U497" s="398"/>
    </row>
    <row r="498" spans="4:21" x14ac:dyDescent="0.25">
      <c r="D498" s="841"/>
      <c r="E498" s="398"/>
      <c r="F498" s="390"/>
      <c r="G498" s="390"/>
      <c r="H498" s="390"/>
      <c r="I498" s="390"/>
      <c r="J498" s="390"/>
      <c r="K498" s="392"/>
      <c r="L498" s="398"/>
      <c r="M498" s="400"/>
      <c r="N498" s="398"/>
      <c r="O498" s="398"/>
      <c r="P498" s="398"/>
      <c r="Q498" s="398"/>
      <c r="R498" s="401"/>
      <c r="S498" s="398"/>
      <c r="T498" s="398"/>
      <c r="U498" s="398"/>
    </row>
    <row r="499" spans="4:21" x14ac:dyDescent="0.25">
      <c r="D499" s="841"/>
      <c r="E499" s="398"/>
      <c r="F499" s="390"/>
      <c r="G499" s="390"/>
      <c r="H499" s="390"/>
      <c r="I499" s="390"/>
      <c r="J499" s="390"/>
      <c r="K499" s="392"/>
      <c r="L499" s="398"/>
      <c r="M499" s="400"/>
      <c r="N499" s="398"/>
      <c r="O499" s="398"/>
      <c r="P499" s="398"/>
      <c r="Q499" s="398"/>
      <c r="R499" s="401"/>
      <c r="S499" s="398"/>
      <c r="T499" s="398"/>
      <c r="U499" s="398"/>
    </row>
    <row r="500" spans="4:21" x14ac:dyDescent="0.25">
      <c r="D500" s="841"/>
      <c r="E500" s="398"/>
      <c r="F500" s="390"/>
      <c r="G500" s="390"/>
      <c r="H500" s="390"/>
      <c r="I500" s="390"/>
      <c r="J500" s="390"/>
      <c r="K500" s="392"/>
      <c r="L500" s="398"/>
      <c r="M500" s="400"/>
      <c r="N500" s="398"/>
      <c r="O500" s="398"/>
      <c r="P500" s="398"/>
      <c r="Q500" s="398"/>
      <c r="R500" s="401"/>
      <c r="S500" s="398"/>
      <c r="T500" s="398"/>
      <c r="U500" s="398"/>
    </row>
    <row r="501" spans="4:21" x14ac:dyDescent="0.25">
      <c r="D501" s="841"/>
      <c r="E501" s="398"/>
      <c r="F501" s="390"/>
      <c r="G501" s="390"/>
      <c r="H501" s="390"/>
      <c r="I501" s="390"/>
      <c r="J501" s="390"/>
      <c r="K501" s="392"/>
      <c r="L501" s="398"/>
      <c r="M501" s="400"/>
      <c r="N501" s="398"/>
      <c r="O501" s="398"/>
      <c r="P501" s="398"/>
      <c r="Q501" s="398"/>
      <c r="R501" s="401"/>
      <c r="S501" s="398"/>
      <c r="T501" s="398"/>
      <c r="U501" s="398"/>
    </row>
    <row r="502" spans="4:21" x14ac:dyDescent="0.25">
      <c r="D502" s="841"/>
      <c r="E502" s="398"/>
      <c r="F502" s="390"/>
      <c r="G502" s="390"/>
      <c r="H502" s="390"/>
      <c r="I502" s="390"/>
      <c r="J502" s="390"/>
      <c r="K502" s="392"/>
      <c r="L502" s="398"/>
      <c r="M502" s="400"/>
      <c r="N502" s="398"/>
      <c r="O502" s="398"/>
      <c r="P502" s="398"/>
      <c r="Q502" s="398"/>
      <c r="R502" s="401"/>
      <c r="S502" s="398"/>
      <c r="T502" s="398"/>
      <c r="U502" s="398"/>
    </row>
    <row r="503" spans="4:21" x14ac:dyDescent="0.25">
      <c r="D503" s="841"/>
      <c r="E503" s="398"/>
      <c r="F503" s="390"/>
      <c r="G503" s="390"/>
      <c r="H503" s="390"/>
      <c r="I503" s="390"/>
      <c r="J503" s="390"/>
      <c r="K503" s="392"/>
      <c r="L503" s="398"/>
      <c r="M503" s="400"/>
      <c r="N503" s="398"/>
      <c r="O503" s="398"/>
      <c r="P503" s="398"/>
      <c r="Q503" s="398"/>
      <c r="R503" s="401"/>
      <c r="S503" s="398"/>
      <c r="T503" s="398"/>
      <c r="U503" s="398"/>
    </row>
    <row r="504" spans="4:21" x14ac:dyDescent="0.25">
      <c r="D504" s="841"/>
      <c r="E504" s="398"/>
      <c r="F504" s="390"/>
      <c r="G504" s="390"/>
      <c r="H504" s="390"/>
      <c r="I504" s="390"/>
      <c r="J504" s="390"/>
      <c r="K504" s="392"/>
      <c r="L504" s="398"/>
      <c r="M504" s="400"/>
      <c r="N504" s="398"/>
      <c r="O504" s="398"/>
      <c r="P504" s="398"/>
      <c r="Q504" s="398"/>
      <c r="R504" s="401"/>
      <c r="S504" s="398"/>
      <c r="T504" s="398"/>
      <c r="U504" s="398"/>
    </row>
    <row r="505" spans="4:21" x14ac:dyDescent="0.25">
      <c r="D505" s="841"/>
      <c r="E505" s="398"/>
      <c r="F505" s="390"/>
      <c r="G505" s="390"/>
      <c r="H505" s="390"/>
      <c r="I505" s="390"/>
      <c r="J505" s="390"/>
      <c r="K505" s="392"/>
      <c r="L505" s="398"/>
      <c r="M505" s="400"/>
      <c r="N505" s="398"/>
      <c r="O505" s="398"/>
      <c r="P505" s="398"/>
      <c r="Q505" s="398"/>
      <c r="R505" s="401"/>
      <c r="S505" s="398"/>
      <c r="T505" s="398"/>
      <c r="U505" s="398"/>
    </row>
    <row r="506" spans="4:21" x14ac:dyDescent="0.25">
      <c r="D506" s="841"/>
      <c r="E506" s="398"/>
      <c r="F506" s="390"/>
      <c r="G506" s="390"/>
      <c r="H506" s="390"/>
      <c r="I506" s="390"/>
      <c r="J506" s="390"/>
      <c r="K506" s="392"/>
      <c r="L506" s="398"/>
      <c r="M506" s="400"/>
      <c r="N506" s="398"/>
      <c r="O506" s="398"/>
      <c r="P506" s="398"/>
      <c r="Q506" s="398"/>
      <c r="R506" s="401"/>
      <c r="S506" s="398"/>
      <c r="T506" s="398"/>
      <c r="U506" s="398"/>
    </row>
    <row r="507" spans="4:21" x14ac:dyDescent="0.25">
      <c r="D507" s="841"/>
      <c r="E507" s="398"/>
      <c r="F507" s="390"/>
      <c r="G507" s="390"/>
      <c r="H507" s="390"/>
      <c r="I507" s="390"/>
      <c r="J507" s="390"/>
      <c r="K507" s="392"/>
      <c r="L507" s="398"/>
      <c r="M507" s="400"/>
      <c r="N507" s="398"/>
      <c r="O507" s="398"/>
      <c r="P507" s="398"/>
      <c r="Q507" s="398"/>
      <c r="R507" s="401"/>
      <c r="S507" s="398"/>
      <c r="T507" s="398"/>
      <c r="U507" s="398"/>
    </row>
    <row r="508" spans="4:21" x14ac:dyDescent="0.25">
      <c r="D508" s="841"/>
      <c r="E508" s="398"/>
      <c r="F508" s="390"/>
      <c r="G508" s="390"/>
      <c r="H508" s="390"/>
      <c r="I508" s="390"/>
      <c r="J508" s="390"/>
      <c r="K508" s="392"/>
      <c r="L508" s="398"/>
      <c r="M508" s="400"/>
      <c r="N508" s="398"/>
      <c r="O508" s="398"/>
      <c r="P508" s="398"/>
      <c r="Q508" s="398"/>
      <c r="R508" s="401"/>
      <c r="S508" s="398"/>
      <c r="T508" s="398"/>
      <c r="U508" s="398"/>
    </row>
    <row r="509" spans="4:21" x14ac:dyDescent="0.25">
      <c r="D509" s="841"/>
      <c r="E509" s="398"/>
      <c r="F509" s="390"/>
      <c r="G509" s="390"/>
      <c r="H509" s="390"/>
      <c r="I509" s="390"/>
      <c r="J509" s="390"/>
      <c r="K509" s="392"/>
      <c r="L509" s="398"/>
      <c r="M509" s="400"/>
      <c r="N509" s="398"/>
      <c r="O509" s="398"/>
      <c r="P509" s="398"/>
      <c r="Q509" s="398"/>
      <c r="R509" s="401"/>
      <c r="S509" s="398"/>
      <c r="T509" s="398"/>
      <c r="U509" s="398"/>
    </row>
    <row r="510" spans="4:21" x14ac:dyDescent="0.25">
      <c r="D510" s="841"/>
      <c r="E510" s="398"/>
      <c r="F510" s="390"/>
      <c r="G510" s="390"/>
      <c r="H510" s="390"/>
      <c r="I510" s="390"/>
      <c r="J510" s="390"/>
      <c r="K510" s="392"/>
      <c r="L510" s="398"/>
      <c r="M510" s="400"/>
      <c r="N510" s="398"/>
      <c r="O510" s="398"/>
      <c r="P510" s="398"/>
      <c r="Q510" s="398"/>
      <c r="R510" s="401"/>
      <c r="S510" s="398"/>
      <c r="T510" s="398"/>
      <c r="U510" s="398"/>
    </row>
    <row r="511" spans="4:21" x14ac:dyDescent="0.25">
      <c r="D511" s="841"/>
      <c r="E511" s="398"/>
      <c r="F511" s="390"/>
      <c r="G511" s="390"/>
      <c r="H511" s="390"/>
      <c r="I511" s="390"/>
      <c r="J511" s="390"/>
      <c r="K511" s="392"/>
      <c r="L511" s="398"/>
      <c r="M511" s="400"/>
      <c r="N511" s="398"/>
      <c r="O511" s="398"/>
      <c r="P511" s="398"/>
      <c r="Q511" s="398"/>
      <c r="R511" s="401"/>
      <c r="S511" s="398"/>
      <c r="T511" s="398"/>
      <c r="U511" s="398"/>
    </row>
    <row r="512" spans="4:21" x14ac:dyDescent="0.25">
      <c r="D512" s="841"/>
      <c r="E512" s="398"/>
      <c r="F512" s="390"/>
      <c r="G512" s="390"/>
      <c r="H512" s="390"/>
      <c r="I512" s="390"/>
      <c r="J512" s="390"/>
      <c r="K512" s="392"/>
      <c r="L512" s="398"/>
      <c r="M512" s="400"/>
      <c r="N512" s="398"/>
      <c r="O512" s="398"/>
      <c r="P512" s="398"/>
      <c r="Q512" s="398"/>
      <c r="R512" s="401"/>
      <c r="S512" s="398"/>
      <c r="T512" s="398"/>
      <c r="U512" s="398"/>
    </row>
    <row r="513" spans="4:21" x14ac:dyDescent="0.25">
      <c r="D513" s="841"/>
      <c r="E513" s="398"/>
      <c r="F513" s="390"/>
      <c r="G513" s="390"/>
      <c r="H513" s="390"/>
      <c r="I513" s="390"/>
      <c r="J513" s="390"/>
      <c r="K513" s="392"/>
      <c r="L513" s="398"/>
      <c r="M513" s="400"/>
      <c r="N513" s="398"/>
      <c r="O513" s="398"/>
      <c r="P513" s="398"/>
      <c r="Q513" s="398"/>
      <c r="R513" s="401"/>
      <c r="S513" s="398"/>
      <c r="T513" s="398"/>
      <c r="U513" s="398"/>
    </row>
    <row r="514" spans="4:21" x14ac:dyDescent="0.25">
      <c r="D514" s="841"/>
      <c r="E514" s="398"/>
      <c r="F514" s="390"/>
      <c r="G514" s="390"/>
      <c r="H514" s="390"/>
      <c r="I514" s="390"/>
      <c r="J514" s="390"/>
      <c r="K514" s="392"/>
      <c r="L514" s="398"/>
      <c r="M514" s="400"/>
      <c r="N514" s="398"/>
      <c r="O514" s="398"/>
      <c r="P514" s="398"/>
      <c r="Q514" s="398"/>
      <c r="R514" s="401"/>
      <c r="S514" s="398"/>
      <c r="T514" s="398"/>
      <c r="U514" s="398"/>
    </row>
    <row r="515" spans="4:21" x14ac:dyDescent="0.25">
      <c r="D515" s="841"/>
      <c r="E515" s="398"/>
      <c r="F515" s="390"/>
      <c r="G515" s="390"/>
      <c r="H515" s="390"/>
      <c r="I515" s="390"/>
      <c r="J515" s="390"/>
      <c r="K515" s="392"/>
      <c r="L515" s="398"/>
      <c r="M515" s="400"/>
      <c r="N515" s="398"/>
      <c r="O515" s="398"/>
      <c r="P515" s="398"/>
      <c r="Q515" s="398"/>
      <c r="R515" s="401"/>
      <c r="S515" s="398"/>
      <c r="T515" s="398"/>
      <c r="U515" s="398"/>
    </row>
    <row r="516" spans="4:21" x14ac:dyDescent="0.25">
      <c r="D516" s="841"/>
      <c r="E516" s="398"/>
      <c r="F516" s="390"/>
      <c r="G516" s="390"/>
      <c r="H516" s="390"/>
      <c r="I516" s="390"/>
      <c r="J516" s="390"/>
      <c r="K516" s="392"/>
      <c r="L516" s="398"/>
      <c r="M516" s="400"/>
      <c r="N516" s="398"/>
      <c r="O516" s="398"/>
      <c r="P516" s="398"/>
      <c r="Q516" s="398"/>
      <c r="R516" s="401"/>
      <c r="S516" s="398"/>
      <c r="T516" s="398"/>
      <c r="U516" s="398"/>
    </row>
    <row r="517" spans="4:21" x14ac:dyDescent="0.25">
      <c r="D517" s="841"/>
      <c r="E517" s="398"/>
      <c r="F517" s="390"/>
      <c r="G517" s="390"/>
      <c r="H517" s="390"/>
      <c r="I517" s="390"/>
      <c r="J517" s="390"/>
      <c r="K517" s="392"/>
      <c r="L517" s="398"/>
      <c r="M517" s="400"/>
      <c r="N517" s="398"/>
      <c r="O517" s="398"/>
      <c r="P517" s="398"/>
      <c r="Q517" s="398"/>
      <c r="R517" s="401"/>
      <c r="S517" s="398"/>
      <c r="T517" s="398"/>
      <c r="U517" s="398"/>
    </row>
    <row r="518" spans="4:21" x14ac:dyDescent="0.25">
      <c r="D518" s="841"/>
      <c r="E518" s="398"/>
      <c r="F518" s="390"/>
      <c r="G518" s="390"/>
      <c r="H518" s="390"/>
      <c r="I518" s="390"/>
      <c r="J518" s="390"/>
      <c r="K518" s="392"/>
      <c r="L518" s="398"/>
      <c r="M518" s="400"/>
      <c r="N518" s="398"/>
      <c r="O518" s="398"/>
      <c r="P518" s="398"/>
      <c r="Q518" s="398"/>
      <c r="R518" s="401"/>
      <c r="S518" s="398"/>
      <c r="T518" s="398"/>
      <c r="U518" s="398"/>
    </row>
    <row r="519" spans="4:21" x14ac:dyDescent="0.25">
      <c r="D519" s="841"/>
      <c r="E519" s="398"/>
      <c r="F519" s="390"/>
      <c r="G519" s="390"/>
      <c r="H519" s="390"/>
      <c r="I519" s="390"/>
      <c r="J519" s="390"/>
      <c r="K519" s="392"/>
      <c r="L519" s="398"/>
      <c r="M519" s="400"/>
      <c r="N519" s="398"/>
      <c r="O519" s="398"/>
      <c r="P519" s="398"/>
      <c r="Q519" s="398"/>
      <c r="R519" s="401"/>
      <c r="S519" s="398"/>
      <c r="T519" s="398"/>
      <c r="U519" s="398"/>
    </row>
    <row r="520" spans="4:21" x14ac:dyDescent="0.25">
      <c r="D520" s="841"/>
      <c r="E520" s="398"/>
      <c r="F520" s="390"/>
      <c r="G520" s="390"/>
      <c r="H520" s="390"/>
      <c r="I520" s="390"/>
      <c r="J520" s="390"/>
      <c r="K520" s="392"/>
      <c r="L520" s="398"/>
      <c r="M520" s="400"/>
      <c r="N520" s="398"/>
      <c r="O520" s="398"/>
      <c r="P520" s="398"/>
      <c r="Q520" s="398"/>
      <c r="R520" s="401"/>
      <c r="S520" s="398"/>
      <c r="T520" s="398"/>
      <c r="U520" s="398"/>
    </row>
    <row r="521" spans="4:21" x14ac:dyDescent="0.25">
      <c r="D521" s="841"/>
      <c r="E521" s="398"/>
      <c r="F521" s="390"/>
      <c r="G521" s="390"/>
      <c r="H521" s="390"/>
      <c r="I521" s="390"/>
      <c r="J521" s="390"/>
      <c r="K521" s="392"/>
      <c r="L521" s="398"/>
      <c r="M521" s="400"/>
      <c r="N521" s="398"/>
      <c r="O521" s="398"/>
      <c r="P521" s="398"/>
      <c r="Q521" s="398"/>
      <c r="R521" s="401"/>
      <c r="S521" s="398"/>
      <c r="T521" s="398"/>
      <c r="U521" s="398"/>
    </row>
    <row r="522" spans="4:21" x14ac:dyDescent="0.25">
      <c r="D522" s="841"/>
      <c r="E522" s="398"/>
      <c r="F522" s="390"/>
      <c r="G522" s="390"/>
      <c r="H522" s="390"/>
      <c r="I522" s="390"/>
      <c r="J522" s="390"/>
      <c r="K522" s="392"/>
      <c r="L522" s="398"/>
      <c r="M522" s="400"/>
      <c r="N522" s="398"/>
      <c r="O522" s="398"/>
      <c r="P522" s="398"/>
      <c r="Q522" s="398"/>
      <c r="R522" s="401"/>
      <c r="S522" s="398"/>
      <c r="T522" s="398"/>
      <c r="U522" s="398"/>
    </row>
    <row r="523" spans="4:21" x14ac:dyDescent="0.25">
      <c r="D523" s="841"/>
      <c r="E523" s="398"/>
      <c r="F523" s="390"/>
      <c r="G523" s="390"/>
      <c r="H523" s="390"/>
      <c r="I523" s="390"/>
      <c r="J523" s="390"/>
      <c r="K523" s="392"/>
      <c r="L523" s="398"/>
      <c r="M523" s="400"/>
      <c r="N523" s="398"/>
      <c r="O523" s="398"/>
      <c r="P523" s="398"/>
      <c r="Q523" s="398"/>
      <c r="R523" s="401"/>
      <c r="S523" s="398"/>
      <c r="T523" s="398"/>
      <c r="U523" s="398"/>
    </row>
    <row r="524" spans="4:21" x14ac:dyDescent="0.25">
      <c r="D524" s="841"/>
      <c r="E524" s="398"/>
      <c r="F524" s="390"/>
      <c r="G524" s="390"/>
      <c r="H524" s="390"/>
      <c r="I524" s="390"/>
      <c r="J524" s="390"/>
      <c r="K524" s="392"/>
      <c r="L524" s="398"/>
      <c r="M524" s="400"/>
      <c r="N524" s="398"/>
      <c r="O524" s="398"/>
      <c r="P524" s="398"/>
      <c r="Q524" s="398"/>
      <c r="R524" s="401"/>
      <c r="S524" s="398"/>
      <c r="T524" s="398"/>
      <c r="U524" s="398"/>
    </row>
    <row r="525" spans="4:21" x14ac:dyDescent="0.25">
      <c r="D525" s="841"/>
      <c r="E525" s="398"/>
      <c r="F525" s="390"/>
      <c r="G525" s="390"/>
      <c r="H525" s="390"/>
      <c r="I525" s="390"/>
      <c r="J525" s="390"/>
      <c r="K525" s="392"/>
      <c r="L525" s="398"/>
      <c r="M525" s="400"/>
      <c r="N525" s="398"/>
      <c r="O525" s="398"/>
      <c r="P525" s="398"/>
      <c r="Q525" s="398"/>
      <c r="R525" s="401"/>
      <c r="S525" s="398"/>
      <c r="T525" s="398"/>
      <c r="U525" s="398"/>
    </row>
    <row r="526" spans="4:21" x14ac:dyDescent="0.25">
      <c r="D526" s="841"/>
      <c r="E526" s="398"/>
      <c r="F526" s="390"/>
      <c r="G526" s="390"/>
      <c r="H526" s="390"/>
      <c r="I526" s="390"/>
      <c r="J526" s="390"/>
      <c r="K526" s="392"/>
      <c r="L526" s="398"/>
      <c r="M526" s="400"/>
      <c r="N526" s="398"/>
      <c r="O526" s="398"/>
      <c r="P526" s="398"/>
      <c r="Q526" s="398"/>
      <c r="R526" s="401"/>
      <c r="S526" s="398"/>
      <c r="T526" s="398"/>
      <c r="U526" s="398"/>
    </row>
    <row r="527" spans="4:21" x14ac:dyDescent="0.25">
      <c r="D527" s="841"/>
      <c r="E527" s="398"/>
      <c r="F527" s="390"/>
      <c r="G527" s="390"/>
      <c r="H527" s="390"/>
      <c r="I527" s="390"/>
      <c r="J527" s="390"/>
      <c r="K527" s="392"/>
      <c r="L527" s="398"/>
      <c r="M527" s="400"/>
      <c r="N527" s="398"/>
      <c r="O527" s="398"/>
      <c r="P527" s="398"/>
      <c r="Q527" s="398"/>
      <c r="R527" s="401"/>
      <c r="S527" s="398"/>
      <c r="T527" s="398"/>
      <c r="U527" s="398"/>
    </row>
    <row r="528" spans="4:21" x14ac:dyDescent="0.25">
      <c r="D528" s="841"/>
      <c r="E528" s="398"/>
      <c r="F528" s="390"/>
      <c r="G528" s="390"/>
      <c r="H528" s="390"/>
      <c r="I528" s="390"/>
      <c r="J528" s="390"/>
      <c r="K528" s="392"/>
      <c r="L528" s="398"/>
      <c r="M528" s="400"/>
      <c r="N528" s="398"/>
      <c r="O528" s="398"/>
      <c r="P528" s="398"/>
      <c r="Q528" s="398"/>
      <c r="R528" s="401"/>
      <c r="S528" s="398"/>
      <c r="T528" s="398"/>
      <c r="U528" s="398"/>
    </row>
    <row r="529" spans="4:21" x14ac:dyDescent="0.25">
      <c r="D529" s="841"/>
      <c r="E529" s="398"/>
      <c r="F529" s="390"/>
      <c r="G529" s="390"/>
      <c r="H529" s="390"/>
      <c r="I529" s="390"/>
      <c r="J529" s="390"/>
      <c r="K529" s="392"/>
      <c r="L529" s="398"/>
      <c r="M529" s="400"/>
      <c r="N529" s="398"/>
      <c r="O529" s="398"/>
      <c r="P529" s="398"/>
      <c r="Q529" s="398"/>
      <c r="R529" s="401"/>
      <c r="S529" s="398"/>
      <c r="T529" s="398"/>
      <c r="U529" s="398"/>
    </row>
    <row r="530" spans="4:21" x14ac:dyDescent="0.25">
      <c r="D530" s="841"/>
      <c r="E530" s="398"/>
      <c r="F530" s="390"/>
      <c r="G530" s="390"/>
      <c r="H530" s="390"/>
      <c r="I530" s="390"/>
      <c r="J530" s="390"/>
      <c r="K530" s="392"/>
      <c r="L530" s="398"/>
      <c r="M530" s="400"/>
      <c r="N530" s="398"/>
      <c r="O530" s="398"/>
      <c r="P530" s="398"/>
      <c r="Q530" s="398"/>
      <c r="R530" s="401"/>
      <c r="S530" s="398"/>
      <c r="T530" s="398"/>
      <c r="U530" s="398"/>
    </row>
    <row r="531" spans="4:21" x14ac:dyDescent="0.25">
      <c r="D531" s="841"/>
      <c r="E531" s="398"/>
      <c r="F531" s="390"/>
      <c r="G531" s="390"/>
      <c r="H531" s="390"/>
      <c r="I531" s="390"/>
      <c r="J531" s="390"/>
      <c r="K531" s="392"/>
      <c r="L531" s="398"/>
      <c r="M531" s="400"/>
      <c r="N531" s="398"/>
      <c r="O531" s="398"/>
      <c r="P531" s="398"/>
      <c r="Q531" s="398"/>
      <c r="R531" s="401"/>
      <c r="S531" s="398"/>
      <c r="T531" s="398"/>
      <c r="U531" s="398"/>
    </row>
    <row r="532" spans="4:21" x14ac:dyDescent="0.25">
      <c r="D532" s="841"/>
      <c r="E532" s="398"/>
      <c r="F532" s="390"/>
      <c r="G532" s="390"/>
      <c r="H532" s="390"/>
      <c r="I532" s="390"/>
      <c r="J532" s="390"/>
      <c r="K532" s="392"/>
      <c r="L532" s="398"/>
      <c r="M532" s="400"/>
      <c r="N532" s="398"/>
      <c r="O532" s="398"/>
      <c r="P532" s="398"/>
      <c r="Q532" s="398"/>
      <c r="R532" s="401"/>
      <c r="S532" s="398"/>
      <c r="T532" s="398"/>
      <c r="U532" s="398"/>
    </row>
    <row r="533" spans="4:21" x14ac:dyDescent="0.25">
      <c r="D533" s="841"/>
      <c r="E533" s="398"/>
      <c r="F533" s="390"/>
      <c r="G533" s="390"/>
      <c r="H533" s="390"/>
      <c r="I533" s="390"/>
      <c r="J533" s="390"/>
      <c r="K533" s="392"/>
      <c r="L533" s="398"/>
      <c r="M533" s="400"/>
      <c r="N533" s="398"/>
      <c r="O533" s="398"/>
      <c r="P533" s="398"/>
      <c r="Q533" s="398"/>
      <c r="R533" s="401"/>
      <c r="S533" s="398"/>
      <c r="T533" s="398"/>
      <c r="U533" s="398"/>
    </row>
    <row r="534" spans="4:21" x14ac:dyDescent="0.25">
      <c r="D534" s="841"/>
      <c r="E534" s="398"/>
      <c r="F534" s="390"/>
      <c r="G534" s="390"/>
      <c r="H534" s="390"/>
      <c r="I534" s="390"/>
      <c r="J534" s="390"/>
      <c r="K534" s="392"/>
      <c r="L534" s="398"/>
      <c r="M534" s="400"/>
      <c r="N534" s="398"/>
      <c r="O534" s="398"/>
      <c r="P534" s="398"/>
      <c r="Q534" s="398"/>
      <c r="R534" s="401"/>
      <c r="S534" s="398"/>
      <c r="T534" s="398"/>
      <c r="U534" s="398"/>
    </row>
    <row r="535" spans="4:21" x14ac:dyDescent="0.25">
      <c r="D535" s="841"/>
      <c r="E535" s="398"/>
      <c r="F535" s="390"/>
      <c r="G535" s="390"/>
      <c r="H535" s="390"/>
      <c r="I535" s="390"/>
      <c r="J535" s="390"/>
      <c r="K535" s="392"/>
      <c r="L535" s="398"/>
      <c r="M535" s="400"/>
      <c r="N535" s="398"/>
      <c r="O535" s="398"/>
      <c r="P535" s="398"/>
      <c r="Q535" s="398"/>
      <c r="R535" s="401"/>
      <c r="S535" s="398"/>
      <c r="T535" s="398"/>
      <c r="U535" s="398"/>
    </row>
    <row r="536" spans="4:21" x14ac:dyDescent="0.25">
      <c r="D536" s="841"/>
      <c r="E536" s="398"/>
      <c r="F536" s="390"/>
      <c r="G536" s="390"/>
      <c r="H536" s="390"/>
      <c r="I536" s="390"/>
      <c r="J536" s="390"/>
      <c r="K536" s="392"/>
      <c r="L536" s="398"/>
      <c r="M536" s="400"/>
      <c r="N536" s="398"/>
      <c r="O536" s="398"/>
      <c r="P536" s="398"/>
      <c r="Q536" s="398"/>
      <c r="R536" s="401"/>
      <c r="S536" s="398"/>
      <c r="T536" s="398"/>
      <c r="U536" s="398"/>
    </row>
    <row r="537" spans="4:21" x14ac:dyDescent="0.25">
      <c r="D537" s="841"/>
      <c r="E537" s="398"/>
      <c r="F537" s="390"/>
      <c r="G537" s="390"/>
      <c r="H537" s="390"/>
      <c r="I537" s="390"/>
      <c r="J537" s="390"/>
      <c r="K537" s="392"/>
      <c r="L537" s="398"/>
      <c r="M537" s="400"/>
      <c r="N537" s="398"/>
      <c r="O537" s="398"/>
      <c r="P537" s="398"/>
      <c r="Q537" s="398"/>
      <c r="R537" s="401"/>
      <c r="S537" s="398"/>
      <c r="T537" s="398"/>
      <c r="U537" s="398"/>
    </row>
    <row r="538" spans="4:21" x14ac:dyDescent="0.25">
      <c r="D538" s="841"/>
      <c r="E538" s="398"/>
      <c r="F538" s="390"/>
      <c r="G538" s="390"/>
      <c r="H538" s="390"/>
      <c r="I538" s="390"/>
      <c r="J538" s="390"/>
      <c r="K538" s="392"/>
      <c r="L538" s="398"/>
      <c r="M538" s="400"/>
      <c r="N538" s="398"/>
      <c r="O538" s="398"/>
      <c r="P538" s="398"/>
      <c r="Q538" s="398"/>
      <c r="R538" s="401"/>
      <c r="S538" s="398"/>
      <c r="T538" s="398"/>
      <c r="U538" s="398"/>
    </row>
    <row r="539" spans="4:21" x14ac:dyDescent="0.25">
      <c r="D539" s="841"/>
      <c r="E539" s="398"/>
      <c r="F539" s="390"/>
      <c r="G539" s="390"/>
      <c r="H539" s="390"/>
      <c r="I539" s="390"/>
      <c r="J539" s="390"/>
      <c r="K539" s="392"/>
      <c r="L539" s="398"/>
      <c r="M539" s="400"/>
      <c r="N539" s="398"/>
      <c r="O539" s="398"/>
      <c r="P539" s="398"/>
      <c r="Q539" s="398"/>
      <c r="R539" s="401"/>
      <c r="S539" s="398"/>
      <c r="T539" s="398"/>
      <c r="U539" s="398"/>
    </row>
    <row r="540" spans="4:21" x14ac:dyDescent="0.25">
      <c r="D540" s="841"/>
      <c r="E540" s="398"/>
      <c r="F540" s="390"/>
      <c r="G540" s="390"/>
      <c r="H540" s="390"/>
      <c r="I540" s="390"/>
      <c r="J540" s="390"/>
      <c r="K540" s="392"/>
      <c r="L540" s="398"/>
      <c r="M540" s="400"/>
      <c r="N540" s="398"/>
      <c r="O540" s="398"/>
      <c r="P540" s="398"/>
      <c r="Q540" s="398"/>
      <c r="R540" s="401"/>
      <c r="S540" s="398"/>
      <c r="T540" s="398"/>
      <c r="U540" s="398"/>
    </row>
    <row r="541" spans="4:21" x14ac:dyDescent="0.25">
      <c r="D541" s="841"/>
      <c r="E541" s="398"/>
      <c r="F541" s="390"/>
      <c r="G541" s="390"/>
      <c r="H541" s="390"/>
      <c r="I541" s="390"/>
      <c r="J541" s="390"/>
      <c r="K541" s="392"/>
      <c r="L541" s="398"/>
      <c r="M541" s="400"/>
      <c r="N541" s="398"/>
      <c r="O541" s="398"/>
      <c r="P541" s="398"/>
      <c r="Q541" s="398"/>
      <c r="R541" s="401"/>
      <c r="S541" s="398"/>
      <c r="T541" s="398"/>
      <c r="U541" s="398"/>
    </row>
    <row r="542" spans="4:21" x14ac:dyDescent="0.25">
      <c r="D542" s="841"/>
      <c r="E542" s="398"/>
      <c r="F542" s="390"/>
      <c r="G542" s="390"/>
      <c r="H542" s="390"/>
      <c r="I542" s="390"/>
      <c r="J542" s="390"/>
      <c r="K542" s="392"/>
      <c r="L542" s="398"/>
      <c r="M542" s="400"/>
      <c r="N542" s="398"/>
      <c r="O542" s="398"/>
      <c r="P542" s="398"/>
      <c r="Q542" s="398"/>
      <c r="R542" s="401"/>
      <c r="S542" s="398"/>
      <c r="T542" s="398"/>
      <c r="U542" s="398"/>
    </row>
    <row r="543" spans="4:21" x14ac:dyDescent="0.25">
      <c r="D543" s="841"/>
      <c r="E543" s="398"/>
      <c r="F543" s="390"/>
      <c r="G543" s="390"/>
      <c r="H543" s="390"/>
      <c r="I543" s="390"/>
      <c r="J543" s="390"/>
      <c r="K543" s="392"/>
      <c r="L543" s="398"/>
      <c r="M543" s="400"/>
      <c r="N543" s="398"/>
      <c r="O543" s="398"/>
      <c r="P543" s="398"/>
      <c r="Q543" s="398"/>
      <c r="R543" s="401"/>
      <c r="S543" s="398"/>
      <c r="T543" s="398"/>
      <c r="U543" s="398"/>
    </row>
    <row r="544" spans="4:21" x14ac:dyDescent="0.25">
      <c r="D544" s="841"/>
      <c r="E544" s="398"/>
      <c r="F544" s="390"/>
      <c r="G544" s="390"/>
      <c r="H544" s="390"/>
      <c r="I544" s="390"/>
      <c r="J544" s="390"/>
      <c r="K544" s="392"/>
      <c r="L544" s="398"/>
      <c r="M544" s="400"/>
      <c r="N544" s="398"/>
      <c r="O544" s="398"/>
      <c r="P544" s="398"/>
      <c r="Q544" s="398"/>
      <c r="R544" s="401"/>
      <c r="S544" s="398"/>
      <c r="T544" s="398"/>
      <c r="U544" s="398"/>
    </row>
    <row r="545" spans="4:21" x14ac:dyDescent="0.25">
      <c r="D545" s="841"/>
      <c r="E545" s="398"/>
      <c r="F545" s="390"/>
      <c r="G545" s="390"/>
      <c r="H545" s="390"/>
      <c r="I545" s="390"/>
      <c r="J545" s="390"/>
      <c r="K545" s="392"/>
      <c r="L545" s="398"/>
      <c r="M545" s="400"/>
      <c r="N545" s="398"/>
      <c r="O545" s="398"/>
      <c r="P545" s="398"/>
      <c r="Q545" s="398"/>
      <c r="R545" s="401"/>
      <c r="S545" s="398"/>
      <c r="T545" s="398"/>
      <c r="U545" s="398"/>
    </row>
    <row r="546" spans="4:21" x14ac:dyDescent="0.25">
      <c r="D546" s="841"/>
      <c r="E546" s="398"/>
      <c r="F546" s="390"/>
      <c r="G546" s="390"/>
      <c r="H546" s="390"/>
      <c r="I546" s="390"/>
      <c r="J546" s="390"/>
      <c r="K546" s="392"/>
      <c r="L546" s="398"/>
      <c r="M546" s="400"/>
      <c r="N546" s="398"/>
      <c r="O546" s="398"/>
      <c r="P546" s="398"/>
      <c r="Q546" s="398"/>
      <c r="R546" s="401"/>
      <c r="S546" s="398"/>
      <c r="T546" s="398"/>
      <c r="U546" s="398"/>
    </row>
    <row r="547" spans="4:21" x14ac:dyDescent="0.25">
      <c r="D547" s="841"/>
      <c r="E547" s="398"/>
      <c r="F547" s="390"/>
      <c r="G547" s="390"/>
      <c r="H547" s="390"/>
      <c r="I547" s="390"/>
      <c r="J547" s="390"/>
      <c r="K547" s="392"/>
      <c r="L547" s="398"/>
      <c r="M547" s="400"/>
      <c r="N547" s="398"/>
      <c r="O547" s="398"/>
      <c r="P547" s="398"/>
      <c r="Q547" s="398"/>
      <c r="R547" s="401"/>
      <c r="S547" s="398"/>
      <c r="T547" s="398"/>
      <c r="U547" s="398"/>
    </row>
    <row r="548" spans="4:21" x14ac:dyDescent="0.25">
      <c r="D548" s="841"/>
      <c r="E548" s="398"/>
      <c r="F548" s="390"/>
      <c r="G548" s="390"/>
      <c r="H548" s="390"/>
      <c r="I548" s="390"/>
      <c r="J548" s="390"/>
      <c r="K548" s="392"/>
      <c r="L548" s="398"/>
      <c r="M548" s="400"/>
      <c r="N548" s="398"/>
      <c r="O548" s="398"/>
      <c r="P548" s="398"/>
      <c r="Q548" s="398"/>
      <c r="R548" s="401"/>
      <c r="S548" s="398"/>
      <c r="T548" s="398"/>
      <c r="U548" s="398"/>
    </row>
    <row r="549" spans="4:21" x14ac:dyDescent="0.25">
      <c r="D549" s="841"/>
      <c r="E549" s="398"/>
      <c r="F549" s="390"/>
      <c r="G549" s="390"/>
      <c r="H549" s="390"/>
      <c r="I549" s="390"/>
      <c r="J549" s="390"/>
      <c r="K549" s="392"/>
      <c r="L549" s="398"/>
      <c r="M549" s="400"/>
      <c r="N549" s="398"/>
      <c r="O549" s="398"/>
      <c r="P549" s="398"/>
      <c r="Q549" s="398"/>
      <c r="R549" s="401"/>
      <c r="S549" s="398"/>
      <c r="T549" s="398"/>
      <c r="U549" s="398"/>
    </row>
    <row r="550" spans="4:21" x14ac:dyDescent="0.25">
      <c r="D550" s="841"/>
      <c r="E550" s="398"/>
      <c r="F550" s="390"/>
      <c r="G550" s="390"/>
      <c r="H550" s="390"/>
      <c r="I550" s="390"/>
      <c r="J550" s="390"/>
      <c r="K550" s="392"/>
      <c r="L550" s="398"/>
      <c r="M550" s="400"/>
      <c r="N550" s="398"/>
      <c r="O550" s="398"/>
      <c r="P550" s="398"/>
      <c r="Q550" s="398"/>
      <c r="R550" s="401"/>
      <c r="S550" s="398"/>
      <c r="T550" s="398"/>
      <c r="U550" s="398"/>
    </row>
    <row r="551" spans="4:21" x14ac:dyDescent="0.25">
      <c r="D551" s="841"/>
      <c r="E551" s="398"/>
      <c r="F551" s="390"/>
      <c r="G551" s="390"/>
      <c r="H551" s="390"/>
      <c r="I551" s="390"/>
      <c r="J551" s="390"/>
      <c r="K551" s="392"/>
      <c r="L551" s="398"/>
      <c r="M551" s="400"/>
      <c r="N551" s="398"/>
      <c r="O551" s="398"/>
      <c r="P551" s="398"/>
      <c r="Q551" s="398"/>
      <c r="R551" s="401"/>
      <c r="S551" s="398"/>
      <c r="T551" s="398"/>
      <c r="U551" s="398"/>
    </row>
    <row r="552" spans="4:21" x14ac:dyDescent="0.25">
      <c r="D552" s="841"/>
      <c r="E552" s="398"/>
      <c r="F552" s="390"/>
      <c r="G552" s="390"/>
      <c r="H552" s="390"/>
      <c r="I552" s="390"/>
      <c r="J552" s="390"/>
      <c r="K552" s="392"/>
      <c r="L552" s="398"/>
      <c r="M552" s="400"/>
      <c r="N552" s="398"/>
      <c r="O552" s="398"/>
      <c r="P552" s="398"/>
      <c r="Q552" s="398"/>
      <c r="R552" s="401"/>
      <c r="S552" s="398"/>
      <c r="T552" s="398"/>
      <c r="U552" s="398"/>
    </row>
    <row r="553" spans="4:21" x14ac:dyDescent="0.25">
      <c r="D553" s="841"/>
      <c r="E553" s="398"/>
      <c r="F553" s="390"/>
      <c r="G553" s="390"/>
      <c r="H553" s="390"/>
      <c r="I553" s="390"/>
      <c r="J553" s="390"/>
      <c r="K553" s="392"/>
      <c r="L553" s="398"/>
      <c r="M553" s="400"/>
      <c r="N553" s="398"/>
      <c r="O553" s="398"/>
      <c r="P553" s="398"/>
      <c r="Q553" s="398"/>
      <c r="R553" s="401"/>
      <c r="S553" s="398"/>
      <c r="T553" s="398"/>
      <c r="U553" s="398"/>
    </row>
    <row r="554" spans="4:21" x14ac:dyDescent="0.25">
      <c r="D554" s="841"/>
      <c r="E554" s="398"/>
      <c r="F554" s="390"/>
      <c r="G554" s="390"/>
      <c r="H554" s="390"/>
      <c r="I554" s="390"/>
      <c r="J554" s="390"/>
      <c r="K554" s="392"/>
      <c r="L554" s="398"/>
      <c r="M554" s="400"/>
      <c r="N554" s="398"/>
      <c r="O554" s="398"/>
      <c r="P554" s="398"/>
      <c r="Q554" s="398"/>
      <c r="R554" s="401"/>
      <c r="S554" s="398"/>
      <c r="T554" s="398"/>
      <c r="U554" s="398"/>
    </row>
    <row r="555" spans="4:21" x14ac:dyDescent="0.25">
      <c r="D555" s="841"/>
      <c r="E555" s="398"/>
      <c r="F555" s="390"/>
      <c r="G555" s="390"/>
      <c r="H555" s="390"/>
      <c r="I555" s="390"/>
      <c r="J555" s="390"/>
      <c r="K555" s="392"/>
      <c r="L555" s="398"/>
      <c r="M555" s="400"/>
      <c r="N555" s="398"/>
      <c r="O555" s="398"/>
      <c r="P555" s="398"/>
      <c r="Q555" s="398"/>
      <c r="R555" s="401"/>
      <c r="S555" s="398"/>
      <c r="T555" s="398"/>
      <c r="U555" s="398"/>
    </row>
    <row r="556" spans="4:21" x14ac:dyDescent="0.25">
      <c r="D556" s="841"/>
      <c r="E556" s="398"/>
      <c r="F556" s="390"/>
      <c r="G556" s="390"/>
      <c r="H556" s="390"/>
      <c r="I556" s="390"/>
      <c r="J556" s="390"/>
      <c r="K556" s="392"/>
      <c r="L556" s="398"/>
      <c r="M556" s="400"/>
      <c r="N556" s="398"/>
      <c r="O556" s="398"/>
      <c r="P556" s="398"/>
      <c r="Q556" s="398"/>
      <c r="R556" s="401"/>
      <c r="S556" s="398"/>
      <c r="T556" s="398"/>
      <c r="U556" s="398"/>
    </row>
    <row r="557" spans="4:21" x14ac:dyDescent="0.25">
      <c r="D557" s="841"/>
      <c r="E557" s="398"/>
      <c r="F557" s="390"/>
      <c r="G557" s="390"/>
      <c r="H557" s="390"/>
      <c r="I557" s="390"/>
      <c r="J557" s="390"/>
      <c r="K557" s="392"/>
      <c r="L557" s="398"/>
      <c r="M557" s="400"/>
      <c r="N557" s="398"/>
      <c r="O557" s="398"/>
      <c r="P557" s="398"/>
      <c r="Q557" s="398"/>
      <c r="R557" s="401"/>
      <c r="S557" s="398"/>
      <c r="T557" s="398"/>
      <c r="U557" s="398"/>
    </row>
    <row r="558" spans="4:21" x14ac:dyDescent="0.25">
      <c r="D558" s="841"/>
      <c r="E558" s="398"/>
      <c r="F558" s="390"/>
      <c r="G558" s="390"/>
      <c r="H558" s="390"/>
      <c r="I558" s="390"/>
      <c r="J558" s="390"/>
      <c r="K558" s="392"/>
      <c r="L558" s="398"/>
      <c r="M558" s="400"/>
      <c r="N558" s="398"/>
      <c r="O558" s="398"/>
      <c r="P558" s="398"/>
      <c r="Q558" s="398"/>
      <c r="R558" s="401"/>
      <c r="S558" s="398"/>
      <c r="T558" s="398"/>
      <c r="U558" s="398"/>
    </row>
    <row r="559" spans="4:21" x14ac:dyDescent="0.25">
      <c r="D559" s="841"/>
      <c r="E559" s="398"/>
      <c r="F559" s="390"/>
      <c r="G559" s="390"/>
      <c r="H559" s="390"/>
      <c r="I559" s="390"/>
      <c r="J559" s="390"/>
      <c r="K559" s="392"/>
      <c r="L559" s="398"/>
      <c r="M559" s="400"/>
      <c r="N559" s="398"/>
      <c r="O559" s="398"/>
      <c r="P559" s="398"/>
      <c r="Q559" s="398"/>
      <c r="R559" s="401"/>
      <c r="S559" s="398"/>
      <c r="T559" s="398"/>
      <c r="U559" s="398"/>
    </row>
    <row r="560" spans="4:21" x14ac:dyDescent="0.25">
      <c r="D560" s="841"/>
      <c r="E560" s="398"/>
      <c r="F560" s="390"/>
      <c r="G560" s="390"/>
      <c r="H560" s="390"/>
      <c r="I560" s="390"/>
      <c r="J560" s="390"/>
      <c r="K560" s="392"/>
      <c r="L560" s="398"/>
      <c r="M560" s="400"/>
      <c r="N560" s="398"/>
      <c r="O560" s="398"/>
      <c r="P560" s="398"/>
      <c r="Q560" s="398"/>
      <c r="R560" s="401"/>
      <c r="S560" s="398"/>
      <c r="T560" s="398"/>
      <c r="U560" s="398"/>
    </row>
    <row r="561" spans="4:21" x14ac:dyDescent="0.25">
      <c r="D561" s="841"/>
      <c r="E561" s="398"/>
      <c r="F561" s="390"/>
      <c r="G561" s="390"/>
      <c r="H561" s="390"/>
      <c r="I561" s="390"/>
      <c r="J561" s="390"/>
      <c r="K561" s="392"/>
      <c r="L561" s="398"/>
      <c r="M561" s="400"/>
      <c r="N561" s="398"/>
      <c r="O561" s="398"/>
      <c r="P561" s="398"/>
      <c r="Q561" s="398"/>
      <c r="R561" s="401"/>
      <c r="S561" s="398"/>
      <c r="T561" s="398"/>
      <c r="U561" s="398"/>
    </row>
    <row r="562" spans="4:21" x14ac:dyDescent="0.25">
      <c r="D562" s="841"/>
      <c r="E562" s="398"/>
      <c r="F562" s="390"/>
      <c r="G562" s="390"/>
      <c r="H562" s="390"/>
      <c r="I562" s="390"/>
      <c r="J562" s="390"/>
      <c r="K562" s="392"/>
      <c r="L562" s="398"/>
      <c r="M562" s="400"/>
      <c r="N562" s="398"/>
      <c r="O562" s="398"/>
      <c r="P562" s="398"/>
      <c r="Q562" s="398"/>
      <c r="R562" s="401"/>
      <c r="S562" s="398"/>
      <c r="T562" s="398"/>
      <c r="U562" s="398"/>
    </row>
    <row r="563" spans="4:21" x14ac:dyDescent="0.25">
      <c r="D563" s="841"/>
      <c r="E563" s="398"/>
      <c r="F563" s="390"/>
      <c r="G563" s="390"/>
      <c r="H563" s="390"/>
      <c r="I563" s="390"/>
      <c r="J563" s="390"/>
      <c r="K563" s="392"/>
      <c r="L563" s="398"/>
      <c r="M563" s="400"/>
      <c r="N563" s="398"/>
      <c r="O563" s="398"/>
      <c r="P563" s="398"/>
      <c r="Q563" s="398"/>
      <c r="R563" s="401"/>
      <c r="S563" s="398"/>
      <c r="T563" s="398"/>
      <c r="U563" s="398"/>
    </row>
    <row r="564" spans="4:21" x14ac:dyDescent="0.25">
      <c r="D564" s="841"/>
      <c r="E564" s="398"/>
      <c r="F564" s="390"/>
      <c r="G564" s="390"/>
      <c r="H564" s="390"/>
      <c r="I564" s="390"/>
      <c r="J564" s="390"/>
      <c r="K564" s="392"/>
      <c r="L564" s="398"/>
      <c r="M564" s="400"/>
      <c r="N564" s="398"/>
      <c r="O564" s="398"/>
      <c r="P564" s="398"/>
      <c r="Q564" s="398"/>
      <c r="R564" s="401"/>
      <c r="S564" s="398"/>
      <c r="T564" s="398"/>
      <c r="U564" s="398"/>
    </row>
    <row r="565" spans="4:21" x14ac:dyDescent="0.25">
      <c r="D565" s="841"/>
      <c r="E565" s="398"/>
      <c r="F565" s="390"/>
      <c r="G565" s="390"/>
      <c r="H565" s="390"/>
      <c r="I565" s="390"/>
      <c r="J565" s="390"/>
      <c r="K565" s="392"/>
      <c r="L565" s="398"/>
      <c r="M565" s="400"/>
      <c r="N565" s="398"/>
      <c r="O565" s="398"/>
      <c r="P565" s="398"/>
      <c r="Q565" s="398"/>
      <c r="R565" s="401"/>
      <c r="S565" s="398"/>
      <c r="T565" s="398"/>
      <c r="U565" s="398"/>
    </row>
    <row r="566" spans="4:21" x14ac:dyDescent="0.25">
      <c r="D566" s="841"/>
      <c r="E566" s="398"/>
      <c r="F566" s="390"/>
      <c r="G566" s="390"/>
      <c r="H566" s="390"/>
      <c r="I566" s="390"/>
      <c r="J566" s="390"/>
      <c r="K566" s="392"/>
      <c r="L566" s="398"/>
      <c r="M566" s="400"/>
      <c r="N566" s="398"/>
      <c r="O566" s="398"/>
      <c r="P566" s="398"/>
      <c r="Q566" s="398"/>
      <c r="R566" s="401"/>
      <c r="S566" s="398"/>
      <c r="T566" s="398"/>
      <c r="U566" s="398"/>
    </row>
    <row r="567" spans="4:21" x14ac:dyDescent="0.25">
      <c r="D567" s="841"/>
      <c r="E567" s="398"/>
      <c r="F567" s="390"/>
      <c r="G567" s="390"/>
      <c r="H567" s="390"/>
      <c r="I567" s="390"/>
      <c r="J567" s="390"/>
      <c r="K567" s="392"/>
      <c r="L567" s="398"/>
      <c r="M567" s="400"/>
      <c r="N567" s="398"/>
      <c r="O567" s="398"/>
      <c r="P567" s="398"/>
      <c r="Q567" s="398"/>
      <c r="R567" s="401"/>
      <c r="S567" s="398"/>
      <c r="T567" s="398"/>
      <c r="U567" s="398"/>
    </row>
    <row r="568" spans="4:21" x14ac:dyDescent="0.25">
      <c r="D568" s="841"/>
      <c r="E568" s="398"/>
      <c r="F568" s="390"/>
      <c r="G568" s="390"/>
      <c r="H568" s="390"/>
      <c r="I568" s="390"/>
      <c r="J568" s="390"/>
      <c r="K568" s="392"/>
      <c r="L568" s="398"/>
      <c r="M568" s="400"/>
      <c r="N568" s="398"/>
      <c r="O568" s="398"/>
      <c r="P568" s="398"/>
      <c r="Q568" s="398"/>
      <c r="R568" s="401"/>
      <c r="S568" s="398"/>
      <c r="T568" s="398"/>
      <c r="U568" s="398"/>
    </row>
    <row r="569" spans="4:21" x14ac:dyDescent="0.25">
      <c r="D569" s="841"/>
      <c r="E569" s="398"/>
      <c r="F569" s="390"/>
      <c r="G569" s="390"/>
      <c r="H569" s="390"/>
      <c r="I569" s="390"/>
      <c r="J569" s="390"/>
      <c r="K569" s="392"/>
      <c r="L569" s="398"/>
      <c r="M569" s="400"/>
      <c r="N569" s="398"/>
      <c r="O569" s="398"/>
      <c r="P569" s="398"/>
      <c r="Q569" s="398"/>
      <c r="R569" s="401"/>
      <c r="S569" s="398"/>
      <c r="T569" s="398"/>
      <c r="U569" s="398"/>
    </row>
    <row r="570" spans="4:21" x14ac:dyDescent="0.25">
      <c r="D570" s="841"/>
      <c r="E570" s="398"/>
      <c r="F570" s="390"/>
      <c r="G570" s="390"/>
      <c r="H570" s="390"/>
      <c r="I570" s="390"/>
      <c r="J570" s="390"/>
      <c r="K570" s="392"/>
      <c r="L570" s="398"/>
      <c r="M570" s="400"/>
      <c r="N570" s="398"/>
      <c r="O570" s="398"/>
      <c r="P570" s="398"/>
      <c r="Q570" s="398"/>
      <c r="R570" s="401"/>
      <c r="S570" s="398"/>
      <c r="T570" s="398"/>
      <c r="U570" s="398"/>
    </row>
    <row r="571" spans="4:21" x14ac:dyDescent="0.25">
      <c r="D571" s="841"/>
      <c r="E571" s="398"/>
      <c r="F571" s="390"/>
      <c r="G571" s="390"/>
      <c r="H571" s="390"/>
      <c r="I571" s="390"/>
      <c r="J571" s="390"/>
      <c r="K571" s="392"/>
      <c r="L571" s="398"/>
      <c r="M571" s="400"/>
      <c r="N571" s="398"/>
      <c r="O571" s="398"/>
      <c r="P571" s="398"/>
      <c r="Q571" s="398"/>
      <c r="R571" s="401"/>
      <c r="S571" s="398"/>
      <c r="T571" s="398"/>
      <c r="U571" s="398"/>
    </row>
    <row r="572" spans="4:21" x14ac:dyDescent="0.25">
      <c r="D572" s="841"/>
      <c r="E572" s="398"/>
      <c r="F572" s="390"/>
      <c r="G572" s="390"/>
      <c r="H572" s="390"/>
      <c r="I572" s="390"/>
      <c r="J572" s="390"/>
      <c r="K572" s="392"/>
      <c r="L572" s="398"/>
      <c r="M572" s="400"/>
      <c r="N572" s="398"/>
      <c r="O572" s="398"/>
      <c r="P572" s="398"/>
      <c r="Q572" s="398"/>
      <c r="R572" s="401"/>
      <c r="S572" s="398"/>
      <c r="T572" s="398"/>
      <c r="U572" s="398"/>
    </row>
    <row r="573" spans="4:21" x14ac:dyDescent="0.25">
      <c r="D573" s="841"/>
      <c r="E573" s="398"/>
      <c r="F573" s="390"/>
      <c r="G573" s="390"/>
      <c r="H573" s="390"/>
      <c r="I573" s="390"/>
      <c r="J573" s="390"/>
      <c r="K573" s="392"/>
      <c r="L573" s="398"/>
      <c r="M573" s="400"/>
      <c r="N573" s="398"/>
      <c r="O573" s="398"/>
      <c r="P573" s="398"/>
      <c r="Q573" s="398"/>
      <c r="R573" s="401"/>
      <c r="S573" s="398"/>
      <c r="T573" s="398"/>
      <c r="U573" s="398"/>
    </row>
    <row r="574" spans="4:21" x14ac:dyDescent="0.25">
      <c r="D574" s="841"/>
      <c r="E574" s="398"/>
      <c r="F574" s="390"/>
      <c r="G574" s="390"/>
      <c r="H574" s="390"/>
      <c r="I574" s="390"/>
      <c r="J574" s="390"/>
      <c r="K574" s="392"/>
      <c r="L574" s="398"/>
      <c r="M574" s="400"/>
      <c r="N574" s="398"/>
      <c r="O574" s="398"/>
      <c r="P574" s="398"/>
      <c r="Q574" s="398"/>
      <c r="R574" s="401"/>
      <c r="S574" s="398"/>
      <c r="T574" s="398"/>
      <c r="U574" s="398"/>
    </row>
    <row r="575" spans="4:21" x14ac:dyDescent="0.25">
      <c r="D575" s="841"/>
      <c r="E575" s="398"/>
      <c r="F575" s="390"/>
      <c r="G575" s="390"/>
      <c r="H575" s="390"/>
      <c r="I575" s="390"/>
      <c r="J575" s="390"/>
      <c r="K575" s="392"/>
      <c r="L575" s="398"/>
      <c r="M575" s="400"/>
      <c r="N575" s="398"/>
      <c r="O575" s="398"/>
      <c r="P575" s="398"/>
      <c r="Q575" s="398"/>
      <c r="R575" s="401"/>
      <c r="S575" s="398"/>
      <c r="T575" s="398"/>
      <c r="U575" s="398"/>
    </row>
    <row r="576" spans="4:21" x14ac:dyDescent="0.25">
      <c r="D576" s="841"/>
      <c r="E576" s="398"/>
      <c r="F576" s="390"/>
      <c r="G576" s="390"/>
      <c r="H576" s="390"/>
      <c r="I576" s="390"/>
      <c r="J576" s="390"/>
      <c r="K576" s="392"/>
      <c r="L576" s="398"/>
      <c r="M576" s="400"/>
      <c r="N576" s="398"/>
      <c r="O576" s="398"/>
      <c r="P576" s="398"/>
      <c r="Q576" s="398"/>
      <c r="R576" s="401"/>
      <c r="S576" s="398"/>
      <c r="T576" s="398"/>
      <c r="U576" s="398"/>
    </row>
    <row r="577" spans="4:21" x14ac:dyDescent="0.25">
      <c r="D577" s="841"/>
      <c r="E577" s="398"/>
      <c r="F577" s="390"/>
      <c r="G577" s="390"/>
      <c r="H577" s="390"/>
      <c r="I577" s="390"/>
      <c r="J577" s="390"/>
      <c r="K577" s="392"/>
      <c r="L577" s="398"/>
      <c r="M577" s="400"/>
      <c r="N577" s="398"/>
      <c r="O577" s="398"/>
      <c r="P577" s="398"/>
      <c r="Q577" s="398"/>
      <c r="R577" s="401"/>
      <c r="S577" s="398"/>
      <c r="T577" s="398"/>
      <c r="U577" s="398"/>
    </row>
    <row r="578" spans="4:21" x14ac:dyDescent="0.25">
      <c r="D578" s="841"/>
      <c r="E578" s="398"/>
      <c r="F578" s="390"/>
      <c r="G578" s="390"/>
      <c r="H578" s="390"/>
      <c r="I578" s="390"/>
      <c r="J578" s="390"/>
      <c r="K578" s="392"/>
      <c r="L578" s="398"/>
      <c r="M578" s="400"/>
      <c r="N578" s="398"/>
      <c r="O578" s="398"/>
      <c r="P578" s="398"/>
      <c r="Q578" s="398"/>
      <c r="R578" s="401"/>
      <c r="S578" s="398"/>
      <c r="T578" s="398"/>
      <c r="U578" s="398"/>
    </row>
    <row r="579" spans="4:21" x14ac:dyDescent="0.25">
      <c r="D579" s="841"/>
      <c r="E579" s="398"/>
      <c r="F579" s="390"/>
      <c r="G579" s="390"/>
      <c r="H579" s="390"/>
      <c r="I579" s="390"/>
      <c r="J579" s="390"/>
      <c r="K579" s="392"/>
      <c r="L579" s="398"/>
      <c r="M579" s="400"/>
      <c r="N579" s="398"/>
      <c r="O579" s="398"/>
      <c r="P579" s="398"/>
      <c r="Q579" s="398"/>
      <c r="R579" s="401"/>
      <c r="S579" s="398"/>
      <c r="T579" s="398"/>
      <c r="U579" s="398"/>
    </row>
    <row r="580" spans="4:21" x14ac:dyDescent="0.25">
      <c r="D580" s="841"/>
      <c r="E580" s="398"/>
      <c r="F580" s="390"/>
      <c r="G580" s="390"/>
      <c r="H580" s="390"/>
      <c r="I580" s="390"/>
      <c r="J580" s="390"/>
      <c r="K580" s="392"/>
      <c r="L580" s="398"/>
      <c r="M580" s="400"/>
      <c r="N580" s="398"/>
      <c r="O580" s="398"/>
      <c r="P580" s="398"/>
      <c r="Q580" s="398"/>
      <c r="R580" s="401"/>
      <c r="S580" s="398"/>
      <c r="T580" s="398"/>
      <c r="U580" s="398"/>
    </row>
    <row r="581" spans="4:21" x14ac:dyDescent="0.25">
      <c r="D581" s="841"/>
      <c r="E581" s="398"/>
      <c r="F581" s="390"/>
      <c r="G581" s="390"/>
      <c r="H581" s="390"/>
      <c r="I581" s="390"/>
      <c r="J581" s="390"/>
      <c r="K581" s="392"/>
      <c r="L581" s="398"/>
      <c r="M581" s="400"/>
      <c r="N581" s="398"/>
      <c r="O581" s="398"/>
      <c r="P581" s="398"/>
      <c r="Q581" s="398"/>
      <c r="R581" s="401"/>
      <c r="S581" s="398"/>
      <c r="T581" s="398"/>
      <c r="U581" s="398"/>
    </row>
    <row r="582" spans="4:21" x14ac:dyDescent="0.25">
      <c r="D582" s="841"/>
      <c r="E582" s="398"/>
      <c r="F582" s="390"/>
      <c r="G582" s="390"/>
      <c r="H582" s="390"/>
      <c r="I582" s="390"/>
      <c r="J582" s="390"/>
      <c r="K582" s="392"/>
      <c r="L582" s="398"/>
      <c r="M582" s="400"/>
      <c r="N582" s="398"/>
      <c r="O582" s="398"/>
      <c r="P582" s="398"/>
      <c r="Q582" s="398"/>
      <c r="R582" s="401"/>
      <c r="S582" s="398"/>
      <c r="T582" s="398"/>
      <c r="U582" s="398"/>
    </row>
    <row r="583" spans="4:21" x14ac:dyDescent="0.25">
      <c r="D583" s="841"/>
      <c r="E583" s="398"/>
      <c r="F583" s="390"/>
      <c r="G583" s="390"/>
      <c r="H583" s="390"/>
      <c r="I583" s="390"/>
      <c r="J583" s="390"/>
      <c r="K583" s="392"/>
      <c r="L583" s="398"/>
      <c r="M583" s="400"/>
      <c r="N583" s="398"/>
      <c r="O583" s="398"/>
      <c r="P583" s="398"/>
      <c r="Q583" s="398"/>
      <c r="R583" s="401"/>
      <c r="S583" s="398"/>
      <c r="T583" s="398"/>
      <c r="U583" s="398"/>
    </row>
    <row r="584" spans="4:21" x14ac:dyDescent="0.25">
      <c r="D584" s="841"/>
      <c r="E584" s="398"/>
      <c r="F584" s="390"/>
      <c r="G584" s="390"/>
      <c r="H584" s="390"/>
      <c r="I584" s="390"/>
      <c r="J584" s="390"/>
      <c r="K584" s="392"/>
      <c r="L584" s="398"/>
      <c r="M584" s="400"/>
      <c r="N584" s="398"/>
      <c r="O584" s="398"/>
      <c r="P584" s="398"/>
      <c r="Q584" s="398"/>
      <c r="R584" s="401"/>
      <c r="S584" s="398"/>
      <c r="T584" s="398"/>
      <c r="U584" s="398"/>
    </row>
    <row r="585" spans="4:21" x14ac:dyDescent="0.25">
      <c r="D585" s="841"/>
      <c r="E585" s="398"/>
      <c r="F585" s="390"/>
      <c r="G585" s="390"/>
      <c r="H585" s="390"/>
      <c r="I585" s="390"/>
      <c r="J585" s="390"/>
      <c r="K585" s="392"/>
      <c r="L585" s="398"/>
      <c r="M585" s="400"/>
      <c r="N585" s="398"/>
      <c r="O585" s="398"/>
      <c r="P585" s="398"/>
      <c r="Q585" s="398"/>
      <c r="R585" s="401"/>
      <c r="S585" s="398"/>
      <c r="T585" s="398"/>
      <c r="U585" s="398"/>
    </row>
    <row r="586" spans="4:21" x14ac:dyDescent="0.25">
      <c r="D586" s="841"/>
      <c r="E586" s="398"/>
      <c r="F586" s="390"/>
      <c r="G586" s="390"/>
      <c r="H586" s="390"/>
      <c r="I586" s="390"/>
      <c r="J586" s="390"/>
      <c r="K586" s="392"/>
      <c r="L586" s="398"/>
      <c r="M586" s="400"/>
      <c r="N586" s="398"/>
      <c r="O586" s="398"/>
      <c r="P586" s="398"/>
      <c r="Q586" s="398"/>
      <c r="R586" s="401"/>
      <c r="S586" s="398"/>
      <c r="T586" s="398"/>
      <c r="U586" s="398"/>
    </row>
    <row r="587" spans="4:21" x14ac:dyDescent="0.25">
      <c r="D587" s="841"/>
      <c r="E587" s="398"/>
      <c r="F587" s="390"/>
      <c r="G587" s="390"/>
      <c r="H587" s="390"/>
      <c r="I587" s="390"/>
      <c r="J587" s="390"/>
      <c r="K587" s="392"/>
      <c r="L587" s="398"/>
      <c r="M587" s="400"/>
      <c r="N587" s="398"/>
      <c r="O587" s="398"/>
      <c r="P587" s="398"/>
      <c r="Q587" s="398"/>
      <c r="R587" s="401"/>
      <c r="S587" s="398"/>
      <c r="T587" s="398"/>
      <c r="U587" s="398"/>
    </row>
    <row r="588" spans="4:21" x14ac:dyDescent="0.25">
      <c r="D588" s="841"/>
      <c r="E588" s="398"/>
      <c r="F588" s="390"/>
      <c r="G588" s="390"/>
      <c r="H588" s="390"/>
      <c r="I588" s="390"/>
      <c r="J588" s="390"/>
      <c r="K588" s="392"/>
      <c r="L588" s="398"/>
      <c r="M588" s="400"/>
      <c r="N588" s="398"/>
      <c r="O588" s="398"/>
      <c r="P588" s="398"/>
      <c r="Q588" s="398"/>
      <c r="R588" s="401"/>
      <c r="S588" s="398"/>
      <c r="T588" s="398"/>
      <c r="U588" s="398"/>
    </row>
    <row r="589" spans="4:21" x14ac:dyDescent="0.25">
      <c r="D589" s="841"/>
      <c r="E589" s="398"/>
      <c r="F589" s="390"/>
      <c r="G589" s="390"/>
      <c r="H589" s="390"/>
      <c r="I589" s="390"/>
      <c r="J589" s="390"/>
      <c r="K589" s="392"/>
      <c r="L589" s="398"/>
      <c r="M589" s="400"/>
      <c r="N589" s="398"/>
      <c r="O589" s="398"/>
      <c r="P589" s="398"/>
      <c r="Q589" s="398"/>
      <c r="R589" s="401"/>
      <c r="S589" s="398"/>
      <c r="T589" s="398"/>
      <c r="U589" s="398"/>
    </row>
    <row r="590" spans="4:21" x14ac:dyDescent="0.25">
      <c r="D590" s="841"/>
      <c r="E590" s="398"/>
      <c r="F590" s="390"/>
      <c r="G590" s="390"/>
      <c r="H590" s="390"/>
      <c r="I590" s="390"/>
      <c r="J590" s="390"/>
      <c r="K590" s="392"/>
      <c r="L590" s="398"/>
      <c r="M590" s="400"/>
      <c r="N590" s="398"/>
      <c r="O590" s="398"/>
      <c r="P590" s="398"/>
      <c r="Q590" s="398"/>
      <c r="R590" s="401"/>
      <c r="S590" s="398"/>
      <c r="T590" s="398"/>
      <c r="U590" s="398"/>
    </row>
    <row r="591" spans="4:21" x14ac:dyDescent="0.25">
      <c r="D591" s="841"/>
      <c r="E591" s="398"/>
      <c r="F591" s="390"/>
      <c r="G591" s="390"/>
      <c r="H591" s="390"/>
      <c r="I591" s="390"/>
      <c r="J591" s="390"/>
      <c r="K591" s="392"/>
      <c r="L591" s="398"/>
      <c r="M591" s="400"/>
      <c r="N591" s="398"/>
      <c r="O591" s="398"/>
      <c r="P591" s="398"/>
      <c r="Q591" s="398"/>
      <c r="R591" s="401"/>
      <c r="S591" s="398"/>
      <c r="T591" s="398"/>
      <c r="U591" s="398"/>
    </row>
    <row r="592" spans="4:21" x14ac:dyDescent="0.25">
      <c r="D592" s="841"/>
      <c r="E592" s="398"/>
      <c r="F592" s="390"/>
      <c r="G592" s="390"/>
      <c r="H592" s="390"/>
      <c r="I592" s="390"/>
      <c r="J592" s="390"/>
      <c r="K592" s="392"/>
      <c r="L592" s="398"/>
      <c r="M592" s="400"/>
      <c r="N592" s="398"/>
      <c r="O592" s="398"/>
      <c r="P592" s="398"/>
      <c r="Q592" s="398"/>
      <c r="R592" s="401"/>
      <c r="S592" s="398"/>
      <c r="T592" s="398"/>
      <c r="U592" s="398"/>
    </row>
    <row r="593" spans="4:21" x14ac:dyDescent="0.25">
      <c r="D593" s="841"/>
      <c r="E593" s="398"/>
      <c r="F593" s="390"/>
      <c r="G593" s="390"/>
      <c r="H593" s="390"/>
      <c r="I593" s="390"/>
      <c r="J593" s="390"/>
      <c r="K593" s="392"/>
      <c r="L593" s="398"/>
      <c r="M593" s="400"/>
      <c r="N593" s="398"/>
      <c r="O593" s="398"/>
      <c r="P593" s="398"/>
      <c r="Q593" s="398"/>
      <c r="R593" s="401"/>
      <c r="S593" s="398"/>
      <c r="T593" s="398"/>
      <c r="U593" s="398"/>
    </row>
    <row r="594" spans="4:21" x14ac:dyDescent="0.25">
      <c r="D594" s="841"/>
      <c r="E594" s="398"/>
      <c r="F594" s="390"/>
      <c r="G594" s="390"/>
      <c r="H594" s="390"/>
      <c r="I594" s="390"/>
      <c r="J594" s="390"/>
      <c r="K594" s="392"/>
      <c r="L594" s="398"/>
      <c r="M594" s="400"/>
      <c r="N594" s="398"/>
      <c r="O594" s="398"/>
      <c r="P594" s="398"/>
      <c r="Q594" s="398"/>
      <c r="R594" s="401"/>
      <c r="S594" s="398"/>
      <c r="T594" s="398"/>
      <c r="U594" s="398"/>
    </row>
    <row r="595" spans="4:21" x14ac:dyDescent="0.25">
      <c r="D595" s="841"/>
      <c r="E595" s="398"/>
      <c r="F595" s="390"/>
      <c r="G595" s="390"/>
      <c r="H595" s="390"/>
      <c r="I595" s="390"/>
      <c r="J595" s="390"/>
      <c r="K595" s="392"/>
      <c r="L595" s="398"/>
      <c r="M595" s="400"/>
      <c r="N595" s="398"/>
      <c r="O595" s="398"/>
      <c r="P595" s="398"/>
      <c r="Q595" s="398"/>
      <c r="R595" s="401"/>
      <c r="S595" s="398"/>
      <c r="T595" s="398"/>
      <c r="U595" s="398"/>
    </row>
    <row r="596" spans="4:21" x14ac:dyDescent="0.25">
      <c r="D596" s="841"/>
      <c r="E596" s="398"/>
      <c r="F596" s="390"/>
      <c r="G596" s="390"/>
      <c r="H596" s="390"/>
      <c r="I596" s="390"/>
      <c r="J596" s="390"/>
      <c r="K596" s="392"/>
      <c r="L596" s="398"/>
      <c r="M596" s="400"/>
      <c r="N596" s="398"/>
      <c r="O596" s="398"/>
      <c r="P596" s="398"/>
      <c r="Q596" s="398"/>
      <c r="R596" s="401"/>
      <c r="S596" s="398"/>
      <c r="T596" s="398"/>
      <c r="U596" s="398"/>
    </row>
    <row r="597" spans="4:21" x14ac:dyDescent="0.25">
      <c r="D597" s="841"/>
      <c r="E597" s="398"/>
      <c r="F597" s="390"/>
      <c r="G597" s="390"/>
      <c r="H597" s="390"/>
      <c r="I597" s="390"/>
      <c r="J597" s="390"/>
      <c r="K597" s="392"/>
      <c r="L597" s="398"/>
      <c r="M597" s="400"/>
      <c r="N597" s="398"/>
      <c r="O597" s="398"/>
      <c r="P597" s="398"/>
      <c r="Q597" s="398"/>
      <c r="R597" s="401"/>
      <c r="S597" s="398"/>
      <c r="T597" s="398"/>
      <c r="U597" s="398"/>
    </row>
    <row r="598" spans="4:21" x14ac:dyDescent="0.25">
      <c r="D598" s="841"/>
      <c r="E598" s="398"/>
      <c r="F598" s="390"/>
      <c r="G598" s="390"/>
      <c r="H598" s="390"/>
      <c r="I598" s="390"/>
      <c r="J598" s="390"/>
      <c r="K598" s="392"/>
      <c r="L598" s="398"/>
      <c r="M598" s="400"/>
      <c r="N598" s="398"/>
      <c r="O598" s="398"/>
      <c r="P598" s="398"/>
      <c r="Q598" s="398"/>
      <c r="R598" s="401"/>
      <c r="S598" s="398"/>
      <c r="T598" s="398"/>
      <c r="U598" s="398"/>
    </row>
    <row r="599" spans="4:21" x14ac:dyDescent="0.25">
      <c r="D599" s="841"/>
      <c r="E599" s="398"/>
      <c r="F599" s="390"/>
      <c r="G599" s="390"/>
      <c r="H599" s="390"/>
      <c r="I599" s="390"/>
      <c r="J599" s="390"/>
      <c r="K599" s="392"/>
      <c r="L599" s="398"/>
      <c r="M599" s="400"/>
      <c r="N599" s="398"/>
      <c r="O599" s="398"/>
      <c r="P599" s="398"/>
      <c r="Q599" s="398"/>
      <c r="R599" s="401"/>
      <c r="S599" s="398"/>
      <c r="T599" s="398"/>
      <c r="U599" s="398"/>
    </row>
    <row r="600" spans="4:21" x14ac:dyDescent="0.25">
      <c r="D600" s="841"/>
      <c r="E600" s="398"/>
      <c r="F600" s="390"/>
      <c r="G600" s="390"/>
      <c r="H600" s="390"/>
      <c r="I600" s="390"/>
      <c r="J600" s="390"/>
      <c r="K600" s="392"/>
      <c r="L600" s="398"/>
      <c r="M600" s="400"/>
      <c r="N600" s="398"/>
      <c r="O600" s="398"/>
      <c r="P600" s="398"/>
      <c r="Q600" s="398"/>
      <c r="R600" s="401"/>
      <c r="S600" s="398"/>
      <c r="T600" s="398"/>
      <c r="U600" s="398"/>
    </row>
    <row r="601" spans="4:21" x14ac:dyDescent="0.25">
      <c r="D601" s="841"/>
      <c r="E601" s="398"/>
      <c r="F601" s="390"/>
      <c r="G601" s="390"/>
      <c r="H601" s="390"/>
      <c r="I601" s="390"/>
      <c r="J601" s="390"/>
      <c r="K601" s="392"/>
      <c r="L601" s="398"/>
      <c r="M601" s="400"/>
      <c r="N601" s="398"/>
      <c r="O601" s="398"/>
      <c r="P601" s="398"/>
      <c r="Q601" s="398"/>
      <c r="R601" s="401"/>
      <c r="S601" s="398"/>
      <c r="T601" s="398"/>
      <c r="U601" s="398"/>
    </row>
    <row r="602" spans="4:21" x14ac:dyDescent="0.25">
      <c r="D602" s="841"/>
      <c r="E602" s="398"/>
      <c r="F602" s="390"/>
      <c r="G602" s="390"/>
      <c r="H602" s="390"/>
      <c r="I602" s="390"/>
      <c r="J602" s="390"/>
      <c r="K602" s="392"/>
      <c r="L602" s="398"/>
      <c r="M602" s="400"/>
      <c r="N602" s="398"/>
      <c r="O602" s="398"/>
      <c r="P602" s="398"/>
      <c r="Q602" s="398"/>
      <c r="R602" s="401"/>
      <c r="S602" s="398"/>
      <c r="T602" s="398"/>
      <c r="U602" s="398"/>
    </row>
    <row r="603" spans="4:21" x14ac:dyDescent="0.25">
      <c r="D603" s="841"/>
      <c r="E603" s="398"/>
      <c r="F603" s="390"/>
      <c r="G603" s="390"/>
      <c r="H603" s="390"/>
      <c r="I603" s="390"/>
      <c r="J603" s="390"/>
      <c r="K603" s="392"/>
      <c r="L603" s="398"/>
      <c r="M603" s="400"/>
      <c r="N603" s="398"/>
      <c r="O603" s="398"/>
      <c r="P603" s="398"/>
      <c r="Q603" s="398"/>
      <c r="R603" s="401"/>
      <c r="S603" s="398"/>
      <c r="T603" s="398"/>
      <c r="U603" s="398"/>
    </row>
    <row r="604" spans="4:21" x14ac:dyDescent="0.25">
      <c r="D604" s="841"/>
      <c r="E604" s="398"/>
      <c r="F604" s="390"/>
      <c r="G604" s="390"/>
      <c r="H604" s="390"/>
      <c r="I604" s="390"/>
      <c r="J604" s="390"/>
      <c r="K604" s="392"/>
      <c r="L604" s="398"/>
      <c r="M604" s="400"/>
      <c r="N604" s="398"/>
      <c r="O604" s="398"/>
      <c r="P604" s="398"/>
      <c r="Q604" s="398"/>
      <c r="R604" s="401"/>
      <c r="S604" s="398"/>
      <c r="T604" s="398"/>
      <c r="U604" s="398"/>
    </row>
    <row r="605" spans="4:21" x14ac:dyDescent="0.25">
      <c r="D605" s="841"/>
      <c r="E605" s="398"/>
      <c r="F605" s="390"/>
      <c r="G605" s="390"/>
      <c r="H605" s="390"/>
      <c r="I605" s="390"/>
      <c r="J605" s="390"/>
      <c r="K605" s="392"/>
      <c r="L605" s="398"/>
      <c r="M605" s="400"/>
      <c r="N605" s="398"/>
      <c r="O605" s="398"/>
      <c r="P605" s="398"/>
      <c r="Q605" s="398"/>
      <c r="R605" s="401"/>
      <c r="S605" s="398"/>
      <c r="T605" s="398"/>
      <c r="U605" s="398"/>
    </row>
    <row r="606" spans="4:21" x14ac:dyDescent="0.25">
      <c r="D606" s="841"/>
      <c r="E606" s="398"/>
      <c r="F606" s="390"/>
      <c r="G606" s="390"/>
      <c r="H606" s="390"/>
      <c r="I606" s="390"/>
      <c r="J606" s="390"/>
      <c r="K606" s="392"/>
      <c r="L606" s="398"/>
      <c r="M606" s="400"/>
      <c r="N606" s="398"/>
      <c r="O606" s="398"/>
      <c r="P606" s="398"/>
      <c r="Q606" s="398"/>
      <c r="R606" s="401"/>
      <c r="S606" s="398"/>
      <c r="T606" s="398"/>
      <c r="U606" s="398"/>
    </row>
    <row r="607" spans="4:21" x14ac:dyDescent="0.25">
      <c r="D607" s="841"/>
      <c r="E607" s="398"/>
      <c r="F607" s="390"/>
      <c r="G607" s="390"/>
      <c r="H607" s="390"/>
      <c r="I607" s="390"/>
      <c r="J607" s="390"/>
      <c r="K607" s="392"/>
      <c r="L607" s="398"/>
      <c r="M607" s="400"/>
      <c r="N607" s="398"/>
      <c r="O607" s="398"/>
      <c r="P607" s="398"/>
      <c r="Q607" s="398"/>
      <c r="R607" s="401"/>
      <c r="S607" s="398"/>
      <c r="T607" s="398"/>
      <c r="U607" s="398"/>
    </row>
    <row r="608" spans="4:21" x14ac:dyDescent="0.25">
      <c r="D608" s="841"/>
      <c r="E608" s="398"/>
      <c r="F608" s="390"/>
      <c r="G608" s="390"/>
      <c r="H608" s="390"/>
      <c r="I608" s="390"/>
      <c r="J608" s="390"/>
      <c r="K608" s="392"/>
      <c r="L608" s="398"/>
      <c r="M608" s="400"/>
      <c r="N608" s="398"/>
      <c r="O608" s="398"/>
      <c r="P608" s="398"/>
      <c r="Q608" s="398"/>
      <c r="R608" s="401"/>
      <c r="S608" s="398"/>
      <c r="T608" s="398"/>
      <c r="U608" s="398"/>
    </row>
    <row r="609" spans="4:21" x14ac:dyDescent="0.25">
      <c r="D609" s="841"/>
      <c r="E609" s="398"/>
      <c r="F609" s="390"/>
      <c r="G609" s="390"/>
      <c r="H609" s="390"/>
      <c r="I609" s="390"/>
      <c r="J609" s="390"/>
      <c r="K609" s="392"/>
      <c r="L609" s="398"/>
      <c r="M609" s="400"/>
      <c r="N609" s="398"/>
      <c r="O609" s="398"/>
      <c r="P609" s="398"/>
      <c r="Q609" s="398"/>
      <c r="R609" s="401"/>
      <c r="S609" s="398"/>
      <c r="T609" s="398"/>
      <c r="U609" s="398"/>
    </row>
    <row r="610" spans="4:21" x14ac:dyDescent="0.25">
      <c r="D610" s="841"/>
      <c r="E610" s="398"/>
      <c r="F610" s="390"/>
      <c r="G610" s="390"/>
      <c r="H610" s="390"/>
      <c r="I610" s="390"/>
      <c r="J610" s="390"/>
      <c r="K610" s="392"/>
      <c r="L610" s="398"/>
      <c r="M610" s="400"/>
      <c r="N610" s="398"/>
      <c r="O610" s="398"/>
      <c r="P610" s="398"/>
      <c r="Q610" s="398"/>
      <c r="R610" s="401"/>
      <c r="S610" s="398"/>
      <c r="T610" s="398"/>
      <c r="U610" s="398"/>
    </row>
    <row r="611" spans="4:21" x14ac:dyDescent="0.25">
      <c r="D611" s="841"/>
      <c r="E611" s="398"/>
      <c r="F611" s="390"/>
      <c r="G611" s="390"/>
      <c r="H611" s="390"/>
      <c r="I611" s="390"/>
      <c r="J611" s="390"/>
      <c r="K611" s="392"/>
      <c r="L611" s="398"/>
      <c r="M611" s="400"/>
      <c r="N611" s="398"/>
      <c r="O611" s="398"/>
      <c r="P611" s="398"/>
      <c r="Q611" s="398"/>
      <c r="R611" s="401"/>
      <c r="S611" s="398"/>
      <c r="T611" s="398"/>
      <c r="U611" s="398"/>
    </row>
    <row r="612" spans="4:21" x14ac:dyDescent="0.25">
      <c r="D612" s="841"/>
      <c r="E612" s="398"/>
      <c r="F612" s="390"/>
      <c r="G612" s="390"/>
      <c r="H612" s="390"/>
      <c r="I612" s="390"/>
      <c r="J612" s="390"/>
      <c r="K612" s="392"/>
      <c r="L612" s="398"/>
      <c r="M612" s="400"/>
      <c r="N612" s="398"/>
      <c r="O612" s="398"/>
      <c r="P612" s="398"/>
      <c r="Q612" s="398"/>
      <c r="R612" s="401"/>
      <c r="S612" s="398"/>
      <c r="T612" s="398"/>
      <c r="U612" s="398"/>
    </row>
    <row r="613" spans="4:21" x14ac:dyDescent="0.25">
      <c r="D613" s="841"/>
      <c r="E613" s="398"/>
      <c r="F613" s="390"/>
      <c r="G613" s="390"/>
      <c r="H613" s="390"/>
      <c r="I613" s="390"/>
      <c r="J613" s="390"/>
      <c r="K613" s="392"/>
      <c r="L613" s="398"/>
      <c r="M613" s="400"/>
      <c r="N613" s="398"/>
      <c r="O613" s="398"/>
      <c r="P613" s="398"/>
      <c r="Q613" s="398"/>
      <c r="R613" s="401"/>
      <c r="S613" s="398"/>
      <c r="T613" s="398"/>
      <c r="U613" s="398"/>
    </row>
    <row r="614" spans="4:21" x14ac:dyDescent="0.25">
      <c r="D614" s="841"/>
      <c r="E614" s="398"/>
      <c r="F614" s="390"/>
      <c r="G614" s="390"/>
      <c r="H614" s="390"/>
      <c r="I614" s="390"/>
      <c r="J614" s="390"/>
      <c r="K614" s="392"/>
      <c r="L614" s="398"/>
      <c r="M614" s="400"/>
      <c r="N614" s="398"/>
      <c r="O614" s="398"/>
      <c r="P614" s="398"/>
      <c r="Q614" s="398"/>
      <c r="R614" s="401"/>
      <c r="S614" s="398"/>
      <c r="T614" s="398"/>
      <c r="U614" s="398"/>
    </row>
    <row r="615" spans="4:21" x14ac:dyDescent="0.25">
      <c r="D615" s="841"/>
      <c r="E615" s="398"/>
      <c r="F615" s="390"/>
      <c r="G615" s="390"/>
      <c r="H615" s="390"/>
      <c r="I615" s="390"/>
      <c r="J615" s="390"/>
      <c r="K615" s="392"/>
      <c r="L615" s="398"/>
      <c r="M615" s="400"/>
      <c r="N615" s="398"/>
      <c r="O615" s="398"/>
      <c r="P615" s="398"/>
      <c r="Q615" s="398"/>
      <c r="R615" s="401"/>
      <c r="S615" s="398"/>
      <c r="T615" s="398"/>
      <c r="U615" s="398"/>
    </row>
    <row r="616" spans="4:21" x14ac:dyDescent="0.25">
      <c r="D616" s="841"/>
      <c r="E616" s="398"/>
      <c r="F616" s="390"/>
      <c r="G616" s="390"/>
      <c r="H616" s="390"/>
      <c r="I616" s="390"/>
      <c r="J616" s="390"/>
      <c r="K616" s="392"/>
      <c r="L616" s="398"/>
      <c r="M616" s="400"/>
      <c r="N616" s="398"/>
      <c r="O616" s="398"/>
      <c r="P616" s="398"/>
      <c r="Q616" s="398"/>
      <c r="R616" s="401"/>
      <c r="S616" s="398"/>
      <c r="T616" s="398"/>
      <c r="U616" s="398"/>
    </row>
    <row r="617" spans="4:21" x14ac:dyDescent="0.25">
      <c r="D617" s="841"/>
      <c r="E617" s="398"/>
      <c r="F617" s="390"/>
      <c r="G617" s="390"/>
      <c r="H617" s="390"/>
      <c r="I617" s="390"/>
      <c r="J617" s="390"/>
      <c r="K617" s="392"/>
      <c r="L617" s="398"/>
      <c r="M617" s="400"/>
      <c r="N617" s="398"/>
      <c r="O617" s="398"/>
      <c r="P617" s="398"/>
      <c r="Q617" s="398"/>
      <c r="R617" s="401"/>
      <c r="S617" s="398"/>
      <c r="T617" s="398"/>
      <c r="U617" s="398"/>
    </row>
    <row r="618" spans="4:21" x14ac:dyDescent="0.25">
      <c r="D618" s="841"/>
      <c r="E618" s="398"/>
      <c r="F618" s="390"/>
      <c r="G618" s="390"/>
      <c r="H618" s="390"/>
      <c r="I618" s="390"/>
      <c r="J618" s="390"/>
      <c r="K618" s="392"/>
      <c r="L618" s="398"/>
      <c r="M618" s="400"/>
      <c r="N618" s="398"/>
      <c r="O618" s="398"/>
      <c r="P618" s="398"/>
      <c r="Q618" s="398"/>
      <c r="R618" s="401"/>
      <c r="S618" s="398"/>
      <c r="T618" s="398"/>
      <c r="U618" s="398"/>
    </row>
    <row r="619" spans="4:21" x14ac:dyDescent="0.25">
      <c r="D619" s="841"/>
      <c r="E619" s="398"/>
      <c r="F619" s="390"/>
      <c r="G619" s="390"/>
      <c r="H619" s="390"/>
      <c r="I619" s="390"/>
      <c r="J619" s="390"/>
      <c r="K619" s="392"/>
      <c r="L619" s="398"/>
      <c r="M619" s="400"/>
      <c r="N619" s="398"/>
      <c r="O619" s="398"/>
      <c r="P619" s="398"/>
      <c r="Q619" s="398"/>
      <c r="R619" s="401"/>
      <c r="S619" s="398"/>
      <c r="T619" s="398"/>
      <c r="U619" s="398"/>
    </row>
    <row r="620" spans="4:21" x14ac:dyDescent="0.25">
      <c r="D620" s="841"/>
      <c r="E620" s="398"/>
      <c r="F620" s="390"/>
      <c r="G620" s="390"/>
      <c r="H620" s="390"/>
      <c r="I620" s="390"/>
      <c r="J620" s="390"/>
      <c r="K620" s="392"/>
      <c r="L620" s="398"/>
      <c r="M620" s="400"/>
      <c r="N620" s="398"/>
      <c r="O620" s="398"/>
      <c r="P620" s="398"/>
      <c r="Q620" s="398"/>
      <c r="R620" s="401"/>
      <c r="S620" s="398"/>
      <c r="T620" s="398"/>
      <c r="U620" s="398"/>
    </row>
    <row r="621" spans="4:21" x14ac:dyDescent="0.25">
      <c r="D621" s="841"/>
      <c r="E621" s="398"/>
      <c r="F621" s="390"/>
      <c r="G621" s="390"/>
      <c r="H621" s="390"/>
      <c r="I621" s="390"/>
      <c r="J621" s="390"/>
      <c r="K621" s="392"/>
      <c r="L621" s="398"/>
      <c r="M621" s="400"/>
      <c r="N621" s="398"/>
      <c r="O621" s="398"/>
      <c r="P621" s="398"/>
      <c r="Q621" s="398"/>
      <c r="R621" s="401"/>
      <c r="S621" s="398"/>
      <c r="T621" s="398"/>
      <c r="U621" s="398"/>
    </row>
    <row r="622" spans="4:21" x14ac:dyDescent="0.25">
      <c r="D622" s="841"/>
      <c r="E622" s="398"/>
      <c r="F622" s="390"/>
      <c r="G622" s="390"/>
      <c r="H622" s="390"/>
      <c r="I622" s="390"/>
      <c r="J622" s="390"/>
      <c r="K622" s="392"/>
      <c r="L622" s="398"/>
      <c r="M622" s="400"/>
      <c r="N622" s="398"/>
      <c r="O622" s="398"/>
      <c r="P622" s="398"/>
      <c r="Q622" s="398"/>
      <c r="R622" s="401"/>
      <c r="S622" s="398"/>
      <c r="T622" s="398"/>
      <c r="U622" s="398"/>
    </row>
    <row r="623" spans="4:21" x14ac:dyDescent="0.25">
      <c r="D623" s="841"/>
      <c r="E623" s="398"/>
      <c r="F623" s="390"/>
      <c r="G623" s="390"/>
      <c r="H623" s="390"/>
      <c r="I623" s="390"/>
      <c r="J623" s="390"/>
      <c r="K623" s="392"/>
      <c r="L623" s="398"/>
      <c r="M623" s="400"/>
      <c r="N623" s="398"/>
      <c r="O623" s="398"/>
      <c r="P623" s="398"/>
      <c r="Q623" s="398"/>
      <c r="R623" s="401"/>
      <c r="S623" s="398"/>
      <c r="T623" s="398"/>
      <c r="U623" s="398"/>
    </row>
    <row r="624" spans="4:21" x14ac:dyDescent="0.25">
      <c r="D624" s="841"/>
      <c r="E624" s="398"/>
      <c r="F624" s="390"/>
      <c r="G624" s="390"/>
      <c r="H624" s="390"/>
      <c r="I624" s="390"/>
      <c r="J624" s="390"/>
      <c r="K624" s="392"/>
      <c r="L624" s="398"/>
      <c r="M624" s="400"/>
      <c r="N624" s="398"/>
      <c r="O624" s="398"/>
      <c r="P624" s="398"/>
      <c r="Q624" s="398"/>
      <c r="R624" s="401"/>
      <c r="S624" s="398"/>
      <c r="T624" s="398"/>
      <c r="U624" s="398"/>
    </row>
    <row r="625" spans="4:21" x14ac:dyDescent="0.25">
      <c r="D625" s="841"/>
      <c r="E625" s="398"/>
      <c r="F625" s="390"/>
      <c r="G625" s="390"/>
      <c r="H625" s="390"/>
      <c r="I625" s="390"/>
      <c r="J625" s="390"/>
      <c r="K625" s="392"/>
      <c r="L625" s="398"/>
      <c r="M625" s="400"/>
      <c r="N625" s="398"/>
      <c r="O625" s="398"/>
      <c r="P625" s="398"/>
      <c r="Q625" s="398"/>
      <c r="R625" s="401"/>
      <c r="S625" s="398"/>
      <c r="T625" s="398"/>
      <c r="U625" s="398"/>
    </row>
    <row r="626" spans="4:21" x14ac:dyDescent="0.25">
      <c r="D626" s="841"/>
      <c r="E626" s="398"/>
      <c r="F626" s="390"/>
      <c r="G626" s="390"/>
      <c r="H626" s="390"/>
      <c r="I626" s="390"/>
      <c r="J626" s="390"/>
      <c r="K626" s="392"/>
      <c r="L626" s="398"/>
      <c r="M626" s="400"/>
      <c r="N626" s="398"/>
      <c r="O626" s="398"/>
      <c r="P626" s="398"/>
      <c r="Q626" s="398"/>
      <c r="R626" s="401"/>
      <c r="S626" s="398"/>
      <c r="T626" s="398"/>
      <c r="U626" s="398"/>
    </row>
    <row r="627" spans="4:21" x14ac:dyDescent="0.25">
      <c r="D627" s="841"/>
      <c r="E627" s="398"/>
      <c r="F627" s="390"/>
      <c r="G627" s="390"/>
      <c r="H627" s="390"/>
      <c r="I627" s="390"/>
      <c r="J627" s="390"/>
      <c r="K627" s="392"/>
      <c r="L627" s="398"/>
      <c r="M627" s="400"/>
      <c r="N627" s="398"/>
      <c r="O627" s="398"/>
      <c r="P627" s="398"/>
      <c r="Q627" s="398"/>
      <c r="R627" s="401"/>
      <c r="S627" s="398"/>
      <c r="T627" s="398"/>
      <c r="U627" s="398"/>
    </row>
    <row r="628" spans="4:21" x14ac:dyDescent="0.25">
      <c r="D628" s="841"/>
      <c r="E628" s="398"/>
      <c r="F628" s="390"/>
      <c r="G628" s="390"/>
      <c r="H628" s="390"/>
      <c r="I628" s="390"/>
      <c r="J628" s="390"/>
      <c r="K628" s="392"/>
      <c r="L628" s="398"/>
      <c r="M628" s="400"/>
      <c r="N628" s="398"/>
      <c r="O628" s="398"/>
      <c r="P628" s="398"/>
      <c r="Q628" s="398"/>
      <c r="R628" s="401"/>
      <c r="S628" s="398"/>
      <c r="T628" s="398"/>
      <c r="U628" s="398"/>
    </row>
    <row r="629" spans="4:21" x14ac:dyDescent="0.25">
      <c r="D629" s="841"/>
      <c r="E629" s="398"/>
      <c r="F629" s="390"/>
      <c r="G629" s="390"/>
      <c r="H629" s="390"/>
      <c r="I629" s="390"/>
      <c r="J629" s="390"/>
      <c r="K629" s="392"/>
      <c r="L629" s="398"/>
      <c r="M629" s="400"/>
      <c r="N629" s="398"/>
      <c r="O629" s="398"/>
      <c r="P629" s="398"/>
      <c r="Q629" s="398"/>
      <c r="R629" s="401"/>
      <c r="S629" s="398"/>
      <c r="T629" s="398"/>
      <c r="U629" s="398"/>
    </row>
    <row r="630" spans="4:21" x14ac:dyDescent="0.25">
      <c r="D630" s="841"/>
      <c r="E630" s="398"/>
      <c r="F630" s="390"/>
      <c r="G630" s="390"/>
      <c r="H630" s="390"/>
      <c r="I630" s="390"/>
      <c r="J630" s="390"/>
      <c r="K630" s="392"/>
      <c r="L630" s="398"/>
      <c r="M630" s="400"/>
      <c r="N630" s="398"/>
      <c r="O630" s="398"/>
      <c r="P630" s="398"/>
      <c r="Q630" s="398"/>
      <c r="R630" s="401"/>
      <c r="S630" s="398"/>
      <c r="T630" s="398"/>
      <c r="U630" s="398"/>
    </row>
    <row r="631" spans="4:21" x14ac:dyDescent="0.25">
      <c r="D631" s="841"/>
      <c r="E631" s="398"/>
      <c r="F631" s="390"/>
      <c r="G631" s="390"/>
      <c r="H631" s="390"/>
      <c r="I631" s="390"/>
      <c r="J631" s="390"/>
      <c r="K631" s="392"/>
      <c r="L631" s="398"/>
      <c r="M631" s="400"/>
      <c r="N631" s="398"/>
      <c r="O631" s="398"/>
      <c r="P631" s="398"/>
      <c r="Q631" s="398"/>
      <c r="R631" s="401"/>
      <c r="S631" s="398"/>
      <c r="T631" s="398"/>
      <c r="U631" s="398"/>
    </row>
    <row r="632" spans="4:21" x14ac:dyDescent="0.25">
      <c r="D632" s="841"/>
      <c r="E632" s="398"/>
      <c r="F632" s="390"/>
      <c r="G632" s="390"/>
      <c r="H632" s="390"/>
      <c r="I632" s="390"/>
      <c r="J632" s="390"/>
      <c r="K632" s="392"/>
      <c r="L632" s="398"/>
      <c r="M632" s="400"/>
      <c r="N632" s="398"/>
      <c r="O632" s="398"/>
      <c r="P632" s="398"/>
      <c r="Q632" s="398"/>
      <c r="R632" s="401"/>
      <c r="S632" s="398"/>
      <c r="T632" s="398"/>
      <c r="U632" s="398"/>
    </row>
    <row r="633" spans="4:21" x14ac:dyDescent="0.25">
      <c r="D633" s="841"/>
      <c r="E633" s="398"/>
      <c r="F633" s="390"/>
      <c r="G633" s="390"/>
      <c r="H633" s="390"/>
      <c r="I633" s="390"/>
      <c r="J633" s="390"/>
      <c r="K633" s="392"/>
      <c r="L633" s="398"/>
      <c r="M633" s="400"/>
      <c r="N633" s="398"/>
      <c r="O633" s="398"/>
      <c r="P633" s="398"/>
      <c r="Q633" s="398"/>
      <c r="R633" s="401"/>
      <c r="S633" s="398"/>
      <c r="T633" s="398"/>
      <c r="U633" s="398"/>
    </row>
    <row r="634" spans="4:21" x14ac:dyDescent="0.25">
      <c r="D634" s="841"/>
      <c r="E634" s="398"/>
      <c r="F634" s="390"/>
      <c r="G634" s="390"/>
      <c r="H634" s="390"/>
      <c r="I634" s="390"/>
      <c r="J634" s="390"/>
      <c r="K634" s="392"/>
      <c r="L634" s="398"/>
      <c r="M634" s="400"/>
      <c r="N634" s="398"/>
      <c r="O634" s="398"/>
      <c r="P634" s="398"/>
      <c r="Q634" s="398"/>
      <c r="R634" s="401"/>
      <c r="S634" s="398"/>
      <c r="T634" s="398"/>
      <c r="U634" s="398"/>
    </row>
  </sheetData>
  <sheetProtection algorithmName="SHA-512" hashValue="hw5Binvx7GL5/LalSEoPeK+MQO/ms7rYO0Lmxz+2057AlXB8AfF2YilRGWfGcZn4EkppeG/OyYUj2AlVcZFj4g==" saltValue="Xzx/aF2zY0ezHlMFmbHi1w==" spinCount="100000" sheet="1" formatCells="0" formatColumns="0" formatRows="0" selectLockedCells="1"/>
  <mergeCells count="30">
    <mergeCell ref="P1:Q1"/>
    <mergeCell ref="P2:Q2"/>
    <mergeCell ref="R2:S2"/>
    <mergeCell ref="K2:K3"/>
    <mergeCell ref="F32:K32"/>
    <mergeCell ref="F16:K16"/>
    <mergeCell ref="I2:I3"/>
    <mergeCell ref="J2:J3"/>
    <mergeCell ref="R1:S1"/>
    <mergeCell ref="N1:O1"/>
    <mergeCell ref="C85:C97"/>
    <mergeCell ref="C41:C55"/>
    <mergeCell ref="C24:C28"/>
    <mergeCell ref="F70:K70"/>
    <mergeCell ref="F110:K110"/>
    <mergeCell ref="F71:K71"/>
    <mergeCell ref="F33:K33"/>
    <mergeCell ref="F37:I37"/>
    <mergeCell ref="E2:E3"/>
    <mergeCell ref="L2:M2"/>
    <mergeCell ref="N2:O2"/>
    <mergeCell ref="M37:R37"/>
    <mergeCell ref="M38:R38"/>
    <mergeCell ref="M39:R39"/>
    <mergeCell ref="M40:R40"/>
    <mergeCell ref="M41:R41"/>
    <mergeCell ref="I111:K111"/>
    <mergeCell ref="L111:N111"/>
    <mergeCell ref="G72:M73"/>
    <mergeCell ref="G111:H111"/>
  </mergeCells>
  <dataValidations count="9">
    <dataValidation type="list" allowBlank="1" showInputMessage="1" showErrorMessage="1" sqref="I60:J60">
      <formula1>$B$62:$B$63</formula1>
    </dataValidation>
    <dataValidation type="list" allowBlank="1" showInputMessage="1" showErrorMessage="1" sqref="E21">
      <formula1>$A$21:$A$22</formula1>
    </dataValidation>
    <dataValidation type="list" allowBlank="1" showInputMessage="1" showErrorMessage="1" sqref="J100">
      <formula1>$B$104:$B$104</formula1>
    </dataValidation>
    <dataValidation type="list" allowBlank="1" showInputMessage="1" showErrorMessage="1" sqref="F73">
      <formula1>$A$75:$A$76</formula1>
    </dataValidation>
    <dataValidation type="list" allowBlank="1" showInputMessage="1" showErrorMessage="1" sqref="F72">
      <formula1>$A$77:$A$83</formula1>
    </dataValidation>
    <dataValidation type="list" allowBlank="1" showInputMessage="1" showErrorMessage="1" sqref="I100">
      <formula1>$B$104:$B$106</formula1>
    </dataValidation>
    <dataValidation type="list" allowBlank="1" showInputMessage="1" showErrorMessage="1" sqref="G67:G68 G107:G108">
      <formula1>$D$64:$D$69</formula1>
    </dataValidation>
    <dataValidation type="list" allowBlank="1" showInputMessage="1" showErrorMessage="1" sqref="F38:F42 F87:F91 F78:F82 F47:F51">
      <formula1>$D$36:$D$38</formula1>
    </dataValidation>
    <dataValidation type="list" allowBlank="1" showInputMessage="1" showErrorMessage="1" sqref="G12">
      <formula1>$D$12:$D$15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2" orientation="portrait" r:id="rId1"/>
  <ignoredErrors>
    <ignoredError sqref="M60 O60 Q60 S60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AG140"/>
  <sheetViews>
    <sheetView topLeftCell="A37" zoomScaleNormal="100" workbookViewId="0">
      <selection activeCell="N14" sqref="N14"/>
    </sheetView>
  </sheetViews>
  <sheetFormatPr baseColWidth="10" defaultRowHeight="15.75" x14ac:dyDescent="0.25"/>
  <cols>
    <col min="1" max="1" width="10.5703125" style="359" customWidth="1"/>
    <col min="2" max="2" width="20.7109375" style="359" customWidth="1"/>
    <col min="3" max="3" width="17.5703125" style="359" customWidth="1"/>
    <col min="4" max="4" width="16.28515625" style="359" customWidth="1"/>
    <col min="5" max="5" width="15.42578125" style="359" customWidth="1"/>
    <col min="6" max="6" width="13.140625" style="359" customWidth="1"/>
    <col min="7" max="10" width="13.42578125" style="359" customWidth="1"/>
    <col min="11" max="11" width="10.5703125" style="359" customWidth="1"/>
    <col min="12" max="12" width="24.85546875" style="359" customWidth="1"/>
    <col min="13" max="13" width="29" style="359" customWidth="1"/>
    <col min="14" max="14" width="7.42578125" style="359" customWidth="1"/>
    <col min="15" max="15" width="10.5703125" style="359" customWidth="1"/>
    <col min="16" max="16" width="7.5703125" style="359" customWidth="1"/>
    <col min="17" max="17" width="9.140625" style="359" customWidth="1"/>
    <col min="18" max="18" width="8.28515625" style="359" customWidth="1"/>
    <col min="19" max="19" width="8.85546875" style="359" customWidth="1"/>
    <col min="20" max="20" width="8.7109375" style="359" customWidth="1"/>
    <col min="21" max="21" width="8.85546875" style="359" customWidth="1"/>
    <col min="22" max="22" width="11.42578125" style="359"/>
    <col min="23" max="23" width="42" style="359" customWidth="1"/>
    <col min="24" max="24" width="27.7109375" style="359" customWidth="1"/>
    <col min="25" max="16384" width="11.42578125" style="359"/>
  </cols>
  <sheetData>
    <row r="1" spans="1:25" x14ac:dyDescent="0.25">
      <c r="A1" s="376"/>
      <c r="B1" s="1145" t="s">
        <v>645</v>
      </c>
      <c r="C1" s="1146"/>
      <c r="D1" s="1146"/>
      <c r="E1" s="1146"/>
      <c r="F1" s="1146"/>
      <c r="G1" s="1146"/>
      <c r="H1" s="1146"/>
      <c r="I1" s="1146"/>
      <c r="J1" s="1147"/>
      <c r="K1" s="381"/>
      <c r="L1" s="568"/>
      <c r="M1" s="1139" t="s">
        <v>665</v>
      </c>
      <c r="N1" s="1139"/>
      <c r="O1" s="1139"/>
      <c r="P1" s="1139"/>
      <c r="Q1" s="1139"/>
      <c r="R1" s="1139"/>
      <c r="S1" s="1139"/>
      <c r="T1" s="1139"/>
      <c r="U1" s="1139"/>
      <c r="V1" s="1139"/>
      <c r="W1" s="376"/>
      <c r="X1" s="376"/>
      <c r="Y1" s="376"/>
    </row>
    <row r="2" spans="1:25" ht="16.5" thickBot="1" x14ac:dyDescent="0.3">
      <c r="A2" s="376"/>
      <c r="B2" s="1148"/>
      <c r="C2" s="1149"/>
      <c r="D2" s="1149"/>
      <c r="E2" s="1149"/>
      <c r="F2" s="1149"/>
      <c r="G2" s="1149"/>
      <c r="H2" s="1149"/>
      <c r="I2" s="1149"/>
      <c r="J2" s="1150"/>
      <c r="K2" s="381"/>
      <c r="L2" s="568"/>
      <c r="M2" s="1139"/>
      <c r="N2" s="1139"/>
      <c r="O2" s="1139"/>
      <c r="P2" s="1139"/>
      <c r="Q2" s="1139"/>
      <c r="R2" s="1139"/>
      <c r="S2" s="1139"/>
      <c r="T2" s="1139"/>
      <c r="U2" s="1139"/>
      <c r="V2" s="1139"/>
      <c r="W2" s="376"/>
      <c r="X2" s="376"/>
      <c r="Y2" s="376"/>
    </row>
    <row r="3" spans="1:25" ht="17.25" customHeight="1" thickBot="1" x14ac:dyDescent="0.35">
      <c r="A3" s="376"/>
      <c r="B3" s="690" t="s">
        <v>597</v>
      </c>
      <c r="C3" s="691"/>
      <c r="D3" s="692" t="s">
        <v>598</v>
      </c>
      <c r="E3" s="694"/>
      <c r="F3" s="376"/>
      <c r="G3" s="360"/>
      <c r="H3" s="360"/>
      <c r="I3" s="360"/>
      <c r="J3" s="360"/>
      <c r="K3" s="376"/>
      <c r="L3" s="695" t="s">
        <v>554</v>
      </c>
      <c r="M3" s="696" t="str">
        <f>IF('P1'!F72="","Maison basse",IF('P1'!F72=1,"ETAGE R+1",IF('P1'!F72=2,"ETAGE R+2",IF('P1'!F72=3,"ETAGE R+3",IF('P1'!F72=4,"ETAGE R+4",IF('P1'!F76=5,"ETAGE R+5",IF('P1'!F7=6,"ETAGE R+6",IF('P1'!F72=7,"ETAGE R+7",IF('P1'!F72=8,"ETAGE R+8","ETAGE R+9")))))))))</f>
        <v>ETAGE R+1</v>
      </c>
      <c r="N3" s="1118" t="s">
        <v>618</v>
      </c>
      <c r="O3" s="1119"/>
      <c r="P3" s="1119"/>
      <c r="Q3" s="1119"/>
      <c r="R3" s="1119"/>
      <c r="S3" s="1119"/>
      <c r="T3" s="1119"/>
      <c r="U3" s="1119"/>
      <c r="V3" s="1125" t="s">
        <v>670</v>
      </c>
      <c r="W3" s="1135" t="s">
        <v>689</v>
      </c>
      <c r="X3" s="1132" t="s">
        <v>690</v>
      </c>
      <c r="Y3" s="376"/>
    </row>
    <row r="4" spans="1:25" ht="18" customHeight="1" thickBot="1" x14ac:dyDescent="0.3">
      <c r="A4" s="376"/>
      <c r="B4" s="1076" t="s">
        <v>599</v>
      </c>
      <c r="C4" s="1077"/>
      <c r="D4" s="693" t="s">
        <v>619</v>
      </c>
      <c r="E4" s="681">
        <v>0.25</v>
      </c>
      <c r="F4" s="376"/>
      <c r="G4" s="360"/>
      <c r="H4" s="360"/>
      <c r="I4" s="360"/>
      <c r="J4" s="360"/>
      <c r="K4" s="376"/>
      <c r="L4" s="1098" t="s">
        <v>616</v>
      </c>
      <c r="M4" s="1099"/>
      <c r="N4" s="1120" t="s">
        <v>583</v>
      </c>
      <c r="O4" s="1121"/>
      <c r="P4" s="1120" t="s">
        <v>584</v>
      </c>
      <c r="Q4" s="1121"/>
      <c r="R4" s="1122" t="s">
        <v>585</v>
      </c>
      <c r="S4" s="1124"/>
      <c r="T4" s="1122" t="s">
        <v>586</v>
      </c>
      <c r="U4" s="1123"/>
      <c r="V4" s="1126"/>
      <c r="W4" s="1136"/>
      <c r="X4" s="1133"/>
      <c r="Y4" s="376"/>
    </row>
    <row r="5" spans="1:25" ht="17.25" customHeight="1" thickBot="1" x14ac:dyDescent="0.35">
      <c r="A5" s="376"/>
      <c r="B5" s="682" t="s">
        <v>600</v>
      </c>
      <c r="C5" s="683" t="s">
        <v>601</v>
      </c>
      <c r="D5" s="684" t="s">
        <v>602</v>
      </c>
      <c r="E5" s="685" t="s">
        <v>603</v>
      </c>
      <c r="F5" s="376"/>
      <c r="G5" s="360"/>
      <c r="H5" s="360"/>
      <c r="I5" s="360"/>
      <c r="J5" s="360"/>
      <c r="K5" s="376"/>
      <c r="L5" s="1100"/>
      <c r="M5" s="1101"/>
      <c r="N5" s="361" t="s">
        <v>528</v>
      </c>
      <c r="O5" s="680">
        <v>1</v>
      </c>
      <c r="P5" s="361" t="s">
        <v>528</v>
      </c>
      <c r="Q5" s="680"/>
      <c r="R5" s="361" t="s">
        <v>528</v>
      </c>
      <c r="S5" s="680"/>
      <c r="T5" s="361" t="s">
        <v>528</v>
      </c>
      <c r="U5" s="680"/>
      <c r="V5" s="1126"/>
      <c r="W5" s="1136"/>
      <c r="X5" s="1133"/>
      <c r="Y5" s="376"/>
    </row>
    <row r="6" spans="1:25" ht="18" customHeight="1" thickBot="1" x14ac:dyDescent="0.3">
      <c r="A6" s="376"/>
      <c r="B6" s="686" t="s">
        <v>593</v>
      </c>
      <c r="C6" s="687" t="s">
        <v>594</v>
      </c>
      <c r="D6" s="688" t="s">
        <v>596</v>
      </c>
      <c r="E6" s="689" t="s">
        <v>595</v>
      </c>
      <c r="F6" s="376"/>
      <c r="G6" s="360"/>
      <c r="H6" s="360"/>
      <c r="I6" s="360"/>
      <c r="J6" s="360"/>
      <c r="K6" s="376"/>
      <c r="L6" s="1102" t="s">
        <v>24</v>
      </c>
      <c r="M6" s="1103"/>
      <c r="N6" s="578" t="s">
        <v>617</v>
      </c>
      <c r="O6" s="579" t="s">
        <v>669</v>
      </c>
      <c r="P6" s="578" t="s">
        <v>617</v>
      </c>
      <c r="Q6" s="579" t="s">
        <v>669</v>
      </c>
      <c r="R6" s="578" t="s">
        <v>617</v>
      </c>
      <c r="S6" s="579" t="s">
        <v>669</v>
      </c>
      <c r="T6" s="578" t="s">
        <v>617</v>
      </c>
      <c r="U6" s="579" t="s">
        <v>669</v>
      </c>
      <c r="V6" s="1127"/>
      <c r="W6" s="1136"/>
      <c r="X6" s="1134"/>
      <c r="Y6" s="376"/>
    </row>
    <row r="7" spans="1:25" ht="19.5" customHeight="1" thickBot="1" x14ac:dyDescent="0.3">
      <c r="A7" s="376"/>
      <c r="B7" s="642">
        <v>0.5</v>
      </c>
      <c r="C7" s="641">
        <v>0.5</v>
      </c>
      <c r="D7" s="641">
        <v>0.5</v>
      </c>
      <c r="E7" s="643">
        <v>0.5</v>
      </c>
      <c r="F7" s="376"/>
      <c r="G7" s="360"/>
      <c r="H7" s="360"/>
      <c r="I7" s="360"/>
      <c r="J7" s="360"/>
      <c r="K7" s="376"/>
      <c r="L7" s="1104" t="s">
        <v>587</v>
      </c>
      <c r="M7" s="697" t="s">
        <v>613</v>
      </c>
      <c r="N7" s="670">
        <v>1</v>
      </c>
      <c r="O7" s="362">
        <f>IF(AND(N7&lt;&gt;"",$O$5&lt;&gt;""),N7*$O$5,"")</f>
        <v>1</v>
      </c>
      <c r="P7" s="670"/>
      <c r="Q7" s="362" t="str">
        <f>IF(AND(P7&lt;&gt;"",$Q$5&lt;&gt;""),P7*$Q$5,"")</f>
        <v/>
      </c>
      <c r="R7" s="672"/>
      <c r="S7" s="367" t="str">
        <f>IF(AND(R7&lt;&gt;"",$S$5&lt;&gt;""),R7*$S$5,"")</f>
        <v/>
      </c>
      <c r="T7" s="670"/>
      <c r="U7" s="362" t="str">
        <f>IF(AND(T7&lt;&gt;"",$U$5&lt;&gt;""),T7*$U$5,"")</f>
        <v/>
      </c>
      <c r="V7" s="580">
        <f t="shared" ref="V7:V24" si="0">IF(SUM(O7,Q7,S7,U7)&gt;0,SUM(O7,Q7,S7,U7),"")</f>
        <v>1</v>
      </c>
      <c r="W7" s="1137" t="str">
        <f>CONCATENATE(V7," Dégagement(s)"," pour une surface total de ",V8," m² necessitant ",V9," chevrons pour plafon")</f>
        <v>1 Dégagement(s) pour une surface total de 2 m² necessitant 7 chevrons pour plafon</v>
      </c>
      <c r="X7" s="587" t="s">
        <v>671</v>
      </c>
      <c r="Y7" s="376"/>
    </row>
    <row r="8" spans="1:25" ht="21" customHeight="1" thickBot="1" x14ac:dyDescent="0.35">
      <c r="A8" s="376"/>
      <c r="B8" s="760" t="s">
        <v>694</v>
      </c>
      <c r="C8" s="767">
        <f>'P1'!F36</f>
        <v>17.649999999999999</v>
      </c>
      <c r="D8" s="768" t="s">
        <v>604</v>
      </c>
      <c r="E8" s="769">
        <f>'P1'!G36</f>
        <v>11.5</v>
      </c>
      <c r="F8" s="376"/>
      <c r="G8" s="360"/>
      <c r="H8" s="360"/>
      <c r="I8" s="360"/>
      <c r="J8" s="360"/>
      <c r="K8" s="376"/>
      <c r="L8" s="1105"/>
      <c r="M8" s="698" t="s">
        <v>614</v>
      </c>
      <c r="N8" s="671">
        <v>2</v>
      </c>
      <c r="O8" s="369">
        <f>IF(AND(N8&lt;&gt;"",O7&lt;&gt;""),N8*O7,"")</f>
        <v>2</v>
      </c>
      <c r="P8" s="671"/>
      <c r="Q8" s="369" t="str">
        <f>IF(AND(P8&lt;&gt;"",Q7&lt;&gt;""),P8*Q7,"")</f>
        <v/>
      </c>
      <c r="R8" s="673"/>
      <c r="S8" s="369" t="str">
        <f>IF(AND(R8&lt;&gt;"",S7&lt;&gt;""),R8*S7,"")</f>
        <v/>
      </c>
      <c r="T8" s="671"/>
      <c r="U8" s="369" t="str">
        <f>IF(AND(T8&lt;&gt;"",U7&lt;&gt;""),T8*U7,"")</f>
        <v/>
      </c>
      <c r="V8" s="581">
        <f t="shared" si="0"/>
        <v>2</v>
      </c>
      <c r="W8" s="1138"/>
      <c r="X8" s="585" t="s">
        <v>672</v>
      </c>
      <c r="Y8" s="376"/>
    </row>
    <row r="9" spans="1:25" ht="18" thickTop="1" thickBot="1" x14ac:dyDescent="0.35">
      <c r="A9" s="376"/>
      <c r="B9" s="761" t="s">
        <v>605</v>
      </c>
      <c r="C9" s="770" t="s">
        <v>30</v>
      </c>
      <c r="D9" s="771" t="s">
        <v>592</v>
      </c>
      <c r="E9" s="772" t="s">
        <v>606</v>
      </c>
      <c r="F9" s="376"/>
      <c r="G9" s="360"/>
      <c r="H9" s="360"/>
      <c r="I9" s="360"/>
      <c r="J9" s="360"/>
      <c r="K9" s="376"/>
      <c r="L9" s="1106"/>
      <c r="M9" s="699" t="s">
        <v>615</v>
      </c>
      <c r="N9" s="366">
        <f>IF(N8&lt;&gt;"",ROUND(IF(N8&lt;3,2*N8+3,IF(N8&lt;16,3+(7*N8+9)/3,5+(9*N8+16)/4)),0),"")</f>
        <v>7</v>
      </c>
      <c r="O9" s="370">
        <f>IF(AND(N9&lt;&gt;"",$O$5&lt;&gt;""),N9*$O$5,"")</f>
        <v>7</v>
      </c>
      <c r="P9" s="366" t="str">
        <f>IF(P8&lt;&gt;"",ROUND(IF(P8&lt;3,2*P8+3,IF(P8&lt;16,3+(7*P8+9)/3,5+(9*P8+16)/4)),0),"")</f>
        <v/>
      </c>
      <c r="Q9" s="364" t="str">
        <f>IF(AND(P9&lt;&gt;"",$Q$5&lt;&gt;""),P9*$Q$5,"")</f>
        <v/>
      </c>
      <c r="R9" s="366" t="str">
        <f>IF(R8&lt;&gt;"",ROUND(IF(R8&lt;3,2*R8+3,IF(R8&lt;16,3+(7*R8+9)/3,5+(9*R8+16)/4)),0),"")</f>
        <v/>
      </c>
      <c r="S9" s="368" t="str">
        <f>IF(AND(R9&lt;&gt;"",$S$5&lt;&gt;""),R9*$S$5,"")</f>
        <v/>
      </c>
      <c r="T9" s="366" t="str">
        <f>IF(T8&lt;&gt;"",ROUND(IF(T8&lt;3,2*T8+3,IF(T8&lt;16,3+(7*T8+9)/3,5+(9*T8+16)/4)),0),"")</f>
        <v/>
      </c>
      <c r="U9" s="364" t="str">
        <f>IF(AND(T9&lt;&gt;"",$U$5&lt;&gt;""),T9*$U$5,"")</f>
        <v/>
      </c>
      <c r="V9" s="582">
        <f t="shared" si="0"/>
        <v>7</v>
      </c>
      <c r="W9" s="1138"/>
      <c r="X9" s="586" t="s">
        <v>673</v>
      </c>
      <c r="Y9" s="376"/>
    </row>
    <row r="10" spans="1:25" ht="15.75" customHeight="1" thickBot="1" x14ac:dyDescent="0.35">
      <c r="A10" s="376"/>
      <c r="B10" s="762" t="s">
        <v>620</v>
      </c>
      <c r="C10" s="773">
        <f>C8+L31+M31</f>
        <v>18.649999999999999</v>
      </c>
      <c r="D10" s="773">
        <f>E8+B7+C7</f>
        <v>12.5</v>
      </c>
      <c r="E10" s="765">
        <f>IF(AND(C10&lt;&gt;"",D10&lt;&gt;""),C10*D10,"")</f>
        <v>233.12499999999997</v>
      </c>
      <c r="F10" s="376"/>
      <c r="G10" s="360"/>
      <c r="H10" s="360"/>
      <c r="I10" s="360"/>
      <c r="J10" s="360"/>
      <c r="K10" s="376"/>
      <c r="L10" s="1096" t="s">
        <v>588</v>
      </c>
      <c r="M10" s="697" t="s">
        <v>613</v>
      </c>
      <c r="N10" s="674">
        <v>1</v>
      </c>
      <c r="O10" s="371">
        <f>IF(AND(N10&lt;&gt;"",$O$5&lt;&gt;""),N10*$O$5,"")</f>
        <v>1</v>
      </c>
      <c r="P10" s="674"/>
      <c r="Q10" s="362" t="str">
        <f>IF(AND(P10&lt;&gt;"",$Q$5&lt;&gt;""),P10*$Q$5,"")</f>
        <v/>
      </c>
      <c r="R10" s="676"/>
      <c r="S10" s="367" t="str">
        <f>IF(AND(R10&lt;&gt;"",$S$5&lt;&gt;""),R10*$S$5,"")</f>
        <v/>
      </c>
      <c r="T10" s="674"/>
      <c r="U10" s="362" t="str">
        <f>IF(AND(T10&lt;&gt;"",$U$5&lt;&gt;""),T10*$U$5,"")</f>
        <v/>
      </c>
      <c r="V10" s="581">
        <f t="shared" si="0"/>
        <v>1</v>
      </c>
      <c r="W10" s="1137" t="str">
        <f>CONCATENATE(V10," Terrasse(s)"," pour une surface total de ",V11," m² necessitant ",V12," chevrons pour plafon")</f>
        <v>1 Terrasse(s) pour une surface total de 5,28 m² necessitant 18 chevrons pour plafon</v>
      </c>
      <c r="X10" s="584" t="s">
        <v>688</v>
      </c>
      <c r="Y10" s="376"/>
    </row>
    <row r="11" spans="1:25" ht="18.75" customHeight="1" thickBot="1" x14ac:dyDescent="0.35">
      <c r="A11" s="376"/>
      <c r="B11" s="763" t="s">
        <v>607</v>
      </c>
      <c r="C11" s="635"/>
      <c r="D11" s="636"/>
      <c r="E11" s="765" t="str">
        <f t="shared" ref="E11:E14" si="1">IF(AND(C11&lt;&gt;"",D11&lt;&gt;""),C11*D11,"")</f>
        <v/>
      </c>
      <c r="F11" s="376"/>
      <c r="G11" s="360"/>
      <c r="H11" s="360"/>
      <c r="I11" s="360"/>
      <c r="J11" s="360"/>
      <c r="K11" s="376"/>
      <c r="L11" s="1097"/>
      <c r="M11" s="698" t="s">
        <v>614</v>
      </c>
      <c r="N11" s="675">
        <v>5.28</v>
      </c>
      <c r="O11" s="369">
        <f>IF(AND(N11&lt;&gt;"",O10&lt;&gt;""),N11*O10,"")</f>
        <v>5.28</v>
      </c>
      <c r="P11" s="675"/>
      <c r="Q11" s="369" t="str">
        <f>IF(AND(P11&lt;&gt;"",Q10&lt;&gt;""),P11*Q10,"")</f>
        <v/>
      </c>
      <c r="R11" s="677"/>
      <c r="S11" s="369" t="str">
        <f>IF(AND(R11&lt;&gt;"",S10&lt;&gt;""),R11*S10,"")</f>
        <v/>
      </c>
      <c r="T11" s="675"/>
      <c r="U11" s="369" t="str">
        <f>IF(AND(T11&lt;&gt;"",U10&lt;&gt;""),T11*U10,"")</f>
        <v/>
      </c>
      <c r="V11" s="581">
        <f t="shared" si="0"/>
        <v>5.28</v>
      </c>
      <c r="W11" s="1138"/>
      <c r="X11" s="585" t="s">
        <v>674</v>
      </c>
      <c r="Y11" s="376"/>
    </row>
    <row r="12" spans="1:25" ht="18" customHeight="1" thickBot="1" x14ac:dyDescent="0.35">
      <c r="A12" s="376"/>
      <c r="B12" s="763" t="s">
        <v>608</v>
      </c>
      <c r="C12" s="635"/>
      <c r="D12" s="636"/>
      <c r="E12" s="765" t="str">
        <f t="shared" si="1"/>
        <v/>
      </c>
      <c r="F12" s="376"/>
      <c r="G12" s="360"/>
      <c r="H12" s="360"/>
      <c r="I12" s="360"/>
      <c r="J12" s="360"/>
      <c r="K12" s="376"/>
      <c r="L12" s="1153"/>
      <c r="M12" s="699" t="s">
        <v>615</v>
      </c>
      <c r="N12" s="366">
        <f>IF(N11&lt;&gt;"",ROUND(IF(N11&lt;3,2*N11+3,IF(N11&lt;16,3+(7*N11+9)/3,5+(9*N11+16)/4)),0),"")</f>
        <v>18</v>
      </c>
      <c r="O12" s="369">
        <f>IF(AND(N12&lt;&gt;"",$O$5&lt;&gt;""),N12*$O$5,"")</f>
        <v>18</v>
      </c>
      <c r="P12" s="366" t="str">
        <f>IF(P11&lt;&gt;"",ROUND(IF(P11&lt;3,2*P11+3,IF(P11&lt;16,3+(7*P11+9)/3,5+(9*P11+16)/4)),0),"")</f>
        <v/>
      </c>
      <c r="Q12" s="363" t="str">
        <f>IF(AND(P12&lt;&gt;"",$Q$5&lt;&gt;""),P12*$Q$5,"")</f>
        <v/>
      </c>
      <c r="R12" s="366" t="str">
        <f>IF(R11&lt;&gt;"",ROUND(IF(R11&lt;3,2*R11+3,IF(R11&lt;16,3+(7*R11+9)/3,5+(9*R11+16)/4)),0),"")</f>
        <v/>
      </c>
      <c r="S12" s="365" t="str">
        <f>IF(AND(R12&lt;&gt;"",$S$5&lt;&gt;""),R12*$S$5,"")</f>
        <v/>
      </c>
      <c r="T12" s="366" t="str">
        <f>IF(T11&lt;&gt;"",ROUND(IF(T11&lt;3,2*T11+3,IF(T11&lt;16,3+(7*T11+9)/3,5+(9*T11+16)/4)),0),"")</f>
        <v/>
      </c>
      <c r="U12" s="363" t="str">
        <f>IF(AND(T12&lt;&gt;"",$U$5&lt;&gt;""),T12*$U$5,"")</f>
        <v/>
      </c>
      <c r="V12" s="581">
        <f t="shared" si="0"/>
        <v>18</v>
      </c>
      <c r="W12" s="1138"/>
      <c r="X12" s="586" t="s">
        <v>675</v>
      </c>
      <c r="Y12" s="376"/>
    </row>
    <row r="13" spans="1:25" ht="18" thickBot="1" x14ac:dyDescent="0.35">
      <c r="A13" s="376"/>
      <c r="B13" s="763" t="s">
        <v>609</v>
      </c>
      <c r="C13" s="635"/>
      <c r="D13" s="636"/>
      <c r="E13" s="765" t="str">
        <f t="shared" si="1"/>
        <v/>
      </c>
      <c r="F13" s="376"/>
      <c r="G13" s="360"/>
      <c r="H13" s="360"/>
      <c r="I13" s="360"/>
      <c r="J13" s="360"/>
      <c r="K13" s="376"/>
      <c r="L13" s="1096" t="s">
        <v>589</v>
      </c>
      <c r="M13" s="697" t="s">
        <v>613</v>
      </c>
      <c r="N13" s="668">
        <v>1</v>
      </c>
      <c r="O13" s="371">
        <f>IF(AND(N13&lt;&gt;"",$O$5&lt;&gt;""),N13*$O$5,"")</f>
        <v>1</v>
      </c>
      <c r="P13" s="670"/>
      <c r="Q13" s="362" t="str">
        <f>IF(AND(P13&lt;&gt;"",$Q$5&lt;&gt;""),P13*$Q$5,"")</f>
        <v/>
      </c>
      <c r="R13" s="672"/>
      <c r="S13" s="367" t="str">
        <f>IF(AND(R13&lt;&gt;"",$S$5&lt;&gt;""),R13*$S$5,"")</f>
        <v/>
      </c>
      <c r="T13" s="670"/>
      <c r="U13" s="362" t="str">
        <f>IF(AND(T13&lt;&gt;"",$U$5&lt;&gt;""),T13*$U$5,"")</f>
        <v/>
      </c>
      <c r="V13" s="580">
        <f t="shared" si="0"/>
        <v>1</v>
      </c>
      <c r="W13" s="1137" t="str">
        <f>CONCATENATE(V13," Salon(s)"," pour une surface total de ",V14," m² necessitant ",V15," chevrons pour plafon")</f>
        <v>1 Salon(s) pour une surface total de 13,5 m² necessitant 38 chevrons pour plafon</v>
      </c>
      <c r="X13" s="584" t="s">
        <v>687</v>
      </c>
      <c r="Y13" s="376"/>
    </row>
    <row r="14" spans="1:25" ht="19.5" customHeight="1" x14ac:dyDescent="0.3">
      <c r="A14" s="376"/>
      <c r="B14" s="763" t="s">
        <v>610</v>
      </c>
      <c r="C14" s="635"/>
      <c r="D14" s="636"/>
      <c r="E14" s="765" t="str">
        <f t="shared" si="1"/>
        <v/>
      </c>
      <c r="F14" s="376"/>
      <c r="G14" s="360"/>
      <c r="H14" s="360"/>
      <c r="I14" s="360"/>
      <c r="J14" s="360"/>
      <c r="K14" s="376"/>
      <c r="L14" s="1097"/>
      <c r="M14" s="698" t="s">
        <v>614</v>
      </c>
      <c r="N14" s="669">
        <v>13.5</v>
      </c>
      <c r="O14" s="369">
        <f>IF(AND(N14&lt;&gt;"",O13&lt;&gt;""),N14*O13,"")</f>
        <v>13.5</v>
      </c>
      <c r="P14" s="671"/>
      <c r="Q14" s="369" t="str">
        <f>IF(AND(P14&lt;&gt;"",Q13&lt;&gt;""),P14*Q13,"")</f>
        <v/>
      </c>
      <c r="R14" s="673"/>
      <c r="S14" s="369" t="str">
        <f>IF(AND(R14&lt;&gt;"",S13&lt;&gt;""),R14*S13,"")</f>
        <v/>
      </c>
      <c r="T14" s="671"/>
      <c r="U14" s="369" t="str">
        <f>IF(AND(T14&lt;&gt;"",U13&lt;&gt;""),T14*U13,"")</f>
        <v/>
      </c>
      <c r="V14" s="581">
        <f t="shared" si="0"/>
        <v>13.5</v>
      </c>
      <c r="W14" s="1138"/>
      <c r="X14" s="585" t="s">
        <v>676</v>
      </c>
      <c r="Y14" s="376"/>
    </row>
    <row r="15" spans="1:25" ht="17.25" thickBot="1" x14ac:dyDescent="0.35">
      <c r="A15" s="376"/>
      <c r="B15" s="764" t="s">
        <v>611</v>
      </c>
      <c r="C15" s="633"/>
      <c r="D15" s="634"/>
      <c r="E15" s="766">
        <f>IF(E10&lt;&gt;"",(E10-SUMIF(E11:E14,"&lt;&gt;",E11:E14))*SQRT(E4^2+1),"")</f>
        <v>240.29974974302925</v>
      </c>
      <c r="F15" s="376"/>
      <c r="G15" s="360"/>
      <c r="H15" s="360"/>
      <c r="I15" s="360"/>
      <c r="J15" s="360"/>
      <c r="K15" s="376"/>
      <c r="L15" s="1153"/>
      <c r="M15" s="699" t="s">
        <v>615</v>
      </c>
      <c r="N15" s="366">
        <f>IF(N14&lt;&gt;"",ROUND(IF(N14&lt;3,2*N14+3,IF(N14&lt;16,3+(7*N14+9)/3,5+(9*N14+16)/4)),0),"")</f>
        <v>38</v>
      </c>
      <c r="O15" s="370">
        <f>IF(AND(N15&lt;&gt;"",$O$5&lt;&gt;""),N15*$O$5,"")</f>
        <v>38</v>
      </c>
      <c r="P15" s="366" t="str">
        <f>IF(P14&lt;&gt;"",ROUND(IF(P14&lt;3,2*P14+3,IF(P14&lt;16,3+(7*P14+9)/3,5+(9*P14+16)/4)),0),"")</f>
        <v/>
      </c>
      <c r="Q15" s="364" t="str">
        <f>IF(AND(P15&lt;&gt;"",$Q$5&lt;&gt;""),P15*$Q$5,"")</f>
        <v/>
      </c>
      <c r="R15" s="366" t="str">
        <f>IF(R14&lt;&gt;"",ROUND(IF(R14&lt;3,2*R14+3,IF(R14&lt;16,3+(7*R14+9)/3,5+(9*R14+16)/4)),0),"")</f>
        <v/>
      </c>
      <c r="S15" s="368" t="str">
        <f>IF(AND(R15&lt;&gt;"",$S$5&lt;&gt;""),R15*$S$5,"")</f>
        <v/>
      </c>
      <c r="T15" s="366" t="str">
        <f>IF(T14&lt;&gt;"",ROUND(IF(T14&lt;3,2*T14+3,IF(T14&lt;16,3+(7*T14+9)/3,5+(9*T14+16)/4)),0),"")</f>
        <v/>
      </c>
      <c r="U15" s="364" t="str">
        <f>IF(AND(T15&lt;&gt;"",$U$5&lt;&gt;""),T15*$U$5,"")</f>
        <v/>
      </c>
      <c r="V15" s="582">
        <f t="shared" si="0"/>
        <v>38</v>
      </c>
      <c r="W15" s="1138"/>
      <c r="X15" s="586" t="s">
        <v>677</v>
      </c>
      <c r="Y15" s="376"/>
    </row>
    <row r="16" spans="1:25" x14ac:dyDescent="0.25">
      <c r="A16" s="376"/>
      <c r="B16" s="1090" t="s">
        <v>707</v>
      </c>
      <c r="C16" s="1090"/>
      <c r="D16" s="1090"/>
      <c r="E16" s="1090"/>
      <c r="F16" s="376"/>
      <c r="G16" s="360"/>
      <c r="H16" s="360"/>
      <c r="I16" s="360"/>
      <c r="J16" s="360"/>
      <c r="K16" s="376"/>
      <c r="L16" s="1096" t="s">
        <v>590</v>
      </c>
      <c r="M16" s="697" t="s">
        <v>613</v>
      </c>
      <c r="N16" s="372">
        <f>IF(O5&lt;&gt;"",1,"")</f>
        <v>1</v>
      </c>
      <c r="O16" s="373">
        <f>IF(AND(N16&lt;&gt;"",$O$5&lt;&gt;""),N16*$O$5,"")</f>
        <v>1</v>
      </c>
      <c r="P16" s="372" t="str">
        <f>IF(Q5&lt;&gt;"",1,"")</f>
        <v/>
      </c>
      <c r="Q16" s="374" t="str">
        <f>IF(AND(P16&lt;&gt;"",$Q$5&lt;&gt;""),P16*$Q$5,"")</f>
        <v/>
      </c>
      <c r="R16" s="372" t="str">
        <f>IF(S5&lt;&gt;"",2,"")</f>
        <v/>
      </c>
      <c r="S16" s="375" t="str">
        <f>IF(AND(R16&lt;&gt;"",$S$5&lt;&gt;""),R16*$S$5,"")</f>
        <v/>
      </c>
      <c r="T16" s="372" t="str">
        <f>IF(U5&lt;&gt;"",3,"")</f>
        <v/>
      </c>
      <c r="U16" s="374" t="str">
        <f>IF(AND(T16&lt;&gt;"",$U$5&lt;&gt;""),T16*$U$5,"")</f>
        <v/>
      </c>
      <c r="V16" s="581">
        <f t="shared" si="0"/>
        <v>1</v>
      </c>
      <c r="W16" s="1137" t="str">
        <f>CONCATENATE(V16," Chambre(s)"," pour une surface total de ",V17," m² necessitant ",V18," chevrons pour plafon")</f>
        <v>1 Chambre(s) pour une surface total de 12 m² necessitant 34 chevrons pour plafon</v>
      </c>
      <c r="X16" s="584" t="s">
        <v>686</v>
      </c>
      <c r="Y16" s="376"/>
    </row>
    <row r="17" spans="1:25" ht="21" customHeight="1" x14ac:dyDescent="0.25">
      <c r="A17" s="376"/>
      <c r="B17" s="1091"/>
      <c r="C17" s="1091"/>
      <c r="D17" s="1091"/>
      <c r="E17" s="1091"/>
      <c r="F17" s="376"/>
      <c r="G17" s="360"/>
      <c r="H17" s="360"/>
      <c r="I17" s="360"/>
      <c r="J17" s="360"/>
      <c r="K17" s="376"/>
      <c r="L17" s="1097"/>
      <c r="M17" s="698" t="s">
        <v>614</v>
      </c>
      <c r="N17" s="665">
        <v>12</v>
      </c>
      <c r="O17" s="369">
        <f>IF(AND(N17&lt;&gt;"",O16&lt;&gt;""),N17*O16,"")</f>
        <v>12</v>
      </c>
      <c r="P17" s="665"/>
      <c r="Q17" s="369" t="str">
        <f>IF(AND(P17&lt;&gt;"",Q16&lt;&gt;""),P17*Q16,"")</f>
        <v/>
      </c>
      <c r="R17" s="667"/>
      <c r="S17" s="369" t="str">
        <f>IF(AND(R17&lt;&gt;"",S16&lt;&gt;""),R17*S16,"")</f>
        <v/>
      </c>
      <c r="T17" s="665"/>
      <c r="U17" s="369" t="str">
        <f>IF(AND(T17&lt;&gt;"",U16&lt;&gt;""),T17*U16,"")</f>
        <v/>
      </c>
      <c r="V17" s="581">
        <f t="shared" si="0"/>
        <v>12</v>
      </c>
      <c r="W17" s="1138"/>
      <c r="X17" s="585" t="s">
        <v>678</v>
      </c>
      <c r="Y17" s="376"/>
    </row>
    <row r="18" spans="1:25" ht="17.25" thickBot="1" x14ac:dyDescent="0.35">
      <c r="A18" s="376"/>
      <c r="B18" s="376"/>
      <c r="C18" s="377"/>
      <c r="D18" s="377"/>
      <c r="E18" s="377"/>
      <c r="F18" s="377"/>
      <c r="G18" s="383"/>
      <c r="H18" s="376"/>
      <c r="I18" s="376"/>
      <c r="J18" s="376"/>
      <c r="K18" s="376"/>
      <c r="L18" s="1153"/>
      <c r="M18" s="699" t="s">
        <v>615</v>
      </c>
      <c r="N18" s="366">
        <f>IF(N17&lt;&gt;"",ROUND(IF(N17&lt;3,2*N17+3,IF(N17&lt;16,3+(7*N17+9)/3,5+(9*N17+16)/4)),0),"")</f>
        <v>34</v>
      </c>
      <c r="O18" s="370">
        <f>IF(AND(N18&lt;&gt;"",$O$5&lt;&gt;""),N18*$O$5,"")</f>
        <v>34</v>
      </c>
      <c r="P18" s="366" t="str">
        <f>IF(P17&lt;&gt;"",ROUND(IF(P17&lt;3,2*P17+3,IF(P17&lt;16,3+(7*P17+9)/3,5+(9*P17+16)/4)),0),"")</f>
        <v/>
      </c>
      <c r="Q18" s="364" t="str">
        <f>IF(AND(P18&lt;&gt;"",$Q$5&lt;&gt;""),P18*$Q$5,"")</f>
        <v/>
      </c>
      <c r="R18" s="366" t="str">
        <f>IF(R17&lt;&gt;"",ROUND(IF(R17&lt;3,2*R17+3,IF(R17&lt;16,3+(7*R17+9)/3,5+(9*R17+16)/4)),0),"")</f>
        <v/>
      </c>
      <c r="S18" s="368" t="str">
        <f>IF(AND(R18&lt;&gt;"",$S$5&lt;&gt;""),R18*$S$5,"")</f>
        <v/>
      </c>
      <c r="T18" s="366" t="str">
        <f>IF(T17&lt;&gt;"",ROUND(IF(T17&lt;3,2*T17+3,IF(T17&lt;16,3+(7*T17+9)/3,5+(9*T17+16)/4)),0),"")</f>
        <v/>
      </c>
      <c r="U18" s="364" t="str">
        <f>IF(AND(T18&lt;&gt;"",$U$5&lt;&gt;""),T18*$U$5,"")</f>
        <v/>
      </c>
      <c r="V18" s="581">
        <f t="shared" si="0"/>
        <v>34</v>
      </c>
      <c r="W18" s="1138"/>
      <c r="X18" s="586" t="s">
        <v>679</v>
      </c>
      <c r="Y18" s="376"/>
    </row>
    <row r="19" spans="1:25" ht="17.25" customHeight="1" thickBot="1" x14ac:dyDescent="0.35">
      <c r="A19" s="376"/>
      <c r="B19" s="1092" t="s">
        <v>621</v>
      </c>
      <c r="C19" s="1093"/>
      <c r="D19" s="1093"/>
      <c r="E19" s="703"/>
      <c r="F19" s="703"/>
      <c r="G19" s="704"/>
      <c r="H19" s="705"/>
      <c r="I19" s="382"/>
      <c r="J19" s="382"/>
      <c r="K19" s="376"/>
      <c r="L19" s="1096" t="s">
        <v>591</v>
      </c>
      <c r="M19" s="697" t="s">
        <v>613</v>
      </c>
      <c r="N19" s="668">
        <v>1</v>
      </c>
      <c r="O19" s="371">
        <f>IF(AND(N19&lt;&gt;"",$O$5&lt;&gt;""),N19*$O$5,"")</f>
        <v>1</v>
      </c>
      <c r="P19" s="668"/>
      <c r="Q19" s="362" t="str">
        <f>IF(AND(P19&lt;&gt;"",$Q$5&lt;&gt;""),P19*$Q$5,"")</f>
        <v/>
      </c>
      <c r="R19" s="666"/>
      <c r="S19" s="367" t="str">
        <f>IF(AND(R19&lt;&gt;"",$S$5&lt;&gt;""),R19*$S$5,"")</f>
        <v/>
      </c>
      <c r="T19" s="664"/>
      <c r="U19" s="362" t="str">
        <f>IF(AND(T19&lt;&gt;"",$U$5&lt;&gt;""),T19*$U$5,"")</f>
        <v/>
      </c>
      <c r="V19" s="580">
        <f t="shared" si="0"/>
        <v>1</v>
      </c>
      <c r="W19" s="1137" t="str">
        <f>CONCATENATE(V19," Salle(s) d'eau"," pour une surface total de ",V20," m² necessitant ",V21," chevrons pour plafon")</f>
        <v>1 Salle(s) d'eau pour une surface total de 3,85 m² necessitant 15 chevrons pour plafon</v>
      </c>
      <c r="X19" s="584" t="s">
        <v>685</v>
      </c>
      <c r="Y19" s="376"/>
    </row>
    <row r="20" spans="1:25" ht="15.75" customHeight="1" thickBot="1" x14ac:dyDescent="0.35">
      <c r="A20" s="376"/>
      <c r="B20" s="1081" t="s">
        <v>622</v>
      </c>
      <c r="C20" s="1082"/>
      <c r="D20" s="706">
        <f>(70+6+2.55+2.27*5)/SQRT(0.25^2+1)</f>
        <v>87.215810763065335</v>
      </c>
      <c r="E20" s="1143"/>
      <c r="F20" s="1144"/>
      <c r="G20" s="707"/>
      <c r="H20" s="708"/>
      <c r="I20" s="382"/>
      <c r="J20" s="382"/>
      <c r="K20" s="376"/>
      <c r="L20" s="1097"/>
      <c r="M20" s="698" t="s">
        <v>614</v>
      </c>
      <c r="N20" s="669">
        <v>3.85</v>
      </c>
      <c r="O20" s="369">
        <f>IF(AND(N20&lt;&gt;"",O19&lt;&gt;""),N20*O19,"")</f>
        <v>3.85</v>
      </c>
      <c r="P20" s="669"/>
      <c r="Q20" s="369" t="str">
        <f>IF(AND(P20&lt;&gt;"",Q19&lt;&gt;""),P20*Q19,"")</f>
        <v/>
      </c>
      <c r="R20" s="679"/>
      <c r="S20" s="369" t="str">
        <f>IF(AND(R20&lt;&gt;"",S19&lt;&gt;""),R20*S19,"")</f>
        <v/>
      </c>
      <c r="T20" s="678"/>
      <c r="U20" s="369" t="str">
        <f>IF(AND(T20&lt;&gt;"",U19&lt;&gt;""),T20*U19,"")</f>
        <v/>
      </c>
      <c r="V20" s="581">
        <f t="shared" si="0"/>
        <v>3.85</v>
      </c>
      <c r="W20" s="1138"/>
      <c r="X20" s="585" t="s">
        <v>680</v>
      </c>
      <c r="Y20" s="376"/>
    </row>
    <row r="21" spans="1:25" ht="17.25" thickBot="1" x14ac:dyDescent="0.35">
      <c r="A21" s="376"/>
      <c r="B21" s="709" t="s">
        <v>623</v>
      </c>
      <c r="C21" s="710">
        <f>C8</f>
        <v>17.649999999999999</v>
      </c>
      <c r="D21" s="711"/>
      <c r="E21" s="712"/>
      <c r="F21" s="712"/>
      <c r="G21" s="713"/>
      <c r="H21" s="713"/>
      <c r="I21" s="376"/>
      <c r="J21" s="376"/>
      <c r="K21" s="376"/>
      <c r="L21" s="1153"/>
      <c r="M21" s="699" t="s">
        <v>615</v>
      </c>
      <c r="N21" s="366">
        <f>IF(N20&lt;&gt;"",ROUND(IF(N20&lt;3,2*N20+3,IF(N20&lt;16,3+(7*N20+9)/3,5+(9*N20+16)/4)),0),"")</f>
        <v>15</v>
      </c>
      <c r="O21" s="370">
        <f>IF(AND(N21&lt;&gt;"",$O$5&lt;&gt;""),N21*$O$5,"")</f>
        <v>15</v>
      </c>
      <c r="P21" s="366" t="str">
        <f>IF(P20&lt;&gt;"",ROUND(IF(P20&lt;3,2*P20+3,IF(P20&lt;16,3+(7*P20+9)/3,5+(9*P20+16)/4)),0),"")</f>
        <v/>
      </c>
      <c r="Q21" s="364" t="str">
        <f>IF(AND(P21&lt;&gt;"",$Q$5&lt;&gt;""),P21*$Q$5,"")</f>
        <v/>
      </c>
      <c r="R21" s="366" t="str">
        <f>IF(R20&lt;&gt;"",ROUND(IF(R20&lt;3,2*R20+3,IF(R20&lt;16,3+(7*R20+9)/3,5+(9*R20+16)/4)),0),"")</f>
        <v/>
      </c>
      <c r="S21" s="368" t="str">
        <f>IF(AND(R21&lt;&gt;"",$S$5&lt;&gt;""),R21*$S$5,"")</f>
        <v/>
      </c>
      <c r="T21" s="366" t="str">
        <f>IF(T20&lt;&gt;"",ROUND(IF(T20&lt;3,2*T20+3,IF(T20&lt;16,3+(7*T20+9)/3,5+(9*T20+16)/4)),0),"")</f>
        <v/>
      </c>
      <c r="U21" s="364" t="str">
        <f>IF(AND(T21&lt;&gt;"",$U$5&lt;&gt;""),T21*$U$5,"")</f>
        <v/>
      </c>
      <c r="V21" s="582">
        <f t="shared" si="0"/>
        <v>15</v>
      </c>
      <c r="W21" s="1138"/>
      <c r="X21" s="586" t="s">
        <v>681</v>
      </c>
      <c r="Y21" s="376"/>
    </row>
    <row r="22" spans="1:25" ht="16.5" x14ac:dyDescent="0.3">
      <c r="A22" s="376"/>
      <c r="B22" s="714" t="s">
        <v>624</v>
      </c>
      <c r="C22" s="715">
        <f>C8</f>
        <v>17.649999999999999</v>
      </c>
      <c r="D22" s="711"/>
      <c r="E22" s="712"/>
      <c r="F22" s="712"/>
      <c r="G22" s="713"/>
      <c r="H22" s="713"/>
      <c r="I22" s="376"/>
      <c r="J22" s="376"/>
      <c r="K22" s="376"/>
      <c r="L22" s="1096" t="s">
        <v>612</v>
      </c>
      <c r="M22" s="697" t="s">
        <v>613</v>
      </c>
      <c r="N22" s="664">
        <v>1</v>
      </c>
      <c r="O22" s="371">
        <f>IF(AND(N22&lt;&gt;"",$O$5&lt;&gt;""),N22*$O$5,"")</f>
        <v>1</v>
      </c>
      <c r="P22" s="664"/>
      <c r="Q22" s="362" t="str">
        <f>IF(AND(P22&lt;&gt;"",$Q$5&lt;&gt;""),P22*$Q$5,"")</f>
        <v/>
      </c>
      <c r="R22" s="666"/>
      <c r="S22" s="367" t="str">
        <f>IF(AND(R22&lt;&gt;"",$S$5&lt;&gt;""),R22*$S$5,"")</f>
        <v/>
      </c>
      <c r="T22" s="664"/>
      <c r="U22" s="362" t="str">
        <f>IF(AND(T22&lt;&gt;"",$U$5&lt;&gt;""),T22*$U$5,"")</f>
        <v/>
      </c>
      <c r="V22" s="581">
        <f t="shared" si="0"/>
        <v>1</v>
      </c>
      <c r="W22" s="1137" t="str">
        <f>CONCATENATE(V22," Cuisine(s)"," pour une surface total de ",V23," m² necessitant ",V24," chevrons pour plafon")</f>
        <v>1 Cuisine(s) pour une surface total de 14 m² necessitant 39 chevrons pour plafon</v>
      </c>
      <c r="X22" s="584" t="s">
        <v>682</v>
      </c>
      <c r="Y22" s="376"/>
    </row>
    <row r="23" spans="1:25" ht="20.25" customHeight="1" x14ac:dyDescent="0.3">
      <c r="A23" s="376"/>
      <c r="B23" s="716" t="s">
        <v>625</v>
      </c>
      <c r="C23" s="717">
        <f>E8/2</f>
        <v>5.75</v>
      </c>
      <c r="D23" s="711"/>
      <c r="E23" s="712"/>
      <c r="F23" s="712"/>
      <c r="G23" s="713"/>
      <c r="H23" s="713"/>
      <c r="I23" s="376"/>
      <c r="J23" s="376"/>
      <c r="K23" s="376"/>
      <c r="L23" s="1097"/>
      <c r="M23" s="698" t="s">
        <v>614</v>
      </c>
      <c r="N23" s="665">
        <v>14</v>
      </c>
      <c r="O23" s="369">
        <f>IF(AND(N23&lt;&gt;"",O22&lt;&gt;""),N23*O22,"")</f>
        <v>14</v>
      </c>
      <c r="P23" s="665"/>
      <c r="Q23" s="369" t="str">
        <f>IF(AND(P23&lt;&gt;"",Q22&lt;&gt;""),P23*Q22,"")</f>
        <v/>
      </c>
      <c r="R23" s="667"/>
      <c r="S23" s="369" t="str">
        <f>IF(AND(R23&lt;&gt;"",S22&lt;&gt;""),R23*S22,"")</f>
        <v/>
      </c>
      <c r="T23" s="665"/>
      <c r="U23" s="369" t="str">
        <f>IF(AND(T23&lt;&gt;"",U22&lt;&gt;""),T23*U22,"")</f>
        <v/>
      </c>
      <c r="V23" s="581">
        <f t="shared" si="0"/>
        <v>14</v>
      </c>
      <c r="W23" s="1138"/>
      <c r="X23" s="585" t="s">
        <v>683</v>
      </c>
      <c r="Y23" s="376"/>
    </row>
    <row r="24" spans="1:25" ht="18.75" customHeight="1" thickBot="1" x14ac:dyDescent="0.3">
      <c r="A24" s="376"/>
      <c r="B24" s="716" t="s">
        <v>626</v>
      </c>
      <c r="C24" s="717">
        <f>E8/2</f>
        <v>5.75</v>
      </c>
      <c r="D24" s="718"/>
      <c r="E24" s="713"/>
      <c r="F24" s="713"/>
      <c r="G24" s="713"/>
      <c r="H24" s="713"/>
      <c r="I24" s="376"/>
      <c r="J24" s="376"/>
      <c r="K24" s="376"/>
      <c r="L24" s="1097"/>
      <c r="M24" s="700" t="s">
        <v>615</v>
      </c>
      <c r="N24" s="570">
        <f>IF(N23&lt;&gt;"",ROUND(IF(N23&lt;3,2*N23+3,IF(N23&lt;16,3+(7*N23+9)/3,5+(9*N23+16)/4)),0),"")</f>
        <v>39</v>
      </c>
      <c r="O24" s="369">
        <f>IF(AND(N24&lt;&gt;"",$O$5&lt;&gt;""),N24*$O$5,"")</f>
        <v>39</v>
      </c>
      <c r="P24" s="570" t="str">
        <f>IF(P23&lt;&gt;"",ROUND(IF(P23&lt;3,2*P23+3,IF(P23&lt;16,3+(7*P23+9)/3,5+(9*P23+16)/4)),0),"")</f>
        <v/>
      </c>
      <c r="Q24" s="363" t="str">
        <f>IF(AND(P24&lt;&gt;"",$Q$5&lt;&gt;""),P24*$Q$5,"")</f>
        <v/>
      </c>
      <c r="R24" s="570" t="str">
        <f>IF(R23&lt;&gt;"",ROUND(IF(R23&lt;3,2*R23+3,IF(R23&lt;16,3+(7*R23+9)/3,5+(9*R23+16)/4)),0),"")</f>
        <v/>
      </c>
      <c r="S24" s="365" t="str">
        <f>IF(AND(R24&lt;&gt;"",$S$5&lt;&gt;""),R24*$S$5,"")</f>
        <v/>
      </c>
      <c r="T24" s="570" t="str">
        <f>IF(T23&lt;&gt;"",ROUND(IF(T23&lt;3,2*T23+3,IF(T23&lt;16,3+(7*T23+9)/3,5+(9*T23+16)/4)),0),"")</f>
        <v/>
      </c>
      <c r="U24" s="363" t="str">
        <f>IF(AND(T24&lt;&gt;"",$U$5&lt;&gt;""),T24*$U$5,"")</f>
        <v/>
      </c>
      <c r="V24" s="582">
        <f t="shared" si="0"/>
        <v>39</v>
      </c>
      <c r="W24" s="1154"/>
      <c r="X24" s="586" t="s">
        <v>684</v>
      </c>
      <c r="Y24" s="376"/>
    </row>
    <row r="25" spans="1:25" ht="16.5" x14ac:dyDescent="0.25">
      <c r="A25" s="376"/>
      <c r="B25" s="714" t="s">
        <v>627</v>
      </c>
      <c r="C25" s="719">
        <f>C23*SQRT(E4^2+1)</f>
        <v>5.926964336825387</v>
      </c>
      <c r="D25" s="718"/>
      <c r="E25" s="713"/>
      <c r="F25" s="713"/>
      <c r="G25" s="713"/>
      <c r="H25" s="713"/>
      <c r="I25" s="376"/>
      <c r="J25" s="376"/>
      <c r="K25" s="376"/>
      <c r="L25" s="1094" t="s">
        <v>26</v>
      </c>
      <c r="M25" s="701" t="s">
        <v>667</v>
      </c>
      <c r="N25" s="572">
        <f>IF(AND(O5&lt;&gt;"",SUM(N8,N11,N14,N17,N20,N23)&gt;0),SUM(N8,N11,N14,N17,N20,N23),"")</f>
        <v>50.63</v>
      </c>
      <c r="O25" s="576">
        <f>IF(SUM(O8,O11,O14,O17,O20,O23)&gt;0,SUM(O8,O11,O14,O17,O20,O23),"")</f>
        <v>50.63</v>
      </c>
      <c r="P25" s="577" t="str">
        <f>IF(AND(Q5&lt;&gt;"",SUM(P8,P11,P14,P17,P20,P23)&gt;0),SUM(P8,P11,P14,P17,P20,P23),"")</f>
        <v/>
      </c>
      <c r="Q25" s="573" t="str">
        <f>IF(SUM(Q8,Q11,Q14,Q17,Q20,Q23)&gt;0,SUM(Q8,Q11,Q14,Q17,Q20,Q23),"")</f>
        <v/>
      </c>
      <c r="R25" s="572" t="str">
        <f>IF(AND(S5&lt;&gt;"",SUM(R8,R11,R14,R17,R20,R23)&gt;0),SUM(R8,R11,R14,R17,R20,R23),"")</f>
        <v/>
      </c>
      <c r="S25" s="573" t="str">
        <f>IF(SUM(S8,S11,S14,S17,S20,S23)&gt;0,SUM(S8,S11,S14,S17,S20,S23),"")</f>
        <v/>
      </c>
      <c r="T25" s="572" t="str">
        <f>IF(AND(U5&lt;&gt;"",SUM(T8,T11,T14,T17,T20,T23)&gt;0),SUM(T8,T11,T14,T17,T20,T23),"")</f>
        <v/>
      </c>
      <c r="U25" s="583" t="str">
        <f>IF(SUM(U8,U11,U14,U17,U20,U23)&gt;0,SUM(U8,U11,U14,U17,U20,U23),"")</f>
        <v/>
      </c>
      <c r="V25" s="591">
        <f>IF(SUM(U25,S25,Q25,O25)&gt;0,SUM(U25,S25,Q25,O25),"")</f>
        <v>50.63</v>
      </c>
      <c r="W25" s="589" t="str">
        <f>CONCATENATE(V25," m² de sol pour la construction")</f>
        <v>50,63 m² de sol pour la construction</v>
      </c>
      <c r="X25" s="585" t="s">
        <v>691</v>
      </c>
      <c r="Y25" s="376"/>
    </row>
    <row r="26" spans="1:25" ht="17.25" thickBot="1" x14ac:dyDescent="0.3">
      <c r="A26" s="376"/>
      <c r="B26" s="714" t="s">
        <v>628</v>
      </c>
      <c r="C26" s="719">
        <f>C24*SQRT(E4^2+1)</f>
        <v>5.926964336825387</v>
      </c>
      <c r="D26" s="718"/>
      <c r="E26" s="713"/>
      <c r="F26" s="713"/>
      <c r="G26" s="713"/>
      <c r="H26" s="713"/>
      <c r="I26" s="376"/>
      <c r="J26" s="376"/>
      <c r="K26" s="376"/>
      <c r="L26" s="1095"/>
      <c r="M26" s="702" t="s">
        <v>668</v>
      </c>
      <c r="N26" s="575">
        <f>IF(AND(O5&lt;&gt;"",SUM(N9,N12,N15,N18,N21,N24)&gt;0),SUM(N9,N12,N15,N18,N21,N24),"")</f>
        <v>151</v>
      </c>
      <c r="O26" s="574">
        <f>IF(SUM(O9,O12,O15,O18,O21,O24)&gt;0,SUM(O9,O12,O15,O18,O21,O24),"")</f>
        <v>151</v>
      </c>
      <c r="P26" s="575" t="str">
        <f>IF(AND(Q5&lt;&gt;"",SUM(P9,P12,P15,P18,P21,P24)&gt;0),SUM(P9,P12,P15,P18,P21,P24),"")</f>
        <v/>
      </c>
      <c r="Q26" s="574" t="str">
        <f>IF(SUM(Q9,Q12,Q15,Q18,Q21,Q24)&gt;0,SUM(Q9,Q12,Q15,Q18,Q21,Q24),"")</f>
        <v/>
      </c>
      <c r="R26" s="575" t="str">
        <f>IF(AND(S5&lt;&gt;"",SUM(R9,R12,R15,R18,R21,R24)&gt;0),SUM(R9,R12,R15,R18,R21,R24),"")</f>
        <v/>
      </c>
      <c r="S26" s="574" t="str">
        <f>IF(SUM(S9,S12,S15,S18,S21,S24)&gt;0,SUM(S9,S12,S15,S18,S21,S24),"")</f>
        <v/>
      </c>
      <c r="T26" s="575" t="str">
        <f>IF(AND(U5&lt;&gt;"",SUM(T9,T12,T15,T18,T21,T24)&gt;0),SUM(T9,T12,T15,T18,T21,T24),"")</f>
        <v/>
      </c>
      <c r="U26" s="588" t="str">
        <f>IF(SUM(U9,U12,U15,U18,U21,U24)&gt;0,SUM(U9,U12,U15,U18,U21,U24),"")</f>
        <v/>
      </c>
      <c r="V26" s="592">
        <f>IF(SUM(U26,S26,Q26,O26)&gt;0,SUM(U26,S26,Q26,O26),"")</f>
        <v>151</v>
      </c>
      <c r="W26" s="590" t="str">
        <f>CONCATENATE(V26," m de chevrons pour plafon de la construction")</f>
        <v>151 m de chevrons pour plafon de la construction</v>
      </c>
      <c r="X26" s="586"/>
      <c r="Y26" s="376"/>
    </row>
    <row r="27" spans="1:25" ht="16.5" x14ac:dyDescent="0.25">
      <c r="A27" s="376"/>
      <c r="B27" s="714" t="s">
        <v>593</v>
      </c>
      <c r="C27" s="719">
        <f>B7*SQRT(E4^2+1)</f>
        <v>0.51538820320220757</v>
      </c>
      <c r="D27" s="718"/>
      <c r="E27" s="713"/>
      <c r="F27" s="713"/>
      <c r="G27" s="713"/>
      <c r="H27" s="713"/>
      <c r="I27" s="376"/>
      <c r="J27" s="376"/>
      <c r="K27" s="376"/>
      <c r="L27" s="571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76"/>
      <c r="X27" s="376"/>
      <c r="Y27" s="376"/>
    </row>
    <row r="28" spans="1:25" ht="16.5" x14ac:dyDescent="0.25">
      <c r="A28" s="376"/>
      <c r="B28" s="714" t="s">
        <v>594</v>
      </c>
      <c r="C28" s="719">
        <f>C7*SQRT(E4^2+1)</f>
        <v>0.51538820320220757</v>
      </c>
      <c r="D28" s="718"/>
      <c r="E28" s="713"/>
      <c r="F28" s="713"/>
      <c r="G28" s="713"/>
      <c r="H28" s="713"/>
      <c r="I28" s="376"/>
      <c r="J28" s="376"/>
      <c r="K28" s="376"/>
      <c r="L28" s="376"/>
      <c r="M28" s="376"/>
      <c r="N28" s="376"/>
      <c r="O28" s="376"/>
      <c r="P28" s="376"/>
      <c r="Q28" s="376"/>
      <c r="R28" s="376"/>
      <c r="S28" s="376"/>
      <c r="T28" s="376"/>
      <c r="U28" s="376"/>
      <c r="V28" s="376"/>
      <c r="W28" s="376"/>
      <c r="X28" s="376"/>
      <c r="Y28" s="376"/>
    </row>
    <row r="29" spans="1:25" ht="16.5" x14ac:dyDescent="0.25">
      <c r="A29" s="376"/>
      <c r="B29" s="714" t="s">
        <v>595</v>
      </c>
      <c r="C29" s="719">
        <f>M31</f>
        <v>0.5</v>
      </c>
      <c r="D29" s="718"/>
      <c r="E29" s="713"/>
      <c r="F29" s="713"/>
      <c r="G29" s="713"/>
      <c r="H29" s="713"/>
      <c r="I29" s="376"/>
      <c r="J29" s="1078"/>
      <c r="K29" s="1079"/>
      <c r="L29" s="1079"/>
      <c r="M29" s="1080"/>
      <c r="N29" s="376"/>
      <c r="O29" s="376"/>
      <c r="P29" s="376"/>
      <c r="Q29" s="376"/>
      <c r="R29" s="376"/>
      <c r="S29" s="376"/>
      <c r="T29" s="376"/>
      <c r="U29" s="376"/>
      <c r="V29" s="376"/>
      <c r="W29" s="376"/>
      <c r="X29" s="376"/>
      <c r="Y29" s="376"/>
    </row>
    <row r="30" spans="1:25" ht="16.5" x14ac:dyDescent="0.25">
      <c r="A30" s="376"/>
      <c r="B30" s="714" t="s">
        <v>596</v>
      </c>
      <c r="C30" s="719">
        <f>D7</f>
        <v>0.5</v>
      </c>
      <c r="D30" s="718"/>
      <c r="E30" s="713"/>
      <c r="F30" s="713"/>
      <c r="G30" s="713"/>
      <c r="H30" s="713"/>
      <c r="I30" s="376"/>
      <c r="J30" s="637" t="s">
        <v>593</v>
      </c>
      <c r="K30" s="638" t="s">
        <v>594</v>
      </c>
      <c r="L30" s="639" t="s">
        <v>596</v>
      </c>
      <c r="M30" s="640" t="s">
        <v>595</v>
      </c>
      <c r="N30" s="376"/>
      <c r="O30" s="376"/>
      <c r="P30" s="376"/>
      <c r="Q30" s="376"/>
      <c r="R30" s="376"/>
      <c r="S30" s="376"/>
      <c r="T30" s="376"/>
      <c r="U30" s="376"/>
      <c r="V30" s="376"/>
      <c r="W30" s="376"/>
      <c r="X30" s="376"/>
      <c r="Y30" s="376"/>
    </row>
    <row r="31" spans="1:25" ht="17.25" thickBot="1" x14ac:dyDescent="0.3">
      <c r="A31" s="376"/>
      <c r="B31" s="720" t="s">
        <v>629</v>
      </c>
      <c r="C31" s="721">
        <v>0.2</v>
      </c>
      <c r="D31" s="718"/>
      <c r="E31" s="713"/>
      <c r="F31" s="713"/>
      <c r="G31" s="713"/>
      <c r="H31" s="713"/>
      <c r="I31" s="376"/>
      <c r="J31" s="378">
        <f>B7*SQRT($E$4^2+1)</f>
        <v>0.51538820320220757</v>
      </c>
      <c r="K31" s="378">
        <f>C7*SQRT($E$4^2+1)</f>
        <v>0.51538820320220757</v>
      </c>
      <c r="L31" s="379">
        <f>D7</f>
        <v>0.5</v>
      </c>
      <c r="M31" s="380">
        <f>E7</f>
        <v>0.5</v>
      </c>
      <c r="N31" s="376"/>
      <c r="O31" s="376"/>
      <c r="P31" s="376"/>
      <c r="Q31" s="376"/>
      <c r="R31" s="376"/>
      <c r="S31" s="376"/>
      <c r="T31" s="376"/>
      <c r="U31" s="376"/>
      <c r="V31" s="376"/>
      <c r="W31" s="376"/>
      <c r="X31" s="376"/>
      <c r="Y31" s="376"/>
    </row>
    <row r="32" spans="1:25" ht="16.5" thickBot="1" x14ac:dyDescent="0.3">
      <c r="A32" s="376"/>
      <c r="B32" s="722"/>
      <c r="C32" s="723"/>
      <c r="D32" s="718"/>
      <c r="E32" s="713"/>
      <c r="F32" s="713"/>
      <c r="G32" s="713"/>
      <c r="H32" s="713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6"/>
      <c r="T32" s="376"/>
      <c r="U32" s="376"/>
      <c r="V32" s="376"/>
      <c r="W32" s="376"/>
      <c r="X32" s="376"/>
      <c r="Y32" s="376"/>
    </row>
    <row r="33" spans="1:33" ht="16.5" x14ac:dyDescent="0.25">
      <c r="A33" s="376"/>
      <c r="B33" s="1151" t="s">
        <v>659</v>
      </c>
      <c r="C33" s="1152"/>
      <c r="D33" s="718"/>
      <c r="E33" s="713"/>
      <c r="F33" s="713"/>
      <c r="G33" s="713"/>
      <c r="H33" s="713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6"/>
      <c r="T33" s="376"/>
      <c r="U33" s="376"/>
      <c r="V33" s="376"/>
      <c r="W33" s="376"/>
      <c r="X33" s="376"/>
      <c r="Y33" s="376"/>
    </row>
    <row r="34" spans="1:33" ht="17.25" thickBot="1" x14ac:dyDescent="0.3">
      <c r="A34" s="376"/>
      <c r="B34" s="1083" t="s">
        <v>660</v>
      </c>
      <c r="C34" s="1084"/>
      <c r="D34" s="718"/>
      <c r="E34" s="713"/>
      <c r="F34" s="713"/>
      <c r="G34" s="713"/>
      <c r="H34" s="713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6"/>
      <c r="T34" s="376"/>
      <c r="U34" s="376"/>
      <c r="V34" s="376"/>
      <c r="W34" s="376"/>
      <c r="X34" s="376"/>
      <c r="Y34" s="376"/>
    </row>
    <row r="35" spans="1:33" ht="16.5" thickBot="1" x14ac:dyDescent="0.3">
      <c r="A35" s="376"/>
      <c r="B35" s="724"/>
      <c r="C35" s="725"/>
      <c r="D35" s="726"/>
      <c r="E35" s="713"/>
      <c r="F35" s="713"/>
      <c r="G35" s="713"/>
      <c r="H35" s="713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6"/>
      <c r="T35" s="376"/>
      <c r="U35" s="376"/>
      <c r="V35" s="376"/>
      <c r="W35" s="376"/>
      <c r="X35" s="376"/>
      <c r="Y35" s="376"/>
    </row>
    <row r="36" spans="1:33" ht="16.5" x14ac:dyDescent="0.25">
      <c r="A36" s="376"/>
      <c r="B36" s="1157" t="s">
        <v>630</v>
      </c>
      <c r="C36" s="1158"/>
      <c r="D36" s="727" t="s">
        <v>631</v>
      </c>
      <c r="E36" s="728" t="s">
        <v>632</v>
      </c>
      <c r="F36" s="729" t="s">
        <v>633</v>
      </c>
      <c r="G36" s="730" t="s">
        <v>634</v>
      </c>
      <c r="H36" s="730" t="s">
        <v>635</v>
      </c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6"/>
      <c r="T36" s="376"/>
      <c r="U36" s="376"/>
      <c r="V36" s="376"/>
      <c r="W36" s="376"/>
      <c r="X36" s="376"/>
      <c r="Y36" s="376"/>
    </row>
    <row r="37" spans="1:33" ht="20.25" x14ac:dyDescent="0.3">
      <c r="A37" s="376"/>
      <c r="B37" s="1085" t="s">
        <v>646</v>
      </c>
      <c r="C37" s="1086"/>
      <c r="D37" s="632">
        <v>3</v>
      </c>
      <c r="E37" s="731">
        <f>ROUNDUP(C21/D37,0)+1</f>
        <v>7</v>
      </c>
      <c r="F37" s="732">
        <f>C21/ROUNDUP(C21/D37,0)</f>
        <v>2.9416666666666664</v>
      </c>
      <c r="G37" s="732">
        <f>C25+C27</f>
        <v>6.4423525400275947</v>
      </c>
      <c r="H37" s="732">
        <f>G37*E37</f>
        <v>45.096467780193166</v>
      </c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6"/>
      <c r="T37" s="376"/>
      <c r="U37" s="376"/>
      <c r="V37" s="376"/>
      <c r="W37" s="376"/>
      <c r="X37" s="376"/>
      <c r="Y37" s="376"/>
    </row>
    <row r="38" spans="1:33" ht="20.25" x14ac:dyDescent="0.3">
      <c r="A38" s="376"/>
      <c r="B38" s="1085" t="s">
        <v>647</v>
      </c>
      <c r="C38" s="1086"/>
      <c r="D38" s="632">
        <v>1.2</v>
      </c>
      <c r="E38" s="731">
        <f>ROUNDUP((C23-C31)/D38,0)+1</f>
        <v>6</v>
      </c>
      <c r="F38" s="733">
        <f>C23/ROUNDUP((C23-C31)/D38,0)</f>
        <v>1.1499999999999999</v>
      </c>
      <c r="G38" s="732">
        <f>C21+C29+C30</f>
        <v>18.649999999999999</v>
      </c>
      <c r="H38" s="732">
        <f>G38*E38</f>
        <v>111.89999999999999</v>
      </c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T38" s="376"/>
      <c r="U38" s="376"/>
      <c r="V38" s="376"/>
      <c r="W38" s="376"/>
      <c r="X38" s="376"/>
      <c r="Y38" s="376"/>
    </row>
    <row r="39" spans="1:33" ht="17.25" thickBot="1" x14ac:dyDescent="0.35">
      <c r="A39" s="376"/>
      <c r="B39" s="1159" t="s">
        <v>636</v>
      </c>
      <c r="C39" s="1160"/>
      <c r="D39" s="753">
        <f>D20*F37*F38</f>
        <v>295.04381982721969</v>
      </c>
      <c r="E39" s="377"/>
      <c r="F39" s="377"/>
      <c r="G39" s="377"/>
      <c r="H39" s="377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T39" s="376"/>
      <c r="U39" s="376"/>
      <c r="V39" s="376"/>
      <c r="W39" s="376"/>
      <c r="X39" s="376"/>
      <c r="Y39" s="376"/>
    </row>
    <row r="40" spans="1:33" ht="18" x14ac:dyDescent="0.25">
      <c r="A40" s="376"/>
      <c r="B40" s="1157" t="s">
        <v>637</v>
      </c>
      <c r="C40" s="1158"/>
      <c r="D40" s="734" t="s">
        <v>631</v>
      </c>
      <c r="E40" s="735" t="s">
        <v>632</v>
      </c>
      <c r="F40" s="736" t="s">
        <v>633</v>
      </c>
      <c r="G40" s="703" t="s">
        <v>638</v>
      </c>
      <c r="H40" s="737" t="s">
        <v>639</v>
      </c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83"/>
      <c r="X40" s="383"/>
      <c r="Y40" s="383"/>
      <c r="Z40" s="611"/>
      <c r="AA40" s="1128"/>
      <c r="AB40" s="1128"/>
      <c r="AC40" s="1128"/>
      <c r="AD40" s="1128"/>
      <c r="AE40" s="1128"/>
      <c r="AF40" s="610"/>
      <c r="AG40" s="610"/>
    </row>
    <row r="41" spans="1:33" ht="20.25" x14ac:dyDescent="0.3">
      <c r="A41" s="376"/>
      <c r="B41" s="1085" t="s">
        <v>646</v>
      </c>
      <c r="C41" s="1086"/>
      <c r="D41" s="738">
        <f>D37</f>
        <v>3</v>
      </c>
      <c r="E41" s="731">
        <f>ROUNDUP(C22/D41,0)+1</f>
        <v>7</v>
      </c>
      <c r="F41" s="732">
        <f>C21/ROUNDUP(C21/D37,0)</f>
        <v>2.9416666666666664</v>
      </c>
      <c r="G41" s="732">
        <f>C26+C28</f>
        <v>6.4423525400275947</v>
      </c>
      <c r="H41" s="739">
        <f>IF(AND(E41&lt;&gt;"",G41&lt;&gt;""),E41*G41,"")</f>
        <v>45.096467780193166</v>
      </c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83"/>
      <c r="X41" s="383"/>
      <c r="Y41" s="383"/>
      <c r="Z41" s="1129"/>
      <c r="AA41" s="612"/>
      <c r="AB41" s="612"/>
      <c r="AC41" s="612"/>
      <c r="AD41" s="612"/>
      <c r="AE41" s="612"/>
      <c r="AF41" s="610"/>
      <c r="AG41" s="610"/>
    </row>
    <row r="42" spans="1:33" ht="21" thickBot="1" x14ac:dyDescent="0.35">
      <c r="A42" s="376"/>
      <c r="B42" s="1140" t="s">
        <v>647</v>
      </c>
      <c r="C42" s="1141"/>
      <c r="D42" s="740">
        <f>D38</f>
        <v>1.2</v>
      </c>
      <c r="E42" s="741">
        <f>ROUNDUP((C24-C31)/D42,0)+1</f>
        <v>6</v>
      </c>
      <c r="F42" s="742">
        <f>C23/ROUNDUP((C23-C31)/D38,0)</f>
        <v>1.1499999999999999</v>
      </c>
      <c r="G42" s="743">
        <f>C22+C30+C29</f>
        <v>18.649999999999999</v>
      </c>
      <c r="H42" s="744">
        <f>IF(AND(E42&lt;&gt;"",G42&lt;&gt;""),E42*G42,"")</f>
        <v>111.89999999999999</v>
      </c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83"/>
      <c r="X42" s="383"/>
      <c r="Y42" s="383"/>
      <c r="Z42" s="1129"/>
      <c r="AA42" s="609"/>
      <c r="AB42" s="609"/>
      <c r="AC42" s="609"/>
      <c r="AD42" s="609"/>
      <c r="AE42" s="613"/>
      <c r="AF42" s="610"/>
      <c r="AG42" s="610"/>
    </row>
    <row r="43" spans="1:33" ht="17.25" thickBot="1" x14ac:dyDescent="0.35">
      <c r="A43" s="376"/>
      <c r="B43" s="1142" t="s">
        <v>640</v>
      </c>
      <c r="C43" s="1142"/>
      <c r="D43" s="1142"/>
      <c r="E43" s="1142"/>
      <c r="F43" s="1142"/>
      <c r="G43" s="1142"/>
      <c r="H43" s="1142"/>
      <c r="I43" s="376"/>
      <c r="J43" s="376"/>
      <c r="K43" s="376"/>
      <c r="L43" s="376"/>
      <c r="M43" s="376"/>
      <c r="N43" s="376"/>
      <c r="O43" s="376"/>
      <c r="P43" s="376"/>
      <c r="Q43" s="376"/>
      <c r="R43" s="376"/>
      <c r="S43" s="376"/>
      <c r="T43" s="376"/>
      <c r="U43" s="376"/>
      <c r="V43" s="376"/>
      <c r="W43" s="383"/>
      <c r="X43" s="383"/>
      <c r="Y43" s="383"/>
      <c r="Z43" s="614"/>
      <c r="AA43" s="615"/>
      <c r="AB43" s="615"/>
      <c r="AC43" s="615"/>
      <c r="AD43" s="615"/>
      <c r="AE43" s="616"/>
      <c r="AF43" s="610"/>
      <c r="AG43" s="610"/>
    </row>
    <row r="44" spans="1:33" ht="16.5" x14ac:dyDescent="0.25">
      <c r="A44" s="376"/>
      <c r="B44" s="1155" t="s">
        <v>630</v>
      </c>
      <c r="C44" s="1156"/>
      <c r="D44" s="734" t="s">
        <v>631</v>
      </c>
      <c r="E44" s="735" t="s">
        <v>632</v>
      </c>
      <c r="F44" s="736" t="s">
        <v>633</v>
      </c>
      <c r="G44" s="703" t="s">
        <v>634</v>
      </c>
      <c r="H44" s="737" t="s">
        <v>635</v>
      </c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83"/>
      <c r="X44" s="383"/>
      <c r="Y44" s="383"/>
      <c r="Z44" s="614"/>
      <c r="AA44" s="615"/>
      <c r="AB44" s="615"/>
      <c r="AC44" s="615"/>
      <c r="AD44" s="615"/>
      <c r="AE44" s="616"/>
      <c r="AF44" s="610"/>
      <c r="AG44" s="610"/>
    </row>
    <row r="45" spans="1:33" ht="20.25" x14ac:dyDescent="0.3">
      <c r="A45" s="376"/>
      <c r="B45" s="1085" t="s">
        <v>646</v>
      </c>
      <c r="C45" s="1086"/>
      <c r="D45" s="632">
        <v>3</v>
      </c>
      <c r="E45" s="731" t="str">
        <f>IF(AND(E47&gt;"",C21&lt;&gt;"",D37&lt;&gt;""),ROUNDUP(C21/D37,0)+1-E47,"")</f>
        <v/>
      </c>
      <c r="F45" s="732">
        <f>C21/ROUNDUP(C21/D37,0)</f>
        <v>2.9416666666666664</v>
      </c>
      <c r="G45" s="732">
        <f>C25+C27</f>
        <v>6.4423525400275947</v>
      </c>
      <c r="H45" s="739" t="str">
        <f>IF(AND(E45&lt;&gt;"",G45&lt;&gt;""),E45*G45,"")</f>
        <v/>
      </c>
      <c r="I45" s="376"/>
      <c r="J45" s="376"/>
      <c r="K45" s="376"/>
      <c r="L45" s="376"/>
      <c r="M45" s="376"/>
      <c r="N45" s="376"/>
      <c r="O45" s="376"/>
      <c r="P45" s="376"/>
      <c r="Q45" s="376"/>
      <c r="R45" s="376"/>
      <c r="S45" s="376"/>
      <c r="T45" s="376"/>
      <c r="U45" s="376"/>
      <c r="V45" s="376"/>
      <c r="W45" s="383"/>
      <c r="X45" s="383"/>
      <c r="Y45" s="383"/>
      <c r="Z45" s="614"/>
      <c r="AA45" s="615"/>
      <c r="AB45" s="615"/>
      <c r="AC45" s="615"/>
      <c r="AD45" s="615"/>
      <c r="AE45" s="616"/>
      <c r="AF45" s="610"/>
      <c r="AG45" s="610"/>
    </row>
    <row r="46" spans="1:33" ht="21" thickBot="1" x14ac:dyDescent="0.35">
      <c r="A46" s="376"/>
      <c r="B46" s="1085" t="s">
        <v>647</v>
      </c>
      <c r="C46" s="1086"/>
      <c r="D46" s="632">
        <v>1.2</v>
      </c>
      <c r="E46" s="741">
        <f>ROUNDUP((C23-C31)/D38,0)+1</f>
        <v>6</v>
      </c>
      <c r="F46" s="742">
        <f>C23/ROUNDUP((C23-C31)/D38,0)</f>
        <v>1.1499999999999999</v>
      </c>
      <c r="G46" s="743">
        <f>C21+C29+C30</f>
        <v>18.649999999999999</v>
      </c>
      <c r="H46" s="744">
        <f>IF(AND(E46&lt;&gt;"",G46&lt;&gt;""),E46*G46,"")</f>
        <v>111.89999999999999</v>
      </c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83"/>
      <c r="X46" s="383"/>
      <c r="Y46" s="383"/>
      <c r="Z46" s="614"/>
      <c r="AA46" s="615"/>
      <c r="AB46" s="615"/>
      <c r="AC46" s="615"/>
      <c r="AD46" s="615"/>
      <c r="AE46" s="616"/>
      <c r="AF46" s="610"/>
      <c r="AG46" s="610"/>
    </row>
    <row r="47" spans="1:33" ht="17.25" thickBot="1" x14ac:dyDescent="0.35">
      <c r="A47" s="376"/>
      <c r="B47" s="1087" t="s">
        <v>641</v>
      </c>
      <c r="C47" s="1088"/>
      <c r="D47" s="384"/>
      <c r="E47" s="774">
        <f>'P1'!I45</f>
        <v>6</v>
      </c>
      <c r="F47" s="377"/>
      <c r="G47" s="377"/>
      <c r="H47" s="377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6"/>
      <c r="U47" s="376"/>
      <c r="V47" s="376"/>
      <c r="W47" s="383"/>
      <c r="X47" s="383"/>
      <c r="Y47" s="383"/>
      <c r="Z47" s="614"/>
      <c r="AA47" s="615"/>
      <c r="AB47" s="615"/>
      <c r="AC47" s="615"/>
      <c r="AD47" s="615"/>
      <c r="AE47" s="616"/>
      <c r="AF47" s="610"/>
      <c r="AG47" s="610"/>
    </row>
    <row r="48" spans="1:33" ht="17.25" thickBot="1" x14ac:dyDescent="0.3">
      <c r="A48" s="376"/>
      <c r="B48" s="1089" t="s">
        <v>637</v>
      </c>
      <c r="C48" s="1089"/>
      <c r="D48" s="751" t="s">
        <v>631</v>
      </c>
      <c r="E48" s="752" t="s">
        <v>632</v>
      </c>
      <c r="F48" s="751" t="s">
        <v>633</v>
      </c>
      <c r="G48" s="730" t="s">
        <v>638</v>
      </c>
      <c r="H48" s="730" t="s">
        <v>639</v>
      </c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83"/>
      <c r="X48" s="383"/>
      <c r="Y48" s="383"/>
      <c r="Z48" s="614"/>
      <c r="AA48" s="615"/>
      <c r="AB48" s="615"/>
      <c r="AC48" s="615"/>
      <c r="AD48" s="615"/>
      <c r="AE48" s="616"/>
      <c r="AF48" s="610"/>
      <c r="AG48" s="610"/>
    </row>
    <row r="49" spans="1:33" ht="20.25" x14ac:dyDescent="0.3">
      <c r="A49" s="376"/>
      <c r="B49" s="1074" t="s">
        <v>646</v>
      </c>
      <c r="C49" s="1075"/>
      <c r="D49" s="745">
        <f>D37</f>
        <v>3</v>
      </c>
      <c r="E49" s="746" t="str">
        <f>IF(AND(E47&gt;"",C22&lt;&gt;"",D41&lt;&gt;""),ROUNDUP(C22/D41,0)+1-E47,"")</f>
        <v/>
      </c>
      <c r="F49" s="747">
        <f>C21/ROUNDUP(C21/D37,0)</f>
        <v>2.9416666666666664</v>
      </c>
      <c r="G49" s="747">
        <f>C26+C28</f>
        <v>6.4423525400275947</v>
      </c>
      <c r="H49" s="732" t="str">
        <f>IF(AND(E49&lt;&gt;"",G49&lt;&gt;""),E49*G49,"")</f>
        <v/>
      </c>
      <c r="I49" s="376"/>
      <c r="J49" s="376"/>
      <c r="K49" s="376"/>
      <c r="L49" s="376"/>
      <c r="M49" s="376"/>
      <c r="N49" s="376"/>
      <c r="O49" s="376"/>
      <c r="P49" s="376"/>
      <c r="Q49" s="376"/>
      <c r="R49" s="376"/>
      <c r="S49" s="376"/>
      <c r="T49" s="376"/>
      <c r="U49" s="376"/>
      <c r="V49" s="376"/>
      <c r="W49" s="383"/>
      <c r="X49" s="383"/>
      <c r="Y49" s="383"/>
      <c r="Z49" s="617"/>
      <c r="AA49" s="618"/>
      <c r="AB49" s="618"/>
      <c r="AC49" s="618"/>
      <c r="AD49" s="618"/>
      <c r="AE49" s="619"/>
      <c r="AF49" s="610"/>
      <c r="AG49" s="610"/>
    </row>
    <row r="50" spans="1:33" ht="21" thickBot="1" x14ac:dyDescent="0.35">
      <c r="A50" s="376"/>
      <c r="B50" s="1107" t="s">
        <v>647</v>
      </c>
      <c r="C50" s="1108"/>
      <c r="D50" s="748">
        <f>D38</f>
        <v>1.2</v>
      </c>
      <c r="E50" s="746">
        <f>ROUNDUP((C24-C31)/D42,0)+1</f>
        <v>6</v>
      </c>
      <c r="F50" s="749">
        <f>C23/ROUNDUP((C23-C31)/D38,0)</f>
        <v>1.1499999999999999</v>
      </c>
      <c r="G50" s="747">
        <f>C22+C30+C29</f>
        <v>18.649999999999999</v>
      </c>
      <c r="H50" s="750">
        <f>IF(AND(E50&lt;&gt;"",G50&lt;&gt;""),E50*G50,"")</f>
        <v>111.89999999999999</v>
      </c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6"/>
      <c r="T50" s="376"/>
      <c r="U50" s="376"/>
      <c r="V50" s="376"/>
      <c r="W50" s="383"/>
      <c r="X50" s="383"/>
      <c r="Y50" s="383"/>
      <c r="Z50" s="617"/>
      <c r="AA50" s="618"/>
      <c r="AB50" s="618"/>
      <c r="AC50" s="618"/>
      <c r="AD50" s="618"/>
      <c r="AE50" s="619"/>
      <c r="AF50" s="610"/>
      <c r="AG50" s="610"/>
    </row>
    <row r="51" spans="1:33" ht="16.5" x14ac:dyDescent="0.3">
      <c r="A51" s="376"/>
      <c r="B51" s="1109" t="s">
        <v>642</v>
      </c>
      <c r="C51" s="1110"/>
      <c r="D51" s="754"/>
      <c r="E51" s="755"/>
      <c r="F51" s="755"/>
      <c r="G51" s="755"/>
      <c r="H51" s="756" t="str">
        <f>IF(OR(H45&lt;&gt;"",H49&lt;&gt;""),H45+H49,"")</f>
        <v/>
      </c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83"/>
      <c r="X51" s="383"/>
      <c r="Y51" s="383"/>
      <c r="Z51" s="617"/>
      <c r="AA51" s="618"/>
      <c r="AB51" s="618"/>
      <c r="AC51" s="618"/>
      <c r="AD51" s="618"/>
      <c r="AE51" s="620"/>
      <c r="AF51" s="610"/>
      <c r="AG51" s="610"/>
    </row>
    <row r="52" spans="1:33" ht="16.5" x14ac:dyDescent="0.3">
      <c r="A52" s="376"/>
      <c r="B52" s="1111" t="s">
        <v>643</v>
      </c>
      <c r="C52" s="1112"/>
      <c r="D52" s="757">
        <f>ROUND(H52/4,0)</f>
        <v>56</v>
      </c>
      <c r="E52" s="1115" t="s">
        <v>666</v>
      </c>
      <c r="F52" s="1115"/>
      <c r="G52" s="1116"/>
      <c r="H52" s="739">
        <f>H46+H50</f>
        <v>223.79999999999998</v>
      </c>
      <c r="I52" s="376"/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83"/>
      <c r="X52" s="383"/>
      <c r="Y52" s="383"/>
      <c r="Z52" s="617"/>
      <c r="AA52" s="618"/>
      <c r="AB52" s="618"/>
      <c r="AC52" s="618"/>
      <c r="AD52" s="618"/>
      <c r="AE52" s="620"/>
      <c r="AF52" s="610"/>
      <c r="AG52" s="610"/>
    </row>
    <row r="53" spans="1:33" ht="17.25" thickBot="1" x14ac:dyDescent="0.35">
      <c r="A53" s="376"/>
      <c r="B53" s="1113" t="s">
        <v>644</v>
      </c>
      <c r="C53" s="1114"/>
      <c r="D53" s="758"/>
      <c r="E53" s="759"/>
      <c r="F53" s="759"/>
      <c r="G53" s="759"/>
      <c r="H53" s="744" t="str">
        <f>IF(AND(E50&lt;&gt;"",E49&lt;&gt;"",E45&lt;&gt;"",E46&lt;&gt;""),E50*E49+E45*E46,"")</f>
        <v/>
      </c>
      <c r="I53" s="376"/>
      <c r="J53" s="376"/>
      <c r="K53" s="376"/>
      <c r="L53" s="376"/>
      <c r="M53" s="376"/>
      <c r="N53" s="376"/>
      <c r="O53" s="376"/>
      <c r="P53" s="376"/>
      <c r="Q53" s="376"/>
      <c r="R53" s="376"/>
      <c r="S53" s="376"/>
      <c r="T53" s="376"/>
      <c r="U53" s="376"/>
      <c r="V53" s="376"/>
      <c r="W53" s="383"/>
      <c r="X53" s="383"/>
      <c r="Y53" s="383"/>
      <c r="Z53" s="617"/>
      <c r="AA53" s="618"/>
      <c r="AB53" s="618"/>
      <c r="AC53" s="618"/>
      <c r="AD53" s="618"/>
      <c r="AE53" s="620"/>
      <c r="AF53" s="610"/>
      <c r="AG53" s="610"/>
    </row>
    <row r="54" spans="1:33" ht="16.5" x14ac:dyDescent="0.25">
      <c r="A54" s="376"/>
      <c r="B54" s="376"/>
      <c r="C54" s="376"/>
      <c r="D54" s="376"/>
      <c r="E54" s="376"/>
      <c r="F54" s="376"/>
      <c r="G54" s="376"/>
      <c r="H54" s="376"/>
      <c r="I54" s="376"/>
      <c r="J54" s="376"/>
      <c r="K54" s="376"/>
      <c r="L54" s="376"/>
      <c r="M54" s="376"/>
      <c r="N54" s="376"/>
      <c r="O54" s="376"/>
      <c r="P54" s="376"/>
      <c r="Q54" s="376"/>
      <c r="R54" s="376"/>
      <c r="S54" s="376"/>
      <c r="T54" s="376"/>
      <c r="U54" s="376"/>
      <c r="V54" s="376"/>
      <c r="W54" s="383"/>
      <c r="X54" s="383"/>
      <c r="Y54" s="383"/>
      <c r="Z54" s="621"/>
      <c r="AA54" s="618"/>
      <c r="AB54" s="618"/>
      <c r="AC54" s="618"/>
      <c r="AD54" s="618"/>
      <c r="AE54" s="616"/>
      <c r="AF54" s="610"/>
      <c r="AG54" s="610"/>
    </row>
    <row r="55" spans="1:33" ht="16.5" x14ac:dyDescent="0.3">
      <c r="A55" s="376"/>
      <c r="B55" s="376"/>
      <c r="C55" s="376"/>
      <c r="D55" s="376"/>
      <c r="E55" s="376"/>
      <c r="F55" s="376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376"/>
      <c r="T55" s="376"/>
      <c r="U55" s="376"/>
      <c r="V55" s="376"/>
      <c r="W55" s="383"/>
      <c r="X55" s="383"/>
      <c r="Y55" s="383"/>
      <c r="Z55" s="621"/>
      <c r="AA55" s="1117"/>
      <c r="AB55" s="1117"/>
      <c r="AC55" s="1117"/>
      <c r="AD55" s="1117"/>
      <c r="AE55" s="622"/>
      <c r="AF55" s="610"/>
      <c r="AG55" s="610"/>
    </row>
    <row r="56" spans="1:33" ht="16.5" x14ac:dyDescent="0.3">
      <c r="A56" s="376"/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83"/>
      <c r="X56" s="383"/>
      <c r="Y56" s="383"/>
      <c r="Z56" s="623"/>
      <c r="AA56" s="623"/>
      <c r="AB56" s="623"/>
      <c r="AC56" s="623"/>
      <c r="AD56" s="623"/>
      <c r="AE56" s="623"/>
      <c r="AF56" s="610"/>
      <c r="AG56" s="610"/>
    </row>
    <row r="57" spans="1:33" ht="18" x14ac:dyDescent="0.25">
      <c r="A57" s="376"/>
      <c r="B57" s="376"/>
      <c r="C57" s="376"/>
      <c r="D57" s="376"/>
      <c r="E57" s="376"/>
      <c r="F57" s="376"/>
      <c r="G57" s="376"/>
      <c r="H57" s="376"/>
      <c r="I57" s="376"/>
      <c r="J57" s="376"/>
      <c r="K57" s="376"/>
      <c r="L57" s="376"/>
      <c r="M57" s="376"/>
      <c r="N57" s="376"/>
      <c r="O57" s="376"/>
      <c r="P57" s="376"/>
      <c r="Q57" s="376"/>
      <c r="R57" s="376"/>
      <c r="S57" s="376"/>
      <c r="T57" s="376"/>
      <c r="U57" s="376"/>
      <c r="V57" s="376"/>
      <c r="W57" s="383"/>
      <c r="X57" s="383"/>
      <c r="Y57" s="383"/>
      <c r="Z57" s="1128"/>
      <c r="AA57" s="1128"/>
      <c r="AB57" s="1128"/>
      <c r="AC57" s="1128"/>
      <c r="AD57" s="1128"/>
      <c r="AE57" s="1128"/>
      <c r="AF57" s="610"/>
      <c r="AG57" s="610"/>
    </row>
    <row r="58" spans="1:33" x14ac:dyDescent="0.25">
      <c r="A58" s="376"/>
      <c r="B58" s="376"/>
      <c r="C58" s="376"/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83"/>
      <c r="X58" s="383"/>
      <c r="Y58" s="383"/>
      <c r="Z58" s="1130"/>
      <c r="AA58" s="1131"/>
      <c r="AB58" s="1131"/>
      <c r="AC58" s="1131"/>
      <c r="AD58" s="1131"/>
      <c r="AE58" s="1131"/>
      <c r="AF58" s="610"/>
      <c r="AG58" s="610"/>
    </row>
    <row r="59" spans="1:33" x14ac:dyDescent="0.25">
      <c r="A59" s="376"/>
      <c r="B59" s="376"/>
      <c r="C59" s="376"/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83"/>
      <c r="X59" s="383"/>
      <c r="Y59" s="383"/>
      <c r="Z59" s="1130"/>
      <c r="AA59" s="609"/>
      <c r="AB59" s="609"/>
      <c r="AC59" s="609"/>
      <c r="AD59" s="609"/>
      <c r="AE59" s="613"/>
      <c r="AF59" s="610"/>
      <c r="AG59" s="610"/>
    </row>
    <row r="60" spans="1:33" ht="16.5" x14ac:dyDescent="0.25">
      <c r="A60" s="376"/>
      <c r="B60" s="376"/>
      <c r="C60" s="376"/>
      <c r="D60" s="376"/>
      <c r="E60" s="376"/>
      <c r="F60" s="376"/>
      <c r="G60" s="376"/>
      <c r="H60" s="376"/>
      <c r="I60" s="376"/>
      <c r="J60" s="376"/>
      <c r="K60" s="376"/>
      <c r="L60" s="376"/>
      <c r="M60" s="376"/>
      <c r="N60" s="376"/>
      <c r="O60" s="376"/>
      <c r="P60" s="376"/>
      <c r="Q60" s="376"/>
      <c r="R60" s="376"/>
      <c r="S60" s="376"/>
      <c r="T60" s="376"/>
      <c r="U60" s="376"/>
      <c r="V60" s="376"/>
      <c r="W60" s="610"/>
      <c r="X60" s="610"/>
      <c r="Y60" s="610"/>
      <c r="Z60" s="614"/>
      <c r="AA60" s="615"/>
      <c r="AB60" s="615"/>
      <c r="AC60" s="615"/>
      <c r="AD60" s="615"/>
      <c r="AE60" s="616"/>
      <c r="AF60" s="610"/>
      <c r="AG60" s="610"/>
    </row>
    <row r="61" spans="1:33" ht="16.5" x14ac:dyDescent="0.25">
      <c r="A61" s="376"/>
      <c r="B61" s="376"/>
      <c r="C61" s="376"/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376"/>
      <c r="V61" s="376"/>
      <c r="W61" s="610"/>
      <c r="X61" s="610"/>
      <c r="Y61" s="610"/>
      <c r="Z61" s="614"/>
      <c r="AA61" s="615"/>
      <c r="AB61" s="615"/>
      <c r="AC61" s="615"/>
      <c r="AD61" s="615"/>
      <c r="AE61" s="616"/>
      <c r="AF61" s="610"/>
      <c r="AG61" s="610"/>
    </row>
    <row r="62" spans="1:33" ht="16.5" x14ac:dyDescent="0.25">
      <c r="A62" s="376"/>
      <c r="B62" s="376"/>
      <c r="C62" s="376"/>
      <c r="D62" s="376"/>
      <c r="E62" s="376"/>
      <c r="F62" s="376"/>
      <c r="G62" s="376"/>
      <c r="H62" s="376"/>
      <c r="I62" s="376"/>
      <c r="J62" s="376"/>
      <c r="K62" s="376"/>
      <c r="L62" s="376"/>
      <c r="M62" s="376"/>
      <c r="N62" s="376"/>
      <c r="O62" s="376"/>
      <c r="P62" s="376"/>
      <c r="Q62" s="376"/>
      <c r="R62" s="376"/>
      <c r="S62" s="376"/>
      <c r="T62" s="376"/>
      <c r="U62" s="376"/>
      <c r="V62" s="376"/>
      <c r="W62" s="610"/>
      <c r="X62" s="610"/>
      <c r="Y62" s="610"/>
      <c r="Z62" s="614"/>
      <c r="AA62" s="615"/>
      <c r="AB62" s="615"/>
      <c r="AC62" s="615"/>
      <c r="AD62" s="615"/>
      <c r="AE62" s="616"/>
      <c r="AF62" s="610"/>
      <c r="AG62" s="610"/>
    </row>
    <row r="63" spans="1:33" ht="16.5" x14ac:dyDescent="0.25">
      <c r="A63" s="376"/>
      <c r="B63" s="376"/>
      <c r="C63" s="376"/>
      <c r="D63" s="376"/>
      <c r="E63" s="376"/>
      <c r="F63" s="376"/>
      <c r="G63" s="376"/>
      <c r="H63" s="376"/>
      <c r="I63" s="376"/>
      <c r="J63" s="376"/>
      <c r="K63" s="376"/>
      <c r="L63" s="376"/>
      <c r="M63" s="376"/>
      <c r="N63" s="376"/>
      <c r="O63" s="376"/>
      <c r="P63" s="376"/>
      <c r="Q63" s="376"/>
      <c r="R63" s="376"/>
      <c r="S63" s="376"/>
      <c r="T63" s="376"/>
      <c r="U63" s="376"/>
      <c r="V63" s="376"/>
      <c r="W63" s="610"/>
      <c r="X63" s="610"/>
      <c r="Y63" s="610"/>
      <c r="Z63" s="614"/>
      <c r="AA63" s="615"/>
      <c r="AB63" s="615"/>
      <c r="AC63" s="615"/>
      <c r="AD63" s="615"/>
      <c r="AE63" s="616"/>
      <c r="AF63" s="610"/>
      <c r="AG63" s="610"/>
    </row>
    <row r="64" spans="1:33" ht="16.5" x14ac:dyDescent="0.25">
      <c r="A64" s="376"/>
      <c r="B64" s="376"/>
      <c r="C64" s="376"/>
      <c r="D64" s="376"/>
      <c r="E64" s="376"/>
      <c r="F64" s="376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610"/>
      <c r="X64" s="610"/>
      <c r="Y64" s="610"/>
      <c r="Z64" s="614"/>
      <c r="AA64" s="615"/>
      <c r="AB64" s="615"/>
      <c r="AC64" s="615"/>
      <c r="AD64" s="615"/>
      <c r="AE64" s="616"/>
      <c r="AF64" s="610"/>
      <c r="AG64" s="610"/>
    </row>
    <row r="65" spans="1:33" ht="16.5" x14ac:dyDescent="0.25">
      <c r="A65" s="376"/>
      <c r="B65" s="376"/>
      <c r="C65" s="376"/>
      <c r="D65" s="376"/>
      <c r="E65" s="376"/>
      <c r="F65" s="376"/>
      <c r="G65" s="376"/>
      <c r="H65" s="376"/>
      <c r="I65" s="376"/>
      <c r="J65" s="376"/>
      <c r="K65" s="376"/>
      <c r="L65" s="376"/>
      <c r="M65" s="376"/>
      <c r="N65" s="376"/>
      <c r="O65" s="376"/>
      <c r="P65" s="376"/>
      <c r="Q65" s="376"/>
      <c r="R65" s="376"/>
      <c r="S65" s="376"/>
      <c r="T65" s="376"/>
      <c r="U65" s="376"/>
      <c r="V65" s="376"/>
      <c r="W65" s="610"/>
      <c r="X65" s="610"/>
      <c r="Y65" s="610"/>
      <c r="Z65" s="614"/>
      <c r="AA65" s="615"/>
      <c r="AB65" s="615"/>
      <c r="AC65" s="615"/>
      <c r="AD65" s="615"/>
      <c r="AE65" s="616"/>
      <c r="AF65" s="610"/>
      <c r="AG65" s="610"/>
    </row>
    <row r="66" spans="1:33" ht="16.5" x14ac:dyDescent="0.3">
      <c r="A66" s="376"/>
      <c r="B66" s="376"/>
      <c r="C66" s="376"/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6"/>
      <c r="O66" s="376"/>
      <c r="P66" s="376"/>
      <c r="Q66" s="376"/>
      <c r="R66" s="376"/>
      <c r="S66" s="376"/>
      <c r="T66" s="376"/>
      <c r="U66" s="376"/>
      <c r="V66" s="376"/>
      <c r="W66" s="610"/>
      <c r="X66" s="610"/>
      <c r="Y66" s="610"/>
      <c r="Z66" s="624"/>
      <c r="AA66" s="615"/>
      <c r="AB66" s="615"/>
      <c r="AC66" s="615"/>
      <c r="AD66" s="615"/>
      <c r="AE66" s="619"/>
      <c r="AF66" s="610"/>
      <c r="AG66" s="610"/>
    </row>
    <row r="67" spans="1:33" ht="16.5" x14ac:dyDescent="0.3">
      <c r="A67" s="376"/>
      <c r="B67" s="376"/>
      <c r="C67" s="376"/>
      <c r="D67" s="376"/>
      <c r="E67" s="376"/>
      <c r="F67" s="376"/>
      <c r="G67" s="376"/>
      <c r="H67" s="376"/>
      <c r="I67" s="376"/>
      <c r="J67" s="376"/>
      <c r="K67" s="376"/>
      <c r="L67" s="376"/>
      <c r="M67" s="376"/>
      <c r="N67" s="376"/>
      <c r="O67" s="376"/>
      <c r="P67" s="376"/>
      <c r="Q67" s="376"/>
      <c r="R67" s="376"/>
      <c r="S67" s="376"/>
      <c r="T67" s="376"/>
      <c r="U67" s="376"/>
      <c r="V67" s="376"/>
      <c r="W67" s="610"/>
      <c r="X67" s="610"/>
      <c r="Y67" s="610"/>
      <c r="Z67" s="624"/>
      <c r="AA67" s="618"/>
      <c r="AB67" s="618"/>
      <c r="AC67" s="618"/>
      <c r="AD67" s="618"/>
      <c r="AE67" s="619"/>
      <c r="AF67" s="610"/>
      <c r="AG67" s="610"/>
    </row>
    <row r="68" spans="1:33" ht="16.5" x14ac:dyDescent="0.3">
      <c r="A68" s="376"/>
      <c r="B68" s="376"/>
      <c r="C68" s="376"/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6"/>
      <c r="O68" s="376"/>
      <c r="P68" s="376"/>
      <c r="Q68" s="376"/>
      <c r="R68" s="376"/>
      <c r="S68" s="376"/>
      <c r="T68" s="376"/>
      <c r="U68" s="376"/>
      <c r="V68" s="376"/>
      <c r="W68" s="610"/>
      <c r="X68" s="610"/>
      <c r="Y68" s="610"/>
      <c r="Z68" s="621"/>
      <c r="AA68" s="1117"/>
      <c r="AB68" s="1117"/>
      <c r="AC68" s="1117"/>
      <c r="AD68" s="1117"/>
      <c r="AE68" s="620"/>
      <c r="AF68" s="610"/>
      <c r="AG68" s="610"/>
    </row>
    <row r="69" spans="1:33" ht="16.5" x14ac:dyDescent="0.3">
      <c r="A69" s="376"/>
      <c r="B69" s="376"/>
      <c r="C69" s="376"/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376"/>
      <c r="V69" s="376"/>
      <c r="W69" s="610"/>
      <c r="X69" s="610"/>
      <c r="Y69" s="610"/>
      <c r="Z69" s="617"/>
      <c r="AA69" s="623"/>
      <c r="AB69" s="625"/>
      <c r="AC69" s="625"/>
      <c r="AD69" s="625"/>
      <c r="AE69" s="615"/>
      <c r="AF69" s="610"/>
      <c r="AG69" s="610"/>
    </row>
    <row r="70" spans="1:33" x14ac:dyDescent="0.25">
      <c r="A70" s="376"/>
      <c r="B70" s="376"/>
      <c r="C70" s="376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376"/>
      <c r="V70" s="376"/>
      <c r="W70" s="610"/>
      <c r="X70" s="610"/>
      <c r="Y70" s="610"/>
      <c r="Z70" s="610"/>
      <c r="AA70" s="610"/>
      <c r="AB70" s="610"/>
      <c r="AC70" s="610"/>
      <c r="AD70" s="610"/>
      <c r="AE70" s="610"/>
      <c r="AF70" s="610"/>
      <c r="AG70" s="610"/>
    </row>
    <row r="71" spans="1:33" x14ac:dyDescent="0.25">
      <c r="A71" s="376"/>
      <c r="B71" s="376"/>
      <c r="C71" s="376"/>
      <c r="D71" s="376"/>
      <c r="E71" s="376"/>
      <c r="F71" s="376"/>
      <c r="G71" s="376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6"/>
      <c r="S71" s="376"/>
      <c r="T71" s="376"/>
      <c r="U71" s="376"/>
      <c r="V71" s="376"/>
      <c r="W71" s="610"/>
      <c r="X71" s="610"/>
      <c r="Y71" s="610"/>
      <c r="Z71" s="610"/>
      <c r="AA71" s="610"/>
      <c r="AB71" s="610"/>
      <c r="AC71" s="610"/>
      <c r="AD71" s="610"/>
      <c r="AE71" s="610"/>
      <c r="AF71" s="610"/>
      <c r="AG71" s="610"/>
    </row>
    <row r="72" spans="1:33" x14ac:dyDescent="0.25">
      <c r="A72" s="376"/>
      <c r="B72" s="376"/>
      <c r="C72" s="376"/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W72" s="610"/>
      <c r="X72" s="610"/>
      <c r="Y72" s="610"/>
      <c r="Z72" s="610"/>
      <c r="AA72" s="610"/>
      <c r="AB72" s="610"/>
      <c r="AC72" s="610"/>
      <c r="AD72" s="610"/>
      <c r="AE72" s="610"/>
      <c r="AF72" s="610"/>
      <c r="AG72" s="610"/>
    </row>
    <row r="73" spans="1:33" x14ac:dyDescent="0.25">
      <c r="A73" s="376"/>
      <c r="B73" s="376"/>
      <c r="C73" s="376"/>
      <c r="D73" s="376"/>
      <c r="E73" s="376"/>
      <c r="F73" s="376"/>
      <c r="G73" s="376"/>
      <c r="H73" s="376"/>
      <c r="I73" s="376"/>
      <c r="J73" s="376"/>
      <c r="K73" s="376"/>
      <c r="L73" s="376"/>
      <c r="M73" s="376"/>
      <c r="N73" s="376"/>
      <c r="O73" s="376"/>
      <c r="P73" s="376"/>
      <c r="Q73" s="376"/>
      <c r="R73" s="376"/>
      <c r="S73" s="376"/>
      <c r="T73" s="376"/>
      <c r="U73" s="376"/>
      <c r="V73" s="376"/>
      <c r="W73" s="610"/>
      <c r="X73" s="610"/>
      <c r="Y73" s="610"/>
      <c r="Z73" s="610"/>
      <c r="AA73" s="610"/>
      <c r="AB73" s="610"/>
      <c r="AC73" s="610"/>
      <c r="AD73" s="610"/>
      <c r="AE73" s="610"/>
      <c r="AF73" s="610"/>
      <c r="AG73" s="610"/>
    </row>
    <row r="74" spans="1:33" x14ac:dyDescent="0.25">
      <c r="A74" s="376"/>
      <c r="B74" s="376"/>
      <c r="C74" s="376"/>
      <c r="D74" s="376"/>
      <c r="E74" s="376"/>
      <c r="F74" s="376"/>
      <c r="G74" s="376"/>
      <c r="H74" s="376"/>
      <c r="I74" s="376"/>
      <c r="J74" s="376"/>
      <c r="K74" s="376"/>
      <c r="L74" s="376"/>
      <c r="M74" s="376"/>
      <c r="N74" s="376"/>
      <c r="O74" s="376"/>
      <c r="P74" s="376"/>
      <c r="Q74" s="376"/>
      <c r="R74" s="376"/>
      <c r="S74" s="376"/>
      <c r="T74" s="376"/>
      <c r="U74" s="376"/>
      <c r="V74" s="376"/>
      <c r="W74" s="610"/>
      <c r="X74" s="610"/>
      <c r="Y74" s="610"/>
      <c r="Z74" s="610"/>
      <c r="AA74" s="610"/>
      <c r="AB74" s="610"/>
      <c r="AC74" s="610"/>
      <c r="AD74" s="610"/>
      <c r="AE74" s="610"/>
      <c r="AF74" s="610"/>
      <c r="AG74" s="610"/>
    </row>
    <row r="75" spans="1:33" x14ac:dyDescent="0.25">
      <c r="A75" s="376"/>
      <c r="B75" s="376"/>
      <c r="C75" s="376"/>
      <c r="D75" s="376"/>
      <c r="E75" s="376"/>
      <c r="F75" s="376"/>
      <c r="G75" s="376"/>
      <c r="H75" s="376"/>
      <c r="I75" s="376"/>
      <c r="J75" s="376"/>
      <c r="K75" s="376"/>
      <c r="L75" s="376"/>
      <c r="M75" s="376"/>
      <c r="N75" s="376"/>
      <c r="O75" s="376"/>
      <c r="P75" s="376"/>
      <c r="Q75" s="376"/>
      <c r="R75" s="376"/>
      <c r="S75" s="376"/>
      <c r="T75" s="376"/>
      <c r="U75" s="376"/>
      <c r="V75" s="376"/>
      <c r="W75" s="610"/>
      <c r="X75" s="610"/>
      <c r="Y75" s="610"/>
      <c r="Z75" s="610"/>
      <c r="AA75" s="610"/>
      <c r="AB75" s="610"/>
      <c r="AC75" s="610"/>
      <c r="AD75" s="610"/>
      <c r="AE75" s="610"/>
      <c r="AF75" s="610"/>
      <c r="AG75" s="610"/>
    </row>
    <row r="76" spans="1:33" x14ac:dyDescent="0.25">
      <c r="A76" s="376"/>
      <c r="B76" s="376"/>
      <c r="C76" s="376"/>
      <c r="D76" s="376"/>
      <c r="E76" s="376"/>
      <c r="F76" s="376"/>
      <c r="G76" s="376"/>
      <c r="H76" s="376"/>
      <c r="I76" s="376"/>
      <c r="J76" s="376"/>
      <c r="K76" s="376"/>
      <c r="L76" s="376"/>
      <c r="M76" s="376"/>
      <c r="N76" s="376"/>
      <c r="O76" s="376"/>
      <c r="P76" s="376"/>
      <c r="Q76" s="376"/>
      <c r="R76" s="376"/>
      <c r="S76" s="376"/>
      <c r="T76" s="376"/>
      <c r="U76" s="376"/>
      <c r="V76" s="376"/>
      <c r="W76" s="610"/>
      <c r="X76" s="610"/>
      <c r="Y76" s="610"/>
      <c r="Z76" s="610"/>
      <c r="AA76" s="610"/>
      <c r="AB76" s="610"/>
      <c r="AC76" s="610"/>
      <c r="AD76" s="610"/>
      <c r="AE76" s="610"/>
      <c r="AF76" s="610"/>
      <c r="AG76" s="610"/>
    </row>
    <row r="77" spans="1:33" x14ac:dyDescent="0.25">
      <c r="A77" s="376"/>
      <c r="B77" s="376"/>
      <c r="C77" s="376"/>
      <c r="D77" s="376"/>
      <c r="E77" s="376"/>
      <c r="F77" s="376"/>
      <c r="G77" s="376"/>
      <c r="H77" s="376"/>
      <c r="I77" s="376"/>
      <c r="J77" s="376"/>
      <c r="K77" s="376"/>
      <c r="L77" s="376"/>
      <c r="M77" s="376"/>
      <c r="N77" s="376"/>
      <c r="O77" s="376"/>
      <c r="P77" s="376"/>
      <c r="Q77" s="376"/>
      <c r="R77" s="376"/>
      <c r="S77" s="376"/>
      <c r="T77" s="376"/>
      <c r="U77" s="376"/>
      <c r="V77" s="376"/>
      <c r="W77" s="610"/>
      <c r="X77" s="610"/>
      <c r="Y77" s="610"/>
      <c r="Z77" s="610"/>
      <c r="AA77" s="610"/>
      <c r="AB77" s="610"/>
      <c r="AC77" s="610"/>
      <c r="AD77" s="610"/>
      <c r="AE77" s="610"/>
      <c r="AF77" s="610"/>
      <c r="AG77" s="610"/>
    </row>
    <row r="78" spans="1:33" x14ac:dyDescent="0.25">
      <c r="A78" s="376"/>
      <c r="B78" s="376"/>
      <c r="C78" s="376"/>
      <c r="D78" s="376"/>
      <c r="E78" s="376"/>
      <c r="F78" s="376"/>
      <c r="G78" s="376"/>
      <c r="H78" s="376"/>
      <c r="I78" s="376"/>
      <c r="J78" s="376"/>
      <c r="K78" s="376"/>
      <c r="L78" s="376"/>
      <c r="M78" s="376"/>
      <c r="N78" s="376"/>
      <c r="O78" s="376"/>
      <c r="P78" s="376"/>
      <c r="Q78" s="376"/>
      <c r="R78" s="376"/>
      <c r="S78" s="376"/>
      <c r="T78" s="376"/>
      <c r="U78" s="376"/>
      <c r="V78" s="376"/>
      <c r="W78" s="610"/>
      <c r="X78" s="610"/>
      <c r="Y78" s="610"/>
      <c r="Z78" s="610"/>
      <c r="AA78" s="610"/>
      <c r="AB78" s="610"/>
      <c r="AC78" s="610"/>
      <c r="AD78" s="610"/>
      <c r="AE78" s="610"/>
      <c r="AF78" s="610"/>
      <c r="AG78" s="610"/>
    </row>
    <row r="79" spans="1:33" x14ac:dyDescent="0.25">
      <c r="A79" s="376"/>
      <c r="B79" s="376"/>
      <c r="C79" s="376"/>
      <c r="D79" s="376"/>
      <c r="E79" s="376"/>
      <c r="F79" s="376"/>
      <c r="G79" s="376"/>
      <c r="H79" s="376"/>
      <c r="I79" s="376"/>
      <c r="J79" s="376"/>
      <c r="K79" s="376"/>
      <c r="L79" s="376"/>
      <c r="M79" s="376"/>
      <c r="N79" s="376"/>
      <c r="O79" s="376"/>
      <c r="P79" s="376"/>
      <c r="Q79" s="376"/>
      <c r="R79" s="376"/>
      <c r="S79" s="376"/>
      <c r="T79" s="376"/>
      <c r="U79" s="376"/>
      <c r="V79" s="376"/>
      <c r="W79" s="610"/>
      <c r="X79" s="610"/>
      <c r="Y79" s="610"/>
      <c r="Z79" s="610"/>
      <c r="AA79" s="610"/>
      <c r="AB79" s="610"/>
      <c r="AC79" s="610"/>
      <c r="AD79" s="610"/>
      <c r="AE79" s="610"/>
      <c r="AF79" s="610"/>
      <c r="AG79" s="610"/>
    </row>
    <row r="80" spans="1:33" x14ac:dyDescent="0.25">
      <c r="A80" s="376"/>
      <c r="B80" s="376"/>
      <c r="C80" s="376"/>
      <c r="D80" s="376"/>
      <c r="E80" s="376"/>
      <c r="F80" s="376"/>
      <c r="G80" s="376"/>
      <c r="H80" s="376"/>
      <c r="I80" s="376"/>
      <c r="J80" s="376"/>
      <c r="K80" s="376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6"/>
      <c r="W80" s="610"/>
      <c r="X80" s="610"/>
      <c r="Y80" s="610"/>
      <c r="Z80" s="610"/>
      <c r="AA80" s="610"/>
      <c r="AB80" s="610"/>
      <c r="AC80" s="610"/>
      <c r="AD80" s="610"/>
      <c r="AE80" s="610"/>
      <c r="AF80" s="610"/>
      <c r="AG80" s="610"/>
    </row>
    <row r="81" spans="1:33" x14ac:dyDescent="0.25">
      <c r="A81" s="376"/>
      <c r="B81" s="376"/>
      <c r="C81" s="376"/>
      <c r="D81" s="376"/>
      <c r="E81" s="376"/>
      <c r="F81" s="376"/>
      <c r="G81" s="376"/>
      <c r="H81" s="376"/>
      <c r="I81" s="376"/>
      <c r="J81" s="376"/>
      <c r="K81" s="376"/>
      <c r="L81" s="376"/>
      <c r="M81" s="376"/>
      <c r="N81" s="376"/>
      <c r="O81" s="376"/>
      <c r="P81" s="376"/>
      <c r="Q81" s="376"/>
      <c r="R81" s="376"/>
      <c r="S81" s="376"/>
      <c r="T81" s="376"/>
      <c r="U81" s="376"/>
      <c r="V81" s="376"/>
      <c r="W81" s="610"/>
      <c r="X81" s="610"/>
      <c r="Y81" s="610"/>
      <c r="Z81" s="610"/>
      <c r="AA81" s="610"/>
      <c r="AB81" s="610"/>
      <c r="AC81" s="610"/>
      <c r="AD81" s="610"/>
      <c r="AE81" s="610"/>
      <c r="AF81" s="610"/>
      <c r="AG81" s="610"/>
    </row>
    <row r="82" spans="1:33" x14ac:dyDescent="0.25">
      <c r="A82" s="376"/>
      <c r="B82" s="376"/>
      <c r="C82" s="376"/>
      <c r="D82" s="376"/>
      <c r="E82" s="376"/>
      <c r="F82" s="376"/>
      <c r="G82" s="376"/>
      <c r="H82" s="376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6"/>
      <c r="X82" s="376"/>
      <c r="Y82" s="376"/>
      <c r="Z82" s="376"/>
      <c r="AA82" s="376"/>
      <c r="AB82" s="376"/>
      <c r="AC82" s="376"/>
      <c r="AD82" s="376"/>
      <c r="AE82" s="376"/>
    </row>
    <row r="83" spans="1:33" x14ac:dyDescent="0.25">
      <c r="A83" s="376"/>
      <c r="B83" s="376"/>
      <c r="C83" s="376"/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</row>
    <row r="84" spans="1:33" x14ac:dyDescent="0.25">
      <c r="A84" s="376"/>
      <c r="B84" s="376"/>
      <c r="C84" s="376"/>
      <c r="D84" s="376"/>
      <c r="E84" s="376"/>
      <c r="F84" s="376"/>
      <c r="G84" s="376"/>
      <c r="H84" s="376"/>
      <c r="I84" s="376"/>
      <c r="J84" s="376"/>
      <c r="K84" s="376"/>
      <c r="L84" s="376"/>
      <c r="M84" s="376"/>
      <c r="N84" s="376"/>
      <c r="O84" s="376"/>
      <c r="P84" s="376"/>
      <c r="Q84" s="376"/>
      <c r="R84" s="376"/>
      <c r="S84" s="376"/>
      <c r="T84" s="376"/>
      <c r="U84" s="376"/>
      <c r="V84" s="376"/>
      <c r="W84" s="376"/>
      <c r="X84" s="376"/>
      <c r="Y84" s="376"/>
      <c r="Z84" s="376"/>
      <c r="AA84" s="376"/>
      <c r="AB84" s="376"/>
      <c r="AC84" s="376"/>
      <c r="AD84" s="376"/>
      <c r="AE84" s="376"/>
    </row>
    <row r="85" spans="1:33" x14ac:dyDescent="0.25">
      <c r="A85" s="376"/>
      <c r="B85" s="376"/>
      <c r="C85" s="376"/>
      <c r="D85" s="376"/>
      <c r="E85" s="376"/>
      <c r="F85" s="376"/>
      <c r="G85" s="376"/>
      <c r="H85" s="376"/>
      <c r="I85" s="376"/>
      <c r="J85" s="376"/>
      <c r="K85" s="376"/>
      <c r="L85" s="376"/>
      <c r="M85" s="376"/>
      <c r="N85" s="376"/>
      <c r="O85" s="376"/>
      <c r="P85" s="376"/>
      <c r="Q85" s="376"/>
      <c r="R85" s="376"/>
      <c r="S85" s="376"/>
      <c r="T85" s="376"/>
      <c r="U85" s="376"/>
      <c r="V85" s="376"/>
      <c r="W85" s="376"/>
      <c r="X85" s="376"/>
      <c r="Y85" s="376"/>
      <c r="Z85" s="376"/>
      <c r="AA85" s="376"/>
      <c r="AB85" s="376"/>
      <c r="AC85" s="376"/>
      <c r="AD85" s="376"/>
      <c r="AE85" s="376"/>
    </row>
    <row r="86" spans="1:33" x14ac:dyDescent="0.25">
      <c r="A86" s="376"/>
      <c r="B86" s="376"/>
      <c r="C86" s="376"/>
      <c r="D86" s="376"/>
      <c r="E86" s="376"/>
      <c r="F86" s="376"/>
      <c r="G86" s="376"/>
      <c r="H86" s="376"/>
      <c r="I86" s="376"/>
      <c r="J86" s="376"/>
      <c r="K86" s="376"/>
      <c r="L86" s="376"/>
      <c r="M86" s="376"/>
      <c r="N86" s="376"/>
      <c r="O86" s="376"/>
      <c r="P86" s="376"/>
      <c r="Q86" s="376"/>
      <c r="R86" s="376"/>
      <c r="S86" s="376"/>
      <c r="T86" s="376"/>
      <c r="U86" s="376"/>
      <c r="V86" s="376"/>
      <c r="W86" s="376"/>
      <c r="X86" s="376"/>
      <c r="Y86" s="376"/>
      <c r="Z86" s="376"/>
      <c r="AA86" s="376"/>
      <c r="AB86" s="376"/>
      <c r="AC86" s="376"/>
      <c r="AD86" s="376"/>
      <c r="AE86" s="376"/>
    </row>
    <row r="87" spans="1:33" x14ac:dyDescent="0.25">
      <c r="A87" s="376"/>
      <c r="B87" s="376"/>
      <c r="C87" s="376"/>
      <c r="D87" s="376"/>
      <c r="E87" s="376"/>
      <c r="F87" s="376"/>
      <c r="G87" s="376"/>
      <c r="H87" s="376"/>
      <c r="I87" s="376"/>
      <c r="J87" s="376"/>
      <c r="K87" s="376"/>
      <c r="L87" s="376"/>
      <c r="M87" s="376"/>
      <c r="N87" s="376"/>
      <c r="O87" s="376"/>
      <c r="P87" s="376"/>
      <c r="Q87" s="376"/>
      <c r="R87" s="376"/>
      <c r="S87" s="376"/>
      <c r="T87" s="376"/>
      <c r="U87" s="376"/>
      <c r="V87" s="376"/>
      <c r="W87" s="376"/>
      <c r="X87" s="376"/>
      <c r="Y87" s="376"/>
      <c r="Z87" s="376"/>
      <c r="AA87" s="376"/>
      <c r="AB87" s="376"/>
      <c r="AC87" s="376"/>
      <c r="AD87" s="376"/>
      <c r="AE87" s="376"/>
    </row>
    <row r="88" spans="1:33" x14ac:dyDescent="0.25">
      <c r="A88" s="376"/>
      <c r="B88" s="376"/>
      <c r="C88" s="376"/>
      <c r="D88" s="376"/>
      <c r="E88" s="376"/>
      <c r="F88" s="376"/>
      <c r="G88" s="376"/>
      <c r="H88" s="376"/>
      <c r="I88" s="376"/>
      <c r="J88" s="376"/>
      <c r="K88" s="376"/>
      <c r="L88" s="376"/>
      <c r="M88" s="376"/>
      <c r="N88" s="376"/>
      <c r="O88" s="376"/>
      <c r="P88" s="376"/>
      <c r="Q88" s="376"/>
      <c r="R88" s="376"/>
      <c r="S88" s="376"/>
      <c r="T88" s="376"/>
      <c r="U88" s="376"/>
      <c r="V88" s="376"/>
      <c r="W88" s="376"/>
      <c r="X88" s="376"/>
      <c r="Y88" s="376"/>
      <c r="Z88" s="376"/>
      <c r="AA88" s="376"/>
      <c r="AB88" s="376"/>
      <c r="AC88" s="376"/>
      <c r="AD88" s="376"/>
      <c r="AE88" s="376"/>
    </row>
    <row r="89" spans="1:33" x14ac:dyDescent="0.25">
      <c r="A89" s="376"/>
      <c r="B89" s="376"/>
      <c r="C89" s="376"/>
      <c r="D89" s="376"/>
      <c r="E89" s="376"/>
      <c r="F89" s="376"/>
      <c r="G89" s="376"/>
      <c r="H89" s="376"/>
      <c r="I89" s="376"/>
      <c r="J89" s="376"/>
      <c r="K89" s="376"/>
      <c r="L89" s="376"/>
      <c r="M89" s="376"/>
      <c r="N89" s="376"/>
      <c r="O89" s="376"/>
      <c r="P89" s="376"/>
      <c r="Q89" s="376"/>
      <c r="R89" s="376"/>
      <c r="S89" s="376"/>
      <c r="T89" s="376"/>
      <c r="U89" s="376"/>
      <c r="V89" s="376"/>
      <c r="W89" s="376"/>
      <c r="X89" s="376"/>
      <c r="Y89" s="376"/>
      <c r="Z89" s="376"/>
      <c r="AA89" s="376"/>
      <c r="AB89" s="376"/>
      <c r="AC89" s="376"/>
      <c r="AD89" s="376"/>
      <c r="AE89" s="376"/>
    </row>
    <row r="90" spans="1:33" x14ac:dyDescent="0.25">
      <c r="A90" s="376"/>
      <c r="B90" s="376"/>
      <c r="C90" s="376"/>
      <c r="D90" s="376"/>
      <c r="E90" s="376"/>
      <c r="F90" s="376"/>
      <c r="G90" s="376"/>
      <c r="H90" s="376"/>
      <c r="I90" s="376"/>
      <c r="J90" s="376"/>
      <c r="K90" s="376"/>
      <c r="L90" s="376"/>
      <c r="M90" s="376"/>
      <c r="N90" s="376"/>
      <c r="O90" s="376"/>
      <c r="P90" s="376"/>
      <c r="Q90" s="376"/>
      <c r="R90" s="376"/>
      <c r="S90" s="376"/>
      <c r="T90" s="376"/>
      <c r="U90" s="376"/>
      <c r="V90" s="376"/>
      <c r="W90" s="376"/>
      <c r="X90" s="376"/>
      <c r="Y90" s="376"/>
      <c r="Z90" s="376"/>
      <c r="AA90" s="376"/>
      <c r="AB90" s="376"/>
      <c r="AC90" s="376"/>
      <c r="AD90" s="376"/>
      <c r="AE90" s="376"/>
    </row>
    <row r="91" spans="1:33" x14ac:dyDescent="0.25">
      <c r="A91" s="376"/>
      <c r="B91" s="376"/>
      <c r="C91" s="376"/>
      <c r="D91" s="376"/>
      <c r="E91" s="376"/>
      <c r="F91" s="376"/>
      <c r="G91" s="376"/>
      <c r="H91" s="376"/>
      <c r="I91" s="376"/>
      <c r="J91" s="376"/>
      <c r="K91" s="376"/>
      <c r="L91" s="376"/>
      <c r="M91" s="376"/>
      <c r="N91" s="376"/>
      <c r="O91" s="376"/>
      <c r="P91" s="376"/>
      <c r="Q91" s="376"/>
      <c r="R91" s="376"/>
      <c r="S91" s="376"/>
      <c r="T91" s="376"/>
      <c r="U91" s="376"/>
      <c r="V91" s="376"/>
      <c r="W91" s="376"/>
      <c r="X91" s="376"/>
      <c r="Y91" s="376"/>
      <c r="Z91" s="376"/>
      <c r="AA91" s="376"/>
      <c r="AB91" s="376"/>
      <c r="AC91" s="376"/>
      <c r="AD91" s="376"/>
      <c r="AE91" s="376"/>
    </row>
    <row r="92" spans="1:33" x14ac:dyDescent="0.25">
      <c r="A92" s="376"/>
      <c r="B92" s="376"/>
      <c r="C92" s="376"/>
      <c r="D92" s="376"/>
      <c r="E92" s="376"/>
      <c r="F92" s="376"/>
      <c r="G92" s="376"/>
      <c r="H92" s="376"/>
      <c r="I92" s="376"/>
      <c r="J92" s="376"/>
      <c r="K92" s="376"/>
      <c r="L92" s="376"/>
      <c r="M92" s="376"/>
      <c r="N92" s="376"/>
      <c r="O92" s="376"/>
      <c r="P92" s="376"/>
      <c r="Q92" s="376"/>
      <c r="R92" s="376"/>
      <c r="S92" s="376"/>
      <c r="T92" s="376"/>
      <c r="U92" s="376"/>
      <c r="V92" s="376"/>
      <c r="W92" s="376"/>
      <c r="X92" s="376"/>
      <c r="Y92" s="376"/>
      <c r="Z92" s="376"/>
      <c r="AA92" s="376"/>
      <c r="AB92" s="376"/>
      <c r="AC92" s="376"/>
      <c r="AD92" s="376"/>
      <c r="AE92" s="376"/>
    </row>
    <row r="93" spans="1:33" x14ac:dyDescent="0.25">
      <c r="A93" s="376"/>
      <c r="B93" s="376"/>
      <c r="C93" s="376"/>
      <c r="D93" s="376"/>
      <c r="E93" s="376"/>
      <c r="F93" s="376"/>
      <c r="G93" s="376"/>
      <c r="H93" s="376"/>
      <c r="I93" s="376"/>
      <c r="J93" s="376"/>
      <c r="K93" s="376"/>
      <c r="L93" s="376"/>
      <c r="M93" s="376"/>
      <c r="N93" s="376"/>
      <c r="O93" s="376"/>
      <c r="P93" s="376"/>
      <c r="Q93" s="376"/>
      <c r="R93" s="376"/>
      <c r="S93" s="376"/>
      <c r="T93" s="376"/>
      <c r="U93" s="376"/>
      <c r="V93" s="376"/>
      <c r="W93" s="376"/>
      <c r="X93" s="376"/>
      <c r="Y93" s="376"/>
      <c r="Z93" s="376"/>
      <c r="AA93" s="376"/>
      <c r="AB93" s="376"/>
      <c r="AC93" s="376"/>
      <c r="AD93" s="376"/>
      <c r="AE93" s="376"/>
    </row>
    <row r="94" spans="1:33" x14ac:dyDescent="0.25">
      <c r="A94" s="376"/>
      <c r="B94" s="376"/>
      <c r="C94" s="376"/>
      <c r="D94" s="376"/>
      <c r="E94" s="376"/>
      <c r="F94" s="376"/>
      <c r="G94" s="376"/>
      <c r="H94" s="376"/>
      <c r="I94" s="376"/>
      <c r="J94" s="376"/>
      <c r="K94" s="376"/>
      <c r="L94" s="376"/>
      <c r="M94" s="376"/>
      <c r="N94" s="376"/>
      <c r="O94" s="376"/>
      <c r="P94" s="376"/>
      <c r="Q94" s="376"/>
      <c r="R94" s="376"/>
      <c r="S94" s="376"/>
      <c r="T94" s="376"/>
      <c r="U94" s="376"/>
      <c r="V94" s="376"/>
      <c r="W94" s="376"/>
      <c r="X94" s="376"/>
      <c r="Y94" s="376"/>
      <c r="Z94" s="376"/>
      <c r="AA94" s="376"/>
      <c r="AB94" s="376"/>
      <c r="AC94" s="376"/>
      <c r="AD94" s="376"/>
      <c r="AE94" s="376"/>
    </row>
    <row r="95" spans="1:33" x14ac:dyDescent="0.25">
      <c r="A95" s="376"/>
      <c r="B95" s="376"/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376"/>
      <c r="N95" s="376"/>
      <c r="O95" s="376"/>
      <c r="P95" s="376"/>
      <c r="Q95" s="376"/>
      <c r="R95" s="376"/>
      <c r="S95" s="376"/>
      <c r="T95" s="376"/>
      <c r="U95" s="376"/>
      <c r="V95" s="376"/>
      <c r="W95" s="376"/>
      <c r="X95" s="376"/>
      <c r="Y95" s="376"/>
      <c r="Z95" s="376"/>
      <c r="AA95" s="376"/>
      <c r="AB95" s="376"/>
      <c r="AC95" s="376"/>
      <c r="AD95" s="376"/>
      <c r="AE95" s="376"/>
    </row>
    <row r="96" spans="1:33" x14ac:dyDescent="0.25">
      <c r="A96" s="376"/>
      <c r="B96" s="376"/>
      <c r="C96" s="376"/>
      <c r="D96" s="376"/>
      <c r="E96" s="376"/>
      <c r="F96" s="376"/>
      <c r="G96" s="376"/>
      <c r="H96" s="376"/>
      <c r="I96" s="376"/>
      <c r="J96" s="376"/>
      <c r="K96" s="376"/>
      <c r="L96" s="376"/>
      <c r="M96" s="376"/>
      <c r="N96" s="376"/>
      <c r="O96" s="376"/>
      <c r="P96" s="376"/>
      <c r="Q96" s="376"/>
      <c r="R96" s="376"/>
      <c r="S96" s="376"/>
      <c r="T96" s="376"/>
      <c r="U96" s="376"/>
      <c r="V96" s="376"/>
      <c r="W96" s="376"/>
      <c r="X96" s="376"/>
      <c r="Y96" s="376"/>
      <c r="Z96" s="376"/>
      <c r="AA96" s="376"/>
      <c r="AB96" s="376"/>
      <c r="AC96" s="376"/>
      <c r="AD96" s="376"/>
      <c r="AE96" s="376"/>
    </row>
    <row r="97" spans="1:31" x14ac:dyDescent="0.25">
      <c r="A97" s="376"/>
      <c r="B97" s="376"/>
      <c r="C97" s="376"/>
      <c r="D97" s="376"/>
      <c r="E97" s="376"/>
      <c r="F97" s="376"/>
      <c r="G97" s="376"/>
      <c r="H97" s="376"/>
      <c r="I97" s="376"/>
      <c r="J97" s="376"/>
      <c r="K97" s="376"/>
      <c r="L97" s="376"/>
      <c r="M97" s="376"/>
      <c r="N97" s="376"/>
      <c r="O97" s="376"/>
      <c r="P97" s="376"/>
      <c r="Q97" s="376"/>
      <c r="R97" s="376"/>
      <c r="S97" s="376"/>
      <c r="T97" s="376"/>
      <c r="U97" s="376"/>
      <c r="V97" s="376"/>
      <c r="W97" s="376"/>
      <c r="X97" s="376"/>
      <c r="Y97" s="376"/>
      <c r="Z97" s="376"/>
      <c r="AA97" s="376"/>
      <c r="AB97" s="376"/>
      <c r="AC97" s="376"/>
      <c r="AD97" s="376"/>
      <c r="AE97" s="376"/>
    </row>
    <row r="98" spans="1:31" x14ac:dyDescent="0.25">
      <c r="A98" s="376"/>
      <c r="B98" s="376"/>
      <c r="C98" s="376"/>
      <c r="D98" s="376"/>
      <c r="E98" s="376"/>
      <c r="F98" s="376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Q98" s="376"/>
      <c r="R98" s="376"/>
      <c r="S98" s="376"/>
      <c r="T98" s="376"/>
      <c r="U98" s="376"/>
      <c r="V98" s="376"/>
      <c r="W98" s="376"/>
      <c r="X98" s="376"/>
      <c r="Y98" s="376"/>
      <c r="Z98" s="376"/>
      <c r="AA98" s="376"/>
      <c r="AB98" s="376"/>
      <c r="AC98" s="376"/>
      <c r="AD98" s="376"/>
      <c r="AE98" s="376"/>
    </row>
    <row r="99" spans="1:31" x14ac:dyDescent="0.25">
      <c r="A99" s="376"/>
      <c r="B99" s="376"/>
      <c r="C99" s="376"/>
      <c r="D99" s="376"/>
      <c r="E99" s="376"/>
      <c r="F99" s="376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376"/>
      <c r="R99" s="376"/>
      <c r="S99" s="376"/>
      <c r="T99" s="376"/>
      <c r="U99" s="376"/>
      <c r="V99" s="376"/>
      <c r="W99" s="376"/>
      <c r="X99" s="376"/>
      <c r="Y99" s="376"/>
      <c r="Z99" s="376"/>
      <c r="AA99" s="376"/>
      <c r="AB99" s="376"/>
      <c r="AC99" s="376"/>
      <c r="AD99" s="376"/>
      <c r="AE99" s="376"/>
    </row>
    <row r="100" spans="1:31" x14ac:dyDescent="0.25">
      <c r="A100" s="376"/>
      <c r="B100" s="376"/>
      <c r="C100" s="376"/>
      <c r="D100" s="376"/>
      <c r="E100" s="376"/>
      <c r="F100" s="376"/>
      <c r="G100" s="376"/>
      <c r="H100" s="376"/>
      <c r="I100" s="376"/>
      <c r="J100" s="376"/>
      <c r="K100" s="376"/>
      <c r="L100" s="376"/>
      <c r="M100" s="376"/>
      <c r="N100" s="376"/>
      <c r="O100" s="376"/>
      <c r="P100" s="376"/>
      <c r="Q100" s="376"/>
      <c r="R100" s="376"/>
      <c r="S100" s="376"/>
      <c r="T100" s="376"/>
      <c r="U100" s="376"/>
      <c r="V100" s="376"/>
      <c r="W100" s="376"/>
      <c r="X100" s="376"/>
      <c r="Y100" s="376"/>
      <c r="Z100" s="376"/>
      <c r="AA100" s="376"/>
      <c r="AB100" s="376"/>
      <c r="AC100" s="376"/>
      <c r="AD100" s="376"/>
      <c r="AE100" s="376"/>
    </row>
    <row r="101" spans="1:31" x14ac:dyDescent="0.25">
      <c r="A101" s="376"/>
      <c r="B101" s="376"/>
      <c r="C101" s="376"/>
      <c r="D101" s="376"/>
      <c r="E101" s="376"/>
      <c r="F101" s="376"/>
      <c r="G101" s="376"/>
      <c r="H101" s="376"/>
      <c r="I101" s="376"/>
      <c r="J101" s="376"/>
      <c r="K101" s="376"/>
      <c r="L101" s="376"/>
      <c r="M101" s="376"/>
      <c r="N101" s="376"/>
      <c r="O101" s="376"/>
      <c r="P101" s="376"/>
      <c r="Q101" s="376"/>
      <c r="R101" s="376"/>
      <c r="S101" s="376"/>
      <c r="T101" s="376"/>
      <c r="U101" s="376"/>
      <c r="V101" s="376"/>
      <c r="W101" s="376"/>
      <c r="X101" s="376"/>
      <c r="Y101" s="376"/>
      <c r="Z101" s="376"/>
      <c r="AA101" s="376"/>
      <c r="AB101" s="376"/>
      <c r="AC101" s="376"/>
      <c r="AD101" s="376"/>
      <c r="AE101" s="376"/>
    </row>
    <row r="102" spans="1:31" x14ac:dyDescent="0.25">
      <c r="A102" s="376"/>
      <c r="B102" s="376"/>
      <c r="C102" s="376"/>
      <c r="D102" s="376"/>
      <c r="E102" s="376"/>
      <c r="F102" s="376"/>
      <c r="G102" s="376"/>
      <c r="H102" s="376"/>
      <c r="I102" s="376"/>
      <c r="J102" s="376"/>
      <c r="K102" s="376"/>
      <c r="L102" s="376"/>
      <c r="M102" s="376"/>
      <c r="N102" s="376"/>
      <c r="O102" s="376"/>
      <c r="P102" s="376"/>
      <c r="Q102" s="376"/>
      <c r="R102" s="376"/>
      <c r="S102" s="376"/>
      <c r="T102" s="376"/>
      <c r="U102" s="376"/>
      <c r="V102" s="376"/>
      <c r="W102" s="376"/>
      <c r="X102" s="376"/>
      <c r="Y102" s="376"/>
      <c r="Z102" s="376"/>
      <c r="AA102" s="376"/>
      <c r="AB102" s="376"/>
      <c r="AC102" s="376"/>
      <c r="AD102" s="376"/>
      <c r="AE102" s="376"/>
    </row>
    <row r="103" spans="1:31" x14ac:dyDescent="0.25">
      <c r="A103" s="376"/>
      <c r="B103" s="376"/>
      <c r="C103" s="376"/>
      <c r="D103" s="376"/>
      <c r="E103" s="376"/>
      <c r="F103" s="376"/>
      <c r="G103" s="376"/>
      <c r="H103" s="376"/>
      <c r="I103" s="376"/>
      <c r="J103" s="376"/>
      <c r="K103" s="376"/>
      <c r="L103" s="376"/>
      <c r="M103" s="376"/>
      <c r="N103" s="376"/>
      <c r="O103" s="376"/>
      <c r="P103" s="376"/>
      <c r="Q103" s="376"/>
      <c r="R103" s="376"/>
      <c r="S103" s="376"/>
      <c r="T103" s="376"/>
      <c r="U103" s="376"/>
      <c r="V103" s="376"/>
      <c r="W103" s="376"/>
      <c r="X103" s="376"/>
      <c r="Y103" s="376"/>
      <c r="Z103" s="376"/>
      <c r="AA103" s="376"/>
      <c r="AB103" s="376"/>
      <c r="AC103" s="376"/>
      <c r="AD103" s="376"/>
      <c r="AE103" s="376"/>
    </row>
    <row r="104" spans="1:31" x14ac:dyDescent="0.25">
      <c r="A104" s="376"/>
      <c r="B104" s="376"/>
      <c r="C104" s="376"/>
      <c r="D104" s="376"/>
      <c r="E104" s="376"/>
      <c r="F104" s="376"/>
      <c r="G104" s="376"/>
      <c r="H104" s="376"/>
      <c r="I104" s="376"/>
      <c r="J104" s="376"/>
      <c r="K104" s="376"/>
      <c r="L104" s="376"/>
      <c r="M104" s="376"/>
      <c r="N104" s="376"/>
      <c r="O104" s="376"/>
      <c r="P104" s="376"/>
      <c r="Q104" s="376"/>
      <c r="R104" s="376"/>
      <c r="S104" s="376"/>
      <c r="T104" s="376"/>
      <c r="U104" s="376"/>
      <c r="V104" s="376"/>
      <c r="W104" s="376"/>
      <c r="X104" s="376"/>
      <c r="Y104" s="376"/>
      <c r="Z104" s="376"/>
      <c r="AA104" s="376"/>
      <c r="AB104" s="376"/>
      <c r="AC104" s="376"/>
      <c r="AD104" s="376"/>
      <c r="AE104" s="376"/>
    </row>
    <row r="105" spans="1:31" x14ac:dyDescent="0.25">
      <c r="A105" s="376"/>
      <c r="B105" s="376"/>
      <c r="C105" s="376"/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  <c r="O105" s="376"/>
      <c r="P105" s="376"/>
      <c r="Q105" s="376"/>
      <c r="R105" s="376"/>
      <c r="S105" s="376"/>
      <c r="T105" s="376"/>
      <c r="U105" s="376"/>
      <c r="V105" s="376"/>
      <c r="W105" s="376"/>
      <c r="X105" s="376"/>
      <c r="Y105" s="376"/>
      <c r="Z105" s="376"/>
      <c r="AA105" s="376"/>
      <c r="AB105" s="376"/>
      <c r="AC105" s="376"/>
      <c r="AD105" s="376"/>
      <c r="AE105" s="376"/>
    </row>
    <row r="106" spans="1:31" x14ac:dyDescent="0.25">
      <c r="A106" s="376"/>
      <c r="B106" s="376"/>
      <c r="C106" s="376"/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  <c r="N106" s="376"/>
      <c r="O106" s="376"/>
      <c r="P106" s="376"/>
      <c r="Q106" s="376"/>
      <c r="R106" s="376"/>
      <c r="S106" s="376"/>
      <c r="T106" s="376"/>
      <c r="U106" s="376"/>
      <c r="V106" s="376"/>
      <c r="W106" s="376"/>
      <c r="X106" s="376"/>
      <c r="Y106" s="376"/>
      <c r="Z106" s="376"/>
      <c r="AA106" s="376"/>
      <c r="AB106" s="376"/>
      <c r="AC106" s="376"/>
      <c r="AD106" s="376"/>
      <c r="AE106" s="376"/>
    </row>
    <row r="107" spans="1:31" x14ac:dyDescent="0.25">
      <c r="A107" s="376"/>
      <c r="B107" s="376"/>
      <c r="C107" s="376"/>
      <c r="D107" s="376"/>
      <c r="E107" s="376"/>
      <c r="F107" s="376"/>
      <c r="G107" s="376"/>
      <c r="H107" s="376"/>
      <c r="I107" s="376"/>
      <c r="J107" s="376"/>
      <c r="K107" s="376"/>
      <c r="L107" s="376"/>
      <c r="M107" s="376"/>
      <c r="N107" s="376"/>
      <c r="O107" s="376"/>
      <c r="P107" s="376"/>
      <c r="Q107" s="376"/>
      <c r="R107" s="376"/>
      <c r="S107" s="376"/>
      <c r="T107" s="376"/>
      <c r="U107" s="376"/>
      <c r="V107" s="376"/>
      <c r="W107" s="376"/>
      <c r="X107" s="376"/>
      <c r="Y107" s="376"/>
      <c r="Z107" s="376"/>
      <c r="AA107" s="376"/>
      <c r="AB107" s="376"/>
      <c r="AC107" s="376"/>
      <c r="AD107" s="376"/>
      <c r="AE107" s="376"/>
    </row>
    <row r="108" spans="1:31" x14ac:dyDescent="0.25">
      <c r="A108" s="376"/>
      <c r="B108" s="376"/>
      <c r="C108" s="376"/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  <c r="O108" s="376"/>
      <c r="P108" s="376"/>
      <c r="Q108" s="376"/>
      <c r="R108" s="376"/>
      <c r="S108" s="376"/>
      <c r="T108" s="376"/>
      <c r="U108" s="376"/>
      <c r="V108" s="376"/>
      <c r="W108" s="376"/>
      <c r="X108" s="376"/>
      <c r="Y108" s="376"/>
      <c r="Z108" s="376"/>
      <c r="AA108" s="376"/>
      <c r="AB108" s="376"/>
      <c r="AC108" s="376"/>
      <c r="AD108" s="376"/>
      <c r="AE108" s="376"/>
    </row>
    <row r="109" spans="1:31" x14ac:dyDescent="0.25">
      <c r="A109" s="376"/>
      <c r="B109" s="376"/>
      <c r="C109" s="376"/>
      <c r="D109" s="376"/>
      <c r="E109" s="376"/>
      <c r="F109" s="376"/>
      <c r="G109" s="376"/>
      <c r="H109" s="376"/>
      <c r="I109" s="376"/>
      <c r="J109" s="376"/>
      <c r="K109" s="376"/>
      <c r="L109" s="376"/>
      <c r="M109" s="376"/>
      <c r="N109" s="376"/>
      <c r="O109" s="376"/>
      <c r="P109" s="376"/>
      <c r="Q109" s="376"/>
      <c r="R109" s="376"/>
      <c r="S109" s="376"/>
      <c r="T109" s="376"/>
      <c r="U109" s="376"/>
      <c r="V109" s="376"/>
      <c r="W109" s="376"/>
      <c r="X109" s="376"/>
      <c r="Y109" s="376"/>
      <c r="Z109" s="376"/>
      <c r="AA109" s="376"/>
      <c r="AB109" s="376"/>
      <c r="AC109" s="376"/>
      <c r="AD109" s="376"/>
      <c r="AE109" s="376"/>
    </row>
    <row r="110" spans="1:31" x14ac:dyDescent="0.25">
      <c r="A110" s="376"/>
      <c r="B110" s="376"/>
      <c r="C110" s="376"/>
      <c r="D110" s="376"/>
      <c r="E110" s="376"/>
      <c r="F110" s="376"/>
      <c r="G110" s="376"/>
      <c r="H110" s="376"/>
      <c r="I110" s="376"/>
      <c r="J110" s="376"/>
      <c r="K110" s="376"/>
      <c r="L110" s="376"/>
      <c r="M110" s="376"/>
      <c r="N110" s="376"/>
      <c r="O110" s="376"/>
      <c r="P110" s="376"/>
      <c r="Q110" s="376"/>
      <c r="R110" s="376"/>
      <c r="S110" s="376"/>
      <c r="T110" s="376"/>
      <c r="U110" s="376"/>
      <c r="V110" s="376"/>
      <c r="W110" s="376"/>
      <c r="X110" s="376"/>
      <c r="Y110" s="376"/>
      <c r="Z110" s="376"/>
      <c r="AA110" s="376"/>
      <c r="AB110" s="376"/>
      <c r="AC110" s="376"/>
      <c r="AD110" s="376"/>
      <c r="AE110" s="376"/>
    </row>
    <row r="111" spans="1:31" x14ac:dyDescent="0.25">
      <c r="A111" s="376"/>
      <c r="B111" s="376"/>
      <c r="C111" s="376"/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6"/>
      <c r="R111" s="376"/>
      <c r="S111" s="376"/>
      <c r="T111" s="376"/>
      <c r="U111" s="376"/>
      <c r="V111" s="376"/>
      <c r="W111" s="376"/>
      <c r="X111" s="376"/>
      <c r="Y111" s="376"/>
      <c r="Z111" s="376"/>
      <c r="AA111" s="376"/>
      <c r="AB111" s="376"/>
      <c r="AC111" s="376"/>
      <c r="AD111" s="376"/>
      <c r="AE111" s="376"/>
    </row>
    <row r="112" spans="1:31" x14ac:dyDescent="0.25">
      <c r="A112" s="376"/>
      <c r="B112" s="376"/>
      <c r="C112" s="376"/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  <c r="O112" s="376"/>
      <c r="P112" s="376"/>
      <c r="Q112" s="376"/>
      <c r="R112" s="376"/>
      <c r="S112" s="376"/>
      <c r="T112" s="376"/>
      <c r="U112" s="376"/>
      <c r="V112" s="376"/>
      <c r="W112" s="376"/>
      <c r="X112" s="376"/>
      <c r="Y112" s="376"/>
      <c r="Z112" s="376"/>
      <c r="AA112" s="376"/>
      <c r="AB112" s="376"/>
      <c r="AC112" s="376"/>
      <c r="AD112" s="376"/>
      <c r="AE112" s="376"/>
    </row>
    <row r="113" spans="1:31" x14ac:dyDescent="0.25">
      <c r="A113" s="376"/>
      <c r="B113" s="376"/>
      <c r="C113" s="376"/>
      <c r="D113" s="376"/>
      <c r="E113" s="376"/>
      <c r="F113" s="376"/>
      <c r="G113" s="376"/>
      <c r="H113" s="376"/>
      <c r="I113" s="376"/>
      <c r="J113" s="376"/>
      <c r="K113" s="376"/>
      <c r="L113" s="376"/>
      <c r="M113" s="376"/>
      <c r="N113" s="376"/>
      <c r="O113" s="376"/>
      <c r="P113" s="376"/>
      <c r="Q113" s="376"/>
      <c r="R113" s="376"/>
      <c r="S113" s="376"/>
      <c r="T113" s="376"/>
      <c r="U113" s="376"/>
      <c r="V113" s="376"/>
      <c r="W113" s="376"/>
      <c r="X113" s="376"/>
      <c r="Y113" s="376"/>
      <c r="Z113" s="376"/>
      <c r="AA113" s="376"/>
      <c r="AB113" s="376"/>
      <c r="AC113" s="376"/>
      <c r="AD113" s="376"/>
      <c r="AE113" s="376"/>
    </row>
    <row r="114" spans="1:31" x14ac:dyDescent="0.25">
      <c r="A114" s="376"/>
      <c r="B114" s="376"/>
      <c r="C114" s="376"/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  <c r="N114" s="376"/>
      <c r="O114" s="376"/>
      <c r="P114" s="376"/>
      <c r="Q114" s="376"/>
      <c r="R114" s="376"/>
      <c r="S114" s="376"/>
      <c r="T114" s="376"/>
      <c r="U114" s="376"/>
      <c r="V114" s="376"/>
      <c r="W114" s="376"/>
      <c r="X114" s="376"/>
      <c r="Y114" s="376"/>
      <c r="Z114" s="376"/>
      <c r="AA114" s="376"/>
      <c r="AB114" s="376"/>
      <c r="AC114" s="376"/>
      <c r="AD114" s="376"/>
      <c r="AE114" s="376"/>
    </row>
    <row r="115" spans="1:31" x14ac:dyDescent="0.25">
      <c r="A115" s="376"/>
      <c r="B115" s="376"/>
      <c r="C115" s="376"/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6"/>
      <c r="O115" s="376"/>
      <c r="P115" s="376"/>
      <c r="Q115" s="376"/>
      <c r="R115" s="376"/>
      <c r="S115" s="376"/>
      <c r="T115" s="376"/>
      <c r="U115" s="376"/>
      <c r="V115" s="376"/>
      <c r="W115" s="376"/>
      <c r="X115" s="376"/>
      <c r="Y115" s="376"/>
      <c r="Z115" s="376"/>
      <c r="AA115" s="376"/>
      <c r="AB115" s="376"/>
      <c r="AC115" s="376"/>
      <c r="AD115" s="376"/>
      <c r="AE115" s="376"/>
    </row>
    <row r="116" spans="1:31" x14ac:dyDescent="0.25">
      <c r="A116" s="376"/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  <c r="O116" s="376"/>
      <c r="P116" s="376"/>
      <c r="Q116" s="376"/>
      <c r="R116" s="376"/>
      <c r="S116" s="376"/>
      <c r="T116" s="376"/>
      <c r="U116" s="376"/>
      <c r="V116" s="376"/>
      <c r="W116" s="376"/>
      <c r="X116" s="376"/>
      <c r="Y116" s="376"/>
      <c r="Z116" s="376"/>
      <c r="AA116" s="376"/>
      <c r="AB116" s="376"/>
      <c r="AC116" s="376"/>
      <c r="AD116" s="376"/>
      <c r="AE116" s="376"/>
    </row>
    <row r="117" spans="1:31" x14ac:dyDescent="0.25">
      <c r="A117" s="376"/>
      <c r="B117" s="376"/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376"/>
      <c r="N117" s="376"/>
      <c r="O117" s="376"/>
      <c r="P117" s="376"/>
      <c r="Q117" s="376"/>
      <c r="R117" s="376"/>
      <c r="S117" s="376"/>
      <c r="T117" s="376"/>
      <c r="U117" s="376"/>
      <c r="V117" s="376"/>
      <c r="W117" s="376"/>
      <c r="X117" s="376"/>
      <c r="Y117" s="376"/>
      <c r="Z117" s="376"/>
      <c r="AA117" s="376"/>
      <c r="AB117" s="376"/>
      <c r="AC117" s="376"/>
      <c r="AD117" s="376"/>
      <c r="AE117" s="376"/>
    </row>
    <row r="118" spans="1:31" x14ac:dyDescent="0.25">
      <c r="A118" s="376"/>
      <c r="B118" s="376"/>
      <c r="C118" s="376"/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  <c r="N118" s="376"/>
      <c r="O118" s="376"/>
      <c r="P118" s="376"/>
      <c r="Q118" s="376"/>
      <c r="R118" s="376"/>
      <c r="S118" s="376"/>
      <c r="T118" s="376"/>
      <c r="U118" s="376"/>
      <c r="V118" s="376"/>
      <c r="W118" s="376"/>
      <c r="X118" s="376"/>
      <c r="Y118" s="376"/>
      <c r="Z118" s="376"/>
      <c r="AA118" s="376"/>
      <c r="AB118" s="376"/>
      <c r="AC118" s="376"/>
      <c r="AD118" s="376"/>
      <c r="AE118" s="376"/>
    </row>
    <row r="119" spans="1:31" x14ac:dyDescent="0.25">
      <c r="A119" s="376"/>
      <c r="B119" s="376"/>
      <c r="C119" s="376"/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  <c r="N119" s="376"/>
      <c r="O119" s="376"/>
      <c r="P119" s="376"/>
      <c r="Q119" s="376"/>
      <c r="R119" s="376"/>
      <c r="S119" s="376"/>
      <c r="T119" s="376"/>
      <c r="U119" s="376"/>
      <c r="V119" s="376"/>
      <c r="W119" s="376"/>
      <c r="X119" s="376"/>
      <c r="Y119" s="376"/>
      <c r="Z119" s="376"/>
      <c r="AA119" s="376"/>
      <c r="AB119" s="376"/>
      <c r="AC119" s="376"/>
      <c r="AD119" s="376"/>
      <c r="AE119" s="376"/>
    </row>
    <row r="120" spans="1:31" x14ac:dyDescent="0.25">
      <c r="A120" s="376"/>
      <c r="B120" s="376"/>
      <c r="C120" s="376"/>
      <c r="D120" s="376"/>
      <c r="E120" s="376"/>
      <c r="F120" s="376"/>
      <c r="G120" s="376"/>
      <c r="H120" s="376"/>
      <c r="I120" s="376"/>
      <c r="J120" s="376"/>
      <c r="K120" s="376"/>
      <c r="L120" s="376"/>
      <c r="M120" s="376"/>
      <c r="N120" s="376"/>
      <c r="O120" s="376"/>
      <c r="P120" s="376"/>
      <c r="Q120" s="376"/>
      <c r="R120" s="376"/>
      <c r="S120" s="376"/>
      <c r="T120" s="376"/>
      <c r="U120" s="376"/>
      <c r="V120" s="376"/>
      <c r="W120" s="376"/>
      <c r="X120" s="376"/>
      <c r="Y120" s="376"/>
      <c r="Z120" s="376"/>
      <c r="AA120" s="376"/>
      <c r="AB120" s="376"/>
      <c r="AC120" s="376"/>
      <c r="AD120" s="376"/>
      <c r="AE120" s="376"/>
    </row>
    <row r="121" spans="1:31" x14ac:dyDescent="0.25">
      <c r="A121" s="376"/>
      <c r="B121" s="376"/>
      <c r="C121" s="376"/>
      <c r="D121" s="376"/>
      <c r="E121" s="376"/>
      <c r="F121" s="376"/>
      <c r="G121" s="376"/>
      <c r="H121" s="376"/>
      <c r="I121" s="376"/>
      <c r="J121" s="376"/>
      <c r="K121" s="376"/>
      <c r="L121" s="376"/>
      <c r="M121" s="376"/>
      <c r="N121" s="376"/>
      <c r="O121" s="376"/>
      <c r="P121" s="376"/>
      <c r="Q121" s="376"/>
      <c r="R121" s="376"/>
      <c r="S121" s="376"/>
      <c r="T121" s="376"/>
      <c r="U121" s="376"/>
      <c r="V121" s="376"/>
      <c r="W121" s="376"/>
      <c r="X121" s="376"/>
      <c r="Y121" s="376"/>
      <c r="Z121" s="376"/>
      <c r="AA121" s="376"/>
      <c r="AB121" s="376"/>
      <c r="AC121" s="376"/>
      <c r="AD121" s="376"/>
      <c r="AE121" s="376"/>
    </row>
    <row r="122" spans="1:31" x14ac:dyDescent="0.25">
      <c r="A122" s="376"/>
      <c r="B122" s="376"/>
      <c r="C122" s="376"/>
      <c r="D122" s="376"/>
      <c r="E122" s="376"/>
      <c r="F122" s="376"/>
      <c r="G122" s="376"/>
      <c r="H122" s="376"/>
      <c r="I122" s="376"/>
      <c r="J122" s="376"/>
      <c r="K122" s="376"/>
      <c r="L122" s="376"/>
      <c r="M122" s="376"/>
      <c r="N122" s="376"/>
      <c r="O122" s="376"/>
      <c r="P122" s="376"/>
      <c r="Q122" s="376"/>
      <c r="R122" s="376"/>
      <c r="S122" s="376"/>
      <c r="T122" s="376"/>
      <c r="U122" s="376"/>
      <c r="V122" s="376"/>
      <c r="W122" s="376"/>
      <c r="X122" s="376"/>
      <c r="Y122" s="376"/>
      <c r="Z122" s="376"/>
      <c r="AA122" s="376"/>
      <c r="AB122" s="376"/>
      <c r="AC122" s="376"/>
      <c r="AD122" s="376"/>
      <c r="AE122" s="376"/>
    </row>
    <row r="123" spans="1:31" x14ac:dyDescent="0.25">
      <c r="A123" s="376"/>
      <c r="B123" s="376"/>
      <c r="C123" s="376"/>
      <c r="D123" s="376"/>
      <c r="E123" s="376"/>
      <c r="F123" s="376"/>
      <c r="G123" s="376"/>
      <c r="H123" s="376"/>
      <c r="I123" s="376"/>
      <c r="J123" s="376"/>
      <c r="K123" s="376"/>
      <c r="L123" s="376"/>
      <c r="M123" s="376"/>
      <c r="N123" s="376"/>
      <c r="O123" s="376"/>
      <c r="P123" s="376"/>
      <c r="Q123" s="376"/>
      <c r="R123" s="376"/>
      <c r="S123" s="376"/>
      <c r="T123" s="376"/>
      <c r="U123" s="376"/>
      <c r="V123" s="376"/>
      <c r="W123" s="376"/>
      <c r="X123" s="376"/>
      <c r="Y123" s="376"/>
      <c r="Z123" s="376"/>
      <c r="AA123" s="376"/>
      <c r="AB123" s="376"/>
      <c r="AC123" s="376"/>
      <c r="AD123" s="376"/>
      <c r="AE123" s="376"/>
    </row>
    <row r="124" spans="1:31" x14ac:dyDescent="0.25">
      <c r="A124" s="376"/>
      <c r="B124" s="376"/>
      <c r="C124" s="376"/>
      <c r="D124" s="376"/>
      <c r="E124" s="376"/>
      <c r="F124" s="376"/>
      <c r="G124" s="376"/>
      <c r="H124" s="376"/>
      <c r="I124" s="376"/>
      <c r="J124" s="376"/>
      <c r="K124" s="376"/>
      <c r="L124" s="376"/>
      <c r="M124" s="376"/>
      <c r="N124" s="376"/>
      <c r="O124" s="376"/>
      <c r="P124" s="376"/>
      <c r="Q124" s="376"/>
      <c r="R124" s="376"/>
      <c r="S124" s="376"/>
      <c r="T124" s="376"/>
      <c r="U124" s="376"/>
      <c r="V124" s="376"/>
      <c r="W124" s="376"/>
      <c r="X124" s="376"/>
      <c r="Y124" s="376"/>
      <c r="Z124" s="376"/>
      <c r="AA124" s="376"/>
      <c r="AB124" s="376"/>
      <c r="AC124" s="376"/>
      <c r="AD124" s="376"/>
      <c r="AE124" s="376"/>
    </row>
    <row r="125" spans="1:31" x14ac:dyDescent="0.25">
      <c r="A125" s="376"/>
      <c r="B125" s="376"/>
      <c r="C125" s="376"/>
      <c r="D125" s="376"/>
      <c r="E125" s="376"/>
      <c r="F125" s="376"/>
      <c r="G125" s="376"/>
      <c r="H125" s="376"/>
      <c r="I125" s="376"/>
      <c r="J125" s="376"/>
      <c r="K125" s="376"/>
      <c r="L125" s="376"/>
      <c r="M125" s="376"/>
      <c r="N125" s="376"/>
      <c r="O125" s="376"/>
      <c r="P125" s="376"/>
      <c r="Q125" s="376"/>
      <c r="R125" s="376"/>
      <c r="S125" s="376"/>
      <c r="T125" s="376"/>
      <c r="U125" s="376"/>
      <c r="V125" s="376"/>
      <c r="W125" s="376"/>
      <c r="X125" s="376"/>
      <c r="Y125" s="376"/>
      <c r="Z125" s="376"/>
      <c r="AA125" s="376"/>
      <c r="AB125" s="376"/>
      <c r="AC125" s="376"/>
      <c r="AD125" s="376"/>
      <c r="AE125" s="376"/>
    </row>
    <row r="126" spans="1:31" x14ac:dyDescent="0.25">
      <c r="A126" s="376"/>
      <c r="B126" s="376"/>
      <c r="C126" s="376"/>
      <c r="D126" s="376"/>
      <c r="E126" s="376"/>
      <c r="F126" s="376"/>
      <c r="G126" s="376"/>
      <c r="H126" s="376"/>
      <c r="I126" s="376"/>
      <c r="J126" s="376"/>
      <c r="K126" s="376"/>
      <c r="L126" s="376"/>
      <c r="M126" s="376"/>
      <c r="N126" s="376"/>
      <c r="O126" s="376"/>
      <c r="P126" s="376"/>
      <c r="Q126" s="376"/>
      <c r="R126" s="376"/>
      <c r="S126" s="376"/>
      <c r="T126" s="376"/>
      <c r="U126" s="376"/>
      <c r="V126" s="376"/>
      <c r="W126" s="376"/>
      <c r="X126" s="376"/>
      <c r="Y126" s="376"/>
      <c r="Z126" s="376"/>
      <c r="AA126" s="376"/>
      <c r="AB126" s="376"/>
      <c r="AC126" s="376"/>
      <c r="AD126" s="376"/>
      <c r="AE126" s="376"/>
    </row>
    <row r="127" spans="1:31" x14ac:dyDescent="0.25">
      <c r="A127" s="376"/>
      <c r="B127" s="376"/>
      <c r="C127" s="376"/>
      <c r="D127" s="376"/>
      <c r="E127" s="376"/>
      <c r="F127" s="376"/>
      <c r="G127" s="376"/>
      <c r="H127" s="376"/>
      <c r="I127" s="376"/>
      <c r="J127" s="376"/>
      <c r="K127" s="376"/>
      <c r="L127" s="376"/>
      <c r="M127" s="376"/>
      <c r="N127" s="376"/>
      <c r="O127" s="376"/>
      <c r="P127" s="376"/>
      <c r="Q127" s="376"/>
      <c r="R127" s="376"/>
      <c r="S127" s="376"/>
      <c r="T127" s="376"/>
      <c r="U127" s="376"/>
      <c r="V127" s="376"/>
      <c r="W127" s="376"/>
      <c r="X127" s="376"/>
      <c r="Y127" s="376"/>
      <c r="Z127" s="376"/>
      <c r="AA127" s="376"/>
      <c r="AB127" s="376"/>
      <c r="AC127" s="376"/>
      <c r="AD127" s="376"/>
      <c r="AE127" s="376"/>
    </row>
    <row r="128" spans="1:31" x14ac:dyDescent="0.25">
      <c r="A128" s="376"/>
      <c r="B128" s="376"/>
      <c r="C128" s="376"/>
      <c r="D128" s="376"/>
      <c r="E128" s="376"/>
      <c r="F128" s="376"/>
      <c r="G128" s="376"/>
      <c r="H128" s="376"/>
      <c r="I128" s="376"/>
      <c r="J128" s="376"/>
      <c r="K128" s="376"/>
      <c r="L128" s="376"/>
      <c r="M128" s="376"/>
      <c r="N128" s="376"/>
      <c r="O128" s="376"/>
      <c r="P128" s="376"/>
      <c r="Q128" s="376"/>
      <c r="R128" s="376"/>
      <c r="S128" s="376"/>
      <c r="T128" s="376"/>
      <c r="U128" s="376"/>
      <c r="V128" s="376"/>
      <c r="W128" s="376"/>
      <c r="X128" s="376"/>
      <c r="Y128" s="376"/>
      <c r="Z128" s="376"/>
      <c r="AA128" s="376"/>
      <c r="AB128" s="376"/>
      <c r="AC128" s="376"/>
      <c r="AD128" s="376"/>
      <c r="AE128" s="376"/>
    </row>
    <row r="129" spans="1:31" x14ac:dyDescent="0.25">
      <c r="A129" s="376"/>
      <c r="B129" s="376"/>
      <c r="C129" s="376"/>
      <c r="D129" s="376"/>
      <c r="E129" s="376"/>
      <c r="F129" s="376"/>
      <c r="G129" s="376"/>
      <c r="H129" s="376"/>
      <c r="I129" s="376"/>
      <c r="J129" s="376"/>
      <c r="K129" s="376"/>
      <c r="L129" s="376"/>
      <c r="M129" s="376"/>
      <c r="N129" s="376"/>
      <c r="O129" s="376"/>
      <c r="P129" s="376"/>
      <c r="Q129" s="376"/>
      <c r="R129" s="376"/>
      <c r="S129" s="376"/>
      <c r="T129" s="376"/>
      <c r="U129" s="376"/>
      <c r="V129" s="376"/>
      <c r="W129" s="376"/>
      <c r="X129" s="376"/>
      <c r="Y129" s="376"/>
      <c r="Z129" s="376"/>
      <c r="AA129" s="376"/>
      <c r="AB129" s="376"/>
      <c r="AC129" s="376"/>
      <c r="AD129" s="376"/>
      <c r="AE129" s="376"/>
    </row>
    <row r="130" spans="1:31" x14ac:dyDescent="0.25">
      <c r="A130" s="376"/>
      <c r="B130" s="376"/>
      <c r="C130" s="376"/>
      <c r="D130" s="376"/>
      <c r="E130" s="376"/>
      <c r="F130" s="376"/>
      <c r="G130" s="376"/>
      <c r="H130" s="376"/>
      <c r="I130" s="376"/>
      <c r="J130" s="376"/>
      <c r="K130" s="376"/>
      <c r="L130" s="376"/>
      <c r="M130" s="376"/>
      <c r="N130" s="376"/>
      <c r="O130" s="376"/>
      <c r="P130" s="376"/>
      <c r="Q130" s="376"/>
      <c r="R130" s="376"/>
      <c r="S130" s="376"/>
      <c r="T130" s="376"/>
      <c r="U130" s="376"/>
      <c r="V130" s="376"/>
      <c r="W130" s="376"/>
      <c r="X130" s="376"/>
      <c r="Y130" s="376"/>
      <c r="Z130" s="376"/>
      <c r="AA130" s="376"/>
      <c r="AB130" s="376"/>
      <c r="AC130" s="376"/>
      <c r="AD130" s="376"/>
      <c r="AE130" s="376"/>
    </row>
    <row r="131" spans="1:31" x14ac:dyDescent="0.25">
      <c r="A131" s="376"/>
      <c r="B131" s="376"/>
      <c r="C131" s="376"/>
      <c r="D131" s="376"/>
      <c r="E131" s="376"/>
      <c r="F131" s="376"/>
      <c r="G131" s="376"/>
      <c r="H131" s="376"/>
      <c r="I131" s="376"/>
      <c r="J131" s="376"/>
      <c r="K131" s="376"/>
      <c r="L131" s="376"/>
      <c r="M131" s="376"/>
      <c r="N131" s="376"/>
      <c r="O131" s="376"/>
      <c r="P131" s="376"/>
      <c r="Q131" s="376"/>
      <c r="R131" s="376"/>
      <c r="S131" s="376"/>
      <c r="T131" s="376"/>
      <c r="U131" s="376"/>
      <c r="V131" s="376"/>
      <c r="W131" s="376"/>
      <c r="X131" s="376"/>
      <c r="Y131" s="376"/>
      <c r="Z131" s="376"/>
      <c r="AA131" s="376"/>
      <c r="AB131" s="376"/>
      <c r="AC131" s="376"/>
      <c r="AD131" s="376"/>
      <c r="AE131" s="376"/>
    </row>
    <row r="132" spans="1:31" x14ac:dyDescent="0.25">
      <c r="A132" s="376"/>
      <c r="B132" s="376"/>
      <c r="C132" s="376"/>
      <c r="D132" s="376"/>
      <c r="E132" s="376"/>
      <c r="F132" s="376"/>
      <c r="G132" s="376"/>
      <c r="H132" s="376"/>
      <c r="I132" s="376"/>
      <c r="J132" s="376"/>
      <c r="K132" s="376"/>
      <c r="L132" s="376"/>
      <c r="M132" s="376"/>
      <c r="N132" s="376"/>
      <c r="O132" s="376"/>
      <c r="P132" s="376"/>
      <c r="Q132" s="376"/>
      <c r="R132" s="376"/>
      <c r="S132" s="376"/>
      <c r="T132" s="376"/>
      <c r="U132" s="376"/>
      <c r="V132" s="376"/>
      <c r="W132" s="376"/>
      <c r="X132" s="376"/>
      <c r="Y132" s="376"/>
      <c r="Z132" s="376"/>
      <c r="AA132" s="376"/>
      <c r="AB132" s="376"/>
      <c r="AC132" s="376"/>
      <c r="AD132" s="376"/>
      <c r="AE132" s="376"/>
    </row>
    <row r="133" spans="1:31" x14ac:dyDescent="0.25">
      <c r="A133" s="376"/>
      <c r="B133" s="376"/>
      <c r="C133" s="376"/>
      <c r="D133" s="376"/>
      <c r="E133" s="376"/>
      <c r="F133" s="376"/>
      <c r="G133" s="376"/>
      <c r="H133" s="376"/>
      <c r="I133" s="376"/>
      <c r="J133" s="376"/>
      <c r="K133" s="376"/>
      <c r="L133" s="376"/>
      <c r="M133" s="376"/>
      <c r="N133" s="376"/>
      <c r="O133" s="376"/>
      <c r="P133" s="376"/>
      <c r="Q133" s="376"/>
      <c r="R133" s="376"/>
      <c r="S133" s="376"/>
      <c r="T133" s="376"/>
      <c r="U133" s="376"/>
      <c r="V133" s="376"/>
      <c r="W133" s="376"/>
      <c r="X133" s="376"/>
      <c r="Y133" s="376"/>
      <c r="Z133" s="376"/>
      <c r="AA133" s="376"/>
      <c r="AB133" s="376"/>
      <c r="AC133" s="376"/>
      <c r="AD133" s="376"/>
      <c r="AE133" s="376"/>
    </row>
    <row r="134" spans="1:31" x14ac:dyDescent="0.25">
      <c r="A134" s="376"/>
      <c r="B134" s="376"/>
      <c r="C134" s="376"/>
      <c r="D134" s="376"/>
      <c r="E134" s="376"/>
      <c r="F134" s="376"/>
      <c r="G134" s="376"/>
      <c r="H134" s="376"/>
      <c r="I134" s="376"/>
      <c r="J134" s="376"/>
      <c r="K134" s="376"/>
      <c r="L134" s="376"/>
      <c r="M134" s="376"/>
      <c r="N134" s="376"/>
      <c r="O134" s="376"/>
      <c r="P134" s="376"/>
      <c r="Q134" s="376"/>
      <c r="R134" s="376"/>
      <c r="S134" s="376"/>
      <c r="T134" s="376"/>
      <c r="U134" s="376"/>
      <c r="V134" s="376"/>
      <c r="W134" s="376"/>
      <c r="X134" s="376"/>
      <c r="Y134" s="376"/>
      <c r="Z134" s="376"/>
      <c r="AA134" s="376"/>
      <c r="AB134" s="376"/>
      <c r="AC134" s="376"/>
      <c r="AD134" s="376"/>
      <c r="AE134" s="376"/>
    </row>
    <row r="135" spans="1:31" x14ac:dyDescent="0.25">
      <c r="A135" s="376"/>
      <c r="B135" s="376"/>
      <c r="C135" s="376"/>
      <c r="D135" s="376"/>
      <c r="E135" s="376"/>
      <c r="F135" s="376"/>
      <c r="G135" s="376"/>
      <c r="H135" s="376"/>
      <c r="I135" s="376"/>
      <c r="J135" s="376"/>
      <c r="K135" s="376"/>
      <c r="L135" s="376"/>
      <c r="M135" s="376"/>
    </row>
    <row r="136" spans="1:31" x14ac:dyDescent="0.25">
      <c r="A136" s="376"/>
      <c r="B136" s="376"/>
      <c r="C136" s="376"/>
      <c r="D136" s="376"/>
      <c r="E136" s="376"/>
      <c r="F136" s="376"/>
      <c r="G136" s="376"/>
      <c r="H136" s="376"/>
      <c r="I136" s="376"/>
      <c r="J136" s="376"/>
      <c r="K136" s="376"/>
      <c r="L136" s="376"/>
      <c r="M136" s="376"/>
    </row>
    <row r="137" spans="1:31" x14ac:dyDescent="0.25">
      <c r="A137" s="376"/>
      <c r="B137" s="376"/>
      <c r="C137" s="376"/>
      <c r="D137" s="376"/>
      <c r="E137" s="376"/>
      <c r="F137" s="376"/>
      <c r="G137" s="376"/>
      <c r="H137" s="376"/>
      <c r="I137" s="376"/>
      <c r="J137" s="376"/>
      <c r="K137" s="376"/>
      <c r="L137" s="376"/>
      <c r="M137" s="376"/>
    </row>
    <row r="138" spans="1:31" x14ac:dyDescent="0.25">
      <c r="A138" s="376"/>
      <c r="B138" s="376"/>
      <c r="C138" s="376"/>
      <c r="D138" s="376"/>
      <c r="E138" s="376"/>
      <c r="F138" s="376"/>
      <c r="G138" s="376"/>
      <c r="H138" s="376"/>
      <c r="I138" s="376"/>
      <c r="J138" s="376"/>
      <c r="K138" s="376"/>
      <c r="L138" s="376"/>
      <c r="M138" s="376"/>
    </row>
    <row r="139" spans="1:31" x14ac:dyDescent="0.25">
      <c r="A139" s="376"/>
      <c r="B139" s="376"/>
      <c r="C139" s="376"/>
      <c r="D139" s="376"/>
      <c r="E139" s="376"/>
      <c r="F139" s="376"/>
      <c r="G139" s="376"/>
      <c r="H139" s="376"/>
      <c r="I139" s="376"/>
      <c r="J139" s="376"/>
      <c r="K139" s="376"/>
      <c r="L139" s="376"/>
      <c r="M139" s="376"/>
    </row>
    <row r="140" spans="1:31" x14ac:dyDescent="0.25">
      <c r="A140" s="376"/>
      <c r="B140" s="376"/>
      <c r="C140" s="376"/>
      <c r="D140" s="376"/>
      <c r="E140" s="376"/>
      <c r="F140" s="376"/>
      <c r="G140" s="376"/>
      <c r="H140" s="376"/>
      <c r="I140" s="376"/>
      <c r="J140" s="376"/>
      <c r="K140" s="376"/>
      <c r="L140" s="376"/>
      <c r="M140" s="376"/>
    </row>
  </sheetData>
  <sheetProtection algorithmName="SHA-512" hashValue="R/EBpRQtmBP2mrH52JECL6Z3fy5p/GvOoR/1bHgR1+crVUmjEAtp/ThK8Aqz6OZ/JSIEJTvvcHg9BTjWqez57w==" saltValue="bbMRYFrr2n+KZL9xua3meg==" spinCount="100000" sheet="1" objects="1" scenarios="1" formatCells="0" formatColumns="0" formatRows="0" selectLockedCells="1"/>
  <mergeCells count="59">
    <mergeCell ref="B44:C44"/>
    <mergeCell ref="B36:C36"/>
    <mergeCell ref="B37:C37"/>
    <mergeCell ref="B38:C38"/>
    <mergeCell ref="B39:C39"/>
    <mergeCell ref="B40:C40"/>
    <mergeCell ref="W7:W9"/>
    <mergeCell ref="M1:V2"/>
    <mergeCell ref="B41:C41"/>
    <mergeCell ref="B42:C42"/>
    <mergeCell ref="B43:H43"/>
    <mergeCell ref="E20:F20"/>
    <mergeCell ref="B1:J2"/>
    <mergeCell ref="B33:C33"/>
    <mergeCell ref="L13:L15"/>
    <mergeCell ref="L16:L18"/>
    <mergeCell ref="L19:L21"/>
    <mergeCell ref="L10:L12"/>
    <mergeCell ref="W13:W15"/>
    <mergeCell ref="W16:W18"/>
    <mergeCell ref="W19:W21"/>
    <mergeCell ref="W22:W24"/>
    <mergeCell ref="AA68:AD68"/>
    <mergeCell ref="N3:U3"/>
    <mergeCell ref="N4:O4"/>
    <mergeCell ref="P4:Q4"/>
    <mergeCell ref="T4:U4"/>
    <mergeCell ref="R4:S4"/>
    <mergeCell ref="V3:V6"/>
    <mergeCell ref="AA40:AE40"/>
    <mergeCell ref="Z41:Z42"/>
    <mergeCell ref="AA55:AD55"/>
    <mergeCell ref="Z57:AE57"/>
    <mergeCell ref="Z58:Z59"/>
    <mergeCell ref="AA58:AE58"/>
    <mergeCell ref="X3:X6"/>
    <mergeCell ref="W3:W6"/>
    <mergeCell ref="W10:W12"/>
    <mergeCell ref="B50:C50"/>
    <mergeCell ref="B51:C51"/>
    <mergeCell ref="B52:C52"/>
    <mergeCell ref="B53:C53"/>
    <mergeCell ref="E52:G52"/>
    <mergeCell ref="B49:C49"/>
    <mergeCell ref="B4:C4"/>
    <mergeCell ref="J29:M29"/>
    <mergeCell ref="B20:C20"/>
    <mergeCell ref="B34:C34"/>
    <mergeCell ref="B45:C45"/>
    <mergeCell ref="B46:C46"/>
    <mergeCell ref="B47:C47"/>
    <mergeCell ref="B48:C48"/>
    <mergeCell ref="B16:E17"/>
    <mergeCell ref="B19:D19"/>
    <mergeCell ref="L25:L26"/>
    <mergeCell ref="L22:L24"/>
    <mergeCell ref="L4:M5"/>
    <mergeCell ref="L6:M6"/>
    <mergeCell ref="L7:L9"/>
  </mergeCell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[1]Feuil1!#REF!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377"/>
  <sheetViews>
    <sheetView workbookViewId="0">
      <selection activeCell="C21" sqref="C21"/>
    </sheetView>
  </sheetViews>
  <sheetFormatPr baseColWidth="10" defaultColWidth="9.140625" defaultRowHeight="15.75" x14ac:dyDescent="0.25"/>
  <cols>
    <col min="2" max="2" width="13" style="898" bestFit="1" customWidth="1"/>
    <col min="3" max="3" width="38.42578125" style="899" bestFit="1" customWidth="1"/>
    <col min="4" max="4" width="6.42578125" style="899" bestFit="1" customWidth="1"/>
    <col min="5" max="5" width="11.42578125" style="900" bestFit="1" customWidth="1"/>
    <col min="6" max="6" width="13.5703125" style="901" customWidth="1"/>
    <col min="7" max="11" width="10" customWidth="1"/>
    <col min="12" max="12" width="10" style="849" customWidth="1"/>
    <col min="13" max="21" width="10" customWidth="1"/>
    <col min="22" max="22" width="2.5703125" customWidth="1"/>
    <col min="23" max="23" width="8.28515625" customWidth="1"/>
  </cols>
  <sheetData>
    <row r="1" spans="1:15" x14ac:dyDescent="0.25">
      <c r="A1" s="847"/>
      <c r="B1" s="1170" t="s">
        <v>2988</v>
      </c>
      <c r="C1" s="1170"/>
      <c r="D1" s="1170"/>
      <c r="E1" s="1170"/>
      <c r="F1" s="848"/>
      <c r="G1" s="847"/>
    </row>
    <row r="2" spans="1:15" ht="10.5" customHeight="1" x14ac:dyDescent="0.25">
      <c r="A2" s="847"/>
      <c r="B2" s="1170" t="s">
        <v>2989</v>
      </c>
      <c r="C2" s="1170"/>
      <c r="D2" s="1170"/>
      <c r="E2" s="1170"/>
      <c r="F2" s="848"/>
      <c r="G2" s="847"/>
    </row>
    <row r="3" spans="1:15" x14ac:dyDescent="0.25">
      <c r="A3" s="847"/>
      <c r="B3" s="850"/>
      <c r="C3" s="851" t="s">
        <v>2990</v>
      </c>
      <c r="D3" s="850"/>
      <c r="E3" s="848"/>
      <c r="F3" s="848"/>
      <c r="G3" s="847"/>
    </row>
    <row r="4" spans="1:15" x14ac:dyDescent="0.25">
      <c r="A4" s="847"/>
      <c r="B4" s="850"/>
      <c r="C4" s="850"/>
      <c r="D4" s="850"/>
      <c r="E4" s="848"/>
      <c r="F4" s="848"/>
      <c r="G4" s="847"/>
    </row>
    <row r="5" spans="1:15" ht="15" customHeight="1" x14ac:dyDescent="0.25">
      <c r="A5" s="847"/>
      <c r="B5" s="850"/>
      <c r="C5" s="850"/>
      <c r="D5" s="850"/>
      <c r="E5" s="848"/>
      <c r="F5" s="848"/>
      <c r="G5" s="847"/>
    </row>
    <row r="6" spans="1:15" ht="15" customHeight="1" x14ac:dyDescent="0.25">
      <c r="A6" s="847"/>
      <c r="B6" s="1170" t="s">
        <v>2991</v>
      </c>
      <c r="C6" s="1170"/>
      <c r="D6" s="1170"/>
      <c r="E6" s="1170"/>
      <c r="F6" s="1170"/>
      <c r="G6" s="847"/>
    </row>
    <row r="7" spans="1:15" ht="15" customHeight="1" x14ac:dyDescent="0.25">
      <c r="A7" s="847"/>
      <c r="B7" s="1170" t="s">
        <v>2990</v>
      </c>
      <c r="C7" s="1170"/>
      <c r="D7" s="1170"/>
      <c r="E7" s="1170"/>
      <c r="F7" s="848"/>
      <c r="G7" s="847"/>
    </row>
    <row r="8" spans="1:15" x14ac:dyDescent="0.25">
      <c r="A8" s="847"/>
      <c r="B8" s="1170" t="s">
        <v>2992</v>
      </c>
      <c r="C8" s="1170"/>
      <c r="D8" s="1170"/>
      <c r="E8" s="1170"/>
      <c r="F8" s="848"/>
      <c r="G8" s="847"/>
    </row>
    <row r="9" spans="1:15" x14ac:dyDescent="0.25">
      <c r="A9" s="847"/>
      <c r="B9" s="1169" t="s">
        <v>2990</v>
      </c>
      <c r="C9" s="1169"/>
      <c r="D9" s="1169"/>
      <c r="E9" s="1169"/>
      <c r="F9" s="848"/>
      <c r="G9" s="847"/>
    </row>
    <row r="10" spans="1:15" x14ac:dyDescent="0.25">
      <c r="A10" s="847"/>
      <c r="B10" s="850"/>
      <c r="C10" s="850"/>
      <c r="D10" s="850"/>
      <c r="E10" s="848"/>
      <c r="F10" s="848"/>
      <c r="G10" s="847"/>
    </row>
    <row r="11" spans="1:15" x14ac:dyDescent="0.25">
      <c r="A11" s="847"/>
      <c r="B11" s="850"/>
      <c r="C11" s="850"/>
      <c r="D11" s="850"/>
      <c r="E11" s="848"/>
      <c r="F11" s="848"/>
      <c r="G11" s="847"/>
    </row>
    <row r="12" spans="1:15" ht="16.5" customHeight="1" thickBot="1" x14ac:dyDescent="0.3">
      <c r="A12" s="847"/>
      <c r="B12" s="852"/>
      <c r="C12" s="850"/>
      <c r="D12" s="850"/>
      <c r="E12" s="848"/>
      <c r="F12" s="848"/>
      <c r="G12" s="847"/>
    </row>
    <row r="13" spans="1:15" ht="15" x14ac:dyDescent="0.25">
      <c r="B13" s="1161" t="s">
        <v>519</v>
      </c>
      <c r="C13" s="1163" t="s">
        <v>24</v>
      </c>
      <c r="D13" s="1165" t="s">
        <v>25</v>
      </c>
      <c r="E13" s="1165" t="s">
        <v>708</v>
      </c>
      <c r="F13" s="1167" t="s">
        <v>2993</v>
      </c>
      <c r="G13" s="853"/>
      <c r="H13" s="853"/>
      <c r="I13" s="853"/>
      <c r="J13" s="853"/>
      <c r="K13" s="853"/>
      <c r="M13" s="853"/>
      <c r="N13" s="853"/>
      <c r="O13" s="853"/>
    </row>
    <row r="14" spans="1:15" thickBot="1" x14ac:dyDescent="0.3">
      <c r="B14" s="1162"/>
      <c r="C14" s="1164"/>
      <c r="D14" s="1166"/>
      <c r="E14" s="1166"/>
      <c r="F14" s="1168"/>
      <c r="G14" s="853"/>
      <c r="H14" s="853"/>
      <c r="I14" s="853"/>
      <c r="J14" s="853"/>
      <c r="K14" s="853"/>
      <c r="M14" s="853"/>
      <c r="N14" s="853"/>
      <c r="O14" s="853"/>
    </row>
    <row r="15" spans="1:15" x14ac:dyDescent="0.25">
      <c r="B15" s="854"/>
      <c r="C15" s="855" t="s">
        <v>2994</v>
      </c>
      <c r="D15" s="856"/>
      <c r="E15" s="857"/>
      <c r="F15" s="858"/>
      <c r="G15" s="853"/>
      <c r="H15" s="853"/>
      <c r="I15" s="853"/>
      <c r="J15" s="853"/>
      <c r="K15" s="853"/>
      <c r="M15" s="853"/>
      <c r="N15" s="853"/>
      <c r="O15" s="853"/>
    </row>
    <row r="16" spans="1:15" x14ac:dyDescent="0.25">
      <c r="B16" s="859" t="s">
        <v>712</v>
      </c>
      <c r="C16" s="860" t="s">
        <v>1364</v>
      </c>
      <c r="D16" s="861"/>
      <c r="E16" s="862"/>
      <c r="F16" s="863"/>
      <c r="G16" s="853"/>
      <c r="H16" s="853"/>
      <c r="I16" s="853"/>
      <c r="J16" s="853"/>
      <c r="K16" s="853"/>
      <c r="M16" s="853"/>
      <c r="N16" s="853"/>
      <c r="O16" s="853"/>
    </row>
    <row r="17" spans="2:15" x14ac:dyDescent="0.25">
      <c r="B17" s="859" t="s">
        <v>714</v>
      </c>
      <c r="C17" s="864" t="s">
        <v>2995</v>
      </c>
      <c r="D17" s="861" t="s">
        <v>716</v>
      </c>
      <c r="E17" s="865">
        <v>229594</v>
      </c>
      <c r="F17" s="866"/>
      <c r="G17" s="853"/>
      <c r="H17" s="853"/>
      <c r="I17" s="853"/>
      <c r="J17" s="853"/>
      <c r="K17" s="853"/>
      <c r="M17" s="853"/>
      <c r="N17" s="853"/>
      <c r="O17" s="853"/>
    </row>
    <row r="18" spans="2:15" ht="18.75" x14ac:dyDescent="0.25">
      <c r="B18" s="859" t="s">
        <v>717</v>
      </c>
      <c r="C18" s="864" t="s">
        <v>2996</v>
      </c>
      <c r="D18" s="861" t="s">
        <v>2997</v>
      </c>
      <c r="E18" s="865">
        <v>1111</v>
      </c>
      <c r="F18" s="866"/>
      <c r="G18" s="853"/>
      <c r="H18" s="853"/>
      <c r="I18" s="853"/>
      <c r="J18" s="853"/>
      <c r="K18" s="853"/>
      <c r="M18" s="853"/>
      <c r="N18" s="853"/>
      <c r="O18" s="853"/>
    </row>
    <row r="19" spans="2:15" ht="18.75" x14ac:dyDescent="0.25">
      <c r="B19" s="859" t="s">
        <v>720</v>
      </c>
      <c r="C19" s="864" t="s">
        <v>2998</v>
      </c>
      <c r="D19" s="861" t="s">
        <v>2997</v>
      </c>
      <c r="E19" s="862">
        <v>667</v>
      </c>
      <c r="F19" s="863"/>
      <c r="G19" s="853"/>
      <c r="H19" s="853"/>
      <c r="I19" s="853"/>
      <c r="J19" s="853"/>
      <c r="K19" s="853"/>
      <c r="M19" s="853"/>
      <c r="N19" s="853"/>
      <c r="O19" s="853"/>
    </row>
    <row r="20" spans="2:15" ht="31.5" x14ac:dyDescent="0.25">
      <c r="B20" s="859" t="s">
        <v>2999</v>
      </c>
      <c r="C20" s="860" t="s">
        <v>3000</v>
      </c>
      <c r="D20" s="861"/>
      <c r="E20" s="862"/>
      <c r="F20" s="863"/>
      <c r="G20" s="853"/>
      <c r="H20" s="853"/>
      <c r="I20" s="853"/>
      <c r="J20" s="853"/>
      <c r="K20" s="853"/>
      <c r="M20" s="853"/>
      <c r="N20" s="853"/>
      <c r="O20" s="853"/>
    </row>
    <row r="21" spans="2:15" ht="18.75" x14ac:dyDescent="0.25">
      <c r="B21" s="859" t="s">
        <v>3001</v>
      </c>
      <c r="C21" s="864" t="s">
        <v>3002</v>
      </c>
      <c r="D21" s="861" t="s">
        <v>3003</v>
      </c>
      <c r="E21" s="865">
        <v>26924</v>
      </c>
      <c r="F21" s="866"/>
      <c r="G21" s="853"/>
      <c r="H21" s="853"/>
      <c r="I21" s="853"/>
      <c r="J21" s="853"/>
      <c r="K21" s="853"/>
      <c r="M21" s="853"/>
      <c r="N21" s="853"/>
      <c r="O21" s="853"/>
    </row>
    <row r="22" spans="2:15" ht="18.75" x14ac:dyDescent="0.25">
      <c r="B22" s="859" t="s">
        <v>3004</v>
      </c>
      <c r="C22" s="864" t="s">
        <v>3005</v>
      </c>
      <c r="D22" s="861" t="s">
        <v>2997</v>
      </c>
      <c r="E22" s="865">
        <v>4079</v>
      </c>
      <c r="F22" s="866"/>
      <c r="G22" s="853"/>
      <c r="H22" s="853"/>
      <c r="I22" s="853"/>
      <c r="J22" s="853"/>
      <c r="K22" s="853"/>
      <c r="M22" s="853"/>
      <c r="N22" s="853"/>
      <c r="O22" s="853"/>
    </row>
    <row r="23" spans="2:15" ht="18.75" x14ac:dyDescent="0.25">
      <c r="B23" s="859" t="s">
        <v>3006</v>
      </c>
      <c r="C23" s="864" t="s">
        <v>3007</v>
      </c>
      <c r="D23" s="861" t="s">
        <v>2997</v>
      </c>
      <c r="E23" s="865">
        <v>3753</v>
      </c>
      <c r="F23" s="866"/>
      <c r="G23" s="853"/>
      <c r="H23" s="853"/>
      <c r="I23" s="853"/>
      <c r="J23" s="853"/>
      <c r="K23" s="853"/>
      <c r="M23" s="853"/>
      <c r="N23" s="853"/>
      <c r="O23" s="853"/>
    </row>
    <row r="24" spans="2:15" ht="18.75" x14ac:dyDescent="0.25">
      <c r="B24" s="859" t="s">
        <v>3008</v>
      </c>
      <c r="C24" s="864" t="s">
        <v>3009</v>
      </c>
      <c r="D24" s="861" t="s">
        <v>2997</v>
      </c>
      <c r="E24" s="865">
        <v>3427</v>
      </c>
      <c r="F24" s="866"/>
      <c r="G24" s="853"/>
      <c r="H24" s="853"/>
      <c r="I24" s="853"/>
      <c r="J24" s="853"/>
      <c r="K24" s="853"/>
      <c r="M24" s="853"/>
      <c r="N24" s="853"/>
      <c r="O24" s="853"/>
    </row>
    <row r="25" spans="2:15" ht="18.75" x14ac:dyDescent="0.25">
      <c r="B25" s="859" t="s">
        <v>3010</v>
      </c>
      <c r="C25" s="864" t="s">
        <v>3011</v>
      </c>
      <c r="D25" s="861" t="s">
        <v>2997</v>
      </c>
      <c r="E25" s="865">
        <v>5711</v>
      </c>
      <c r="F25" s="866"/>
      <c r="G25" s="853"/>
      <c r="H25" s="853"/>
      <c r="I25" s="853"/>
      <c r="J25" s="853"/>
      <c r="K25" s="853"/>
      <c r="M25" s="853"/>
      <c r="N25" s="853"/>
      <c r="O25" s="853"/>
    </row>
    <row r="26" spans="2:15" ht="18.75" x14ac:dyDescent="0.25">
      <c r="B26" s="859" t="s">
        <v>3012</v>
      </c>
      <c r="C26" s="864" t="s">
        <v>3007</v>
      </c>
      <c r="D26" s="861" t="s">
        <v>2997</v>
      </c>
      <c r="E26" s="865">
        <v>4895</v>
      </c>
      <c r="F26" s="866"/>
      <c r="G26" s="853"/>
      <c r="H26" s="853"/>
      <c r="I26" s="853"/>
      <c r="J26" s="853"/>
      <c r="K26" s="853"/>
      <c r="M26" s="853"/>
      <c r="N26" s="853"/>
      <c r="O26" s="853"/>
    </row>
    <row r="27" spans="2:15" ht="47.25" x14ac:dyDescent="0.25">
      <c r="B27" s="859" t="s">
        <v>3013</v>
      </c>
      <c r="C27" s="864" t="s">
        <v>3014</v>
      </c>
      <c r="D27" s="861" t="s">
        <v>3003</v>
      </c>
      <c r="E27" s="865">
        <v>35899</v>
      </c>
      <c r="F27" s="866"/>
      <c r="G27" s="853"/>
      <c r="H27" s="853"/>
      <c r="I27" s="853"/>
      <c r="J27" s="853"/>
      <c r="K27" s="853"/>
      <c r="M27" s="853"/>
      <c r="N27" s="853"/>
      <c r="O27" s="853"/>
    </row>
    <row r="28" spans="2:15" ht="18.75" x14ac:dyDescent="0.25">
      <c r="B28" s="859" t="s">
        <v>3015</v>
      </c>
      <c r="C28" s="864" t="s">
        <v>3016</v>
      </c>
      <c r="D28" s="861" t="s">
        <v>3003</v>
      </c>
      <c r="E28" s="865">
        <v>40794</v>
      </c>
      <c r="F28" s="866"/>
      <c r="G28" s="853"/>
      <c r="H28" s="853"/>
      <c r="I28" s="853"/>
      <c r="J28" s="853"/>
      <c r="K28" s="853"/>
      <c r="M28" s="853"/>
      <c r="N28" s="853"/>
      <c r="O28" s="853"/>
    </row>
    <row r="29" spans="2:15" ht="18.75" x14ac:dyDescent="0.25">
      <c r="B29" s="859" t="s">
        <v>3017</v>
      </c>
      <c r="C29" s="864" t="s">
        <v>3018</v>
      </c>
      <c r="D29" s="861" t="s">
        <v>2997</v>
      </c>
      <c r="E29" s="865">
        <v>13870</v>
      </c>
      <c r="F29" s="866"/>
      <c r="G29" s="853"/>
      <c r="H29" s="853"/>
      <c r="I29" s="853"/>
      <c r="J29" s="853"/>
      <c r="K29" s="853"/>
      <c r="M29" s="853"/>
      <c r="N29" s="853"/>
      <c r="O29" s="853"/>
    </row>
    <row r="30" spans="2:15" ht="18.75" x14ac:dyDescent="0.25">
      <c r="B30" s="859" t="s">
        <v>3019</v>
      </c>
      <c r="C30" s="864" t="s">
        <v>3020</v>
      </c>
      <c r="D30" s="861" t="s">
        <v>2997</v>
      </c>
      <c r="E30" s="865">
        <v>1632</v>
      </c>
      <c r="F30" s="866"/>
      <c r="G30" s="853"/>
      <c r="H30" s="853"/>
      <c r="I30" s="853"/>
      <c r="J30" s="853"/>
      <c r="K30" s="853"/>
      <c r="M30" s="853"/>
      <c r="N30" s="853"/>
      <c r="O30" s="853"/>
    </row>
    <row r="31" spans="2:15" x14ac:dyDescent="0.25">
      <c r="B31" s="859" t="s">
        <v>3021</v>
      </c>
      <c r="C31" s="860" t="s">
        <v>3022</v>
      </c>
      <c r="D31" s="861"/>
      <c r="E31" s="862"/>
      <c r="F31" s="863"/>
      <c r="G31" s="853"/>
      <c r="H31" s="853"/>
      <c r="I31" s="853"/>
      <c r="J31" s="853"/>
      <c r="K31" s="853"/>
      <c r="M31" s="853"/>
      <c r="N31" s="853"/>
      <c r="O31" s="853"/>
    </row>
    <row r="32" spans="2:15" ht="18.75" x14ac:dyDescent="0.25">
      <c r="B32" s="859" t="s">
        <v>3023</v>
      </c>
      <c r="C32" s="864" t="s">
        <v>3024</v>
      </c>
      <c r="D32" s="861" t="s">
        <v>2997</v>
      </c>
      <c r="E32" s="865">
        <v>1305</v>
      </c>
      <c r="F32" s="866"/>
      <c r="G32" s="853"/>
      <c r="H32" s="853"/>
      <c r="I32" s="853"/>
      <c r="J32" s="853"/>
      <c r="K32" s="853"/>
      <c r="M32" s="853"/>
      <c r="N32" s="853"/>
      <c r="O32" s="853"/>
    </row>
    <row r="33" spans="2:24" x14ac:dyDescent="0.25">
      <c r="B33" s="859" t="s">
        <v>3025</v>
      </c>
      <c r="C33" s="864" t="s">
        <v>3026</v>
      </c>
      <c r="D33" s="861" t="s">
        <v>727</v>
      </c>
      <c r="E33" s="865">
        <v>4079</v>
      </c>
      <c r="F33" s="866"/>
      <c r="G33" s="853"/>
      <c r="H33" s="853"/>
      <c r="I33" s="853"/>
      <c r="J33" s="853"/>
      <c r="K33" s="853"/>
      <c r="M33" s="853"/>
      <c r="N33" s="853"/>
      <c r="O33" s="853"/>
    </row>
    <row r="34" spans="2:24" ht="18.75" x14ac:dyDescent="0.25">
      <c r="B34" s="859" t="s">
        <v>3027</v>
      </c>
      <c r="C34" s="864" t="s">
        <v>3028</v>
      </c>
      <c r="D34" s="861" t="s">
        <v>2997</v>
      </c>
      <c r="E34" s="862">
        <v>571</v>
      </c>
      <c r="F34" s="863"/>
      <c r="G34" s="853"/>
      <c r="H34" s="853"/>
      <c r="I34" s="853"/>
      <c r="J34" s="853"/>
      <c r="K34" s="853"/>
      <c r="M34" s="853"/>
      <c r="N34" s="853"/>
      <c r="O34" s="853"/>
    </row>
    <row r="35" spans="2:24" x14ac:dyDescent="0.25">
      <c r="B35" s="859" t="s">
        <v>3029</v>
      </c>
      <c r="C35" s="864" t="s">
        <v>3030</v>
      </c>
      <c r="D35" s="861" t="s">
        <v>950</v>
      </c>
      <c r="E35" s="865">
        <v>2937</v>
      </c>
      <c r="F35" s="866"/>
      <c r="G35" s="853"/>
      <c r="H35" s="853"/>
      <c r="I35" s="853"/>
      <c r="J35" s="853"/>
      <c r="K35" s="853"/>
      <c r="M35" s="853"/>
      <c r="N35" s="853"/>
      <c r="O35" s="853"/>
    </row>
    <row r="36" spans="2:24" x14ac:dyDescent="0.25">
      <c r="B36" s="859" t="s">
        <v>3031</v>
      </c>
      <c r="C36" s="864" t="s">
        <v>3032</v>
      </c>
      <c r="D36" s="861" t="s">
        <v>950</v>
      </c>
      <c r="E36" s="865">
        <v>1224</v>
      </c>
      <c r="F36" s="866"/>
      <c r="G36" s="853"/>
      <c r="H36" s="853"/>
      <c r="I36" s="853"/>
      <c r="J36" s="853"/>
      <c r="K36" s="853"/>
      <c r="M36" s="853"/>
      <c r="N36" s="853"/>
      <c r="O36" s="853"/>
    </row>
    <row r="37" spans="2:24" x14ac:dyDescent="0.25">
      <c r="B37" s="859" t="s">
        <v>3033</v>
      </c>
      <c r="C37" s="864" t="s">
        <v>3034</v>
      </c>
      <c r="D37" s="861" t="s">
        <v>727</v>
      </c>
      <c r="E37" s="865">
        <v>1632</v>
      </c>
      <c r="F37" s="866"/>
      <c r="G37" s="853"/>
      <c r="H37" s="853"/>
      <c r="I37" s="853"/>
      <c r="J37" s="853"/>
      <c r="K37" s="853"/>
    </row>
    <row r="38" spans="2:24" x14ac:dyDescent="0.25">
      <c r="B38" s="859" t="s">
        <v>3035</v>
      </c>
      <c r="C38" s="864" t="s">
        <v>3036</v>
      </c>
      <c r="D38" s="861" t="s">
        <v>950</v>
      </c>
      <c r="E38" s="862">
        <v>326</v>
      </c>
      <c r="F38" s="863"/>
      <c r="G38" s="853"/>
      <c r="H38" s="853"/>
      <c r="I38" s="853"/>
      <c r="J38" s="853"/>
      <c r="K38" s="853"/>
    </row>
    <row r="39" spans="2:24" x14ac:dyDescent="0.25">
      <c r="B39" s="859" t="s">
        <v>3037</v>
      </c>
      <c r="C39" s="864" t="s">
        <v>3038</v>
      </c>
      <c r="D39" s="861" t="s">
        <v>727</v>
      </c>
      <c r="E39" s="862">
        <v>408</v>
      </c>
      <c r="F39" s="863"/>
      <c r="G39" s="853"/>
      <c r="H39" s="853"/>
      <c r="I39" s="853"/>
      <c r="J39" s="853"/>
      <c r="K39" s="853"/>
    </row>
    <row r="40" spans="2:24" x14ac:dyDescent="0.25">
      <c r="B40" s="859" t="s">
        <v>3039</v>
      </c>
      <c r="C40" s="864" t="s">
        <v>3040</v>
      </c>
      <c r="D40" s="861" t="s">
        <v>727</v>
      </c>
      <c r="E40" s="865">
        <v>1142</v>
      </c>
      <c r="F40" s="866"/>
      <c r="G40" s="853"/>
      <c r="H40" s="853"/>
      <c r="I40" s="853"/>
      <c r="J40" s="853"/>
      <c r="K40" s="853"/>
    </row>
    <row r="41" spans="2:24" x14ac:dyDescent="0.25">
      <c r="B41" s="859" t="s">
        <v>3041</v>
      </c>
      <c r="C41" s="864" t="s">
        <v>3042</v>
      </c>
      <c r="D41" s="861" t="s">
        <v>727</v>
      </c>
      <c r="E41" s="865">
        <v>4895</v>
      </c>
      <c r="F41" s="866"/>
      <c r="G41" s="853"/>
      <c r="H41" s="853"/>
      <c r="I41" s="853"/>
      <c r="J41" s="853"/>
      <c r="K41" s="853"/>
    </row>
    <row r="42" spans="2:24" ht="31.5" x14ac:dyDescent="0.25">
      <c r="B42" s="859" t="s">
        <v>3043</v>
      </c>
      <c r="C42" s="864" t="s">
        <v>3044</v>
      </c>
      <c r="D42" s="861" t="s">
        <v>2997</v>
      </c>
      <c r="E42" s="865">
        <v>3427</v>
      </c>
      <c r="F42" s="866"/>
      <c r="G42" s="853"/>
      <c r="H42" s="853"/>
      <c r="I42" s="853"/>
      <c r="J42" s="853"/>
      <c r="K42" s="853"/>
    </row>
    <row r="43" spans="2:24" ht="18.75" x14ac:dyDescent="0.25">
      <c r="B43" s="859" t="s">
        <v>3045</v>
      </c>
      <c r="C43" s="864" t="s">
        <v>3046</v>
      </c>
      <c r="D43" s="861" t="s">
        <v>2997</v>
      </c>
      <c r="E43" s="865">
        <v>2937</v>
      </c>
      <c r="F43" s="866"/>
      <c r="G43" s="853"/>
      <c r="H43" s="853"/>
      <c r="I43" s="853"/>
      <c r="J43" s="853"/>
      <c r="K43" s="853"/>
    </row>
    <row r="44" spans="2:24" ht="18.75" x14ac:dyDescent="0.25">
      <c r="B44" s="859" t="s">
        <v>3047</v>
      </c>
      <c r="C44" s="864" t="s">
        <v>3048</v>
      </c>
      <c r="D44" s="861" t="s">
        <v>2997</v>
      </c>
      <c r="E44" s="865">
        <v>4079</v>
      </c>
      <c r="F44" s="866"/>
      <c r="G44" s="853"/>
      <c r="H44" s="853"/>
      <c r="I44" s="853"/>
      <c r="J44" s="853"/>
      <c r="K44" s="853"/>
    </row>
    <row r="45" spans="2:24" ht="18.75" x14ac:dyDescent="0.25">
      <c r="B45" s="859" t="s">
        <v>3049</v>
      </c>
      <c r="C45" s="864" t="s">
        <v>3050</v>
      </c>
      <c r="D45" s="861" t="s">
        <v>2997</v>
      </c>
      <c r="E45" s="862">
        <v>816</v>
      </c>
      <c r="F45" s="863"/>
      <c r="G45" s="853"/>
      <c r="H45" s="853"/>
      <c r="I45" s="853"/>
      <c r="J45" s="853"/>
      <c r="K45" s="853"/>
    </row>
    <row r="46" spans="2:24" x14ac:dyDescent="0.25">
      <c r="B46" s="859"/>
      <c r="C46" s="864"/>
      <c r="D46" s="861"/>
      <c r="E46" s="862"/>
      <c r="F46" s="863"/>
      <c r="G46" s="853"/>
      <c r="H46" s="853"/>
      <c r="I46" s="853"/>
      <c r="J46" s="867"/>
      <c r="K46" s="867"/>
      <c r="L46" s="868"/>
      <c r="M46" s="847"/>
      <c r="P46" s="903"/>
      <c r="Q46" s="903"/>
      <c r="R46" s="903"/>
      <c r="S46" s="903"/>
      <c r="T46" s="903"/>
      <c r="U46" s="903"/>
      <c r="V46" s="903"/>
      <c r="W46" s="903"/>
      <c r="X46" s="903"/>
    </row>
    <row r="47" spans="2:24" x14ac:dyDescent="0.25">
      <c r="B47" s="859"/>
      <c r="C47" s="864"/>
      <c r="D47" s="861"/>
      <c r="E47" s="862"/>
      <c r="F47" s="863"/>
      <c r="G47" s="853"/>
      <c r="H47" s="853"/>
      <c r="I47" s="853"/>
      <c r="J47" s="867"/>
      <c r="K47" s="869"/>
      <c r="L47" s="868"/>
      <c r="M47" s="847"/>
      <c r="P47" s="903"/>
      <c r="Q47" s="903"/>
      <c r="R47" s="903"/>
      <c r="S47" s="903"/>
      <c r="T47" s="903"/>
      <c r="U47" s="904"/>
      <c r="V47" s="903"/>
      <c r="W47" s="903"/>
      <c r="X47" s="903"/>
    </row>
    <row r="48" spans="2:24" ht="18" x14ac:dyDescent="0.25">
      <c r="B48" s="859"/>
      <c r="C48" s="871" t="s">
        <v>722</v>
      </c>
      <c r="D48" s="872"/>
      <c r="E48" s="862"/>
      <c r="F48" s="863"/>
      <c r="G48" s="853"/>
      <c r="H48" s="853"/>
      <c r="I48" s="853"/>
      <c r="J48" s="867"/>
      <c r="K48" s="867"/>
      <c r="L48" s="868"/>
      <c r="M48" s="847"/>
      <c r="P48" s="903"/>
      <c r="Q48" s="905"/>
      <c r="R48" s="903"/>
      <c r="S48" s="903"/>
      <c r="T48" s="906"/>
      <c r="U48" s="907"/>
      <c r="V48" s="908"/>
      <c r="W48" s="909"/>
      <c r="X48" s="903"/>
    </row>
    <row r="49" spans="2:24" ht="18" x14ac:dyDescent="0.25">
      <c r="B49" s="859" t="s">
        <v>723</v>
      </c>
      <c r="C49" s="860" t="s">
        <v>724</v>
      </c>
      <c r="D49" s="861"/>
      <c r="E49" s="862"/>
      <c r="F49" s="863"/>
      <c r="G49" s="853"/>
      <c r="H49" s="853"/>
      <c r="I49" s="853"/>
      <c r="J49" s="867"/>
      <c r="K49" s="867"/>
      <c r="L49" s="868"/>
      <c r="M49" s="847"/>
      <c r="P49" s="903"/>
      <c r="Q49" s="910"/>
      <c r="R49" s="903"/>
      <c r="S49" s="903"/>
      <c r="T49" s="906"/>
      <c r="U49" s="907"/>
      <c r="V49" s="908"/>
      <c r="W49" s="909"/>
      <c r="X49" s="903"/>
    </row>
    <row r="50" spans="2:24" ht="18" x14ac:dyDescent="0.25">
      <c r="B50" s="859" t="s">
        <v>725</v>
      </c>
      <c r="C50" s="864" t="s">
        <v>726</v>
      </c>
      <c r="D50" s="861" t="s">
        <v>727</v>
      </c>
      <c r="E50" s="865">
        <v>39994</v>
      </c>
      <c r="F50" s="866"/>
      <c r="G50" s="853"/>
      <c r="H50" s="853"/>
      <c r="I50" s="853"/>
      <c r="J50" s="869"/>
      <c r="K50" s="867"/>
      <c r="L50" s="868"/>
      <c r="M50" s="847"/>
      <c r="P50" s="903"/>
      <c r="Q50" s="910"/>
      <c r="R50" s="903"/>
      <c r="S50" s="903"/>
      <c r="T50" s="906"/>
      <c r="U50" s="907"/>
      <c r="V50" s="908"/>
      <c r="W50" s="909"/>
      <c r="X50" s="903"/>
    </row>
    <row r="51" spans="2:24" ht="18" x14ac:dyDescent="0.25">
      <c r="B51" s="859" t="s">
        <v>728</v>
      </c>
      <c r="C51" s="864" t="s">
        <v>729</v>
      </c>
      <c r="D51" s="861" t="s">
        <v>727</v>
      </c>
      <c r="E51" s="865">
        <v>166641</v>
      </c>
      <c r="F51" s="866"/>
      <c r="G51" s="853"/>
      <c r="H51" s="853"/>
      <c r="I51" s="853"/>
      <c r="J51" s="869"/>
      <c r="K51" s="867"/>
      <c r="L51" s="868"/>
      <c r="M51" s="847"/>
      <c r="P51" s="903"/>
      <c r="Q51" s="910"/>
      <c r="R51" s="903"/>
      <c r="S51" s="903"/>
      <c r="T51" s="906"/>
      <c r="U51" s="907"/>
      <c r="V51" s="908"/>
      <c r="W51" s="909"/>
      <c r="X51" s="903"/>
    </row>
    <row r="52" spans="2:24" ht="18" x14ac:dyDescent="0.25">
      <c r="B52" s="859" t="s">
        <v>730</v>
      </c>
      <c r="C52" s="864" t="s">
        <v>731</v>
      </c>
      <c r="D52" s="861" t="s">
        <v>727</v>
      </c>
      <c r="E52" s="865">
        <v>444375</v>
      </c>
      <c r="F52" s="866"/>
      <c r="G52" s="853"/>
      <c r="H52" s="853"/>
      <c r="I52" s="853"/>
      <c r="J52" s="875"/>
      <c r="K52" s="867"/>
      <c r="L52" s="868"/>
      <c r="M52" s="847"/>
      <c r="P52" s="903"/>
      <c r="Q52" s="904"/>
      <c r="R52" s="903"/>
      <c r="S52" s="903"/>
      <c r="T52" s="906"/>
      <c r="U52" s="907"/>
      <c r="V52" s="908"/>
      <c r="W52" s="909"/>
      <c r="X52" s="903"/>
    </row>
    <row r="53" spans="2:24" ht="18.75" x14ac:dyDescent="0.25">
      <c r="B53" s="859" t="s">
        <v>732</v>
      </c>
      <c r="C53" s="864" t="s">
        <v>733</v>
      </c>
      <c r="D53" s="861" t="s">
        <v>2997</v>
      </c>
      <c r="E53" s="862">
        <v>222</v>
      </c>
      <c r="F53" s="863"/>
      <c r="G53" s="853"/>
      <c r="H53" s="853"/>
      <c r="I53" s="853"/>
      <c r="J53" s="875"/>
      <c r="K53" s="867"/>
      <c r="L53" s="868"/>
      <c r="M53" s="847"/>
      <c r="P53" s="903"/>
      <c r="Q53" s="904"/>
      <c r="R53" s="903"/>
      <c r="S53" s="903"/>
      <c r="T53" s="906"/>
      <c r="U53" s="907"/>
      <c r="V53" s="908"/>
      <c r="W53" s="909"/>
      <c r="X53" s="903"/>
    </row>
    <row r="54" spans="2:24" ht="31.5" x14ac:dyDescent="0.25">
      <c r="B54" s="859" t="s">
        <v>734</v>
      </c>
      <c r="C54" s="864" t="s">
        <v>735</v>
      </c>
      <c r="D54" s="861" t="s">
        <v>2997</v>
      </c>
      <c r="E54" s="865">
        <v>1000</v>
      </c>
      <c r="F54" s="866"/>
      <c r="G54" s="853"/>
      <c r="H54" s="853"/>
      <c r="I54" s="853"/>
      <c r="J54" s="869"/>
      <c r="K54" s="867"/>
      <c r="L54" s="868"/>
      <c r="M54" s="847"/>
      <c r="P54" s="903"/>
      <c r="Q54" s="910"/>
      <c r="R54" s="903"/>
      <c r="S54" s="903"/>
      <c r="T54" s="906"/>
      <c r="U54" s="907"/>
      <c r="V54" s="908"/>
      <c r="W54" s="909"/>
      <c r="X54" s="903"/>
    </row>
    <row r="55" spans="2:24" ht="25.5" customHeight="1" x14ac:dyDescent="0.25">
      <c r="B55" s="859" t="s">
        <v>736</v>
      </c>
      <c r="C55" s="864" t="s">
        <v>737</v>
      </c>
      <c r="D55" s="861" t="s">
        <v>3003</v>
      </c>
      <c r="E55" s="865">
        <v>5555</v>
      </c>
      <c r="F55" s="866"/>
      <c r="G55" s="853"/>
      <c r="H55" s="853"/>
      <c r="I55" s="853"/>
      <c r="J55" s="875"/>
      <c r="K55" s="867"/>
      <c r="L55" s="868"/>
      <c r="M55" s="847"/>
      <c r="P55" s="903"/>
      <c r="Q55" s="904"/>
      <c r="R55" s="903"/>
      <c r="S55" s="903"/>
      <c r="T55" s="903"/>
      <c r="U55" s="903"/>
      <c r="V55" s="903"/>
      <c r="W55" s="903"/>
      <c r="X55" s="903"/>
    </row>
    <row r="56" spans="2:24" x14ac:dyDescent="0.25">
      <c r="B56" s="859" t="s">
        <v>739</v>
      </c>
      <c r="C56" s="860" t="s">
        <v>740</v>
      </c>
      <c r="D56" s="861"/>
      <c r="E56" s="862"/>
      <c r="F56" s="863"/>
      <c r="G56" s="853"/>
      <c r="H56" s="853"/>
      <c r="I56" s="853"/>
      <c r="J56" s="875"/>
      <c r="K56" s="867"/>
      <c r="L56" s="868"/>
      <c r="M56" s="847"/>
      <c r="P56" s="903"/>
      <c r="Q56" s="904"/>
      <c r="R56" s="903"/>
      <c r="S56" s="903"/>
      <c r="T56" s="903"/>
      <c r="U56" s="903"/>
      <c r="V56" s="903"/>
      <c r="W56" s="903"/>
      <c r="X56" s="903"/>
    </row>
    <row r="57" spans="2:24" x14ac:dyDescent="0.25">
      <c r="B57" s="859" t="s">
        <v>741</v>
      </c>
      <c r="C57" s="876" t="s">
        <v>742</v>
      </c>
      <c r="D57" s="861"/>
      <c r="E57" s="862"/>
      <c r="F57" s="863"/>
      <c r="G57" s="853"/>
      <c r="H57" s="853"/>
      <c r="I57" s="853"/>
      <c r="J57" s="867"/>
      <c r="K57" s="867"/>
      <c r="L57" s="868"/>
      <c r="M57" s="847"/>
      <c r="P57" s="903"/>
      <c r="Q57" s="911"/>
      <c r="R57" s="903"/>
      <c r="S57" s="903"/>
      <c r="T57" s="903"/>
      <c r="U57" s="903"/>
      <c r="V57" s="903"/>
      <c r="W57" s="903"/>
      <c r="X57" s="903"/>
    </row>
    <row r="58" spans="2:24" ht="18.75" x14ac:dyDescent="0.25">
      <c r="B58" s="859" t="s">
        <v>743</v>
      </c>
      <c r="C58" s="864" t="s">
        <v>3051</v>
      </c>
      <c r="D58" s="861" t="s">
        <v>3003</v>
      </c>
      <c r="E58" s="865">
        <v>1944</v>
      </c>
      <c r="F58" s="866"/>
      <c r="G58" s="853"/>
      <c r="H58" s="853"/>
      <c r="I58" s="853"/>
      <c r="J58" s="867"/>
      <c r="K58" s="867"/>
      <c r="L58" s="868"/>
      <c r="M58" s="847"/>
      <c r="P58" s="903"/>
      <c r="Q58" s="905"/>
      <c r="R58" s="903"/>
      <c r="S58" s="903"/>
      <c r="T58" s="903"/>
      <c r="U58" s="903"/>
      <c r="V58" s="903"/>
      <c r="W58" s="903"/>
      <c r="X58" s="903"/>
    </row>
    <row r="59" spans="2:24" ht="18.75" x14ac:dyDescent="0.25">
      <c r="B59" s="859" t="s">
        <v>744</v>
      </c>
      <c r="C59" s="864" t="s">
        <v>3052</v>
      </c>
      <c r="D59" s="861" t="s">
        <v>3003</v>
      </c>
      <c r="E59" s="865">
        <v>2444</v>
      </c>
      <c r="F59" s="866"/>
      <c r="G59" s="853"/>
      <c r="H59" s="853"/>
      <c r="I59" s="853"/>
      <c r="J59" s="853"/>
      <c r="K59" s="853"/>
      <c r="P59" s="903"/>
      <c r="Q59" s="910"/>
      <c r="R59" s="903"/>
      <c r="S59" s="903"/>
      <c r="T59" s="903"/>
      <c r="U59" s="903"/>
      <c r="V59" s="903"/>
      <c r="W59" s="903"/>
      <c r="X59" s="903"/>
    </row>
    <row r="60" spans="2:24" ht="18.75" x14ac:dyDescent="0.25">
      <c r="B60" s="859" t="s">
        <v>745</v>
      </c>
      <c r="C60" s="864" t="s">
        <v>3053</v>
      </c>
      <c r="D60" s="861" t="s">
        <v>3003</v>
      </c>
      <c r="E60" s="865">
        <v>7777</v>
      </c>
      <c r="F60" s="866"/>
      <c r="G60" s="853"/>
      <c r="H60" s="853"/>
      <c r="I60" s="853"/>
      <c r="J60" s="853"/>
      <c r="K60" s="853"/>
      <c r="P60" s="903"/>
      <c r="Q60" s="904"/>
      <c r="R60" s="903"/>
      <c r="S60" s="903"/>
      <c r="T60" s="903"/>
      <c r="U60" s="903"/>
      <c r="V60" s="903"/>
      <c r="W60" s="903"/>
      <c r="X60" s="903"/>
    </row>
    <row r="61" spans="2:24" ht="18.75" x14ac:dyDescent="0.25">
      <c r="B61" s="859" t="s">
        <v>746</v>
      </c>
      <c r="C61" s="864" t="s">
        <v>3054</v>
      </c>
      <c r="D61" s="861" t="s">
        <v>3003</v>
      </c>
      <c r="E61" s="865">
        <v>11554</v>
      </c>
      <c r="F61" s="866"/>
      <c r="G61" s="853"/>
      <c r="H61" s="853"/>
      <c r="I61" s="853"/>
      <c r="J61" s="853"/>
      <c r="K61" s="853"/>
      <c r="P61" s="903"/>
      <c r="Q61" s="904"/>
      <c r="R61" s="903"/>
      <c r="S61" s="903"/>
      <c r="T61" s="903"/>
      <c r="U61" s="903"/>
      <c r="V61" s="903"/>
      <c r="W61" s="903"/>
      <c r="X61" s="903"/>
    </row>
    <row r="62" spans="2:24" x14ac:dyDescent="0.25">
      <c r="B62" s="859" t="s">
        <v>747</v>
      </c>
      <c r="C62" s="876" t="s">
        <v>748</v>
      </c>
      <c r="D62" s="861"/>
      <c r="E62" s="862"/>
      <c r="F62" s="863"/>
      <c r="G62" s="853"/>
      <c r="H62" s="853"/>
      <c r="I62" s="853"/>
      <c r="J62" s="853"/>
      <c r="K62" s="853"/>
      <c r="P62" s="903"/>
      <c r="Q62" s="904"/>
      <c r="R62" s="903"/>
      <c r="S62" s="903"/>
      <c r="T62" s="903"/>
      <c r="U62" s="903"/>
      <c r="V62" s="903"/>
      <c r="W62" s="903"/>
      <c r="X62" s="903"/>
    </row>
    <row r="63" spans="2:24" ht="18.75" x14ac:dyDescent="0.25">
      <c r="B63" s="859" t="s">
        <v>749</v>
      </c>
      <c r="C63" s="864" t="s">
        <v>3051</v>
      </c>
      <c r="D63" s="861" t="s">
        <v>3003</v>
      </c>
      <c r="E63" s="865">
        <v>3356</v>
      </c>
      <c r="F63" s="866"/>
      <c r="G63" s="853"/>
      <c r="H63" s="853"/>
      <c r="I63" s="853"/>
      <c r="J63" s="853"/>
      <c r="K63" s="853"/>
      <c r="P63" s="903"/>
      <c r="Q63" s="904"/>
      <c r="R63" s="903"/>
      <c r="S63" s="903"/>
      <c r="T63" s="903"/>
      <c r="U63" s="903"/>
      <c r="V63" s="903"/>
      <c r="W63" s="903"/>
      <c r="X63" s="903"/>
    </row>
    <row r="64" spans="2:24" ht="18.75" x14ac:dyDescent="0.25">
      <c r="B64" s="859" t="s">
        <v>750</v>
      </c>
      <c r="C64" s="864" t="s">
        <v>3052</v>
      </c>
      <c r="D64" s="861" t="s">
        <v>3003</v>
      </c>
      <c r="E64" s="865">
        <v>4027</v>
      </c>
      <c r="F64" s="866"/>
      <c r="G64" s="853"/>
      <c r="H64" s="853"/>
      <c r="I64" s="853"/>
      <c r="J64" s="853"/>
      <c r="K64" s="853"/>
      <c r="P64" s="903"/>
      <c r="Q64" s="904"/>
      <c r="R64" s="903"/>
      <c r="S64" s="903"/>
      <c r="T64" s="903"/>
      <c r="U64" s="903"/>
      <c r="V64" s="903"/>
      <c r="W64" s="903"/>
      <c r="X64" s="903"/>
    </row>
    <row r="65" spans="2:24" ht="18.75" x14ac:dyDescent="0.25">
      <c r="B65" s="859" t="s">
        <v>751</v>
      </c>
      <c r="C65" s="864" t="s">
        <v>3053</v>
      </c>
      <c r="D65" s="861" t="s">
        <v>3003</v>
      </c>
      <c r="E65" s="865">
        <v>18122</v>
      </c>
      <c r="F65" s="866"/>
      <c r="G65" s="853"/>
      <c r="H65" s="853"/>
      <c r="I65" s="853"/>
      <c r="J65" s="853"/>
      <c r="K65" s="853"/>
      <c r="P65" s="903"/>
      <c r="Q65" s="904"/>
      <c r="R65" s="903"/>
      <c r="S65" s="903"/>
      <c r="T65" s="903"/>
      <c r="U65" s="903"/>
      <c r="V65" s="903"/>
      <c r="W65" s="903"/>
      <c r="X65" s="903"/>
    </row>
    <row r="66" spans="2:24" ht="18.75" x14ac:dyDescent="0.25">
      <c r="B66" s="859" t="s">
        <v>752</v>
      </c>
      <c r="C66" s="864" t="s">
        <v>3054</v>
      </c>
      <c r="D66" s="861" t="s">
        <v>3003</v>
      </c>
      <c r="E66" s="865">
        <v>22495</v>
      </c>
      <c r="F66" s="866"/>
      <c r="G66" s="853"/>
      <c r="H66" s="853"/>
      <c r="I66" s="853"/>
      <c r="J66" s="853"/>
      <c r="K66" s="853"/>
      <c r="P66" s="903"/>
      <c r="Q66" s="904"/>
      <c r="R66" s="903"/>
      <c r="S66" s="903"/>
      <c r="T66" s="903"/>
      <c r="U66" s="903"/>
      <c r="V66" s="903"/>
      <c r="W66" s="903"/>
      <c r="X66" s="903"/>
    </row>
    <row r="67" spans="2:24" x14ac:dyDescent="0.25">
      <c r="B67" s="859" t="s">
        <v>753</v>
      </c>
      <c r="C67" s="876" t="s">
        <v>754</v>
      </c>
      <c r="D67" s="861"/>
      <c r="E67" s="862"/>
      <c r="F67" s="863"/>
      <c r="G67" s="853"/>
      <c r="H67" s="853"/>
      <c r="I67" s="853"/>
      <c r="J67" s="853"/>
      <c r="K67" s="853"/>
      <c r="Q67" s="902"/>
    </row>
    <row r="68" spans="2:24" ht="18.75" x14ac:dyDescent="0.25">
      <c r="B68" s="859" t="s">
        <v>755</v>
      </c>
      <c r="C68" s="864" t="s">
        <v>3051</v>
      </c>
      <c r="D68" s="861" t="s">
        <v>3003</v>
      </c>
      <c r="E68" s="865">
        <v>2000</v>
      </c>
      <c r="F68" s="866"/>
      <c r="G68" s="853"/>
      <c r="H68" s="853"/>
      <c r="I68" s="853"/>
      <c r="J68" s="853"/>
      <c r="K68" s="853"/>
      <c r="Q68" s="877"/>
    </row>
    <row r="69" spans="2:24" ht="18.75" x14ac:dyDescent="0.25">
      <c r="B69" s="859" t="s">
        <v>756</v>
      </c>
      <c r="C69" s="864" t="s">
        <v>3052</v>
      </c>
      <c r="D69" s="861" t="s">
        <v>3003</v>
      </c>
      <c r="E69" s="865">
        <v>3111</v>
      </c>
      <c r="F69" s="866"/>
      <c r="G69" s="853"/>
      <c r="H69" s="853"/>
      <c r="I69" s="853"/>
      <c r="J69" s="853"/>
      <c r="K69" s="853"/>
      <c r="Q69" s="874"/>
    </row>
    <row r="70" spans="2:24" ht="18.75" x14ac:dyDescent="0.25">
      <c r="B70" s="859" t="s">
        <v>757</v>
      </c>
      <c r="C70" s="864" t="s">
        <v>3053</v>
      </c>
      <c r="D70" s="861" t="s">
        <v>3003</v>
      </c>
      <c r="E70" s="865">
        <v>9396</v>
      </c>
      <c r="F70" s="866"/>
      <c r="G70" s="853"/>
      <c r="H70" s="853"/>
      <c r="I70" s="853"/>
      <c r="J70" s="853"/>
      <c r="K70" s="853"/>
      <c r="Q70" s="870"/>
    </row>
    <row r="71" spans="2:24" ht="18.75" x14ac:dyDescent="0.25">
      <c r="B71" s="859" t="s">
        <v>758</v>
      </c>
      <c r="C71" s="864" t="s">
        <v>3054</v>
      </c>
      <c r="D71" s="861" t="s">
        <v>3003</v>
      </c>
      <c r="E71" s="865">
        <v>14094</v>
      </c>
      <c r="F71" s="866"/>
      <c r="G71" s="853"/>
      <c r="H71" s="853"/>
      <c r="I71" s="853"/>
      <c r="J71" s="853"/>
      <c r="K71" s="853"/>
      <c r="Q71" s="870"/>
    </row>
    <row r="72" spans="2:24" x14ac:dyDescent="0.25">
      <c r="B72" s="859" t="s">
        <v>759</v>
      </c>
      <c r="C72" s="860" t="s">
        <v>760</v>
      </c>
      <c r="D72" s="861"/>
      <c r="E72" s="862"/>
      <c r="F72" s="863"/>
      <c r="G72" s="853"/>
      <c r="H72" s="853"/>
      <c r="I72" s="853"/>
      <c r="J72" s="853"/>
      <c r="K72" s="853"/>
      <c r="Q72" s="870"/>
    </row>
    <row r="73" spans="2:24" ht="18.75" x14ac:dyDescent="0.25">
      <c r="B73" s="859" t="s">
        <v>761</v>
      </c>
      <c r="C73" s="864" t="s">
        <v>762</v>
      </c>
      <c r="D73" s="861" t="s">
        <v>3003</v>
      </c>
      <c r="E73" s="865">
        <v>1889</v>
      </c>
      <c r="F73" s="866"/>
      <c r="G73" s="853"/>
      <c r="H73" s="853"/>
      <c r="I73" s="853"/>
      <c r="J73" s="853"/>
      <c r="K73" s="853"/>
      <c r="Q73" s="870"/>
    </row>
    <row r="74" spans="2:24" ht="18.75" x14ac:dyDescent="0.25">
      <c r="B74" s="859" t="s">
        <v>763</v>
      </c>
      <c r="C74" s="864" t="s">
        <v>764</v>
      </c>
      <c r="D74" s="861" t="s">
        <v>3003</v>
      </c>
      <c r="E74" s="865">
        <v>2055</v>
      </c>
      <c r="F74" s="866"/>
      <c r="G74" s="853"/>
      <c r="H74" s="853"/>
      <c r="I74" s="853"/>
      <c r="J74" s="853"/>
      <c r="K74" s="853"/>
      <c r="Q74" s="870"/>
    </row>
    <row r="75" spans="2:24" ht="18.75" x14ac:dyDescent="0.25">
      <c r="B75" s="859" t="s">
        <v>765</v>
      </c>
      <c r="C75" s="864" t="s">
        <v>766</v>
      </c>
      <c r="D75" s="861" t="s">
        <v>3003</v>
      </c>
      <c r="E75" s="865">
        <v>2665</v>
      </c>
      <c r="F75" s="866"/>
      <c r="G75" s="853"/>
      <c r="H75" s="853"/>
      <c r="I75" s="853"/>
      <c r="J75" s="853"/>
      <c r="K75" s="853"/>
      <c r="Q75" s="870"/>
    </row>
    <row r="76" spans="2:24" ht="18.75" x14ac:dyDescent="0.25">
      <c r="B76" s="859" t="s">
        <v>767</v>
      </c>
      <c r="C76" s="864" t="s">
        <v>768</v>
      </c>
      <c r="D76" s="861" t="s">
        <v>3003</v>
      </c>
      <c r="E76" s="865">
        <v>3331</v>
      </c>
      <c r="F76" s="866"/>
      <c r="G76" s="853"/>
      <c r="H76" s="853"/>
      <c r="I76" s="853"/>
      <c r="J76" s="853"/>
      <c r="K76" s="853"/>
      <c r="Q76" s="870"/>
    </row>
    <row r="77" spans="2:24" ht="18.75" x14ac:dyDescent="0.25">
      <c r="B77" s="859" t="s">
        <v>769</v>
      </c>
      <c r="C77" s="864" t="s">
        <v>770</v>
      </c>
      <c r="D77" s="861" t="s">
        <v>3003</v>
      </c>
      <c r="E77" s="865">
        <v>7804</v>
      </c>
      <c r="F77" s="866"/>
      <c r="G77" s="853"/>
      <c r="H77" s="853"/>
      <c r="I77" s="853"/>
      <c r="J77" s="853"/>
      <c r="K77" s="853"/>
      <c r="N77" s="870"/>
      <c r="O77" s="870"/>
      <c r="P77" s="870"/>
      <c r="Q77" s="870"/>
    </row>
    <row r="78" spans="2:24" ht="18.75" x14ac:dyDescent="0.25">
      <c r="B78" s="859" t="s">
        <v>771</v>
      </c>
      <c r="C78" s="864" t="s">
        <v>772</v>
      </c>
      <c r="D78" s="861" t="s">
        <v>3003</v>
      </c>
      <c r="E78" s="862">
        <v>869</v>
      </c>
      <c r="F78" s="863"/>
      <c r="G78" s="853"/>
      <c r="H78" s="853"/>
      <c r="I78" s="853"/>
      <c r="J78" s="853"/>
      <c r="K78" s="853"/>
      <c r="N78" s="870"/>
      <c r="O78" s="870"/>
      <c r="P78" s="870"/>
      <c r="Q78" s="870"/>
    </row>
    <row r="79" spans="2:24" ht="18.75" x14ac:dyDescent="0.25">
      <c r="B79" s="859" t="s">
        <v>773</v>
      </c>
      <c r="C79" s="864" t="s">
        <v>774</v>
      </c>
      <c r="D79" s="861" t="s">
        <v>2997</v>
      </c>
      <c r="E79" s="862">
        <v>869</v>
      </c>
      <c r="F79" s="863"/>
      <c r="G79" s="853"/>
      <c r="H79" s="853"/>
      <c r="I79" s="853"/>
      <c r="J79" s="853"/>
      <c r="K79" s="853"/>
      <c r="N79" s="870"/>
      <c r="O79" s="870"/>
      <c r="P79" s="870"/>
      <c r="Q79" s="870"/>
    </row>
    <row r="80" spans="2:24" ht="18.75" x14ac:dyDescent="0.25">
      <c r="B80" s="859" t="s">
        <v>775</v>
      </c>
      <c r="C80" s="864" t="s">
        <v>776</v>
      </c>
      <c r="D80" s="861" t="s">
        <v>3003</v>
      </c>
      <c r="E80" s="865">
        <v>2666</v>
      </c>
      <c r="F80" s="866"/>
      <c r="G80" s="853"/>
      <c r="H80" s="853"/>
      <c r="I80" s="853"/>
      <c r="J80" s="853"/>
      <c r="K80" s="853"/>
      <c r="N80" s="870"/>
      <c r="O80" s="870"/>
      <c r="P80" s="870"/>
      <c r="Q80" s="870"/>
    </row>
    <row r="81" spans="2:17" ht="18.75" customHeight="1" x14ac:dyDescent="0.25">
      <c r="B81" s="859" t="s">
        <v>777</v>
      </c>
      <c r="C81" s="864" t="s">
        <v>778</v>
      </c>
      <c r="D81" s="861" t="s">
        <v>3003</v>
      </c>
      <c r="E81" s="865">
        <v>3000</v>
      </c>
      <c r="F81" s="866"/>
      <c r="G81" s="853"/>
      <c r="H81" s="853"/>
      <c r="I81" s="853"/>
      <c r="J81" s="853"/>
      <c r="K81" s="853"/>
      <c r="N81" s="878"/>
      <c r="O81" s="878"/>
      <c r="P81" s="878"/>
      <c r="Q81" s="878"/>
    </row>
    <row r="82" spans="2:17" ht="18.75" x14ac:dyDescent="0.25">
      <c r="B82" s="859" t="s">
        <v>779</v>
      </c>
      <c r="C82" s="864" t="s">
        <v>780</v>
      </c>
      <c r="D82" s="861" t="s">
        <v>3003</v>
      </c>
      <c r="E82" s="865">
        <v>5110</v>
      </c>
      <c r="F82" s="866"/>
      <c r="G82" s="853"/>
      <c r="H82" s="853"/>
      <c r="I82" s="853"/>
      <c r="J82" s="853"/>
      <c r="K82" s="853"/>
      <c r="N82" s="870"/>
      <c r="O82" s="870"/>
      <c r="P82" s="870"/>
      <c r="Q82" s="870"/>
    </row>
    <row r="83" spans="2:17" x14ac:dyDescent="0.25">
      <c r="B83" s="859"/>
      <c r="C83" s="871" t="s">
        <v>782</v>
      </c>
      <c r="D83" s="872"/>
      <c r="E83" s="862"/>
      <c r="F83" s="863"/>
      <c r="G83" s="853"/>
      <c r="H83" s="853"/>
      <c r="I83" s="853"/>
      <c r="J83" s="853"/>
      <c r="K83" s="853"/>
      <c r="N83" s="879"/>
      <c r="O83" s="879"/>
      <c r="P83" s="879"/>
      <c r="Q83" s="879"/>
    </row>
    <row r="84" spans="2:17" x14ac:dyDescent="0.25">
      <c r="B84" s="859" t="s">
        <v>783</v>
      </c>
      <c r="C84" s="880" t="s">
        <v>3055</v>
      </c>
      <c r="D84" s="861"/>
      <c r="E84" s="862"/>
      <c r="F84" s="863"/>
      <c r="G84" s="853"/>
      <c r="H84" s="853"/>
      <c r="I84" s="853"/>
      <c r="J84" s="853"/>
      <c r="K84" s="853"/>
      <c r="N84" s="879"/>
      <c r="O84" s="879"/>
      <c r="P84" s="879"/>
      <c r="Q84" s="879"/>
    </row>
    <row r="85" spans="2:17" x14ac:dyDescent="0.25">
      <c r="B85" s="859" t="s">
        <v>785</v>
      </c>
      <c r="C85" s="860" t="s">
        <v>786</v>
      </c>
      <c r="D85" s="861"/>
      <c r="E85" s="862"/>
      <c r="F85" s="863"/>
      <c r="G85" s="853"/>
      <c r="H85" s="853"/>
      <c r="I85" s="853"/>
      <c r="J85" s="853"/>
      <c r="K85" s="853"/>
      <c r="N85" s="879"/>
      <c r="O85" s="879"/>
      <c r="P85" s="879"/>
      <c r="Q85" s="879"/>
    </row>
    <row r="86" spans="2:17" ht="18.75" x14ac:dyDescent="0.25">
      <c r="B86" s="859" t="s">
        <v>787</v>
      </c>
      <c r="C86" s="864" t="s">
        <v>3056</v>
      </c>
      <c r="D86" s="861" t="s">
        <v>3003</v>
      </c>
      <c r="E86" s="865">
        <v>52095</v>
      </c>
      <c r="F86" s="866"/>
      <c r="G86" s="853"/>
      <c r="H86" s="853"/>
      <c r="I86" s="853"/>
      <c r="J86" s="853"/>
      <c r="K86" s="853"/>
      <c r="N86" s="879"/>
      <c r="O86" s="879"/>
      <c r="P86" s="879"/>
      <c r="Q86" s="879"/>
    </row>
    <row r="87" spans="2:17" x14ac:dyDescent="0.25">
      <c r="B87" s="859" t="s">
        <v>789</v>
      </c>
      <c r="C87" s="860" t="s">
        <v>3057</v>
      </c>
      <c r="D87" s="861"/>
      <c r="E87" s="862"/>
      <c r="F87" s="863"/>
      <c r="G87" s="853"/>
      <c r="H87" s="853"/>
      <c r="I87" s="853"/>
      <c r="J87" s="853"/>
      <c r="K87" s="853"/>
      <c r="N87" s="879"/>
      <c r="O87" s="879"/>
      <c r="P87" s="879"/>
      <c r="Q87" s="879"/>
    </row>
    <row r="88" spans="2:17" ht="18.75" x14ac:dyDescent="0.25">
      <c r="B88" s="859" t="s">
        <v>790</v>
      </c>
      <c r="C88" s="864" t="s">
        <v>3058</v>
      </c>
      <c r="D88" s="861" t="s">
        <v>3003</v>
      </c>
      <c r="E88" s="865">
        <v>58204</v>
      </c>
      <c r="F88" s="866"/>
      <c r="G88" s="853"/>
      <c r="H88" s="853"/>
      <c r="I88" s="853"/>
      <c r="J88" s="853"/>
      <c r="K88" s="853"/>
      <c r="N88" s="870"/>
      <c r="O88" s="870"/>
      <c r="P88" s="870"/>
      <c r="Q88" s="870"/>
    </row>
    <row r="89" spans="2:17" ht="18.75" x14ac:dyDescent="0.25">
      <c r="B89" s="859" t="s">
        <v>791</v>
      </c>
      <c r="C89" s="864" t="s">
        <v>3059</v>
      </c>
      <c r="D89" s="861" t="s">
        <v>3003</v>
      </c>
      <c r="E89" s="865">
        <v>65146</v>
      </c>
      <c r="F89" s="866"/>
      <c r="G89" s="853"/>
      <c r="H89" s="853"/>
      <c r="I89" s="853"/>
      <c r="J89" s="853"/>
      <c r="K89" s="853"/>
      <c r="N89" s="870"/>
      <c r="O89" s="870"/>
      <c r="P89" s="870"/>
      <c r="Q89" s="870"/>
    </row>
    <row r="90" spans="2:17" ht="18.75" x14ac:dyDescent="0.25">
      <c r="B90" s="859" t="s">
        <v>792</v>
      </c>
      <c r="C90" s="864" t="s">
        <v>3060</v>
      </c>
      <c r="D90" s="861" t="s">
        <v>3003</v>
      </c>
      <c r="E90" s="865">
        <v>70930</v>
      </c>
      <c r="F90" s="866"/>
      <c r="G90" s="853"/>
      <c r="H90" s="853"/>
      <c r="I90" s="853"/>
      <c r="J90" s="853"/>
      <c r="K90" s="853"/>
      <c r="N90" s="870"/>
      <c r="O90" s="870"/>
      <c r="P90" s="870"/>
      <c r="Q90" s="870"/>
    </row>
    <row r="91" spans="2:17" ht="18.75" x14ac:dyDescent="0.25">
      <c r="B91" s="859" t="s">
        <v>793</v>
      </c>
      <c r="C91" s="864" t="s">
        <v>3061</v>
      </c>
      <c r="D91" s="861" t="s">
        <v>3003</v>
      </c>
      <c r="E91" s="865">
        <v>77247</v>
      </c>
      <c r="F91" s="866"/>
      <c r="G91" s="853"/>
      <c r="H91" s="853"/>
      <c r="I91" s="853"/>
      <c r="J91" s="853"/>
      <c r="K91" s="853"/>
      <c r="N91" s="870"/>
      <c r="O91" s="870"/>
      <c r="P91" s="870"/>
      <c r="Q91" s="870"/>
    </row>
    <row r="92" spans="2:17" ht="18.75" x14ac:dyDescent="0.25">
      <c r="B92" s="859" t="s">
        <v>794</v>
      </c>
      <c r="C92" s="864" t="s">
        <v>3062</v>
      </c>
      <c r="D92" s="861" t="s">
        <v>3003</v>
      </c>
      <c r="E92" s="865">
        <v>84189</v>
      </c>
      <c r="F92" s="866"/>
      <c r="G92" s="853"/>
      <c r="H92" s="853"/>
      <c r="I92" s="853"/>
      <c r="J92" s="853"/>
      <c r="K92" s="853"/>
      <c r="N92" s="870"/>
      <c r="O92" s="870"/>
      <c r="P92" s="870"/>
      <c r="Q92" s="870"/>
    </row>
    <row r="93" spans="2:17" ht="18.75" x14ac:dyDescent="0.25">
      <c r="B93" s="859" t="s">
        <v>795</v>
      </c>
      <c r="C93" s="864" t="s">
        <v>3063</v>
      </c>
      <c r="D93" s="861" t="s">
        <v>3003</v>
      </c>
      <c r="E93" s="865">
        <v>91130</v>
      </c>
      <c r="F93" s="866"/>
      <c r="G93" s="853"/>
      <c r="H93" s="853"/>
      <c r="I93" s="853"/>
      <c r="J93" s="853"/>
      <c r="K93" s="853"/>
      <c r="N93" s="870"/>
      <c r="O93" s="870"/>
      <c r="P93" s="870"/>
      <c r="Q93" s="870"/>
    </row>
    <row r="94" spans="2:17" ht="18.75" x14ac:dyDescent="0.25">
      <c r="B94" s="859" t="s">
        <v>796</v>
      </c>
      <c r="C94" s="864" t="s">
        <v>3064</v>
      </c>
      <c r="D94" s="861" t="s">
        <v>3003</v>
      </c>
      <c r="E94" s="865">
        <v>98072</v>
      </c>
      <c r="F94" s="866"/>
      <c r="G94" s="853"/>
      <c r="H94" s="853"/>
      <c r="I94" s="853"/>
      <c r="J94" s="853"/>
      <c r="K94" s="853"/>
      <c r="N94" s="870"/>
      <c r="O94" s="870"/>
      <c r="P94" s="870"/>
      <c r="Q94" s="870"/>
    </row>
    <row r="95" spans="2:17" ht="18.75" x14ac:dyDescent="0.25">
      <c r="B95" s="859" t="s">
        <v>797</v>
      </c>
      <c r="C95" s="860" t="s">
        <v>3065</v>
      </c>
      <c r="D95" s="861"/>
      <c r="E95" s="862"/>
      <c r="F95" s="863"/>
      <c r="G95" s="853"/>
      <c r="H95" s="853"/>
      <c r="I95" s="853"/>
      <c r="J95" s="853"/>
      <c r="K95" s="853"/>
      <c r="N95" s="870"/>
      <c r="O95" s="870"/>
      <c r="P95" s="870"/>
      <c r="Q95" s="870"/>
    </row>
    <row r="96" spans="2:17" ht="18.75" x14ac:dyDescent="0.25">
      <c r="B96" s="859" t="s">
        <v>798</v>
      </c>
      <c r="C96" s="864" t="s">
        <v>799</v>
      </c>
      <c r="D96" s="861" t="s">
        <v>3003</v>
      </c>
      <c r="E96" s="865">
        <v>77797</v>
      </c>
      <c r="F96" s="866"/>
      <c r="G96" s="853"/>
      <c r="H96" s="853"/>
      <c r="I96" s="853"/>
      <c r="J96" s="853"/>
      <c r="K96" s="853"/>
      <c r="N96" s="870"/>
      <c r="O96" s="870"/>
      <c r="P96" s="870"/>
      <c r="Q96" s="870"/>
    </row>
    <row r="97" spans="2:17" ht="18.75" x14ac:dyDescent="0.25">
      <c r="B97" s="859" t="s">
        <v>800</v>
      </c>
      <c r="C97" s="864" t="s">
        <v>801</v>
      </c>
      <c r="D97" s="861" t="s">
        <v>3003</v>
      </c>
      <c r="E97" s="865">
        <v>77336</v>
      </c>
      <c r="F97" s="866"/>
      <c r="G97" s="853"/>
      <c r="H97" s="853"/>
      <c r="I97" s="853"/>
      <c r="J97" s="853"/>
      <c r="K97" s="853"/>
      <c r="N97" s="870"/>
      <c r="O97" s="870"/>
      <c r="P97" s="870"/>
      <c r="Q97" s="870"/>
    </row>
    <row r="98" spans="2:17" ht="18.75" x14ac:dyDescent="0.3">
      <c r="B98" s="859" t="s">
        <v>802</v>
      </c>
      <c r="C98" s="864" t="s">
        <v>803</v>
      </c>
      <c r="D98" s="861" t="s">
        <v>3003</v>
      </c>
      <c r="E98" s="865">
        <v>77510</v>
      </c>
      <c r="F98" s="866"/>
      <c r="G98" s="853"/>
      <c r="H98" s="853"/>
      <c r="I98" s="853"/>
      <c r="J98" s="853"/>
      <c r="K98" s="853"/>
      <c r="N98" s="881"/>
      <c r="O98" s="881"/>
      <c r="P98" s="881"/>
      <c r="Q98" s="881"/>
    </row>
    <row r="99" spans="2:17" ht="18.75" x14ac:dyDescent="0.25">
      <c r="B99" s="859" t="s">
        <v>804</v>
      </c>
      <c r="C99" s="864" t="s">
        <v>22</v>
      </c>
      <c r="D99" s="861" t="s">
        <v>3003</v>
      </c>
      <c r="E99" s="865">
        <v>78573</v>
      </c>
      <c r="F99" s="866"/>
      <c r="G99" s="853"/>
      <c r="H99" s="853"/>
      <c r="I99" s="853"/>
      <c r="J99" s="853"/>
      <c r="K99" s="853"/>
      <c r="N99" s="874"/>
      <c r="O99" s="874"/>
      <c r="P99" s="874"/>
      <c r="Q99" s="874"/>
    </row>
    <row r="100" spans="2:17" ht="18.75" x14ac:dyDescent="0.25">
      <c r="B100" s="859" t="s">
        <v>805</v>
      </c>
      <c r="C100" s="864" t="s">
        <v>806</v>
      </c>
      <c r="D100" s="861" t="s">
        <v>3003</v>
      </c>
      <c r="E100" s="865">
        <v>77876</v>
      </c>
      <c r="F100" s="866"/>
      <c r="G100" s="853"/>
      <c r="H100" s="853"/>
      <c r="I100" s="853"/>
      <c r="J100" s="853"/>
      <c r="K100" s="853"/>
      <c r="N100" s="870"/>
      <c r="O100" s="870"/>
      <c r="P100" s="870"/>
      <c r="Q100" s="870"/>
    </row>
    <row r="101" spans="2:17" ht="31.5" x14ac:dyDescent="0.25">
      <c r="B101" s="859" t="s">
        <v>807</v>
      </c>
      <c r="C101" s="864" t="s">
        <v>808</v>
      </c>
      <c r="D101" s="861" t="s">
        <v>3003</v>
      </c>
      <c r="E101" s="865">
        <v>6814</v>
      </c>
      <c r="F101" s="866"/>
      <c r="G101" s="853"/>
      <c r="H101" s="853"/>
      <c r="I101" s="853"/>
      <c r="J101" s="853"/>
      <c r="K101" s="853"/>
      <c r="N101" s="870"/>
      <c r="O101" s="870"/>
      <c r="P101" s="870"/>
      <c r="Q101" s="870"/>
    </row>
    <row r="102" spans="2:17" ht="18.75" x14ac:dyDescent="0.25">
      <c r="B102" s="859" t="s">
        <v>809</v>
      </c>
      <c r="C102" s="864" t="s">
        <v>810</v>
      </c>
      <c r="D102" s="861" t="s">
        <v>3003</v>
      </c>
      <c r="E102" s="865">
        <v>8443</v>
      </c>
      <c r="F102" s="866"/>
      <c r="G102" s="853"/>
      <c r="H102" s="853"/>
      <c r="I102" s="853"/>
      <c r="J102" s="853"/>
      <c r="K102" s="853"/>
      <c r="N102" s="853"/>
      <c r="O102" s="853"/>
    </row>
    <row r="103" spans="2:17" x14ac:dyDescent="0.25">
      <c r="B103" s="859" t="s">
        <v>811</v>
      </c>
      <c r="C103" s="880" t="s">
        <v>812</v>
      </c>
      <c r="D103" s="861"/>
      <c r="E103" s="862"/>
      <c r="F103" s="863"/>
      <c r="G103" s="853"/>
      <c r="H103" s="853"/>
      <c r="I103" s="853"/>
      <c r="J103" s="853"/>
      <c r="K103" s="853"/>
      <c r="M103" s="853"/>
      <c r="N103" s="853"/>
      <c r="O103" s="853"/>
    </row>
    <row r="104" spans="2:17" x14ac:dyDescent="0.25">
      <c r="B104" s="859" t="s">
        <v>813</v>
      </c>
      <c r="C104" s="860" t="s">
        <v>814</v>
      </c>
      <c r="D104" s="861"/>
      <c r="E104" s="862"/>
      <c r="F104" s="863"/>
      <c r="G104" s="853"/>
      <c r="H104" s="853"/>
      <c r="I104" s="853"/>
      <c r="J104" s="853"/>
      <c r="K104" s="853"/>
      <c r="M104" s="882"/>
      <c r="N104" s="853"/>
      <c r="O104" s="853"/>
    </row>
    <row r="105" spans="2:17" ht="18.75" x14ac:dyDescent="0.25">
      <c r="B105" s="859" t="s">
        <v>815</v>
      </c>
      <c r="C105" s="864" t="s">
        <v>816</v>
      </c>
      <c r="D105" s="861" t="s">
        <v>2997</v>
      </c>
      <c r="E105" s="865">
        <v>16096</v>
      </c>
      <c r="F105" s="866"/>
      <c r="G105" s="853"/>
      <c r="H105" s="853"/>
      <c r="I105" s="853"/>
      <c r="J105" s="853"/>
      <c r="K105" s="853"/>
      <c r="M105" s="883"/>
      <c r="N105" s="853"/>
      <c r="O105" s="853"/>
    </row>
    <row r="106" spans="2:17" ht="18.75" x14ac:dyDescent="0.25">
      <c r="B106" s="859" t="s">
        <v>817</v>
      </c>
      <c r="C106" s="864" t="s">
        <v>818</v>
      </c>
      <c r="D106" s="861" t="s">
        <v>2997</v>
      </c>
      <c r="E106" s="865">
        <v>12797</v>
      </c>
      <c r="F106" s="866"/>
      <c r="G106" s="853"/>
      <c r="H106" s="853"/>
      <c r="I106" s="853"/>
      <c r="J106" s="853"/>
      <c r="K106" s="853"/>
      <c r="M106" s="847"/>
      <c r="N106" s="853"/>
      <c r="O106" s="853"/>
    </row>
    <row r="107" spans="2:17" ht="18.75" x14ac:dyDescent="0.25">
      <c r="B107" s="859" t="s">
        <v>819</v>
      </c>
      <c r="C107" s="864" t="s">
        <v>820</v>
      </c>
      <c r="D107" s="861" t="s">
        <v>2997</v>
      </c>
      <c r="E107" s="865">
        <v>8619</v>
      </c>
      <c r="F107" s="866"/>
      <c r="G107" s="853"/>
      <c r="H107" s="853"/>
      <c r="I107" s="853"/>
      <c r="J107" s="853"/>
      <c r="K107" s="853"/>
      <c r="M107" s="847"/>
      <c r="N107" s="853"/>
      <c r="O107" s="853"/>
    </row>
    <row r="108" spans="2:17" ht="18.75" x14ac:dyDescent="0.25">
      <c r="B108" s="859" t="s">
        <v>821</v>
      </c>
      <c r="C108" s="864" t="s">
        <v>822</v>
      </c>
      <c r="D108" s="861" t="s">
        <v>2997</v>
      </c>
      <c r="E108" s="865">
        <v>6047</v>
      </c>
      <c r="F108" s="866"/>
      <c r="G108" s="853"/>
      <c r="H108" s="853"/>
      <c r="I108" s="853"/>
      <c r="J108" s="853"/>
      <c r="K108" s="853"/>
      <c r="N108" s="853"/>
      <c r="O108" s="853"/>
    </row>
    <row r="109" spans="2:17" x14ac:dyDescent="0.25">
      <c r="B109" s="859" t="s">
        <v>823</v>
      </c>
      <c r="C109" s="860" t="s">
        <v>824</v>
      </c>
      <c r="D109" s="861"/>
      <c r="E109" s="862"/>
      <c r="F109" s="863"/>
      <c r="G109" s="853"/>
      <c r="H109" s="853"/>
      <c r="I109" s="853"/>
      <c r="J109" s="853"/>
      <c r="K109" s="853"/>
      <c r="N109" s="853"/>
      <c r="O109" s="853"/>
    </row>
    <row r="110" spans="2:17" ht="18.75" x14ac:dyDescent="0.25">
      <c r="B110" s="859" t="s">
        <v>825</v>
      </c>
      <c r="C110" s="864" t="s">
        <v>826</v>
      </c>
      <c r="D110" s="861" t="s">
        <v>2997</v>
      </c>
      <c r="E110" s="865">
        <v>8926</v>
      </c>
      <c r="F110" s="866"/>
      <c r="G110" s="853"/>
      <c r="H110" s="853"/>
      <c r="I110" s="853"/>
      <c r="J110" s="853"/>
      <c r="K110" s="853"/>
      <c r="N110" s="853"/>
      <c r="O110" s="853"/>
    </row>
    <row r="111" spans="2:17" ht="18.75" x14ac:dyDescent="0.25">
      <c r="B111" s="859" t="s">
        <v>827</v>
      </c>
      <c r="C111" s="864" t="s">
        <v>544</v>
      </c>
      <c r="D111" s="861" t="s">
        <v>2997</v>
      </c>
      <c r="E111" s="865">
        <v>7714</v>
      </c>
      <c r="F111" s="866"/>
      <c r="G111" s="853"/>
      <c r="H111" s="853"/>
      <c r="I111" s="853"/>
      <c r="J111" s="853"/>
      <c r="K111" s="853"/>
      <c r="N111" s="853"/>
      <c r="O111" s="853"/>
    </row>
    <row r="112" spans="2:17" ht="18.75" x14ac:dyDescent="0.25">
      <c r="B112" s="859" t="s">
        <v>828</v>
      </c>
      <c r="C112" s="864" t="s">
        <v>545</v>
      </c>
      <c r="D112" s="861" t="s">
        <v>2997</v>
      </c>
      <c r="E112" s="865">
        <v>6509</v>
      </c>
      <c r="F112" s="866"/>
      <c r="G112" s="853"/>
      <c r="H112" s="853"/>
      <c r="I112" s="853"/>
      <c r="J112" s="853"/>
      <c r="K112" s="853"/>
      <c r="N112" s="853"/>
      <c r="O112" s="853"/>
    </row>
    <row r="113" spans="2:15" ht="18.75" x14ac:dyDescent="0.25">
      <c r="B113" s="859" t="s">
        <v>829</v>
      </c>
      <c r="C113" s="864" t="s">
        <v>830</v>
      </c>
      <c r="D113" s="861" t="s">
        <v>2997</v>
      </c>
      <c r="E113" s="865">
        <v>5499</v>
      </c>
      <c r="F113" s="866"/>
      <c r="G113" s="853"/>
      <c r="H113" s="853"/>
      <c r="I113" s="853"/>
      <c r="J113" s="853"/>
      <c r="K113" s="867"/>
      <c r="L113" s="868"/>
      <c r="M113" s="847"/>
      <c r="N113" s="867"/>
      <c r="O113" s="867"/>
    </row>
    <row r="114" spans="2:15" ht="31.5" x14ac:dyDescent="0.25">
      <c r="B114" s="859" t="s">
        <v>831</v>
      </c>
      <c r="C114" s="860" t="s">
        <v>832</v>
      </c>
      <c r="D114" s="861"/>
      <c r="E114" s="862"/>
      <c r="F114" s="863"/>
      <c r="G114" s="853"/>
      <c r="H114" s="853"/>
      <c r="I114" s="853"/>
      <c r="J114" s="853"/>
      <c r="K114" s="867"/>
      <c r="L114" s="868"/>
      <c r="M114" s="847"/>
      <c r="N114" s="867"/>
      <c r="O114" s="867"/>
    </row>
    <row r="115" spans="2:15" ht="18.75" x14ac:dyDescent="0.25">
      <c r="B115" s="859" t="s">
        <v>833</v>
      </c>
      <c r="C115" s="864" t="s">
        <v>816</v>
      </c>
      <c r="D115" s="861" t="s">
        <v>2997</v>
      </c>
      <c r="E115" s="865">
        <v>11419</v>
      </c>
      <c r="F115" s="866"/>
      <c r="G115" s="853"/>
      <c r="H115" s="853"/>
      <c r="I115" s="853"/>
      <c r="J115" s="853"/>
      <c r="K115" s="867"/>
      <c r="L115" s="868"/>
      <c r="M115" s="884"/>
      <c r="N115" s="867"/>
      <c r="O115" s="867"/>
    </row>
    <row r="116" spans="2:15" ht="18.75" x14ac:dyDescent="0.25">
      <c r="B116" s="859" t="s">
        <v>834</v>
      </c>
      <c r="C116" s="864" t="s">
        <v>818</v>
      </c>
      <c r="D116" s="861" t="s">
        <v>2997</v>
      </c>
      <c r="E116" s="865">
        <v>10495</v>
      </c>
      <c r="F116" s="866"/>
      <c r="G116" s="853"/>
      <c r="H116" s="853"/>
      <c r="I116" s="853"/>
      <c r="J116" s="853"/>
      <c r="K116" s="867"/>
      <c r="L116" s="868"/>
      <c r="M116" s="869"/>
      <c r="N116" s="867"/>
      <c r="O116" s="867"/>
    </row>
    <row r="117" spans="2:15" ht="18.75" x14ac:dyDescent="0.25">
      <c r="B117" s="859" t="s">
        <v>835</v>
      </c>
      <c r="C117" s="864" t="s">
        <v>820</v>
      </c>
      <c r="D117" s="861" t="s">
        <v>2997</v>
      </c>
      <c r="E117" s="865">
        <v>9571</v>
      </c>
      <c r="F117" s="866"/>
      <c r="G117" s="853"/>
      <c r="H117" s="853"/>
      <c r="I117" s="853"/>
      <c r="J117" s="853"/>
      <c r="K117" s="867"/>
      <c r="L117" s="868"/>
      <c r="M117" s="875"/>
      <c r="N117" s="867"/>
      <c r="O117" s="867"/>
    </row>
    <row r="118" spans="2:15" ht="18.75" x14ac:dyDescent="0.25">
      <c r="B118" s="859" t="s">
        <v>836</v>
      </c>
      <c r="C118" s="864" t="s">
        <v>822</v>
      </c>
      <c r="D118" s="861" t="s">
        <v>2997</v>
      </c>
      <c r="E118" s="865">
        <v>6743</v>
      </c>
      <c r="F118" s="866"/>
      <c r="G118" s="853"/>
      <c r="H118" s="853"/>
      <c r="I118" s="853"/>
      <c r="J118" s="853"/>
      <c r="K118" s="867"/>
      <c r="L118" s="868"/>
      <c r="M118" s="875"/>
      <c r="N118" s="867"/>
      <c r="O118" s="867"/>
    </row>
    <row r="119" spans="2:15" ht="31.5" x14ac:dyDescent="0.25">
      <c r="B119" s="859" t="s">
        <v>837</v>
      </c>
      <c r="C119" s="860" t="s">
        <v>838</v>
      </c>
      <c r="D119" s="861"/>
      <c r="E119" s="862"/>
      <c r="F119" s="863"/>
      <c r="G119" s="853"/>
      <c r="H119" s="853"/>
      <c r="I119" s="853"/>
      <c r="J119" s="853"/>
      <c r="K119" s="867"/>
      <c r="L119" s="868"/>
      <c r="M119" s="875"/>
      <c r="N119" s="867"/>
      <c r="O119" s="867"/>
    </row>
    <row r="120" spans="2:15" ht="18.75" x14ac:dyDescent="0.25">
      <c r="B120" s="859" t="s">
        <v>839</v>
      </c>
      <c r="C120" s="864" t="s">
        <v>826</v>
      </c>
      <c r="D120" s="861" t="s">
        <v>2997</v>
      </c>
      <c r="E120" s="865">
        <v>6839</v>
      </c>
      <c r="F120" s="866"/>
      <c r="G120" s="853"/>
      <c r="H120" s="853"/>
      <c r="I120" s="853"/>
      <c r="J120" s="853"/>
      <c r="K120" s="867"/>
      <c r="L120" s="868"/>
      <c r="M120" s="875"/>
      <c r="N120" s="867"/>
      <c r="O120" s="867"/>
    </row>
    <row r="121" spans="2:15" ht="18.75" x14ac:dyDescent="0.25">
      <c r="B121" s="859" t="s">
        <v>840</v>
      </c>
      <c r="C121" s="864" t="s">
        <v>544</v>
      </c>
      <c r="D121" s="861" t="s">
        <v>2997</v>
      </c>
      <c r="E121" s="865">
        <v>6024</v>
      </c>
      <c r="F121" s="866"/>
      <c r="G121" s="853"/>
      <c r="H121" s="853"/>
      <c r="I121" s="853"/>
      <c r="J121" s="853"/>
      <c r="K121" s="867"/>
      <c r="L121" s="868"/>
      <c r="M121" s="875"/>
      <c r="N121" s="867"/>
      <c r="O121" s="867"/>
    </row>
    <row r="122" spans="2:15" ht="18.75" x14ac:dyDescent="0.25">
      <c r="B122" s="859" t="s">
        <v>841</v>
      </c>
      <c r="C122" s="864" t="s">
        <v>545</v>
      </c>
      <c r="D122" s="861" t="s">
        <v>2997</v>
      </c>
      <c r="E122" s="865">
        <v>5046</v>
      </c>
      <c r="F122" s="866"/>
      <c r="G122" s="853"/>
      <c r="H122" s="853"/>
      <c r="I122" s="853"/>
      <c r="J122" s="853"/>
      <c r="K122" s="867"/>
      <c r="L122" s="868"/>
      <c r="M122" s="875"/>
      <c r="N122" s="867"/>
      <c r="O122" s="867"/>
    </row>
    <row r="123" spans="2:15" ht="18.75" x14ac:dyDescent="0.25">
      <c r="B123" s="859" t="s">
        <v>842</v>
      </c>
      <c r="C123" s="864" t="s">
        <v>830</v>
      </c>
      <c r="D123" s="861" t="s">
        <v>2997</v>
      </c>
      <c r="E123" s="865">
        <v>4393</v>
      </c>
      <c r="F123" s="866"/>
      <c r="G123" s="853"/>
      <c r="H123" s="853"/>
      <c r="I123" s="853"/>
      <c r="J123" s="853"/>
      <c r="K123" s="867"/>
      <c r="L123" s="868"/>
      <c r="M123" s="875"/>
      <c r="N123" s="867"/>
      <c r="O123" s="867"/>
    </row>
    <row r="124" spans="2:15" ht="31.5" x14ac:dyDescent="0.25">
      <c r="B124" s="859" t="s">
        <v>843</v>
      </c>
      <c r="C124" s="864" t="s">
        <v>808</v>
      </c>
      <c r="D124" s="861" t="s">
        <v>2997</v>
      </c>
      <c r="E124" s="865">
        <v>1523</v>
      </c>
      <c r="F124" s="866"/>
      <c r="G124" s="853"/>
      <c r="H124" s="853"/>
      <c r="I124" s="853"/>
      <c r="J124" s="853"/>
      <c r="K124" s="867"/>
      <c r="L124" s="868"/>
      <c r="M124" s="875"/>
      <c r="N124" s="867"/>
      <c r="O124" s="867"/>
    </row>
    <row r="125" spans="2:15" ht="18.75" x14ac:dyDescent="0.25">
      <c r="B125" s="859" t="s">
        <v>844</v>
      </c>
      <c r="C125" s="864" t="s">
        <v>810</v>
      </c>
      <c r="D125" s="861" t="s">
        <v>2997</v>
      </c>
      <c r="E125" s="865">
        <v>1915</v>
      </c>
      <c r="F125" s="866"/>
      <c r="G125" s="853"/>
      <c r="H125" s="853"/>
      <c r="I125" s="853"/>
      <c r="J125" s="853"/>
      <c r="K125" s="867"/>
      <c r="L125" s="868"/>
      <c r="M125" s="875"/>
      <c r="N125" s="867"/>
      <c r="O125" s="867"/>
    </row>
    <row r="126" spans="2:15" x14ac:dyDescent="0.25">
      <c r="B126" s="859" t="s">
        <v>845</v>
      </c>
      <c r="C126" s="880" t="s">
        <v>846</v>
      </c>
      <c r="D126" s="861"/>
      <c r="E126" s="862"/>
      <c r="F126" s="863"/>
      <c r="G126" s="853"/>
      <c r="H126" s="853"/>
      <c r="I126" s="853"/>
      <c r="J126" s="853"/>
      <c r="K126" s="867"/>
      <c r="L126" s="868"/>
      <c r="M126" s="875"/>
      <c r="N126" s="867"/>
      <c r="O126" s="867"/>
    </row>
    <row r="127" spans="2:15" x14ac:dyDescent="0.25">
      <c r="B127" s="859" t="s">
        <v>847</v>
      </c>
      <c r="C127" s="860" t="s">
        <v>848</v>
      </c>
      <c r="D127" s="861"/>
      <c r="E127" s="862"/>
      <c r="F127" s="863"/>
      <c r="G127" s="853"/>
      <c r="H127" s="853"/>
      <c r="I127" s="853"/>
      <c r="J127" s="853"/>
      <c r="K127" s="867"/>
      <c r="L127" s="868"/>
      <c r="M127" s="875"/>
      <c r="N127" s="867"/>
      <c r="O127" s="867"/>
    </row>
    <row r="128" spans="2:15" ht="18.75" x14ac:dyDescent="0.25">
      <c r="B128" s="859" t="s">
        <v>849</v>
      </c>
      <c r="C128" s="864" t="s">
        <v>850</v>
      </c>
      <c r="D128" s="861" t="s">
        <v>2997</v>
      </c>
      <c r="E128" s="865">
        <v>2008</v>
      </c>
      <c r="F128" s="866"/>
      <c r="G128" s="853"/>
      <c r="H128" s="853"/>
      <c r="I128" s="853"/>
      <c r="J128" s="853"/>
      <c r="K128" s="867"/>
      <c r="L128" s="868"/>
      <c r="M128" s="885"/>
      <c r="N128" s="867"/>
      <c r="O128" s="867"/>
    </row>
    <row r="129" spans="2:15" ht="18.75" x14ac:dyDescent="0.25">
      <c r="B129" s="859" t="s">
        <v>851</v>
      </c>
      <c r="C129" s="864" t="s">
        <v>852</v>
      </c>
      <c r="D129" s="861" t="s">
        <v>2997</v>
      </c>
      <c r="E129" s="865">
        <v>1577</v>
      </c>
      <c r="F129" s="866"/>
      <c r="G129" s="853"/>
      <c r="H129" s="853"/>
      <c r="I129" s="853"/>
      <c r="J129" s="853"/>
      <c r="K129" s="867"/>
      <c r="L129" s="868"/>
      <c r="M129" s="875"/>
      <c r="N129" s="867"/>
      <c r="O129" s="867"/>
    </row>
    <row r="130" spans="2:15" ht="18.75" x14ac:dyDescent="0.25">
      <c r="B130" s="859" t="s">
        <v>853</v>
      </c>
      <c r="C130" s="864" t="s">
        <v>854</v>
      </c>
      <c r="D130" s="861" t="s">
        <v>2997</v>
      </c>
      <c r="E130" s="865">
        <v>1146</v>
      </c>
      <c r="F130" s="866"/>
      <c r="G130" s="853"/>
      <c r="H130" s="853"/>
      <c r="I130" s="853"/>
      <c r="J130" s="853"/>
      <c r="K130" s="867"/>
      <c r="L130" s="868"/>
      <c r="M130" s="885"/>
      <c r="N130" s="867"/>
      <c r="O130" s="867"/>
    </row>
    <row r="131" spans="2:15" x14ac:dyDescent="0.25">
      <c r="B131" s="859" t="s">
        <v>855</v>
      </c>
      <c r="C131" s="860" t="s">
        <v>856</v>
      </c>
      <c r="D131" s="861"/>
      <c r="E131" s="862"/>
      <c r="F131" s="863"/>
      <c r="G131" s="853"/>
      <c r="H131" s="853"/>
      <c r="I131" s="853"/>
      <c r="J131" s="853"/>
      <c r="K131" s="867"/>
      <c r="L131" s="868"/>
      <c r="M131" s="884"/>
      <c r="N131" s="867"/>
      <c r="O131" s="867"/>
    </row>
    <row r="132" spans="2:15" ht="19.5" thickBot="1" x14ac:dyDescent="0.3">
      <c r="B132" s="859" t="s">
        <v>857</v>
      </c>
      <c r="C132" s="864" t="s">
        <v>858</v>
      </c>
      <c r="D132" s="861" t="s">
        <v>2997</v>
      </c>
      <c r="E132" s="862">
        <v>231</v>
      </c>
      <c r="F132" s="863"/>
      <c r="G132" s="853"/>
      <c r="H132" s="853"/>
      <c r="I132" s="853"/>
      <c r="J132" s="873"/>
      <c r="K132" s="867"/>
      <c r="L132" s="868"/>
      <c r="M132" s="886"/>
      <c r="N132" s="867"/>
      <c r="O132" s="867"/>
    </row>
    <row r="133" spans="2:15" x14ac:dyDescent="0.25">
      <c r="B133" s="859" t="s">
        <v>859</v>
      </c>
      <c r="C133" s="864" t="s">
        <v>860</v>
      </c>
      <c r="D133" s="861" t="s">
        <v>861</v>
      </c>
      <c r="E133" s="865">
        <v>7342</v>
      </c>
      <c r="F133" s="866"/>
      <c r="G133" s="853"/>
      <c r="H133" s="853"/>
      <c r="I133" s="853"/>
      <c r="J133" s="853"/>
      <c r="K133" s="867"/>
      <c r="L133" s="868"/>
      <c r="M133" s="887"/>
      <c r="N133" s="867"/>
      <c r="O133" s="867"/>
    </row>
    <row r="134" spans="2:15" x14ac:dyDescent="0.25">
      <c r="B134" s="859" t="s">
        <v>862</v>
      </c>
      <c r="C134" s="864" t="s">
        <v>863</v>
      </c>
      <c r="D134" s="861" t="s">
        <v>861</v>
      </c>
      <c r="E134" s="865">
        <v>8707</v>
      </c>
      <c r="F134" s="866"/>
      <c r="G134" s="853"/>
      <c r="H134" s="853"/>
      <c r="I134" s="853"/>
      <c r="J134" s="853"/>
      <c r="K134" s="867"/>
      <c r="L134" s="868"/>
      <c r="M134" s="887"/>
      <c r="N134" s="867"/>
      <c r="O134" s="867"/>
    </row>
    <row r="135" spans="2:15" x14ac:dyDescent="0.25">
      <c r="B135" s="859" t="s">
        <v>864</v>
      </c>
      <c r="C135" s="864" t="s">
        <v>865</v>
      </c>
      <c r="D135" s="861" t="s">
        <v>861</v>
      </c>
      <c r="E135" s="865">
        <v>10703</v>
      </c>
      <c r="F135" s="866"/>
      <c r="G135" s="853"/>
      <c r="H135" s="853"/>
      <c r="I135" s="853"/>
      <c r="J135" s="853"/>
      <c r="K135" s="867"/>
      <c r="L135" s="868"/>
      <c r="M135" s="887"/>
      <c r="N135" s="867"/>
      <c r="O135" s="867"/>
    </row>
    <row r="136" spans="2:15" x14ac:dyDescent="0.25">
      <c r="B136" s="859" t="s">
        <v>866</v>
      </c>
      <c r="C136" s="864" t="s">
        <v>867</v>
      </c>
      <c r="D136" s="861" t="s">
        <v>861</v>
      </c>
      <c r="E136" s="865">
        <v>1533</v>
      </c>
      <c r="F136" s="866"/>
      <c r="G136" s="853"/>
      <c r="H136" s="853"/>
      <c r="I136" s="853"/>
      <c r="J136" s="853"/>
      <c r="K136" s="867"/>
      <c r="L136" s="868"/>
      <c r="M136" s="887"/>
      <c r="N136" s="867"/>
      <c r="O136" s="867"/>
    </row>
    <row r="137" spans="2:15" x14ac:dyDescent="0.25">
      <c r="B137" s="859" t="s">
        <v>868</v>
      </c>
      <c r="C137" s="864" t="s">
        <v>869</v>
      </c>
      <c r="D137" s="861" t="s">
        <v>861</v>
      </c>
      <c r="E137" s="865">
        <v>3860</v>
      </c>
      <c r="F137" s="866"/>
      <c r="G137" s="853"/>
      <c r="H137" s="853"/>
      <c r="I137" s="853"/>
      <c r="J137" s="853"/>
      <c r="K137" s="867"/>
      <c r="L137" s="868"/>
      <c r="M137" s="887"/>
      <c r="N137" s="867"/>
      <c r="O137" s="867"/>
    </row>
    <row r="138" spans="2:15" x14ac:dyDescent="0.25">
      <c r="B138" s="859" t="s">
        <v>870</v>
      </c>
      <c r="C138" s="864" t="s">
        <v>871</v>
      </c>
      <c r="D138" s="861" t="s">
        <v>861</v>
      </c>
      <c r="E138" s="865">
        <v>3379</v>
      </c>
      <c r="F138" s="866"/>
      <c r="G138" s="853"/>
      <c r="H138" s="853"/>
      <c r="I138" s="853"/>
      <c r="J138" s="853"/>
      <c r="K138" s="867"/>
      <c r="L138" s="868"/>
      <c r="M138" s="875"/>
      <c r="N138" s="867"/>
      <c r="O138" s="867"/>
    </row>
    <row r="139" spans="2:15" x14ac:dyDescent="0.25">
      <c r="B139" s="859" t="s">
        <v>872</v>
      </c>
      <c r="C139" s="864" t="s">
        <v>873</v>
      </c>
      <c r="D139" s="861" t="s">
        <v>861</v>
      </c>
      <c r="E139" s="862">
        <v>267</v>
      </c>
      <c r="F139" s="863"/>
      <c r="G139" s="853"/>
      <c r="H139" s="853"/>
      <c r="I139" s="853"/>
      <c r="J139" s="853"/>
      <c r="K139" s="867"/>
      <c r="L139" s="868"/>
      <c r="M139" s="875"/>
      <c r="N139" s="867"/>
      <c r="O139" s="867"/>
    </row>
    <row r="140" spans="2:15" x14ac:dyDescent="0.25">
      <c r="B140" s="859" t="s">
        <v>874</v>
      </c>
      <c r="C140" s="864" t="s">
        <v>875</v>
      </c>
      <c r="D140" s="861" t="s">
        <v>861</v>
      </c>
      <c r="E140" s="862">
        <v>945</v>
      </c>
      <c r="F140" s="863"/>
      <c r="G140" s="853"/>
      <c r="H140" s="853"/>
      <c r="I140" s="853"/>
      <c r="J140" s="853"/>
      <c r="K140" s="867"/>
      <c r="L140" s="868"/>
      <c r="M140" s="875"/>
      <c r="N140" s="867"/>
      <c r="O140" s="867"/>
    </row>
    <row r="141" spans="2:15" x14ac:dyDescent="0.25">
      <c r="B141" s="859" t="s">
        <v>876</v>
      </c>
      <c r="C141" s="864" t="s">
        <v>877</v>
      </c>
      <c r="D141" s="861" t="s">
        <v>861</v>
      </c>
      <c r="E141" s="862">
        <v>180</v>
      </c>
      <c r="F141" s="863"/>
      <c r="G141" s="853"/>
      <c r="H141" s="853"/>
      <c r="I141" s="853"/>
      <c r="J141" s="853"/>
      <c r="K141" s="867"/>
      <c r="L141" s="868"/>
      <c r="M141" s="875"/>
      <c r="N141" s="867"/>
      <c r="O141" s="867"/>
    </row>
    <row r="142" spans="2:15" x14ac:dyDescent="0.25">
      <c r="B142" s="859" t="s">
        <v>878</v>
      </c>
      <c r="C142" s="864" t="s">
        <v>879</v>
      </c>
      <c r="D142" s="861" t="s">
        <v>861</v>
      </c>
      <c r="E142" s="865">
        <v>3945</v>
      </c>
      <c r="F142" s="866"/>
      <c r="G142" s="853"/>
      <c r="H142" s="853"/>
      <c r="I142" s="853"/>
      <c r="J142" s="853"/>
      <c r="K142" s="867"/>
      <c r="L142" s="868"/>
      <c r="M142" s="875"/>
      <c r="N142" s="867"/>
      <c r="O142" s="867"/>
    </row>
    <row r="143" spans="2:15" x14ac:dyDescent="0.25">
      <c r="B143" s="859" t="s">
        <v>880</v>
      </c>
      <c r="C143" s="880" t="s">
        <v>881</v>
      </c>
      <c r="D143" s="861"/>
      <c r="E143" s="862"/>
      <c r="F143" s="863"/>
      <c r="G143" s="853"/>
      <c r="H143" s="853"/>
      <c r="I143" s="853"/>
      <c r="J143" s="853"/>
      <c r="K143" s="867"/>
      <c r="L143" s="868"/>
      <c r="M143" s="875"/>
      <c r="N143" s="867"/>
      <c r="O143" s="867"/>
    </row>
    <row r="144" spans="2:15" ht="31.5" x14ac:dyDescent="0.25">
      <c r="B144" s="859" t="s">
        <v>882</v>
      </c>
      <c r="C144" s="860" t="s">
        <v>883</v>
      </c>
      <c r="D144" s="861"/>
      <c r="E144" s="862"/>
      <c r="F144" s="863"/>
      <c r="G144" s="853"/>
      <c r="H144" s="853"/>
      <c r="I144" s="853"/>
      <c r="J144" s="853"/>
      <c r="K144" s="867"/>
      <c r="L144" s="868"/>
      <c r="M144" s="875"/>
      <c r="N144" s="867"/>
      <c r="O144" s="867"/>
    </row>
    <row r="145" spans="2:15" x14ac:dyDescent="0.25">
      <c r="B145" s="859" t="s">
        <v>884</v>
      </c>
      <c r="C145" s="864" t="s">
        <v>885</v>
      </c>
      <c r="D145" s="861" t="s">
        <v>861</v>
      </c>
      <c r="E145" s="865">
        <v>35905</v>
      </c>
      <c r="F145" s="866"/>
      <c r="G145" s="853"/>
      <c r="H145" s="853"/>
      <c r="I145" s="853"/>
      <c r="J145" s="853"/>
      <c r="K145" s="867"/>
      <c r="L145" s="868"/>
      <c r="M145" s="875"/>
      <c r="N145" s="867"/>
      <c r="O145" s="867"/>
    </row>
    <row r="146" spans="2:15" x14ac:dyDescent="0.25">
      <c r="B146" s="859" t="s">
        <v>886</v>
      </c>
      <c r="C146" s="864" t="s">
        <v>887</v>
      </c>
      <c r="D146" s="861" t="s">
        <v>861</v>
      </c>
      <c r="E146" s="865">
        <v>30031</v>
      </c>
      <c r="F146" s="866"/>
      <c r="G146" s="853"/>
      <c r="H146" s="853"/>
      <c r="I146" s="853"/>
      <c r="J146" s="853"/>
      <c r="K146" s="867"/>
      <c r="L146" s="868"/>
      <c r="M146" s="875"/>
      <c r="N146" s="867"/>
      <c r="O146" s="867"/>
    </row>
    <row r="147" spans="2:15" x14ac:dyDescent="0.25">
      <c r="B147" s="859" t="s">
        <v>888</v>
      </c>
      <c r="C147" s="864" t="s">
        <v>889</v>
      </c>
      <c r="D147" s="861" t="s">
        <v>861</v>
      </c>
      <c r="E147" s="865">
        <v>26251</v>
      </c>
      <c r="F147" s="866"/>
      <c r="G147" s="853"/>
      <c r="H147" s="853"/>
      <c r="I147" s="853"/>
      <c r="J147" s="853"/>
      <c r="K147" s="867"/>
      <c r="L147" s="868"/>
      <c r="M147" s="875"/>
      <c r="N147" s="867"/>
      <c r="O147" s="867"/>
    </row>
    <row r="148" spans="2:15" ht="16.5" x14ac:dyDescent="0.3">
      <c r="B148" s="859" t="s">
        <v>890</v>
      </c>
      <c r="C148" s="864" t="s">
        <v>891</v>
      </c>
      <c r="D148" s="861" t="s">
        <v>861</v>
      </c>
      <c r="E148" s="865">
        <v>21288</v>
      </c>
      <c r="F148" s="866"/>
      <c r="G148" s="853"/>
      <c r="H148" s="853"/>
      <c r="I148" s="853"/>
      <c r="J148" s="853"/>
      <c r="K148" s="867"/>
      <c r="L148" s="868"/>
      <c r="M148" s="888"/>
      <c r="N148" s="867"/>
      <c r="O148" s="867"/>
    </row>
    <row r="149" spans="2:15" x14ac:dyDescent="0.25">
      <c r="B149" s="859" t="s">
        <v>892</v>
      </c>
      <c r="C149" s="864" t="s">
        <v>893</v>
      </c>
      <c r="D149" s="861" t="s">
        <v>861</v>
      </c>
      <c r="E149" s="865">
        <v>19753</v>
      </c>
      <c r="F149" s="866"/>
      <c r="G149" s="853"/>
      <c r="H149" s="853"/>
      <c r="I149" s="853"/>
      <c r="J149" s="853"/>
      <c r="K149" s="867"/>
      <c r="L149" s="868"/>
      <c r="M149" s="869"/>
      <c r="N149" s="867"/>
      <c r="O149" s="867"/>
    </row>
    <row r="150" spans="2:15" x14ac:dyDescent="0.25">
      <c r="B150" s="859" t="s">
        <v>894</v>
      </c>
      <c r="C150" s="864" t="s">
        <v>895</v>
      </c>
      <c r="D150" s="861" t="s">
        <v>861</v>
      </c>
      <c r="E150" s="865">
        <v>18346</v>
      </c>
      <c r="F150" s="866"/>
      <c r="G150" s="853"/>
      <c r="H150" s="853"/>
      <c r="I150" s="853"/>
      <c r="J150" s="853"/>
      <c r="K150" s="867"/>
      <c r="L150" s="868"/>
      <c r="M150" s="875"/>
      <c r="N150" s="867"/>
      <c r="O150" s="867"/>
    </row>
    <row r="151" spans="2:15" x14ac:dyDescent="0.25">
      <c r="B151" s="859" t="s">
        <v>896</v>
      </c>
      <c r="C151" s="864" t="s">
        <v>897</v>
      </c>
      <c r="D151" s="861" t="s">
        <v>861</v>
      </c>
      <c r="E151" s="865">
        <v>22349</v>
      </c>
      <c r="F151" s="866"/>
      <c r="G151" s="853"/>
      <c r="H151" s="853"/>
      <c r="I151" s="853"/>
      <c r="J151" s="853"/>
      <c r="K151" s="867"/>
      <c r="L151" s="868"/>
      <c r="M151" s="875"/>
      <c r="N151" s="867"/>
      <c r="O151" s="867"/>
    </row>
    <row r="152" spans="2:15" x14ac:dyDescent="0.25">
      <c r="B152" s="859" t="s">
        <v>898</v>
      </c>
      <c r="C152" s="864" t="s">
        <v>899</v>
      </c>
      <c r="D152" s="861" t="s">
        <v>861</v>
      </c>
      <c r="E152" s="865">
        <v>25821</v>
      </c>
      <c r="F152" s="866"/>
      <c r="G152" s="853"/>
      <c r="H152" s="853"/>
      <c r="I152" s="853"/>
      <c r="J152" s="853"/>
      <c r="K152" s="867"/>
      <c r="L152" s="868"/>
      <c r="M152" s="867"/>
      <c r="N152" s="867"/>
      <c r="O152" s="867"/>
    </row>
    <row r="153" spans="2:15" x14ac:dyDescent="0.25">
      <c r="B153" s="859" t="s">
        <v>900</v>
      </c>
      <c r="C153" s="880" t="s">
        <v>901</v>
      </c>
      <c r="D153" s="861"/>
      <c r="E153" s="862"/>
      <c r="F153" s="863"/>
      <c r="G153" s="853"/>
      <c r="H153" s="853"/>
      <c r="I153" s="853"/>
      <c r="J153" s="853"/>
      <c r="K153" s="867"/>
      <c r="L153" s="868"/>
      <c r="M153" s="867"/>
      <c r="N153" s="867"/>
      <c r="O153" s="867"/>
    </row>
    <row r="154" spans="2:15" x14ac:dyDescent="0.25">
      <c r="B154" s="859" t="s">
        <v>902</v>
      </c>
      <c r="C154" s="864" t="s">
        <v>903</v>
      </c>
      <c r="D154" s="861" t="s">
        <v>904</v>
      </c>
      <c r="E154" s="862">
        <v>956</v>
      </c>
      <c r="F154" s="863"/>
      <c r="G154" s="853"/>
      <c r="H154" s="853"/>
      <c r="I154" s="853"/>
      <c r="J154" s="853"/>
      <c r="K154" s="867"/>
      <c r="L154" s="868"/>
      <c r="M154" s="867"/>
      <c r="N154" s="867"/>
      <c r="O154" s="867"/>
    </row>
    <row r="155" spans="2:15" x14ac:dyDescent="0.25">
      <c r="B155" s="859" t="s">
        <v>905</v>
      </c>
      <c r="C155" s="864" t="s">
        <v>906</v>
      </c>
      <c r="D155" s="861" t="s">
        <v>904</v>
      </c>
      <c r="E155" s="865">
        <v>1119</v>
      </c>
      <c r="F155" s="866"/>
      <c r="G155" s="853"/>
      <c r="H155" s="853"/>
      <c r="I155" s="853"/>
      <c r="J155" s="853"/>
      <c r="K155" s="867"/>
      <c r="L155" s="868"/>
      <c r="M155" s="867"/>
      <c r="N155" s="867"/>
      <c r="O155" s="867"/>
    </row>
    <row r="156" spans="2:15" x14ac:dyDescent="0.25">
      <c r="B156" s="859" t="s">
        <v>907</v>
      </c>
      <c r="C156" s="880" t="s">
        <v>908</v>
      </c>
      <c r="D156" s="861"/>
      <c r="E156" s="862"/>
      <c r="F156" s="863"/>
      <c r="G156" s="853"/>
      <c r="H156" s="853"/>
      <c r="I156" s="853"/>
      <c r="J156" s="853"/>
      <c r="K156" s="867"/>
      <c r="L156" s="868"/>
      <c r="M156" s="867"/>
      <c r="N156" s="867"/>
      <c r="O156" s="867"/>
    </row>
    <row r="157" spans="2:15" ht="31.5" x14ac:dyDescent="0.25">
      <c r="B157" s="859" t="s">
        <v>909</v>
      </c>
      <c r="C157" s="860" t="s">
        <v>910</v>
      </c>
      <c r="D157" s="861"/>
      <c r="E157" s="862"/>
      <c r="F157" s="863"/>
      <c r="G157" s="853"/>
      <c r="H157" s="853"/>
      <c r="I157" s="853"/>
      <c r="J157" s="853"/>
      <c r="K157" s="867"/>
      <c r="L157" s="868"/>
      <c r="M157" s="867"/>
      <c r="N157" s="867"/>
      <c r="O157" s="867"/>
    </row>
    <row r="158" spans="2:15" x14ac:dyDescent="0.25">
      <c r="B158" s="859" t="s">
        <v>911</v>
      </c>
      <c r="C158" s="864" t="s">
        <v>912</v>
      </c>
      <c r="D158" s="861" t="s">
        <v>861</v>
      </c>
      <c r="E158" s="865">
        <v>3221</v>
      </c>
      <c r="F158" s="866"/>
      <c r="G158" s="853"/>
      <c r="H158" s="853"/>
      <c r="I158" s="853"/>
      <c r="J158" s="853"/>
      <c r="K158" s="867"/>
      <c r="L158" s="868"/>
      <c r="M158" s="867"/>
      <c r="N158" s="867"/>
      <c r="O158" s="867"/>
    </row>
    <row r="159" spans="2:15" x14ac:dyDescent="0.25">
      <c r="B159" s="859" t="s">
        <v>913</v>
      </c>
      <c r="C159" s="864" t="s">
        <v>914</v>
      </c>
      <c r="D159" s="861" t="s">
        <v>861</v>
      </c>
      <c r="E159" s="865">
        <v>3221</v>
      </c>
      <c r="F159" s="866"/>
      <c r="G159" s="853"/>
      <c r="H159" s="853"/>
      <c r="I159" s="853"/>
      <c r="J159" s="853"/>
      <c r="K159" s="867"/>
      <c r="L159" s="868"/>
      <c r="M159" s="867"/>
      <c r="N159" s="867"/>
      <c r="O159" s="867"/>
    </row>
    <row r="160" spans="2:15" ht="31.5" x14ac:dyDescent="0.25">
      <c r="B160" s="859" t="s">
        <v>915</v>
      </c>
      <c r="C160" s="864" t="s">
        <v>916</v>
      </c>
      <c r="D160" s="861" t="s">
        <v>861</v>
      </c>
      <c r="E160" s="865">
        <v>3221</v>
      </c>
      <c r="F160" s="866"/>
      <c r="G160" s="853"/>
      <c r="H160" s="853"/>
      <c r="I160" s="853"/>
      <c r="J160" s="853"/>
      <c r="K160" s="867"/>
      <c r="L160" s="868"/>
      <c r="M160" s="867"/>
      <c r="N160" s="867"/>
      <c r="O160" s="867"/>
    </row>
    <row r="161" spans="2:15" ht="31.5" x14ac:dyDescent="0.25">
      <c r="B161" s="859" t="s">
        <v>917</v>
      </c>
      <c r="C161" s="864" t="s">
        <v>918</v>
      </c>
      <c r="D161" s="861" t="s">
        <v>861</v>
      </c>
      <c r="E161" s="865">
        <v>3915</v>
      </c>
      <c r="F161" s="866"/>
      <c r="G161" s="853"/>
      <c r="H161" s="853"/>
      <c r="I161" s="853"/>
      <c r="J161" s="853"/>
      <c r="K161" s="867"/>
      <c r="L161" s="868"/>
      <c r="M161" s="867"/>
      <c r="N161" s="867"/>
      <c r="O161" s="867"/>
    </row>
    <row r="162" spans="2:15" x14ac:dyDescent="0.25">
      <c r="B162" s="859" t="s">
        <v>919</v>
      </c>
      <c r="C162" s="864" t="s">
        <v>920</v>
      </c>
      <c r="D162" s="861" t="s">
        <v>861</v>
      </c>
      <c r="E162" s="865">
        <v>4343</v>
      </c>
      <c r="F162" s="866"/>
      <c r="G162" s="853"/>
      <c r="H162" s="853"/>
      <c r="I162" s="853"/>
      <c r="J162" s="853"/>
      <c r="K162" s="853"/>
      <c r="M162" s="853"/>
      <c r="N162" s="853"/>
      <c r="O162" s="853"/>
    </row>
    <row r="163" spans="2:15" x14ac:dyDescent="0.25">
      <c r="B163" s="859" t="s">
        <v>921</v>
      </c>
      <c r="C163" s="860" t="s">
        <v>922</v>
      </c>
      <c r="D163" s="861"/>
      <c r="E163" s="862"/>
      <c r="F163" s="863"/>
      <c r="G163" s="853"/>
      <c r="H163" s="853"/>
      <c r="I163" s="853"/>
      <c r="J163" s="853"/>
      <c r="K163" s="853"/>
      <c r="M163" s="853"/>
      <c r="N163" s="853"/>
      <c r="O163" s="853"/>
    </row>
    <row r="164" spans="2:15" ht="31.5" x14ac:dyDescent="0.25">
      <c r="B164" s="859" t="s">
        <v>923</v>
      </c>
      <c r="C164" s="864" t="s">
        <v>924</v>
      </c>
      <c r="D164" s="861" t="s">
        <v>861</v>
      </c>
      <c r="E164" s="865">
        <v>3638</v>
      </c>
      <c r="F164" s="866"/>
      <c r="G164" s="853"/>
      <c r="H164" s="853"/>
      <c r="I164" s="853"/>
      <c r="J164" s="853"/>
      <c r="K164" s="853"/>
      <c r="M164" s="853"/>
      <c r="N164" s="853"/>
      <c r="O164" s="853"/>
    </row>
    <row r="165" spans="2:15" x14ac:dyDescent="0.25">
      <c r="B165" s="859" t="s">
        <v>925</v>
      </c>
      <c r="C165" s="864" t="s">
        <v>926</v>
      </c>
      <c r="D165" s="861" t="s">
        <v>861</v>
      </c>
      <c r="E165" s="865">
        <v>4110</v>
      </c>
      <c r="F165" s="866"/>
      <c r="G165" s="853"/>
      <c r="H165" s="853"/>
      <c r="I165" s="853"/>
      <c r="J165" s="853"/>
      <c r="K165" s="853"/>
      <c r="M165" s="853"/>
      <c r="N165" s="853"/>
      <c r="O165" s="853"/>
    </row>
    <row r="166" spans="2:15" x14ac:dyDescent="0.25">
      <c r="B166" s="859" t="s">
        <v>927</v>
      </c>
      <c r="C166" s="864" t="s">
        <v>928</v>
      </c>
      <c r="D166" s="861" t="s">
        <v>861</v>
      </c>
      <c r="E166" s="865">
        <v>4110</v>
      </c>
      <c r="F166" s="866"/>
      <c r="G166" s="853"/>
      <c r="H166" s="853"/>
      <c r="I166" s="853"/>
      <c r="J166" s="853"/>
      <c r="K166" s="853"/>
      <c r="M166" s="853"/>
      <c r="N166" s="853"/>
      <c r="O166" s="853"/>
    </row>
    <row r="167" spans="2:15" x14ac:dyDescent="0.25">
      <c r="B167" s="859" t="s">
        <v>929</v>
      </c>
      <c r="C167" s="864" t="s">
        <v>930</v>
      </c>
      <c r="D167" s="861" t="s">
        <v>861</v>
      </c>
      <c r="E167" s="865">
        <v>4255</v>
      </c>
      <c r="F167" s="866"/>
      <c r="G167" s="853"/>
      <c r="H167" s="853"/>
      <c r="I167" s="853"/>
      <c r="J167" s="853"/>
      <c r="K167" s="853"/>
      <c r="M167" s="853"/>
      <c r="N167" s="853"/>
      <c r="O167" s="853"/>
    </row>
    <row r="168" spans="2:15" x14ac:dyDescent="0.25">
      <c r="B168" s="859" t="s">
        <v>931</v>
      </c>
      <c r="C168" s="864" t="s">
        <v>932</v>
      </c>
      <c r="D168" s="861" t="s">
        <v>861</v>
      </c>
      <c r="E168" s="865">
        <v>4303</v>
      </c>
      <c r="F168" s="866"/>
      <c r="G168" s="853"/>
      <c r="H168" s="853"/>
      <c r="I168" s="853"/>
      <c r="J168" s="853"/>
      <c r="K168" s="853"/>
      <c r="M168" s="853"/>
      <c r="N168" s="853"/>
      <c r="O168" s="853"/>
    </row>
    <row r="169" spans="2:15" x14ac:dyDescent="0.25">
      <c r="B169" s="859" t="s">
        <v>933</v>
      </c>
      <c r="C169" s="864" t="s">
        <v>920</v>
      </c>
      <c r="D169" s="861" t="s">
        <v>861</v>
      </c>
      <c r="E169" s="865">
        <v>4962</v>
      </c>
      <c r="F169" s="866"/>
      <c r="G169" s="853"/>
      <c r="H169" s="853"/>
      <c r="I169" s="853"/>
      <c r="J169" s="853"/>
      <c r="K169" s="853"/>
      <c r="M169" s="853"/>
      <c r="N169" s="853"/>
      <c r="O169" s="853"/>
    </row>
    <row r="170" spans="2:15" ht="31.5" x14ac:dyDescent="0.25">
      <c r="B170" s="859" t="s">
        <v>934</v>
      </c>
      <c r="C170" s="864" t="s">
        <v>935</v>
      </c>
      <c r="D170" s="861" t="s">
        <v>861</v>
      </c>
      <c r="E170" s="865">
        <v>1305</v>
      </c>
      <c r="F170" s="866"/>
      <c r="G170" s="853"/>
      <c r="H170" s="853"/>
      <c r="I170" s="853"/>
      <c r="J170" s="853"/>
      <c r="K170" s="853"/>
      <c r="M170" s="853"/>
      <c r="N170" s="853"/>
      <c r="O170" s="853"/>
    </row>
    <row r="171" spans="2:15" x14ac:dyDescent="0.25">
      <c r="B171" s="859" t="s">
        <v>936</v>
      </c>
      <c r="C171" s="864" t="s">
        <v>937</v>
      </c>
      <c r="D171" s="861" t="s">
        <v>861</v>
      </c>
      <c r="E171" s="865">
        <v>1159</v>
      </c>
      <c r="F171" s="866"/>
      <c r="G171" s="853"/>
      <c r="H171" s="853"/>
      <c r="I171" s="853"/>
      <c r="J171" s="853"/>
      <c r="K171" s="853"/>
      <c r="M171" s="853"/>
      <c r="N171" s="853"/>
      <c r="O171" s="853"/>
    </row>
    <row r="172" spans="2:15" x14ac:dyDescent="0.25">
      <c r="B172" s="859" t="s">
        <v>938</v>
      </c>
      <c r="C172" s="864" t="s">
        <v>939</v>
      </c>
      <c r="D172" s="861" t="s">
        <v>861</v>
      </c>
      <c r="E172" s="865">
        <v>1515</v>
      </c>
      <c r="F172" s="866"/>
      <c r="G172" s="853"/>
      <c r="H172" s="853"/>
      <c r="I172" s="853"/>
      <c r="J172" s="853"/>
      <c r="K172" s="853"/>
      <c r="M172" s="853"/>
      <c r="N172" s="853"/>
      <c r="O172" s="853"/>
    </row>
    <row r="173" spans="2:15" x14ac:dyDescent="0.25">
      <c r="B173" s="859" t="s">
        <v>940</v>
      </c>
      <c r="C173" s="880" t="s">
        <v>941</v>
      </c>
      <c r="D173" s="861"/>
      <c r="E173" s="862"/>
      <c r="F173" s="863"/>
      <c r="G173" s="853"/>
      <c r="H173" s="853"/>
      <c r="I173" s="853"/>
      <c r="J173" s="853"/>
      <c r="K173" s="853"/>
      <c r="M173" s="853"/>
      <c r="N173" s="853"/>
      <c r="O173" s="853"/>
    </row>
    <row r="174" spans="2:15" ht="18.75" x14ac:dyDescent="0.25">
      <c r="B174" s="859" t="s">
        <v>942</v>
      </c>
      <c r="C174" s="864" t="s">
        <v>943</v>
      </c>
      <c r="D174" s="861" t="s">
        <v>2997</v>
      </c>
      <c r="E174" s="865">
        <v>10710</v>
      </c>
      <c r="F174" s="866"/>
      <c r="G174" s="853"/>
      <c r="H174" s="853"/>
      <c r="I174" s="853"/>
      <c r="J174" s="853"/>
      <c r="K174" s="853"/>
      <c r="M174" s="853"/>
      <c r="N174" s="853"/>
      <c r="O174" s="853"/>
    </row>
    <row r="175" spans="2:15" ht="18.75" x14ac:dyDescent="0.25">
      <c r="B175" s="859" t="s">
        <v>944</v>
      </c>
      <c r="C175" s="864" t="s">
        <v>945</v>
      </c>
      <c r="D175" s="861" t="s">
        <v>3003</v>
      </c>
      <c r="E175" s="865">
        <v>12626</v>
      </c>
      <c r="F175" s="866"/>
      <c r="G175" s="853"/>
      <c r="H175" s="853"/>
      <c r="I175" s="853"/>
      <c r="J175" s="853"/>
      <c r="K175" s="853"/>
      <c r="M175" s="853"/>
      <c r="N175" s="853"/>
      <c r="O175" s="853"/>
    </row>
    <row r="176" spans="2:15" ht="18.75" x14ac:dyDescent="0.25">
      <c r="B176" s="859" t="s">
        <v>946</v>
      </c>
      <c r="C176" s="864" t="s">
        <v>947</v>
      </c>
      <c r="D176" s="861" t="s">
        <v>2997</v>
      </c>
      <c r="E176" s="865">
        <v>23489</v>
      </c>
      <c r="F176" s="866"/>
      <c r="G176" s="853"/>
      <c r="H176" s="853"/>
      <c r="I176" s="853"/>
      <c r="J176" s="853"/>
      <c r="K176" s="853"/>
      <c r="M176" s="853"/>
      <c r="N176" s="853"/>
      <c r="O176" s="853"/>
    </row>
    <row r="177" spans="2:15" x14ac:dyDescent="0.25">
      <c r="B177" s="859" t="s">
        <v>948</v>
      </c>
      <c r="C177" s="864" t="s">
        <v>949</v>
      </c>
      <c r="D177" s="861" t="s">
        <v>950</v>
      </c>
      <c r="E177" s="865">
        <v>3018</v>
      </c>
      <c r="F177" s="866"/>
      <c r="G177" s="853"/>
      <c r="H177" s="853"/>
      <c r="I177" s="853"/>
      <c r="J177" s="853"/>
      <c r="K177" s="853"/>
      <c r="M177" s="853"/>
      <c r="N177" s="853"/>
      <c r="O177" s="853"/>
    </row>
    <row r="178" spans="2:15" x14ac:dyDescent="0.25">
      <c r="B178" s="859" t="s">
        <v>951</v>
      </c>
      <c r="C178" s="864" t="s">
        <v>952</v>
      </c>
      <c r="D178" s="861" t="s">
        <v>950</v>
      </c>
      <c r="E178" s="865">
        <v>3366</v>
      </c>
      <c r="F178" s="866"/>
      <c r="G178" s="853"/>
      <c r="H178" s="853"/>
      <c r="I178" s="853"/>
      <c r="J178" s="853"/>
      <c r="K178" s="853"/>
      <c r="M178" s="853"/>
      <c r="N178" s="853"/>
      <c r="O178" s="853"/>
    </row>
    <row r="179" spans="2:15" x14ac:dyDescent="0.25">
      <c r="B179" s="859" t="s">
        <v>953</v>
      </c>
      <c r="C179" s="864" t="s">
        <v>954</v>
      </c>
      <c r="D179" s="861" t="s">
        <v>861</v>
      </c>
      <c r="E179" s="865">
        <v>7587</v>
      </c>
      <c r="F179" s="866"/>
      <c r="G179" s="853"/>
      <c r="H179" s="853"/>
      <c r="I179" s="853"/>
      <c r="J179" s="853"/>
      <c r="K179" s="853"/>
      <c r="M179" s="853"/>
      <c r="N179" s="853"/>
      <c r="O179" s="853"/>
    </row>
    <row r="180" spans="2:15" x14ac:dyDescent="0.25">
      <c r="B180" s="859" t="s">
        <v>955</v>
      </c>
      <c r="C180" s="864" t="s">
        <v>956</v>
      </c>
      <c r="D180" s="861" t="s">
        <v>861</v>
      </c>
      <c r="E180" s="865">
        <v>9896</v>
      </c>
      <c r="F180" s="866"/>
      <c r="G180" s="853"/>
      <c r="H180" s="853"/>
      <c r="I180" s="853"/>
      <c r="J180" s="853"/>
      <c r="K180" s="853"/>
      <c r="M180" s="853"/>
      <c r="N180" s="853"/>
      <c r="O180" s="853"/>
    </row>
    <row r="181" spans="2:15" x14ac:dyDescent="0.25">
      <c r="B181" s="859" t="s">
        <v>957</v>
      </c>
      <c r="C181" s="864" t="s">
        <v>958</v>
      </c>
      <c r="D181" s="861" t="s">
        <v>727</v>
      </c>
      <c r="E181" s="865">
        <v>68869</v>
      </c>
      <c r="F181" s="866"/>
      <c r="G181" s="853"/>
      <c r="H181" s="853"/>
      <c r="I181" s="853"/>
      <c r="J181" s="853"/>
      <c r="K181" s="853"/>
      <c r="M181" s="853"/>
      <c r="N181" s="853"/>
      <c r="O181" s="853"/>
    </row>
    <row r="182" spans="2:15" x14ac:dyDescent="0.25">
      <c r="B182" s="859" t="s">
        <v>959</v>
      </c>
      <c r="C182" s="864" t="s">
        <v>960</v>
      </c>
      <c r="D182" s="861" t="s">
        <v>727</v>
      </c>
      <c r="E182" s="865">
        <v>74514</v>
      </c>
      <c r="F182" s="866"/>
      <c r="G182" s="853"/>
      <c r="H182" s="853"/>
      <c r="I182" s="853"/>
      <c r="J182" s="853"/>
      <c r="K182" s="853"/>
      <c r="M182" s="853"/>
      <c r="N182" s="853"/>
      <c r="O182" s="853"/>
    </row>
    <row r="183" spans="2:15" x14ac:dyDescent="0.25">
      <c r="B183" s="859" t="s">
        <v>961</v>
      </c>
      <c r="C183" s="864" t="s">
        <v>962</v>
      </c>
      <c r="D183" s="861" t="s">
        <v>727</v>
      </c>
      <c r="E183" s="865">
        <v>92300</v>
      </c>
      <c r="F183" s="866"/>
      <c r="G183" s="853"/>
      <c r="H183" s="853"/>
      <c r="I183" s="853"/>
      <c r="J183" s="853"/>
      <c r="K183" s="853"/>
      <c r="M183" s="853"/>
      <c r="N183" s="853"/>
      <c r="O183" s="853"/>
    </row>
    <row r="184" spans="2:15" x14ac:dyDescent="0.25">
      <c r="B184" s="859" t="s">
        <v>963</v>
      </c>
      <c r="C184" s="864" t="s">
        <v>964</v>
      </c>
      <c r="D184" s="861" t="s">
        <v>727</v>
      </c>
      <c r="E184" s="865">
        <v>74514</v>
      </c>
      <c r="F184" s="866"/>
      <c r="G184" s="853"/>
      <c r="H184" s="853"/>
      <c r="I184" s="853"/>
      <c r="J184" s="853"/>
      <c r="K184" s="853"/>
      <c r="M184" s="853"/>
      <c r="N184" s="853"/>
      <c r="O184" s="853"/>
    </row>
    <row r="185" spans="2:15" x14ac:dyDescent="0.25">
      <c r="B185" s="859" t="s">
        <v>965</v>
      </c>
      <c r="C185" s="864" t="s">
        <v>966</v>
      </c>
      <c r="D185" s="861" t="s">
        <v>727</v>
      </c>
      <c r="E185" s="865">
        <v>139765</v>
      </c>
      <c r="F185" s="866"/>
      <c r="G185" s="853"/>
      <c r="H185" s="853"/>
      <c r="I185" s="853"/>
      <c r="J185" s="853"/>
      <c r="K185" s="853"/>
      <c r="M185" s="853"/>
      <c r="N185" s="853"/>
      <c r="O185" s="853"/>
    </row>
    <row r="186" spans="2:15" x14ac:dyDescent="0.25">
      <c r="B186" s="859" t="s">
        <v>967</v>
      </c>
      <c r="C186" s="864" t="s">
        <v>968</v>
      </c>
      <c r="D186" s="861" t="s">
        <v>727</v>
      </c>
      <c r="E186" s="865">
        <v>151154</v>
      </c>
      <c r="F186" s="866"/>
      <c r="G186" s="853"/>
      <c r="H186" s="853"/>
      <c r="I186" s="853"/>
      <c r="J186" s="853"/>
      <c r="K186" s="853"/>
      <c r="M186" s="853"/>
      <c r="N186" s="853"/>
      <c r="O186" s="853"/>
    </row>
    <row r="187" spans="2:15" x14ac:dyDescent="0.25">
      <c r="B187" s="859" t="s">
        <v>969</v>
      </c>
      <c r="C187" s="864" t="s">
        <v>970</v>
      </c>
      <c r="D187" s="861" t="s">
        <v>727</v>
      </c>
      <c r="E187" s="865">
        <v>5555</v>
      </c>
      <c r="F187" s="866"/>
      <c r="G187" s="853"/>
      <c r="H187" s="853"/>
      <c r="I187" s="853"/>
      <c r="J187" s="853"/>
      <c r="K187" s="853"/>
      <c r="M187" s="853"/>
      <c r="N187" s="853"/>
      <c r="O187" s="853"/>
    </row>
    <row r="188" spans="2:15" x14ac:dyDescent="0.25">
      <c r="B188" s="859" t="s">
        <v>971</v>
      </c>
      <c r="C188" s="864" t="s">
        <v>972</v>
      </c>
      <c r="D188" s="861" t="s">
        <v>727</v>
      </c>
      <c r="E188" s="862">
        <v>648</v>
      </c>
      <c r="F188" s="863"/>
      <c r="G188" s="853"/>
      <c r="H188" s="853"/>
      <c r="I188" s="853"/>
      <c r="J188" s="853"/>
      <c r="K188" s="853"/>
      <c r="M188" s="853"/>
      <c r="N188" s="853"/>
      <c r="O188" s="853"/>
    </row>
    <row r="189" spans="2:15" ht="31.5" x14ac:dyDescent="0.25">
      <c r="B189" s="859" t="s">
        <v>973</v>
      </c>
      <c r="C189" s="864" t="s">
        <v>974</v>
      </c>
      <c r="D189" s="861" t="s">
        <v>727</v>
      </c>
      <c r="E189" s="865">
        <v>2227</v>
      </c>
      <c r="F189" s="866"/>
      <c r="G189" s="853"/>
      <c r="H189" s="853"/>
      <c r="I189" s="853"/>
      <c r="J189" s="853"/>
      <c r="K189" s="853"/>
      <c r="M189" s="853"/>
      <c r="N189" s="853"/>
      <c r="O189" s="853"/>
    </row>
    <row r="190" spans="2:15" x14ac:dyDescent="0.25">
      <c r="B190" s="859" t="s">
        <v>975</v>
      </c>
      <c r="C190" s="864" t="s">
        <v>976</v>
      </c>
      <c r="D190" s="861" t="s">
        <v>727</v>
      </c>
      <c r="E190" s="865">
        <v>1092</v>
      </c>
      <c r="F190" s="866"/>
      <c r="G190" s="853"/>
      <c r="H190" s="853"/>
      <c r="I190" s="853"/>
      <c r="J190" s="853"/>
      <c r="K190" s="853"/>
      <c r="M190" s="853"/>
      <c r="N190" s="853"/>
      <c r="O190" s="853"/>
    </row>
    <row r="191" spans="2:15" ht="31.5" x14ac:dyDescent="0.25">
      <c r="B191" s="859" t="s">
        <v>977</v>
      </c>
      <c r="C191" s="864" t="s">
        <v>978</v>
      </c>
      <c r="D191" s="861" t="s">
        <v>950</v>
      </c>
      <c r="E191" s="865">
        <v>43356</v>
      </c>
      <c r="F191" s="866"/>
      <c r="G191" s="853"/>
      <c r="H191" s="853"/>
      <c r="I191" s="853"/>
      <c r="J191" s="853"/>
      <c r="K191" s="853"/>
      <c r="M191" s="853"/>
      <c r="N191" s="853"/>
      <c r="O191" s="853"/>
    </row>
    <row r="192" spans="2:15" ht="31.5" x14ac:dyDescent="0.25">
      <c r="B192" s="859" t="s">
        <v>979</v>
      </c>
      <c r="C192" s="864" t="s">
        <v>980</v>
      </c>
      <c r="D192" s="861" t="s">
        <v>950</v>
      </c>
      <c r="E192" s="865">
        <v>50368</v>
      </c>
      <c r="F192" s="866"/>
      <c r="G192" s="853"/>
      <c r="H192" s="853"/>
      <c r="I192" s="853"/>
      <c r="J192" s="853"/>
      <c r="K192" s="853"/>
      <c r="M192" s="853"/>
      <c r="N192" s="853"/>
      <c r="O192" s="853"/>
    </row>
    <row r="193" spans="2:15" ht="31.5" x14ac:dyDescent="0.25">
      <c r="B193" s="859" t="s">
        <v>981</v>
      </c>
      <c r="C193" s="864" t="s">
        <v>982</v>
      </c>
      <c r="D193" s="861" t="s">
        <v>727</v>
      </c>
      <c r="E193" s="865">
        <v>33569</v>
      </c>
      <c r="F193" s="866"/>
      <c r="G193" s="853"/>
      <c r="H193" s="853"/>
      <c r="I193" s="853"/>
      <c r="J193" s="853"/>
      <c r="K193" s="853"/>
      <c r="M193" s="853"/>
      <c r="N193" s="853"/>
      <c r="O193" s="853"/>
    </row>
    <row r="194" spans="2:15" ht="31.5" x14ac:dyDescent="0.25">
      <c r="B194" s="859" t="s">
        <v>983</v>
      </c>
      <c r="C194" s="864" t="s">
        <v>984</v>
      </c>
      <c r="D194" s="861" t="s">
        <v>950</v>
      </c>
      <c r="E194" s="865">
        <v>54225</v>
      </c>
      <c r="F194" s="866"/>
      <c r="G194" s="853"/>
      <c r="H194" s="853"/>
      <c r="I194" s="853"/>
      <c r="J194" s="853"/>
      <c r="K194" s="853"/>
      <c r="M194" s="853"/>
      <c r="N194" s="853"/>
      <c r="O194" s="853"/>
    </row>
    <row r="195" spans="2:15" ht="31.5" x14ac:dyDescent="0.25">
      <c r="B195" s="859" t="s">
        <v>985</v>
      </c>
      <c r="C195" s="864" t="s">
        <v>986</v>
      </c>
      <c r="D195" s="861" t="s">
        <v>950</v>
      </c>
      <c r="E195" s="865">
        <v>64034</v>
      </c>
      <c r="F195" s="866"/>
      <c r="G195" s="853"/>
      <c r="H195" s="853"/>
      <c r="I195" s="853"/>
      <c r="J195" s="853"/>
      <c r="K195" s="853"/>
      <c r="M195" s="853"/>
      <c r="N195" s="853"/>
      <c r="O195" s="853"/>
    </row>
    <row r="196" spans="2:15" x14ac:dyDescent="0.25">
      <c r="B196" s="859" t="s">
        <v>987</v>
      </c>
      <c r="C196" s="864" t="s">
        <v>988</v>
      </c>
      <c r="D196" s="861" t="s">
        <v>861</v>
      </c>
      <c r="E196" s="865">
        <v>4073</v>
      </c>
      <c r="F196" s="866"/>
      <c r="G196" s="853"/>
      <c r="H196" s="853"/>
      <c r="I196" s="853"/>
      <c r="J196" s="853"/>
      <c r="K196" s="853"/>
      <c r="M196" s="853"/>
      <c r="N196" s="853"/>
      <c r="O196" s="853"/>
    </row>
    <row r="197" spans="2:15" x14ac:dyDescent="0.25">
      <c r="B197" s="859" t="s">
        <v>989</v>
      </c>
      <c r="C197" s="880" t="s">
        <v>990</v>
      </c>
      <c r="D197" s="861"/>
      <c r="E197" s="862"/>
      <c r="F197" s="863"/>
      <c r="G197" s="853"/>
      <c r="H197" s="853"/>
      <c r="I197" s="853"/>
      <c r="J197" s="853"/>
      <c r="K197" s="853"/>
      <c r="M197" s="853"/>
      <c r="N197" s="853"/>
      <c r="O197" s="853"/>
    </row>
    <row r="198" spans="2:15" ht="18.75" x14ac:dyDescent="0.25">
      <c r="B198" s="859" t="s">
        <v>991</v>
      </c>
      <c r="C198" s="864" t="s">
        <v>3066</v>
      </c>
      <c r="D198" s="861" t="s">
        <v>861</v>
      </c>
      <c r="E198" s="865">
        <v>2201</v>
      </c>
      <c r="F198" s="866"/>
      <c r="G198" s="853"/>
      <c r="H198" s="853"/>
      <c r="I198" s="853"/>
      <c r="J198" s="853"/>
      <c r="K198" s="853"/>
      <c r="M198" s="853"/>
      <c r="N198" s="853"/>
      <c r="O198" s="853"/>
    </row>
    <row r="199" spans="2:15" ht="18.75" x14ac:dyDescent="0.25">
      <c r="B199" s="859" t="s">
        <v>993</v>
      </c>
      <c r="C199" s="864" t="s">
        <v>3067</v>
      </c>
      <c r="D199" s="861" t="s">
        <v>861</v>
      </c>
      <c r="E199" s="865">
        <v>2434</v>
      </c>
      <c r="F199" s="866"/>
      <c r="G199" s="853"/>
      <c r="H199" s="853"/>
      <c r="I199" s="853"/>
      <c r="J199" s="853"/>
      <c r="K199" s="853"/>
      <c r="M199" s="853"/>
      <c r="N199" s="853"/>
      <c r="O199" s="853"/>
    </row>
    <row r="200" spans="2:15" ht="18.75" x14ac:dyDescent="0.25">
      <c r="B200" s="859" t="s">
        <v>995</v>
      </c>
      <c r="C200" s="864" t="s">
        <v>3068</v>
      </c>
      <c r="D200" s="861" t="s">
        <v>861</v>
      </c>
      <c r="E200" s="865">
        <v>2667</v>
      </c>
      <c r="F200" s="866"/>
      <c r="G200" s="853"/>
      <c r="H200" s="853"/>
      <c r="I200" s="853"/>
      <c r="J200" s="853"/>
      <c r="K200" s="853"/>
      <c r="M200" s="853"/>
      <c r="N200" s="853"/>
      <c r="O200" s="853"/>
    </row>
    <row r="201" spans="2:15" ht="18.75" x14ac:dyDescent="0.25">
      <c r="B201" s="859" t="s">
        <v>997</v>
      </c>
      <c r="C201" s="864" t="s">
        <v>3069</v>
      </c>
      <c r="D201" s="861" t="s">
        <v>861</v>
      </c>
      <c r="E201" s="865">
        <v>2979</v>
      </c>
      <c r="F201" s="866"/>
      <c r="G201" s="853"/>
      <c r="H201" s="853"/>
      <c r="I201" s="853"/>
      <c r="J201" s="853"/>
      <c r="K201" s="853"/>
      <c r="M201" s="853"/>
      <c r="N201" s="853"/>
      <c r="O201" s="853"/>
    </row>
    <row r="202" spans="2:15" x14ac:dyDescent="0.25">
      <c r="B202" s="859" t="s">
        <v>999</v>
      </c>
      <c r="C202" s="864" t="s">
        <v>1000</v>
      </c>
      <c r="D202" s="861" t="s">
        <v>861</v>
      </c>
      <c r="E202" s="865">
        <v>3674</v>
      </c>
      <c r="F202" s="866"/>
      <c r="G202" s="853"/>
      <c r="H202" s="853"/>
      <c r="I202" s="853"/>
      <c r="J202" s="853"/>
      <c r="K202" s="853"/>
      <c r="M202" s="853"/>
      <c r="N202" s="853"/>
      <c r="O202" s="853"/>
    </row>
    <row r="203" spans="2:15" x14ac:dyDescent="0.25">
      <c r="B203" s="859" t="s">
        <v>1001</v>
      </c>
      <c r="C203" s="864" t="s">
        <v>1002</v>
      </c>
      <c r="D203" s="861" t="s">
        <v>861</v>
      </c>
      <c r="E203" s="862">
        <v>674</v>
      </c>
      <c r="F203" s="863"/>
      <c r="G203" s="853"/>
      <c r="H203" s="853"/>
      <c r="I203" s="853"/>
      <c r="J203" s="853"/>
      <c r="K203" s="853"/>
      <c r="M203" s="853"/>
      <c r="N203" s="853"/>
      <c r="O203" s="853"/>
    </row>
    <row r="204" spans="2:15" x14ac:dyDescent="0.25">
      <c r="B204" s="859" t="s">
        <v>1003</v>
      </c>
      <c r="C204" s="864" t="s">
        <v>1004</v>
      </c>
      <c r="D204" s="861" t="s">
        <v>861</v>
      </c>
      <c r="E204" s="862">
        <v>768</v>
      </c>
      <c r="F204" s="863"/>
      <c r="G204" s="853"/>
      <c r="H204" s="853"/>
      <c r="I204" s="853"/>
      <c r="J204" s="853"/>
      <c r="K204" s="853"/>
      <c r="M204" s="853"/>
      <c r="N204" s="853"/>
      <c r="O204" s="853"/>
    </row>
    <row r="205" spans="2:15" x14ac:dyDescent="0.25">
      <c r="B205" s="859" t="s">
        <v>1005</v>
      </c>
      <c r="C205" s="864" t="s">
        <v>1006</v>
      </c>
      <c r="D205" s="861" t="s">
        <v>861</v>
      </c>
      <c r="E205" s="862">
        <v>512</v>
      </c>
      <c r="F205" s="863"/>
      <c r="G205" s="853"/>
      <c r="H205" s="853"/>
      <c r="I205" s="853"/>
      <c r="J205" s="853"/>
      <c r="K205" s="853"/>
      <c r="M205" s="853"/>
      <c r="N205" s="853"/>
      <c r="O205" s="853"/>
    </row>
    <row r="206" spans="2:15" x14ac:dyDescent="0.25">
      <c r="B206" s="859" t="s">
        <v>1007</v>
      </c>
      <c r="C206" s="864" t="s">
        <v>1008</v>
      </c>
      <c r="D206" s="861" t="s">
        <v>861</v>
      </c>
      <c r="E206" s="862">
        <v>520</v>
      </c>
      <c r="F206" s="863"/>
      <c r="G206" s="853"/>
      <c r="H206" s="853"/>
      <c r="I206" s="853"/>
      <c r="J206" s="853"/>
      <c r="K206" s="853"/>
      <c r="M206" s="853"/>
      <c r="N206" s="853"/>
      <c r="O206" s="853"/>
    </row>
    <row r="207" spans="2:15" x14ac:dyDescent="0.25">
      <c r="B207" s="859" t="s">
        <v>1009</v>
      </c>
      <c r="C207" s="864" t="s">
        <v>1010</v>
      </c>
      <c r="D207" s="861" t="s">
        <v>861</v>
      </c>
      <c r="E207" s="862">
        <v>205</v>
      </c>
      <c r="F207" s="863"/>
      <c r="G207" s="853"/>
      <c r="H207" s="853"/>
      <c r="I207" s="853"/>
      <c r="J207" s="853"/>
      <c r="K207" s="853"/>
      <c r="M207" s="853"/>
      <c r="N207" s="853"/>
      <c r="O207" s="853"/>
    </row>
    <row r="208" spans="2:15" ht="31.5" x14ac:dyDescent="0.25">
      <c r="B208" s="859" t="s">
        <v>1011</v>
      </c>
      <c r="C208" s="864" t="s">
        <v>1012</v>
      </c>
      <c r="D208" s="861" t="s">
        <v>861</v>
      </c>
      <c r="E208" s="865">
        <v>1260</v>
      </c>
      <c r="F208" s="866"/>
      <c r="G208" s="853"/>
      <c r="H208" s="853"/>
      <c r="I208" s="853"/>
      <c r="J208" s="853"/>
      <c r="K208" s="853"/>
      <c r="M208" s="853"/>
      <c r="N208" s="853"/>
      <c r="O208" s="853"/>
    </row>
    <row r="209" spans="2:15" x14ac:dyDescent="0.25">
      <c r="B209" s="859" t="s">
        <v>1013</v>
      </c>
      <c r="C209" s="864" t="s">
        <v>1014</v>
      </c>
      <c r="D209" s="861" t="s">
        <v>861</v>
      </c>
      <c r="E209" s="865">
        <v>1166</v>
      </c>
      <c r="F209" s="866"/>
      <c r="G209" s="853"/>
      <c r="H209" s="853"/>
      <c r="I209" s="853"/>
      <c r="J209" s="853"/>
      <c r="K209" s="853"/>
      <c r="M209" s="853"/>
      <c r="N209" s="853"/>
      <c r="O209" s="853"/>
    </row>
    <row r="210" spans="2:15" x14ac:dyDescent="0.25">
      <c r="B210" s="859"/>
      <c r="C210" s="864"/>
      <c r="D210" s="861"/>
      <c r="E210" s="862"/>
      <c r="F210" s="863"/>
      <c r="G210" s="853"/>
      <c r="H210" s="853"/>
      <c r="I210" s="853"/>
      <c r="J210" s="853"/>
      <c r="K210" s="853"/>
      <c r="M210" s="853"/>
      <c r="N210" s="853"/>
      <c r="O210" s="853"/>
    </row>
    <row r="211" spans="2:15" x14ac:dyDescent="0.25">
      <c r="B211" s="859"/>
      <c r="C211" s="871" t="s">
        <v>1015</v>
      </c>
      <c r="D211" s="872"/>
      <c r="E211" s="862"/>
      <c r="F211" s="863"/>
      <c r="G211" s="853"/>
      <c r="H211" s="853"/>
      <c r="I211" s="853"/>
      <c r="J211" s="853"/>
      <c r="K211" s="853"/>
      <c r="M211" s="853"/>
      <c r="N211" s="853"/>
      <c r="O211" s="853"/>
    </row>
    <row r="212" spans="2:15" x14ac:dyDescent="0.25">
      <c r="B212" s="859" t="s">
        <v>1016</v>
      </c>
      <c r="C212" s="880" t="s">
        <v>1017</v>
      </c>
      <c r="D212" s="861"/>
      <c r="E212" s="862"/>
      <c r="F212" s="863"/>
      <c r="G212" s="853"/>
      <c r="H212" s="853"/>
      <c r="I212" s="853"/>
      <c r="J212" s="853"/>
      <c r="K212" s="853"/>
      <c r="M212" s="853"/>
      <c r="N212" s="853"/>
      <c r="O212" s="853"/>
    </row>
    <row r="213" spans="2:15" x14ac:dyDescent="0.25">
      <c r="B213" s="859" t="s">
        <v>1018</v>
      </c>
      <c r="C213" s="864" t="s">
        <v>1019</v>
      </c>
      <c r="D213" s="861" t="s">
        <v>861</v>
      </c>
      <c r="E213" s="865">
        <v>3068</v>
      </c>
      <c r="F213" s="866"/>
      <c r="G213" s="853"/>
      <c r="H213" s="853"/>
      <c r="I213" s="853"/>
      <c r="J213" s="853"/>
      <c r="K213" s="853"/>
      <c r="M213" s="853"/>
      <c r="N213" s="853"/>
      <c r="O213" s="853"/>
    </row>
    <row r="214" spans="2:15" x14ac:dyDescent="0.25">
      <c r="B214" s="859" t="s">
        <v>1020</v>
      </c>
      <c r="C214" s="864" t="s">
        <v>1021</v>
      </c>
      <c r="D214" s="861" t="s">
        <v>861</v>
      </c>
      <c r="E214" s="865">
        <v>2296</v>
      </c>
      <c r="F214" s="866"/>
      <c r="G214" s="853"/>
      <c r="H214" s="853"/>
      <c r="I214" s="853"/>
      <c r="J214" s="853"/>
      <c r="K214" s="853"/>
      <c r="M214" s="853"/>
      <c r="N214" s="853"/>
      <c r="O214" s="853"/>
    </row>
    <row r="215" spans="2:15" x14ac:dyDescent="0.25">
      <c r="B215" s="859" t="s">
        <v>1022</v>
      </c>
      <c r="C215" s="880" t="s">
        <v>1023</v>
      </c>
      <c r="D215" s="861"/>
      <c r="E215" s="862"/>
      <c r="F215" s="863"/>
      <c r="G215" s="853"/>
      <c r="H215" s="853"/>
      <c r="I215" s="853"/>
      <c r="J215" s="853"/>
      <c r="K215" s="853"/>
      <c r="M215" s="853"/>
      <c r="N215" s="853"/>
      <c r="O215" s="853"/>
    </row>
    <row r="216" spans="2:15" ht="31.5" x14ac:dyDescent="0.25">
      <c r="B216" s="859" t="s">
        <v>1024</v>
      </c>
      <c r="C216" s="860" t="s">
        <v>1025</v>
      </c>
      <c r="D216" s="861"/>
      <c r="E216" s="862"/>
      <c r="F216" s="863"/>
      <c r="G216" s="853"/>
      <c r="H216" s="853"/>
      <c r="I216" s="853"/>
      <c r="J216" s="853"/>
      <c r="K216" s="853"/>
      <c r="M216" s="853"/>
      <c r="N216" s="853"/>
      <c r="O216" s="853"/>
    </row>
    <row r="217" spans="2:15" ht="63" x14ac:dyDescent="0.25">
      <c r="B217" s="859" t="s">
        <v>1026</v>
      </c>
      <c r="C217" s="864" t="s">
        <v>1027</v>
      </c>
      <c r="D217" s="861" t="s">
        <v>861</v>
      </c>
      <c r="E217" s="865">
        <v>19800</v>
      </c>
      <c r="F217" s="866"/>
      <c r="G217" s="853"/>
      <c r="H217" s="853"/>
      <c r="I217" s="853"/>
      <c r="J217" s="853"/>
      <c r="K217" s="853"/>
      <c r="M217" s="853"/>
      <c r="N217" s="853"/>
      <c r="O217" s="853"/>
    </row>
    <row r="218" spans="2:15" x14ac:dyDescent="0.25">
      <c r="B218" s="859" t="s">
        <v>1028</v>
      </c>
      <c r="C218" s="864" t="s">
        <v>1029</v>
      </c>
      <c r="D218" s="861" t="s">
        <v>950</v>
      </c>
      <c r="E218" s="865">
        <v>8823</v>
      </c>
      <c r="F218" s="866"/>
      <c r="G218" s="853"/>
      <c r="H218" s="853"/>
      <c r="I218" s="853"/>
      <c r="J218" s="853"/>
      <c r="K218" s="853"/>
      <c r="M218" s="853"/>
      <c r="N218" s="853"/>
      <c r="O218" s="853"/>
    </row>
    <row r="219" spans="2:15" ht="63" x14ac:dyDescent="0.25">
      <c r="B219" s="859" t="s">
        <v>1030</v>
      </c>
      <c r="C219" s="864" t="s">
        <v>1031</v>
      </c>
      <c r="D219" s="861" t="s">
        <v>861</v>
      </c>
      <c r="E219" s="865">
        <v>21970</v>
      </c>
      <c r="F219" s="866"/>
      <c r="G219" s="853"/>
      <c r="H219" s="853"/>
      <c r="I219" s="853"/>
      <c r="J219" s="853"/>
      <c r="K219" s="853"/>
      <c r="M219" s="853"/>
      <c r="N219" s="853"/>
      <c r="O219" s="853"/>
    </row>
    <row r="220" spans="2:15" x14ac:dyDescent="0.25">
      <c r="B220" s="859" t="s">
        <v>1032</v>
      </c>
      <c r="C220" s="864" t="s">
        <v>1029</v>
      </c>
      <c r="D220" s="861" t="s">
        <v>950</v>
      </c>
      <c r="E220" s="865">
        <v>7711</v>
      </c>
      <c r="F220" s="866"/>
      <c r="G220" s="853"/>
      <c r="H220" s="853"/>
      <c r="I220" s="853"/>
      <c r="J220" s="853"/>
      <c r="K220" s="853"/>
      <c r="M220" s="853"/>
      <c r="N220" s="853"/>
      <c r="O220" s="853"/>
    </row>
    <row r="221" spans="2:15" x14ac:dyDescent="0.25">
      <c r="B221" s="859" t="s">
        <v>1033</v>
      </c>
      <c r="C221" s="860" t="s">
        <v>1034</v>
      </c>
      <c r="D221" s="861"/>
      <c r="E221" s="862"/>
      <c r="F221" s="863"/>
      <c r="G221" s="853"/>
      <c r="H221" s="853"/>
      <c r="I221" s="853"/>
      <c r="J221" s="853"/>
      <c r="K221" s="853"/>
      <c r="M221" s="853"/>
      <c r="N221" s="853"/>
      <c r="O221" s="853"/>
    </row>
    <row r="222" spans="2:15" ht="78.75" x14ac:dyDescent="0.25">
      <c r="B222" s="859" t="s">
        <v>1035</v>
      </c>
      <c r="C222" s="864" t="s">
        <v>1036</v>
      </c>
      <c r="D222" s="861" t="s">
        <v>861</v>
      </c>
      <c r="E222" s="865">
        <v>18911</v>
      </c>
      <c r="F222" s="866"/>
      <c r="G222" s="853"/>
      <c r="H222" s="853"/>
      <c r="I222" s="853"/>
      <c r="J222" s="853"/>
      <c r="K222" s="853"/>
      <c r="M222" s="853"/>
      <c r="N222" s="853"/>
      <c r="O222" s="853"/>
    </row>
    <row r="223" spans="2:15" x14ac:dyDescent="0.25">
      <c r="B223" s="859" t="s">
        <v>1037</v>
      </c>
      <c r="C223" s="864" t="s">
        <v>1029</v>
      </c>
      <c r="D223" s="861" t="s">
        <v>950</v>
      </c>
      <c r="E223" s="865">
        <v>7206</v>
      </c>
      <c r="F223" s="866"/>
      <c r="G223" s="853"/>
      <c r="H223" s="853"/>
      <c r="I223" s="853"/>
      <c r="J223" s="853"/>
      <c r="K223" s="853"/>
      <c r="M223" s="853"/>
      <c r="N223" s="853"/>
      <c r="O223" s="853"/>
    </row>
    <row r="224" spans="2:15" ht="63" x14ac:dyDescent="0.25">
      <c r="B224" s="859" t="s">
        <v>1038</v>
      </c>
      <c r="C224" s="864" t="s">
        <v>1039</v>
      </c>
      <c r="D224" s="861" t="s">
        <v>861</v>
      </c>
      <c r="E224" s="865">
        <v>18134</v>
      </c>
      <c r="F224" s="866"/>
      <c r="G224" s="853"/>
      <c r="H224" s="853"/>
      <c r="I224" s="853"/>
      <c r="J224" s="853"/>
      <c r="K224" s="853"/>
      <c r="M224" s="853"/>
      <c r="N224" s="853"/>
      <c r="O224" s="853"/>
    </row>
    <row r="225" spans="2:15" x14ac:dyDescent="0.25">
      <c r="B225" s="859" t="s">
        <v>1040</v>
      </c>
      <c r="C225" s="864" t="s">
        <v>1029</v>
      </c>
      <c r="D225" s="861" t="s">
        <v>950</v>
      </c>
      <c r="E225" s="865">
        <v>9350</v>
      </c>
      <c r="F225" s="866"/>
      <c r="G225" s="853"/>
      <c r="H225" s="853"/>
      <c r="I225" s="853"/>
      <c r="J225" s="853"/>
      <c r="K225" s="853"/>
      <c r="M225" s="853"/>
      <c r="N225" s="853"/>
      <c r="O225" s="853"/>
    </row>
    <row r="226" spans="2:15" x14ac:dyDescent="0.25">
      <c r="B226" s="859" t="s">
        <v>1041</v>
      </c>
      <c r="C226" s="860" t="s">
        <v>1042</v>
      </c>
      <c r="D226" s="861"/>
      <c r="E226" s="862"/>
      <c r="F226" s="863"/>
      <c r="G226" s="853"/>
      <c r="H226" s="853"/>
      <c r="I226" s="853"/>
      <c r="J226" s="853"/>
      <c r="K226" s="853"/>
      <c r="M226" s="853"/>
      <c r="N226" s="853"/>
      <c r="O226" s="853"/>
    </row>
    <row r="227" spans="2:15" ht="63" x14ac:dyDescent="0.25">
      <c r="B227" s="859" t="s">
        <v>1043</v>
      </c>
      <c r="C227" s="864" t="s">
        <v>1044</v>
      </c>
      <c r="D227" s="861" t="s">
        <v>861</v>
      </c>
      <c r="E227" s="865">
        <v>18682</v>
      </c>
      <c r="F227" s="866"/>
      <c r="G227" s="853"/>
      <c r="H227" s="853"/>
      <c r="I227" s="853"/>
      <c r="J227" s="853"/>
      <c r="K227" s="853"/>
      <c r="M227" s="853"/>
      <c r="N227" s="853"/>
      <c r="O227" s="853"/>
    </row>
    <row r="228" spans="2:15" x14ac:dyDescent="0.25">
      <c r="B228" s="859" t="s">
        <v>1045</v>
      </c>
      <c r="C228" s="860" t="s">
        <v>1046</v>
      </c>
      <c r="D228" s="861"/>
      <c r="E228" s="862"/>
      <c r="F228" s="863"/>
      <c r="G228" s="853"/>
      <c r="H228" s="853"/>
      <c r="I228" s="853"/>
      <c r="J228" s="853"/>
      <c r="K228" s="853"/>
      <c r="M228" s="853"/>
      <c r="N228" s="853"/>
      <c r="O228" s="853"/>
    </row>
    <row r="229" spans="2:15" ht="63" x14ac:dyDescent="0.25">
      <c r="B229" s="859" t="s">
        <v>1047</v>
      </c>
      <c r="C229" s="864" t="s">
        <v>1048</v>
      </c>
      <c r="D229" s="861" t="s">
        <v>861</v>
      </c>
      <c r="E229" s="865">
        <v>22865</v>
      </c>
      <c r="F229" s="866"/>
      <c r="G229" s="853"/>
      <c r="H229" s="853"/>
      <c r="I229" s="853"/>
      <c r="J229" s="853"/>
      <c r="K229" s="853"/>
      <c r="M229" s="853"/>
      <c r="N229" s="853"/>
      <c r="O229" s="853"/>
    </row>
    <row r="230" spans="2:15" x14ac:dyDescent="0.25">
      <c r="B230" s="859" t="s">
        <v>1049</v>
      </c>
      <c r="C230" s="860" t="s">
        <v>1050</v>
      </c>
      <c r="D230" s="861"/>
      <c r="E230" s="862"/>
      <c r="F230" s="863"/>
      <c r="G230" s="853"/>
      <c r="H230" s="853"/>
      <c r="I230" s="853"/>
      <c r="J230" s="853"/>
      <c r="K230" s="853"/>
      <c r="M230" s="853"/>
      <c r="N230" s="853"/>
      <c r="O230" s="853"/>
    </row>
    <row r="231" spans="2:15" ht="63" x14ac:dyDescent="0.25">
      <c r="B231" s="859" t="s">
        <v>1051</v>
      </c>
      <c r="C231" s="864" t="s">
        <v>1052</v>
      </c>
      <c r="D231" s="861" t="s">
        <v>861</v>
      </c>
      <c r="E231" s="865">
        <v>33221</v>
      </c>
      <c r="F231" s="866"/>
      <c r="G231" s="853"/>
      <c r="H231" s="853"/>
      <c r="I231" s="853"/>
      <c r="J231" s="853"/>
      <c r="K231" s="853"/>
      <c r="M231" s="853"/>
      <c r="N231" s="853"/>
      <c r="O231" s="853"/>
    </row>
    <row r="232" spans="2:15" ht="31.5" x14ac:dyDescent="0.25">
      <c r="B232" s="859" t="s">
        <v>1053</v>
      </c>
      <c r="C232" s="880" t="s">
        <v>1054</v>
      </c>
      <c r="D232" s="861"/>
      <c r="E232" s="862"/>
      <c r="F232" s="863"/>
      <c r="G232" s="853"/>
      <c r="H232" s="853"/>
      <c r="I232" s="853"/>
      <c r="J232" s="853"/>
      <c r="K232" s="853"/>
      <c r="M232" s="853"/>
      <c r="N232" s="853"/>
      <c r="O232" s="853"/>
    </row>
    <row r="233" spans="2:15" ht="31.5" x14ac:dyDescent="0.25">
      <c r="B233" s="859" t="s">
        <v>1055</v>
      </c>
      <c r="C233" s="860" t="s">
        <v>1025</v>
      </c>
      <c r="D233" s="861"/>
      <c r="E233" s="862"/>
      <c r="F233" s="863"/>
      <c r="G233" s="853"/>
      <c r="H233" s="853"/>
      <c r="I233" s="853"/>
      <c r="J233" s="853"/>
      <c r="K233" s="853"/>
      <c r="M233" s="853"/>
      <c r="N233" s="853"/>
      <c r="O233" s="853"/>
    </row>
    <row r="234" spans="2:15" ht="94.5" x14ac:dyDescent="0.25">
      <c r="B234" s="859" t="s">
        <v>1056</v>
      </c>
      <c r="C234" s="864" t="s">
        <v>1057</v>
      </c>
      <c r="D234" s="861" t="s">
        <v>861</v>
      </c>
      <c r="E234" s="865">
        <v>25236</v>
      </c>
      <c r="F234" s="866"/>
      <c r="G234" s="853"/>
      <c r="H234" s="853"/>
      <c r="I234" s="853"/>
      <c r="J234" s="853"/>
      <c r="K234" s="853"/>
      <c r="M234" s="853"/>
      <c r="N234" s="853"/>
      <c r="O234" s="853"/>
    </row>
    <row r="235" spans="2:15" x14ac:dyDescent="0.25">
      <c r="B235" s="859" t="s">
        <v>1058</v>
      </c>
      <c r="C235" s="864" t="s">
        <v>1029</v>
      </c>
      <c r="D235" s="861" t="s">
        <v>950</v>
      </c>
      <c r="E235" s="865">
        <v>10345</v>
      </c>
      <c r="F235" s="866"/>
      <c r="G235" s="853"/>
      <c r="H235" s="853"/>
      <c r="I235" s="853"/>
      <c r="J235" s="853"/>
      <c r="K235" s="853"/>
      <c r="M235" s="853"/>
      <c r="N235" s="853"/>
      <c r="O235" s="853"/>
    </row>
    <row r="236" spans="2:15" ht="94.5" x14ac:dyDescent="0.25">
      <c r="B236" s="859" t="s">
        <v>1059</v>
      </c>
      <c r="C236" s="864" t="s">
        <v>1060</v>
      </c>
      <c r="D236" s="861" t="s">
        <v>861</v>
      </c>
      <c r="E236" s="865">
        <v>27405</v>
      </c>
      <c r="F236" s="866"/>
      <c r="G236" s="853"/>
      <c r="H236" s="853"/>
      <c r="I236" s="853"/>
      <c r="J236" s="853"/>
      <c r="K236" s="853"/>
      <c r="M236" s="853"/>
      <c r="N236" s="853"/>
      <c r="O236" s="853"/>
    </row>
    <row r="237" spans="2:15" x14ac:dyDescent="0.25">
      <c r="B237" s="859" t="s">
        <v>1061</v>
      </c>
      <c r="C237" s="864" t="s">
        <v>1029</v>
      </c>
      <c r="D237" s="861" t="s">
        <v>950</v>
      </c>
      <c r="E237" s="865">
        <v>9232</v>
      </c>
      <c r="F237" s="866"/>
      <c r="G237" s="853"/>
      <c r="H237" s="853"/>
      <c r="I237" s="853"/>
      <c r="J237" s="853"/>
      <c r="K237" s="853"/>
      <c r="M237" s="853"/>
      <c r="N237" s="853"/>
      <c r="O237" s="853"/>
    </row>
    <row r="238" spans="2:15" x14ac:dyDescent="0.25">
      <c r="B238" s="859" t="s">
        <v>1062</v>
      </c>
      <c r="C238" s="860" t="s">
        <v>1034</v>
      </c>
      <c r="D238" s="861"/>
      <c r="E238" s="862"/>
      <c r="F238" s="863"/>
      <c r="G238" s="853"/>
      <c r="H238" s="853"/>
      <c r="I238" s="853"/>
      <c r="J238" s="853"/>
      <c r="K238" s="853"/>
      <c r="M238" s="853"/>
      <c r="N238" s="853"/>
      <c r="O238" s="853"/>
    </row>
    <row r="239" spans="2:15" ht="78.75" x14ac:dyDescent="0.25">
      <c r="B239" s="859" t="s">
        <v>1063</v>
      </c>
      <c r="C239" s="864" t="s">
        <v>1064</v>
      </c>
      <c r="D239" s="861" t="s">
        <v>861</v>
      </c>
      <c r="E239" s="865">
        <v>24347</v>
      </c>
      <c r="F239" s="866"/>
      <c r="G239" s="853"/>
      <c r="H239" s="853"/>
      <c r="I239" s="853"/>
      <c r="J239" s="853"/>
      <c r="K239" s="853"/>
      <c r="M239" s="853"/>
      <c r="N239" s="853"/>
      <c r="O239" s="853"/>
    </row>
    <row r="240" spans="2:15" x14ac:dyDescent="0.25">
      <c r="B240" s="859" t="s">
        <v>1065</v>
      </c>
      <c r="C240" s="864" t="s">
        <v>1029</v>
      </c>
      <c r="D240" s="861" t="s">
        <v>950</v>
      </c>
      <c r="E240" s="865">
        <v>8727</v>
      </c>
      <c r="F240" s="866"/>
      <c r="G240" s="853"/>
      <c r="H240" s="853"/>
      <c r="I240" s="853"/>
      <c r="J240" s="853"/>
      <c r="K240" s="853"/>
      <c r="M240" s="853"/>
      <c r="N240" s="853"/>
      <c r="O240" s="853"/>
    </row>
    <row r="241" spans="2:15" ht="63" x14ac:dyDescent="0.25">
      <c r="B241" s="859" t="s">
        <v>1066</v>
      </c>
      <c r="C241" s="864" t="s">
        <v>1067</v>
      </c>
      <c r="D241" s="861" t="s">
        <v>861</v>
      </c>
      <c r="E241" s="865">
        <v>23569</v>
      </c>
      <c r="F241" s="866"/>
      <c r="G241" s="853"/>
      <c r="H241" s="853"/>
      <c r="I241" s="853"/>
      <c r="J241" s="853"/>
      <c r="K241" s="853"/>
      <c r="M241" s="853"/>
      <c r="N241" s="853"/>
      <c r="O241" s="853"/>
    </row>
    <row r="242" spans="2:15" x14ac:dyDescent="0.25">
      <c r="B242" s="859" t="s">
        <v>1068</v>
      </c>
      <c r="C242" s="864" t="s">
        <v>1029</v>
      </c>
      <c r="D242" s="861" t="s">
        <v>950</v>
      </c>
      <c r="E242" s="865">
        <v>10871</v>
      </c>
      <c r="F242" s="866"/>
      <c r="G242" s="853"/>
      <c r="H242" s="853"/>
      <c r="I242" s="853"/>
      <c r="J242" s="853"/>
      <c r="K242" s="853"/>
      <c r="M242" s="853"/>
      <c r="N242" s="853"/>
      <c r="O242" s="853"/>
    </row>
    <row r="243" spans="2:15" ht="31.5" x14ac:dyDescent="0.25">
      <c r="B243" s="859" t="s">
        <v>1069</v>
      </c>
      <c r="C243" s="860" t="s">
        <v>1070</v>
      </c>
      <c r="D243" s="861"/>
      <c r="E243" s="862"/>
      <c r="F243" s="863"/>
      <c r="G243" s="853"/>
      <c r="H243" s="853"/>
      <c r="I243" s="853"/>
      <c r="J243" s="853"/>
      <c r="K243" s="853"/>
      <c r="M243" s="853"/>
      <c r="N243" s="853"/>
      <c r="O243" s="853"/>
    </row>
    <row r="244" spans="2:15" ht="78.75" x14ac:dyDescent="0.25">
      <c r="B244" s="859" t="s">
        <v>1071</v>
      </c>
      <c r="C244" s="864" t="s">
        <v>1072</v>
      </c>
      <c r="D244" s="861" t="s">
        <v>861</v>
      </c>
      <c r="E244" s="865">
        <v>22003</v>
      </c>
      <c r="F244" s="866"/>
      <c r="G244" s="853"/>
      <c r="H244" s="853"/>
      <c r="I244" s="853"/>
      <c r="J244" s="853"/>
      <c r="K244" s="853"/>
      <c r="M244" s="853"/>
      <c r="N244" s="853"/>
      <c r="O244" s="853"/>
    </row>
    <row r="245" spans="2:15" ht="63" x14ac:dyDescent="0.25">
      <c r="B245" s="859" t="s">
        <v>1073</v>
      </c>
      <c r="C245" s="864" t="s">
        <v>1074</v>
      </c>
      <c r="D245" s="861" t="s">
        <v>861</v>
      </c>
      <c r="E245" s="865">
        <v>10979</v>
      </c>
      <c r="F245" s="866"/>
      <c r="G245" s="853"/>
      <c r="H245" s="853"/>
      <c r="I245" s="853"/>
      <c r="J245" s="853"/>
      <c r="K245" s="853"/>
      <c r="M245" s="853"/>
      <c r="N245" s="853"/>
      <c r="O245" s="853"/>
    </row>
    <row r="246" spans="2:15" ht="47.25" x14ac:dyDescent="0.25">
      <c r="B246" s="859" t="s">
        <v>1075</v>
      </c>
      <c r="C246" s="864" t="s">
        <v>1076</v>
      </c>
      <c r="D246" s="861" t="s">
        <v>861</v>
      </c>
      <c r="E246" s="865">
        <v>25130</v>
      </c>
      <c r="F246" s="866"/>
      <c r="G246" s="853"/>
      <c r="H246" s="853"/>
      <c r="I246" s="853"/>
      <c r="J246" s="853"/>
      <c r="K246" s="853"/>
      <c r="M246" s="853"/>
      <c r="N246" s="853"/>
      <c r="O246" s="853"/>
    </row>
    <row r="247" spans="2:15" x14ac:dyDescent="0.25">
      <c r="B247" s="859" t="s">
        <v>1077</v>
      </c>
      <c r="C247" s="860" t="s">
        <v>1042</v>
      </c>
      <c r="D247" s="861"/>
      <c r="E247" s="862"/>
      <c r="F247" s="863"/>
      <c r="G247" s="853"/>
      <c r="H247" s="853"/>
      <c r="I247" s="853"/>
      <c r="J247" s="853"/>
      <c r="K247" s="853"/>
      <c r="M247" s="853"/>
      <c r="N247" s="853"/>
      <c r="O247" s="853"/>
    </row>
    <row r="248" spans="2:15" ht="63" x14ac:dyDescent="0.25">
      <c r="B248" s="859" t="s">
        <v>1078</v>
      </c>
      <c r="C248" s="864" t="s">
        <v>1079</v>
      </c>
      <c r="D248" s="861" t="s">
        <v>861</v>
      </c>
      <c r="E248" s="865">
        <v>22003</v>
      </c>
      <c r="F248" s="866"/>
      <c r="G248" s="853"/>
      <c r="H248" s="853"/>
      <c r="I248" s="853"/>
      <c r="J248" s="853"/>
      <c r="K248" s="853"/>
      <c r="M248" s="853"/>
      <c r="N248" s="853"/>
      <c r="O248" s="853"/>
    </row>
    <row r="249" spans="2:15" x14ac:dyDescent="0.25">
      <c r="B249" s="859" t="s">
        <v>1080</v>
      </c>
      <c r="C249" s="860" t="s">
        <v>1046</v>
      </c>
      <c r="D249" s="861"/>
      <c r="E249" s="862"/>
      <c r="F249" s="863"/>
      <c r="G249" s="853"/>
      <c r="H249" s="853"/>
      <c r="I249" s="853"/>
      <c r="J249" s="853"/>
      <c r="K249" s="853"/>
      <c r="M249" s="853"/>
      <c r="N249" s="853"/>
      <c r="O249" s="853"/>
    </row>
    <row r="250" spans="2:15" ht="78.75" x14ac:dyDescent="0.25">
      <c r="B250" s="859" t="s">
        <v>1081</v>
      </c>
      <c r="C250" s="864" t="s">
        <v>1082</v>
      </c>
      <c r="D250" s="861" t="s">
        <v>861</v>
      </c>
      <c r="E250" s="865">
        <v>28627</v>
      </c>
      <c r="F250" s="866"/>
      <c r="G250" s="853"/>
      <c r="H250" s="853"/>
      <c r="I250" s="853"/>
      <c r="J250" s="853"/>
      <c r="K250" s="853"/>
      <c r="M250" s="853"/>
      <c r="N250" s="853"/>
      <c r="O250" s="853"/>
    </row>
    <row r="251" spans="2:15" x14ac:dyDescent="0.25">
      <c r="B251" s="859" t="s">
        <v>1083</v>
      </c>
      <c r="C251" s="860" t="s">
        <v>1050</v>
      </c>
      <c r="D251" s="861"/>
      <c r="E251" s="862"/>
      <c r="F251" s="863"/>
      <c r="G251" s="853"/>
      <c r="H251" s="853"/>
      <c r="I251" s="853"/>
      <c r="J251" s="853"/>
      <c r="K251" s="853"/>
      <c r="M251" s="853"/>
      <c r="N251" s="853"/>
      <c r="O251" s="853"/>
    </row>
    <row r="252" spans="2:15" ht="78.75" x14ac:dyDescent="0.25">
      <c r="B252" s="859" t="s">
        <v>1084</v>
      </c>
      <c r="C252" s="864" t="s">
        <v>1085</v>
      </c>
      <c r="D252" s="861" t="s">
        <v>861</v>
      </c>
      <c r="E252" s="865">
        <v>38657</v>
      </c>
      <c r="F252" s="866"/>
      <c r="G252" s="853"/>
      <c r="H252" s="853"/>
      <c r="I252" s="853"/>
      <c r="J252" s="853"/>
      <c r="K252" s="853"/>
      <c r="M252" s="853"/>
      <c r="N252" s="853"/>
      <c r="O252" s="853"/>
    </row>
    <row r="253" spans="2:15" ht="31.5" x14ac:dyDescent="0.25">
      <c r="B253" s="859" t="s">
        <v>1086</v>
      </c>
      <c r="C253" s="880" t="s">
        <v>1087</v>
      </c>
      <c r="D253" s="861"/>
      <c r="E253" s="862"/>
      <c r="F253" s="863"/>
      <c r="G253" s="853"/>
      <c r="H253" s="853"/>
      <c r="I253" s="853"/>
      <c r="J253" s="853"/>
      <c r="K253" s="853"/>
      <c r="M253" s="853"/>
      <c r="N253" s="853"/>
      <c r="O253" s="853"/>
    </row>
    <row r="254" spans="2:15" ht="31.5" x14ac:dyDescent="0.25">
      <c r="B254" s="859" t="s">
        <v>1088</v>
      </c>
      <c r="C254" s="860" t="s">
        <v>1025</v>
      </c>
      <c r="D254" s="861"/>
      <c r="E254" s="862"/>
      <c r="F254" s="863"/>
      <c r="G254" s="853"/>
      <c r="H254" s="853"/>
      <c r="I254" s="853"/>
      <c r="J254" s="853"/>
      <c r="K254" s="853"/>
      <c r="M254" s="853"/>
      <c r="N254" s="853"/>
      <c r="O254" s="853"/>
    </row>
    <row r="255" spans="2:15" ht="63" x14ac:dyDescent="0.25">
      <c r="B255" s="859" t="s">
        <v>1089</v>
      </c>
      <c r="C255" s="864" t="s">
        <v>1090</v>
      </c>
      <c r="D255" s="861" t="s">
        <v>861</v>
      </c>
      <c r="E255" s="865">
        <v>25604</v>
      </c>
      <c r="F255" s="866"/>
      <c r="G255" s="853"/>
      <c r="H255" s="853"/>
      <c r="I255" s="853"/>
      <c r="J255" s="853"/>
      <c r="K255" s="853"/>
      <c r="M255" s="853"/>
      <c r="N255" s="853"/>
      <c r="O255" s="853"/>
    </row>
    <row r="256" spans="2:15" x14ac:dyDescent="0.25">
      <c r="B256" s="859" t="s">
        <v>1091</v>
      </c>
      <c r="C256" s="864" t="s">
        <v>1092</v>
      </c>
      <c r="D256" s="861" t="s">
        <v>950</v>
      </c>
      <c r="E256" s="865">
        <v>10285</v>
      </c>
      <c r="F256" s="866"/>
      <c r="G256" s="853"/>
      <c r="H256" s="853"/>
      <c r="I256" s="853"/>
      <c r="J256" s="853"/>
      <c r="K256" s="853"/>
      <c r="M256" s="853"/>
      <c r="N256" s="853"/>
      <c r="O256" s="853"/>
    </row>
    <row r="257" spans="2:15" ht="63" x14ac:dyDescent="0.25">
      <c r="B257" s="859" t="s">
        <v>1093</v>
      </c>
      <c r="C257" s="864" t="s">
        <v>1094</v>
      </c>
      <c r="D257" s="861" t="s">
        <v>861</v>
      </c>
      <c r="E257" s="865">
        <v>16160</v>
      </c>
      <c r="F257" s="866"/>
      <c r="G257" s="853"/>
      <c r="H257" s="853"/>
      <c r="I257" s="853"/>
      <c r="J257" s="853"/>
      <c r="K257" s="853"/>
      <c r="M257" s="853"/>
      <c r="N257" s="853"/>
      <c r="O257" s="853"/>
    </row>
    <row r="258" spans="2:15" x14ac:dyDescent="0.25">
      <c r="B258" s="859" t="s">
        <v>1095</v>
      </c>
      <c r="C258" s="864" t="s">
        <v>1092</v>
      </c>
      <c r="D258" s="861" t="s">
        <v>950</v>
      </c>
      <c r="E258" s="865">
        <v>5387</v>
      </c>
      <c r="F258" s="866"/>
      <c r="G258" s="853"/>
      <c r="H258" s="853"/>
      <c r="I258" s="853"/>
      <c r="J258" s="853"/>
      <c r="K258" s="853"/>
      <c r="M258" s="853"/>
      <c r="N258" s="853"/>
      <c r="O258" s="853"/>
    </row>
    <row r="259" spans="2:15" x14ac:dyDescent="0.25">
      <c r="B259" s="859" t="s">
        <v>1096</v>
      </c>
      <c r="C259" s="860" t="s">
        <v>1034</v>
      </c>
      <c r="D259" s="861"/>
      <c r="E259" s="862"/>
      <c r="F259" s="863"/>
      <c r="G259" s="853"/>
      <c r="H259" s="853"/>
      <c r="I259" s="853"/>
      <c r="J259" s="853"/>
      <c r="K259" s="853"/>
      <c r="M259" s="853"/>
      <c r="N259" s="853"/>
      <c r="O259" s="853"/>
    </row>
    <row r="260" spans="2:15" ht="78.75" x14ac:dyDescent="0.25">
      <c r="B260" s="859" t="s">
        <v>1097</v>
      </c>
      <c r="C260" s="864" t="s">
        <v>1036</v>
      </c>
      <c r="D260" s="861" t="s">
        <v>861</v>
      </c>
      <c r="E260" s="865">
        <v>18911</v>
      </c>
      <c r="F260" s="866"/>
      <c r="G260" s="853"/>
      <c r="H260" s="853"/>
      <c r="I260" s="853"/>
      <c r="J260" s="853"/>
      <c r="K260" s="853"/>
      <c r="M260" s="853"/>
      <c r="N260" s="853"/>
      <c r="O260" s="853"/>
    </row>
    <row r="261" spans="2:15" x14ac:dyDescent="0.25">
      <c r="B261" s="859" t="s">
        <v>1098</v>
      </c>
      <c r="C261" s="864" t="s">
        <v>1029</v>
      </c>
      <c r="D261" s="861" t="s">
        <v>950</v>
      </c>
      <c r="E261" s="865">
        <v>6434</v>
      </c>
      <c r="F261" s="866"/>
      <c r="G261" s="853"/>
      <c r="H261" s="853"/>
      <c r="I261" s="853"/>
      <c r="J261" s="853"/>
      <c r="K261" s="853"/>
      <c r="M261" s="853"/>
      <c r="N261" s="853"/>
      <c r="O261" s="853"/>
    </row>
    <row r="262" spans="2:15" ht="63" x14ac:dyDescent="0.25">
      <c r="B262" s="859" t="s">
        <v>1099</v>
      </c>
      <c r="C262" s="864" t="s">
        <v>1039</v>
      </c>
      <c r="D262" s="861" t="s">
        <v>861</v>
      </c>
      <c r="E262" s="865">
        <v>18134</v>
      </c>
      <c r="F262" s="866"/>
      <c r="G262" s="853"/>
      <c r="H262" s="853"/>
      <c r="I262" s="853"/>
      <c r="J262" s="853"/>
      <c r="K262" s="853"/>
      <c r="M262" s="853"/>
      <c r="N262" s="853"/>
      <c r="O262" s="853"/>
    </row>
    <row r="263" spans="2:15" x14ac:dyDescent="0.25">
      <c r="B263" s="859" t="s">
        <v>1100</v>
      </c>
      <c r="C263" s="864" t="s">
        <v>1029</v>
      </c>
      <c r="D263" s="861" t="s">
        <v>950</v>
      </c>
      <c r="E263" s="865">
        <v>6045</v>
      </c>
      <c r="F263" s="866"/>
      <c r="G263" s="853"/>
      <c r="H263" s="853"/>
      <c r="I263" s="853"/>
      <c r="J263" s="853"/>
      <c r="K263" s="853"/>
      <c r="M263" s="853"/>
      <c r="N263" s="853"/>
      <c r="O263" s="853"/>
    </row>
    <row r="264" spans="2:15" ht="31.5" x14ac:dyDescent="0.25">
      <c r="B264" s="859" t="s">
        <v>1101</v>
      </c>
      <c r="C264" s="860" t="s">
        <v>1070</v>
      </c>
      <c r="D264" s="861"/>
      <c r="E264" s="862"/>
      <c r="F264" s="863"/>
      <c r="G264" s="853"/>
      <c r="H264" s="853"/>
      <c r="I264" s="853"/>
      <c r="J264" s="853"/>
      <c r="K264" s="853"/>
      <c r="M264" s="853"/>
      <c r="N264" s="853"/>
      <c r="O264" s="853"/>
    </row>
    <row r="265" spans="2:15" ht="78.75" x14ac:dyDescent="0.25">
      <c r="B265" s="859" t="s">
        <v>1102</v>
      </c>
      <c r="C265" s="864" t="s">
        <v>1103</v>
      </c>
      <c r="D265" s="861" t="s">
        <v>861</v>
      </c>
      <c r="E265" s="865">
        <v>16068</v>
      </c>
      <c r="F265" s="866"/>
      <c r="G265" s="853"/>
      <c r="H265" s="853"/>
      <c r="I265" s="853"/>
      <c r="J265" s="853"/>
      <c r="K265" s="853"/>
      <c r="M265" s="853"/>
      <c r="N265" s="853"/>
      <c r="O265" s="853"/>
    </row>
    <row r="266" spans="2:15" x14ac:dyDescent="0.25">
      <c r="B266" s="859" t="s">
        <v>1104</v>
      </c>
      <c r="C266" s="860" t="s">
        <v>1042</v>
      </c>
      <c r="D266" s="861"/>
      <c r="E266" s="862"/>
      <c r="F266" s="863"/>
      <c r="G266" s="853"/>
      <c r="H266" s="853"/>
      <c r="I266" s="853"/>
      <c r="J266" s="853"/>
      <c r="K266" s="853"/>
      <c r="M266" s="853"/>
      <c r="N266" s="853"/>
      <c r="O266" s="853"/>
    </row>
    <row r="267" spans="2:15" ht="63" x14ac:dyDescent="0.25">
      <c r="B267" s="859" t="s">
        <v>1105</v>
      </c>
      <c r="C267" s="864" t="s">
        <v>1106</v>
      </c>
      <c r="D267" s="861" t="s">
        <v>861</v>
      </c>
      <c r="E267" s="865">
        <v>16068</v>
      </c>
      <c r="F267" s="866"/>
      <c r="G267" s="853"/>
      <c r="H267" s="853"/>
      <c r="I267" s="853"/>
      <c r="J267" s="853"/>
      <c r="K267" s="853"/>
      <c r="M267" s="853"/>
      <c r="N267" s="853"/>
      <c r="O267" s="853"/>
    </row>
    <row r="268" spans="2:15" x14ac:dyDescent="0.25">
      <c r="B268" s="859" t="s">
        <v>1107</v>
      </c>
      <c r="C268" s="860" t="s">
        <v>1046</v>
      </c>
      <c r="D268" s="861"/>
      <c r="E268" s="862"/>
      <c r="F268" s="863"/>
      <c r="G268" s="853"/>
      <c r="H268" s="853"/>
      <c r="I268" s="853"/>
      <c r="J268" s="853"/>
      <c r="K268" s="853"/>
      <c r="M268" s="853"/>
      <c r="N268" s="853"/>
      <c r="O268" s="853"/>
    </row>
    <row r="269" spans="2:15" ht="63" x14ac:dyDescent="0.25">
      <c r="B269" s="859" t="s">
        <v>1108</v>
      </c>
      <c r="C269" s="864" t="s">
        <v>1048</v>
      </c>
      <c r="D269" s="861" t="s">
        <v>861</v>
      </c>
      <c r="E269" s="865">
        <v>23603</v>
      </c>
      <c r="F269" s="866"/>
      <c r="G269" s="853"/>
      <c r="H269" s="853"/>
      <c r="I269" s="853"/>
      <c r="J269" s="853"/>
      <c r="K269" s="853"/>
      <c r="M269" s="853"/>
      <c r="N269" s="853"/>
      <c r="O269" s="853"/>
    </row>
    <row r="270" spans="2:15" x14ac:dyDescent="0.25">
      <c r="B270" s="859" t="s">
        <v>1109</v>
      </c>
      <c r="C270" s="860" t="s">
        <v>1050</v>
      </c>
      <c r="D270" s="861"/>
      <c r="E270" s="862"/>
      <c r="F270" s="863"/>
      <c r="G270" s="853"/>
      <c r="H270" s="853"/>
      <c r="I270" s="853"/>
      <c r="J270" s="853"/>
      <c r="K270" s="853"/>
      <c r="M270" s="853"/>
      <c r="N270" s="853"/>
      <c r="O270" s="853"/>
    </row>
    <row r="271" spans="2:15" ht="63" x14ac:dyDescent="0.25">
      <c r="B271" s="859" t="s">
        <v>1110</v>
      </c>
      <c r="C271" s="864" t="s">
        <v>1052</v>
      </c>
      <c r="D271" s="861" t="s">
        <v>861</v>
      </c>
      <c r="E271" s="865">
        <v>33960</v>
      </c>
      <c r="F271" s="866"/>
      <c r="G271" s="853"/>
      <c r="H271" s="853"/>
      <c r="I271" s="853"/>
      <c r="J271" s="853"/>
      <c r="K271" s="853"/>
      <c r="M271" s="853"/>
      <c r="N271" s="853"/>
      <c r="O271" s="853"/>
    </row>
    <row r="272" spans="2:15" x14ac:dyDescent="0.25">
      <c r="B272" s="859" t="s">
        <v>1111</v>
      </c>
      <c r="C272" s="860" t="s">
        <v>1112</v>
      </c>
      <c r="D272" s="861"/>
      <c r="E272" s="862"/>
      <c r="F272" s="863"/>
      <c r="G272" s="853"/>
      <c r="H272" s="853"/>
      <c r="I272" s="853"/>
      <c r="J272" s="853"/>
      <c r="K272" s="853"/>
      <c r="M272" s="853"/>
      <c r="N272" s="853"/>
      <c r="O272" s="853"/>
    </row>
    <row r="273" spans="2:15" x14ac:dyDescent="0.25">
      <c r="B273" s="859" t="s">
        <v>1113</v>
      </c>
      <c r="C273" s="864" t="s">
        <v>1114</v>
      </c>
      <c r="D273" s="861" t="s">
        <v>861</v>
      </c>
      <c r="E273" s="865">
        <v>3037</v>
      </c>
      <c r="F273" s="866"/>
      <c r="G273" s="853"/>
      <c r="H273" s="853"/>
      <c r="I273" s="853"/>
      <c r="J273" s="853"/>
      <c r="K273" s="853"/>
      <c r="M273" s="853"/>
      <c r="N273" s="853"/>
      <c r="O273" s="853"/>
    </row>
    <row r="274" spans="2:15" ht="31.5" x14ac:dyDescent="0.25">
      <c r="B274" s="859" t="s">
        <v>1115</v>
      </c>
      <c r="C274" s="864" t="s">
        <v>1116</v>
      </c>
      <c r="D274" s="861" t="s">
        <v>861</v>
      </c>
      <c r="E274" s="865">
        <v>7035</v>
      </c>
      <c r="F274" s="866"/>
      <c r="G274" s="853"/>
      <c r="H274" s="853"/>
      <c r="I274" s="853"/>
      <c r="J274" s="853"/>
      <c r="K274" s="853"/>
      <c r="M274" s="853"/>
      <c r="N274" s="853"/>
      <c r="O274" s="853"/>
    </row>
    <row r="275" spans="2:15" x14ac:dyDescent="0.25">
      <c r="B275" s="859" t="s">
        <v>1117</v>
      </c>
      <c r="C275" s="880" t="s">
        <v>1118</v>
      </c>
      <c r="D275" s="861"/>
      <c r="E275" s="862"/>
      <c r="F275" s="863"/>
      <c r="G275" s="853"/>
      <c r="H275" s="853"/>
      <c r="I275" s="853"/>
      <c r="J275" s="853"/>
      <c r="K275" s="853"/>
      <c r="M275" s="853"/>
      <c r="N275" s="853"/>
      <c r="O275" s="853"/>
    </row>
    <row r="276" spans="2:15" x14ac:dyDescent="0.25">
      <c r="B276" s="859" t="s">
        <v>1119</v>
      </c>
      <c r="C276" s="864" t="s">
        <v>1120</v>
      </c>
      <c r="D276" s="861" t="s">
        <v>861</v>
      </c>
      <c r="E276" s="865">
        <v>9097</v>
      </c>
      <c r="F276" s="866"/>
      <c r="G276" s="853"/>
      <c r="H276" s="853"/>
      <c r="I276" s="853"/>
      <c r="J276" s="853"/>
      <c r="K276" s="853"/>
      <c r="M276" s="853"/>
      <c r="N276" s="853"/>
      <c r="O276" s="853"/>
    </row>
    <row r="277" spans="2:15" x14ac:dyDescent="0.25">
      <c r="B277" s="859" t="s">
        <v>1121</v>
      </c>
      <c r="C277" s="864" t="s">
        <v>1122</v>
      </c>
      <c r="D277" s="861" t="s">
        <v>950</v>
      </c>
      <c r="E277" s="865">
        <v>12371</v>
      </c>
      <c r="F277" s="866"/>
      <c r="G277" s="853"/>
      <c r="H277" s="853"/>
      <c r="I277" s="853"/>
      <c r="J277" s="853"/>
      <c r="K277" s="853"/>
      <c r="M277" s="853"/>
      <c r="N277" s="853"/>
      <c r="O277" s="853"/>
    </row>
    <row r="278" spans="2:15" ht="31.5" x14ac:dyDescent="0.25">
      <c r="B278" s="859" t="s">
        <v>1123</v>
      </c>
      <c r="C278" s="864" t="s">
        <v>1124</v>
      </c>
      <c r="D278" s="861" t="s">
        <v>861</v>
      </c>
      <c r="E278" s="865">
        <v>1897</v>
      </c>
      <c r="F278" s="866"/>
      <c r="G278" s="853"/>
      <c r="H278" s="853"/>
      <c r="I278" s="853"/>
      <c r="J278" s="853"/>
      <c r="K278" s="853"/>
      <c r="M278" s="853"/>
      <c r="N278" s="853"/>
      <c r="O278" s="853"/>
    </row>
    <row r="279" spans="2:15" ht="18.75" x14ac:dyDescent="0.25">
      <c r="B279" s="859" t="s">
        <v>1125</v>
      </c>
      <c r="C279" s="864" t="s">
        <v>1126</v>
      </c>
      <c r="D279" s="861" t="s">
        <v>2997</v>
      </c>
      <c r="E279" s="865">
        <v>6017</v>
      </c>
      <c r="F279" s="866"/>
      <c r="G279" s="853"/>
      <c r="H279" s="853"/>
      <c r="I279" s="853"/>
      <c r="J279" s="853"/>
      <c r="K279" s="853"/>
      <c r="M279" s="853"/>
      <c r="N279" s="853"/>
      <c r="O279" s="853"/>
    </row>
    <row r="280" spans="2:15" x14ac:dyDescent="0.25">
      <c r="B280" s="859" t="s">
        <v>1127</v>
      </c>
      <c r="C280" s="864" t="s">
        <v>1128</v>
      </c>
      <c r="D280" s="861" t="s">
        <v>727</v>
      </c>
      <c r="E280" s="865">
        <v>69350</v>
      </c>
      <c r="F280" s="866"/>
      <c r="G280" s="853"/>
      <c r="H280" s="853"/>
      <c r="I280" s="853"/>
      <c r="J280" s="853"/>
      <c r="K280" s="853"/>
      <c r="M280" s="853"/>
      <c r="N280" s="853"/>
      <c r="O280" s="853"/>
    </row>
    <row r="281" spans="2:15" x14ac:dyDescent="0.25">
      <c r="B281" s="859" t="s">
        <v>1129</v>
      </c>
      <c r="C281" s="880" t="s">
        <v>1130</v>
      </c>
      <c r="D281" s="861"/>
      <c r="E281" s="862"/>
      <c r="F281" s="863"/>
      <c r="G281" s="853"/>
      <c r="H281" s="853"/>
      <c r="I281" s="853"/>
      <c r="J281" s="853"/>
      <c r="K281" s="853"/>
      <c r="M281" s="853"/>
      <c r="N281" s="853"/>
      <c r="O281" s="853"/>
    </row>
    <row r="282" spans="2:15" x14ac:dyDescent="0.25">
      <c r="B282" s="859" t="s">
        <v>1131</v>
      </c>
      <c r="C282" s="864" t="s">
        <v>1132</v>
      </c>
      <c r="D282" s="861" t="s">
        <v>861</v>
      </c>
      <c r="E282" s="862">
        <v>844</v>
      </c>
      <c r="F282" s="863"/>
      <c r="G282" s="853"/>
      <c r="H282" s="853"/>
      <c r="I282" s="853"/>
      <c r="J282" s="853"/>
      <c r="K282" s="853"/>
      <c r="M282" s="853"/>
      <c r="N282" s="853"/>
      <c r="O282" s="853"/>
    </row>
    <row r="283" spans="2:15" x14ac:dyDescent="0.25">
      <c r="B283" s="859" t="s">
        <v>1133</v>
      </c>
      <c r="C283" s="864" t="s">
        <v>1134</v>
      </c>
      <c r="D283" s="861" t="s">
        <v>861</v>
      </c>
      <c r="E283" s="865">
        <v>21567</v>
      </c>
      <c r="F283" s="866"/>
      <c r="G283" s="853"/>
      <c r="H283" s="853"/>
      <c r="I283" s="853"/>
      <c r="J283" s="853"/>
      <c r="K283" s="853"/>
      <c r="M283" s="853"/>
      <c r="N283" s="853"/>
      <c r="O283" s="853"/>
    </row>
    <row r="284" spans="2:15" x14ac:dyDescent="0.25">
      <c r="B284" s="859" t="s">
        <v>1135</v>
      </c>
      <c r="C284" s="864" t="s">
        <v>1136</v>
      </c>
      <c r="D284" s="861" t="s">
        <v>861</v>
      </c>
      <c r="E284" s="865">
        <v>34217</v>
      </c>
      <c r="F284" s="866"/>
      <c r="G284" s="853"/>
      <c r="H284" s="853"/>
      <c r="I284" s="853"/>
      <c r="J284" s="853"/>
      <c r="K284" s="853"/>
      <c r="M284" s="853"/>
      <c r="N284" s="853"/>
      <c r="O284" s="853"/>
    </row>
    <row r="285" spans="2:15" x14ac:dyDescent="0.25">
      <c r="B285" s="859"/>
      <c r="C285" s="864"/>
      <c r="D285" s="861"/>
      <c r="E285" s="862"/>
      <c r="F285" s="863"/>
      <c r="G285" s="853"/>
      <c r="H285" s="853"/>
      <c r="I285" s="853"/>
      <c r="J285" s="853"/>
      <c r="K285" s="853"/>
      <c r="M285" s="853"/>
      <c r="N285" s="853"/>
      <c r="O285" s="853"/>
    </row>
    <row r="286" spans="2:15" x14ac:dyDescent="0.25">
      <c r="B286" s="859"/>
      <c r="C286" s="871" t="s">
        <v>1137</v>
      </c>
      <c r="D286" s="872"/>
      <c r="E286" s="862"/>
      <c r="F286" s="863"/>
      <c r="G286" s="853"/>
      <c r="H286" s="853"/>
      <c r="I286" s="853"/>
      <c r="J286" s="853"/>
      <c r="K286" s="853"/>
      <c r="M286" s="853"/>
      <c r="N286" s="853"/>
      <c r="O286" s="853"/>
    </row>
    <row r="287" spans="2:15" ht="31.5" x14ac:dyDescent="0.25">
      <c r="B287" s="859" t="s">
        <v>1138</v>
      </c>
      <c r="C287" s="880" t="s">
        <v>1139</v>
      </c>
      <c r="D287" s="861"/>
      <c r="E287" s="862"/>
      <c r="F287" s="863"/>
      <c r="G287" s="853"/>
      <c r="H287" s="853"/>
      <c r="I287" s="853"/>
      <c r="J287" s="853"/>
      <c r="K287" s="853"/>
      <c r="M287" s="853"/>
      <c r="N287" s="853"/>
      <c r="O287" s="853"/>
    </row>
    <row r="288" spans="2:15" x14ac:dyDescent="0.25">
      <c r="B288" s="859" t="s">
        <v>1140</v>
      </c>
      <c r="C288" s="860" t="s">
        <v>1141</v>
      </c>
      <c r="D288" s="861"/>
      <c r="E288" s="862"/>
      <c r="F288" s="863"/>
      <c r="G288" s="853"/>
      <c r="H288" s="853"/>
      <c r="I288" s="853"/>
      <c r="J288" s="853"/>
      <c r="K288" s="853"/>
      <c r="M288" s="853"/>
      <c r="N288" s="853"/>
      <c r="O288" s="853"/>
    </row>
    <row r="289" spans="2:15" ht="31.5" x14ac:dyDescent="0.25">
      <c r="B289" s="859" t="s">
        <v>1142</v>
      </c>
      <c r="C289" s="864" t="s">
        <v>1143</v>
      </c>
      <c r="D289" s="861" t="s">
        <v>727</v>
      </c>
      <c r="E289" s="865">
        <v>405185</v>
      </c>
      <c r="F289" s="866"/>
      <c r="G289" s="853"/>
      <c r="H289" s="853"/>
      <c r="I289" s="853"/>
      <c r="J289" s="853"/>
      <c r="K289" s="853"/>
      <c r="M289" s="853"/>
      <c r="N289" s="853"/>
      <c r="O289" s="853"/>
    </row>
    <row r="290" spans="2:15" x14ac:dyDescent="0.25">
      <c r="B290" s="859" t="s">
        <v>1144</v>
      </c>
      <c r="C290" s="864" t="s">
        <v>1145</v>
      </c>
      <c r="D290" s="861" t="s">
        <v>727</v>
      </c>
      <c r="E290" s="865">
        <v>389018</v>
      </c>
      <c r="F290" s="866"/>
      <c r="G290" s="853"/>
      <c r="H290" s="853"/>
      <c r="I290" s="853"/>
      <c r="J290" s="853"/>
      <c r="K290" s="853"/>
      <c r="M290" s="853"/>
      <c r="N290" s="853"/>
      <c r="O290" s="853"/>
    </row>
    <row r="291" spans="2:15" ht="31.5" x14ac:dyDescent="0.25">
      <c r="B291" s="859" t="s">
        <v>1146</v>
      </c>
      <c r="C291" s="864" t="s">
        <v>1147</v>
      </c>
      <c r="D291" s="861" t="s">
        <v>950</v>
      </c>
      <c r="E291" s="865">
        <v>65270</v>
      </c>
      <c r="F291" s="866"/>
      <c r="G291" s="853"/>
      <c r="H291" s="853"/>
      <c r="I291" s="853"/>
      <c r="J291" s="853"/>
      <c r="K291" s="853"/>
      <c r="M291" s="853"/>
      <c r="N291" s="853"/>
      <c r="O291" s="853"/>
    </row>
    <row r="292" spans="2:15" x14ac:dyDescent="0.25">
      <c r="B292" s="859" t="s">
        <v>1148</v>
      </c>
      <c r="C292" s="860" t="s">
        <v>1149</v>
      </c>
      <c r="D292" s="861"/>
      <c r="E292" s="862"/>
      <c r="F292" s="863"/>
      <c r="G292" s="853"/>
      <c r="H292" s="853"/>
      <c r="I292" s="853"/>
      <c r="J292" s="853"/>
      <c r="K292" s="853"/>
      <c r="M292" s="853"/>
      <c r="N292" s="853"/>
      <c r="O292" s="853"/>
    </row>
    <row r="293" spans="2:15" ht="31.5" x14ac:dyDescent="0.25">
      <c r="B293" s="859" t="s">
        <v>1150</v>
      </c>
      <c r="C293" s="864" t="s">
        <v>1151</v>
      </c>
      <c r="D293" s="861" t="s">
        <v>727</v>
      </c>
      <c r="E293" s="865">
        <v>198045</v>
      </c>
      <c r="F293" s="866"/>
      <c r="G293" s="853"/>
      <c r="H293" s="853"/>
      <c r="I293" s="853"/>
      <c r="J293" s="853"/>
      <c r="K293" s="853"/>
      <c r="M293" s="853"/>
      <c r="N293" s="853"/>
      <c r="O293" s="853"/>
    </row>
    <row r="294" spans="2:15" x14ac:dyDescent="0.25">
      <c r="B294" s="859" t="s">
        <v>1152</v>
      </c>
      <c r="C294" s="864" t="s">
        <v>1153</v>
      </c>
      <c r="D294" s="861" t="s">
        <v>727</v>
      </c>
      <c r="E294" s="865">
        <v>181878</v>
      </c>
      <c r="F294" s="866"/>
      <c r="G294" s="853"/>
      <c r="H294" s="853"/>
      <c r="I294" s="853"/>
      <c r="J294" s="853"/>
      <c r="K294" s="853"/>
      <c r="M294" s="853"/>
      <c r="N294" s="853"/>
      <c r="O294" s="853"/>
    </row>
    <row r="295" spans="2:15" x14ac:dyDescent="0.25">
      <c r="B295" s="859" t="s">
        <v>1154</v>
      </c>
      <c r="C295" s="864" t="s">
        <v>1155</v>
      </c>
      <c r="D295" s="861" t="s">
        <v>727</v>
      </c>
      <c r="E295" s="865">
        <v>90939</v>
      </c>
      <c r="F295" s="866"/>
      <c r="G295" s="853"/>
      <c r="H295" s="853"/>
      <c r="I295" s="853"/>
      <c r="J295" s="853"/>
      <c r="K295" s="853"/>
      <c r="M295" s="853"/>
      <c r="N295" s="853"/>
      <c r="O295" s="853"/>
    </row>
    <row r="296" spans="2:15" x14ac:dyDescent="0.25">
      <c r="B296" s="859" t="s">
        <v>1156</v>
      </c>
      <c r="C296" s="864" t="s">
        <v>1157</v>
      </c>
      <c r="D296" s="861" t="s">
        <v>727</v>
      </c>
      <c r="E296" s="865">
        <v>233844</v>
      </c>
      <c r="F296" s="866"/>
      <c r="G296" s="853"/>
      <c r="H296" s="853"/>
      <c r="I296" s="853"/>
      <c r="J296" s="853"/>
      <c r="K296" s="853"/>
      <c r="M296" s="853"/>
      <c r="N296" s="853"/>
      <c r="O296" s="853"/>
    </row>
    <row r="297" spans="2:15" x14ac:dyDescent="0.25">
      <c r="B297" s="859" t="s">
        <v>1158</v>
      </c>
      <c r="C297" s="864" t="s">
        <v>1159</v>
      </c>
      <c r="D297" s="861" t="s">
        <v>727</v>
      </c>
      <c r="E297" s="865">
        <v>80835</v>
      </c>
      <c r="F297" s="866"/>
      <c r="G297" s="853"/>
      <c r="H297" s="853"/>
      <c r="I297" s="853"/>
      <c r="J297" s="853"/>
      <c r="K297" s="853"/>
      <c r="M297" s="853"/>
      <c r="N297" s="853"/>
      <c r="O297" s="853"/>
    </row>
    <row r="298" spans="2:15" x14ac:dyDescent="0.25">
      <c r="B298" s="859" t="s">
        <v>1160</v>
      </c>
      <c r="C298" s="864" t="s">
        <v>1161</v>
      </c>
      <c r="D298" s="861" t="s">
        <v>727</v>
      </c>
      <c r="E298" s="865">
        <v>238174</v>
      </c>
      <c r="F298" s="866"/>
      <c r="G298" s="853"/>
      <c r="H298" s="853"/>
      <c r="I298" s="853"/>
      <c r="J298" s="853"/>
      <c r="K298" s="853"/>
      <c r="M298" s="853"/>
      <c r="N298" s="853"/>
      <c r="O298" s="853"/>
    </row>
    <row r="299" spans="2:15" ht="31.5" x14ac:dyDescent="0.25">
      <c r="B299" s="859" t="s">
        <v>1162</v>
      </c>
      <c r="C299" s="864" t="s">
        <v>1147</v>
      </c>
      <c r="D299" s="861" t="s">
        <v>950</v>
      </c>
      <c r="E299" s="865">
        <v>65270</v>
      </c>
      <c r="F299" s="866"/>
      <c r="G299" s="853"/>
      <c r="H299" s="853"/>
      <c r="I299" s="853"/>
      <c r="J299" s="853"/>
      <c r="K299" s="853"/>
      <c r="M299" s="853"/>
      <c r="N299" s="853"/>
      <c r="O299" s="853"/>
    </row>
    <row r="300" spans="2:15" ht="31.5" x14ac:dyDescent="0.25">
      <c r="B300" s="859" t="s">
        <v>1163</v>
      </c>
      <c r="C300" s="860" t="s">
        <v>1164</v>
      </c>
      <c r="D300" s="861"/>
      <c r="E300" s="862"/>
      <c r="F300" s="863"/>
      <c r="G300" s="853"/>
      <c r="H300" s="853"/>
      <c r="I300" s="853"/>
      <c r="J300" s="853"/>
      <c r="K300" s="853"/>
      <c r="M300" s="853"/>
      <c r="N300" s="853"/>
      <c r="O300" s="853"/>
    </row>
    <row r="301" spans="2:15" x14ac:dyDescent="0.25">
      <c r="B301" s="859" t="s">
        <v>1165</v>
      </c>
      <c r="C301" s="864" t="s">
        <v>1166</v>
      </c>
      <c r="D301" s="861"/>
      <c r="E301" s="862"/>
      <c r="F301" s="863"/>
      <c r="G301" s="853"/>
      <c r="H301" s="853"/>
      <c r="I301" s="853"/>
      <c r="J301" s="853"/>
      <c r="K301" s="853"/>
      <c r="M301" s="853"/>
      <c r="N301" s="853"/>
      <c r="O301" s="853"/>
    </row>
    <row r="302" spans="2:15" x14ac:dyDescent="0.25">
      <c r="B302" s="859" t="s">
        <v>1167</v>
      </c>
      <c r="C302" s="889" t="s">
        <v>1168</v>
      </c>
      <c r="D302" s="861" t="s">
        <v>727</v>
      </c>
      <c r="E302" s="865">
        <v>497093</v>
      </c>
      <c r="F302" s="863"/>
      <c r="G302" s="853"/>
      <c r="H302" s="853"/>
      <c r="I302" s="853"/>
      <c r="J302" s="853"/>
      <c r="K302" s="853"/>
      <c r="M302" s="853"/>
      <c r="N302" s="853"/>
      <c r="O302" s="853"/>
    </row>
    <row r="303" spans="2:15" x14ac:dyDescent="0.25">
      <c r="B303" s="859" t="s">
        <v>1169</v>
      </c>
      <c r="C303" s="889" t="s">
        <v>1170</v>
      </c>
      <c r="D303" s="861" t="s">
        <v>727</v>
      </c>
      <c r="E303" s="865">
        <v>509795</v>
      </c>
      <c r="F303" s="863"/>
      <c r="G303" s="853"/>
      <c r="H303" s="853"/>
      <c r="I303" s="853"/>
      <c r="J303" s="853"/>
      <c r="K303" s="853"/>
      <c r="M303" s="853"/>
      <c r="N303" s="853"/>
      <c r="O303" s="853"/>
    </row>
    <row r="304" spans="2:15" x14ac:dyDescent="0.25">
      <c r="B304" s="859" t="s">
        <v>1171</v>
      </c>
      <c r="C304" s="889" t="s">
        <v>1172</v>
      </c>
      <c r="D304" s="861" t="s">
        <v>727</v>
      </c>
      <c r="E304" s="865">
        <v>708489</v>
      </c>
      <c r="F304" s="863"/>
      <c r="G304" s="853"/>
      <c r="H304" s="853"/>
      <c r="I304" s="853"/>
      <c r="J304" s="853"/>
      <c r="K304" s="853"/>
      <c r="M304" s="853"/>
      <c r="N304" s="853"/>
      <c r="O304" s="853"/>
    </row>
    <row r="305" spans="2:15" x14ac:dyDescent="0.25">
      <c r="B305" s="859" t="s">
        <v>1173</v>
      </c>
      <c r="C305" s="889" t="s">
        <v>1174</v>
      </c>
      <c r="D305" s="861" t="s">
        <v>727</v>
      </c>
      <c r="E305" s="865">
        <v>729730</v>
      </c>
      <c r="F305" s="863"/>
      <c r="G305" s="853"/>
      <c r="H305" s="853"/>
      <c r="I305" s="853"/>
      <c r="J305" s="853"/>
      <c r="K305" s="853"/>
      <c r="M305" s="853"/>
      <c r="N305" s="853"/>
      <c r="O305" s="853"/>
    </row>
    <row r="306" spans="2:15" x14ac:dyDescent="0.25">
      <c r="B306" s="859" t="s">
        <v>1175</v>
      </c>
      <c r="C306" s="860" t="s">
        <v>1176</v>
      </c>
      <c r="D306" s="861"/>
      <c r="E306" s="862"/>
      <c r="F306" s="863"/>
      <c r="G306" s="853"/>
      <c r="H306" s="853"/>
      <c r="I306" s="853"/>
      <c r="J306" s="853"/>
      <c r="K306" s="853"/>
      <c r="M306" s="853"/>
      <c r="N306" s="853"/>
      <c r="O306" s="853"/>
    </row>
    <row r="307" spans="2:15" ht="31.5" x14ac:dyDescent="0.25">
      <c r="B307" s="859" t="s">
        <v>1177</v>
      </c>
      <c r="C307" s="864" t="s">
        <v>1178</v>
      </c>
      <c r="D307" s="861" t="s">
        <v>861</v>
      </c>
      <c r="E307" s="865">
        <v>178992</v>
      </c>
      <c r="F307" s="866"/>
      <c r="G307" s="853"/>
      <c r="H307" s="853"/>
      <c r="I307" s="853"/>
      <c r="J307" s="853"/>
      <c r="K307" s="853"/>
      <c r="M307" s="853"/>
      <c r="N307" s="853"/>
      <c r="O307" s="853"/>
    </row>
    <row r="308" spans="2:15" x14ac:dyDescent="0.25">
      <c r="B308" s="859" t="s">
        <v>1179</v>
      </c>
      <c r="C308" s="864" t="s">
        <v>1180</v>
      </c>
      <c r="D308" s="861" t="s">
        <v>727</v>
      </c>
      <c r="E308" s="865">
        <v>346435</v>
      </c>
      <c r="F308" s="866"/>
      <c r="G308" s="853"/>
      <c r="H308" s="853"/>
      <c r="I308" s="853"/>
      <c r="J308" s="853"/>
      <c r="K308" s="853"/>
      <c r="M308" s="853"/>
      <c r="N308" s="853"/>
      <c r="O308" s="853"/>
    </row>
    <row r="309" spans="2:15" ht="31.5" x14ac:dyDescent="0.25">
      <c r="B309" s="859" t="s">
        <v>1181</v>
      </c>
      <c r="C309" s="864" t="s">
        <v>1182</v>
      </c>
      <c r="D309" s="861" t="s">
        <v>861</v>
      </c>
      <c r="E309" s="865">
        <v>406934</v>
      </c>
      <c r="F309" s="863"/>
      <c r="G309" s="853"/>
      <c r="H309" s="853"/>
      <c r="I309" s="853"/>
      <c r="J309" s="853"/>
      <c r="K309" s="853"/>
      <c r="M309" s="853"/>
      <c r="N309" s="853"/>
      <c r="O309" s="853"/>
    </row>
    <row r="310" spans="2:15" x14ac:dyDescent="0.25">
      <c r="B310" s="859" t="s">
        <v>1183</v>
      </c>
      <c r="C310" s="880" t="s">
        <v>941</v>
      </c>
      <c r="D310" s="861"/>
      <c r="E310" s="862"/>
      <c r="F310" s="863"/>
      <c r="G310" s="853"/>
      <c r="H310" s="853"/>
      <c r="I310" s="853"/>
      <c r="J310" s="853"/>
      <c r="K310" s="853"/>
      <c r="M310" s="853"/>
      <c r="N310" s="853"/>
      <c r="O310" s="853"/>
    </row>
    <row r="311" spans="2:15" ht="18.75" x14ac:dyDescent="0.25">
      <c r="B311" s="859" t="s">
        <v>1184</v>
      </c>
      <c r="C311" s="864" t="s">
        <v>1185</v>
      </c>
      <c r="D311" s="861" t="s">
        <v>2997</v>
      </c>
      <c r="E311" s="865">
        <v>29419</v>
      </c>
      <c r="F311" s="866"/>
      <c r="G311" s="853"/>
      <c r="H311" s="853"/>
      <c r="I311" s="853"/>
      <c r="J311" s="853"/>
      <c r="K311" s="853"/>
      <c r="M311" s="853"/>
      <c r="N311" s="853"/>
      <c r="O311" s="853"/>
    </row>
    <row r="312" spans="2:15" x14ac:dyDescent="0.25">
      <c r="B312" s="859" t="s">
        <v>1186</v>
      </c>
      <c r="C312" s="864" t="s">
        <v>1187</v>
      </c>
      <c r="D312" s="861" t="s">
        <v>861</v>
      </c>
      <c r="E312" s="865">
        <v>53660</v>
      </c>
      <c r="F312" s="866"/>
      <c r="G312" s="853"/>
      <c r="H312" s="853"/>
      <c r="I312" s="853"/>
      <c r="J312" s="853"/>
      <c r="K312" s="853"/>
      <c r="M312" s="853"/>
      <c r="N312" s="853"/>
      <c r="O312" s="853"/>
    </row>
    <row r="313" spans="2:15" x14ac:dyDescent="0.25">
      <c r="B313" s="859" t="s">
        <v>1188</v>
      </c>
      <c r="C313" s="864" t="s">
        <v>1189</v>
      </c>
      <c r="D313" s="861" t="s">
        <v>861</v>
      </c>
      <c r="E313" s="865">
        <v>12866</v>
      </c>
      <c r="F313" s="866"/>
      <c r="G313" s="853"/>
      <c r="H313" s="853"/>
      <c r="I313" s="853"/>
      <c r="J313" s="853"/>
      <c r="K313" s="853"/>
      <c r="M313" s="853"/>
      <c r="N313" s="853"/>
      <c r="O313" s="853"/>
    </row>
    <row r="314" spans="2:15" x14ac:dyDescent="0.25">
      <c r="B314" s="859" t="s">
        <v>1190</v>
      </c>
      <c r="C314" s="864" t="s">
        <v>1191</v>
      </c>
      <c r="D314" s="861" t="s">
        <v>861</v>
      </c>
      <c r="E314" s="865">
        <v>11768</v>
      </c>
      <c r="F314" s="866"/>
      <c r="G314" s="853"/>
      <c r="H314" s="853"/>
      <c r="I314" s="853"/>
      <c r="J314" s="853"/>
      <c r="K314" s="853"/>
      <c r="M314" s="853"/>
      <c r="N314" s="853"/>
      <c r="O314" s="853"/>
    </row>
    <row r="315" spans="2:15" x14ac:dyDescent="0.25">
      <c r="B315" s="859" t="s">
        <v>1192</v>
      </c>
      <c r="C315" s="864" t="s">
        <v>1193</v>
      </c>
      <c r="D315" s="861" t="s">
        <v>861</v>
      </c>
      <c r="E315" s="865">
        <v>24320</v>
      </c>
      <c r="F315" s="866"/>
      <c r="G315" s="853"/>
      <c r="H315" s="853"/>
      <c r="I315" s="853"/>
      <c r="J315" s="853"/>
      <c r="K315" s="853"/>
      <c r="M315" s="853"/>
      <c r="N315" s="853"/>
      <c r="O315" s="853"/>
    </row>
    <row r="316" spans="2:15" x14ac:dyDescent="0.25">
      <c r="B316" s="859" t="s">
        <v>1194</v>
      </c>
      <c r="C316" s="864" t="s">
        <v>1195</v>
      </c>
      <c r="D316" s="861" t="s">
        <v>861</v>
      </c>
      <c r="E316" s="865">
        <v>11768</v>
      </c>
      <c r="F316" s="866"/>
      <c r="G316" s="853"/>
      <c r="H316" s="853"/>
      <c r="I316" s="853"/>
      <c r="J316" s="853"/>
      <c r="K316" s="853"/>
      <c r="M316" s="853"/>
      <c r="N316" s="853"/>
      <c r="O316" s="853"/>
    </row>
    <row r="317" spans="2:15" ht="31.5" x14ac:dyDescent="0.25">
      <c r="B317" s="859" t="s">
        <v>1196</v>
      </c>
      <c r="C317" s="864" t="s">
        <v>1197</v>
      </c>
      <c r="D317" s="861" t="s">
        <v>861</v>
      </c>
      <c r="E317" s="865">
        <v>297437</v>
      </c>
      <c r="F317" s="863"/>
      <c r="G317" s="853"/>
      <c r="H317" s="853"/>
      <c r="I317" s="853"/>
      <c r="J317" s="853"/>
      <c r="K317" s="853"/>
      <c r="M317" s="853"/>
      <c r="N317" s="853"/>
      <c r="O317" s="853"/>
    </row>
    <row r="318" spans="2:15" x14ac:dyDescent="0.25">
      <c r="B318" s="859" t="s">
        <v>1198</v>
      </c>
      <c r="C318" s="864" t="s">
        <v>1199</v>
      </c>
      <c r="D318" s="861" t="s">
        <v>861</v>
      </c>
      <c r="E318" s="865">
        <v>8630</v>
      </c>
      <c r="F318" s="866"/>
      <c r="G318" s="853"/>
      <c r="H318" s="853"/>
      <c r="I318" s="853"/>
      <c r="J318" s="853"/>
      <c r="K318" s="853"/>
      <c r="M318" s="853"/>
      <c r="N318" s="853"/>
      <c r="O318" s="853"/>
    </row>
    <row r="319" spans="2:15" x14ac:dyDescent="0.25">
      <c r="B319" s="859" t="s">
        <v>1200</v>
      </c>
      <c r="C319" s="864" t="s">
        <v>1201</v>
      </c>
      <c r="D319" s="861" t="s">
        <v>950</v>
      </c>
      <c r="E319" s="865">
        <v>4472</v>
      </c>
      <c r="F319" s="866"/>
      <c r="G319" s="853"/>
      <c r="H319" s="853"/>
      <c r="I319" s="853"/>
      <c r="J319" s="853"/>
      <c r="K319" s="853"/>
      <c r="M319" s="853"/>
      <c r="N319" s="853"/>
      <c r="O319" s="853"/>
    </row>
    <row r="320" spans="2:15" x14ac:dyDescent="0.25">
      <c r="B320" s="859"/>
      <c r="C320" s="864"/>
      <c r="D320" s="861"/>
      <c r="E320" s="862"/>
      <c r="F320" s="863"/>
      <c r="G320" s="853"/>
      <c r="H320" s="853"/>
      <c r="I320" s="853"/>
      <c r="J320" s="853"/>
      <c r="K320" s="853"/>
      <c r="M320" s="853"/>
      <c r="N320" s="853"/>
      <c r="O320" s="853"/>
    </row>
    <row r="321" spans="2:15" x14ac:dyDescent="0.25">
      <c r="B321" s="859"/>
      <c r="C321" s="871" t="s">
        <v>1202</v>
      </c>
      <c r="D321" s="872"/>
      <c r="E321" s="862"/>
      <c r="F321" s="863"/>
      <c r="G321" s="853"/>
      <c r="H321" s="853"/>
      <c r="I321" s="853"/>
      <c r="J321" s="853"/>
      <c r="K321" s="853"/>
      <c r="M321" s="853"/>
      <c r="N321" s="853"/>
      <c r="O321" s="853"/>
    </row>
    <row r="322" spans="2:15" x14ac:dyDescent="0.25">
      <c r="B322" s="859" t="s">
        <v>1203</v>
      </c>
      <c r="C322" s="880" t="s">
        <v>1204</v>
      </c>
      <c r="D322" s="861"/>
      <c r="E322" s="862"/>
      <c r="F322" s="863"/>
      <c r="G322" s="853"/>
      <c r="H322" s="853"/>
      <c r="I322" s="853"/>
      <c r="J322" s="853"/>
      <c r="K322" s="853"/>
      <c r="M322" s="853"/>
      <c r="N322" s="853"/>
      <c r="O322" s="853"/>
    </row>
    <row r="323" spans="2:15" x14ac:dyDescent="0.25">
      <c r="B323" s="859" t="s">
        <v>1205</v>
      </c>
      <c r="C323" s="860" t="s">
        <v>1206</v>
      </c>
      <c r="D323" s="861"/>
      <c r="E323" s="862"/>
      <c r="F323" s="863"/>
      <c r="G323" s="853"/>
      <c r="H323" s="853"/>
      <c r="I323" s="853"/>
      <c r="J323" s="853"/>
      <c r="K323" s="853"/>
      <c r="M323" s="853"/>
      <c r="N323" s="853"/>
      <c r="O323" s="853"/>
    </row>
    <row r="324" spans="2:15" x14ac:dyDescent="0.25">
      <c r="B324" s="859" t="s">
        <v>1207</v>
      </c>
      <c r="C324" s="864" t="s">
        <v>1208</v>
      </c>
      <c r="D324" s="861"/>
      <c r="E324" s="862"/>
      <c r="F324" s="863"/>
      <c r="G324" s="853"/>
      <c r="H324" s="853"/>
      <c r="I324" s="853"/>
      <c r="J324" s="853"/>
      <c r="K324" s="853"/>
      <c r="M324" s="853"/>
      <c r="N324" s="853"/>
      <c r="O324" s="853"/>
    </row>
    <row r="325" spans="2:15" x14ac:dyDescent="0.25">
      <c r="B325" s="859" t="s">
        <v>1209</v>
      </c>
      <c r="C325" s="889" t="s">
        <v>1210</v>
      </c>
      <c r="D325" s="861" t="s">
        <v>861</v>
      </c>
      <c r="E325" s="865">
        <v>11472</v>
      </c>
      <c r="F325" s="866"/>
      <c r="G325" s="853"/>
      <c r="H325" s="853"/>
      <c r="I325" s="853"/>
      <c r="J325" s="853"/>
      <c r="K325" s="853"/>
      <c r="M325" s="853"/>
      <c r="N325" s="853"/>
      <c r="O325" s="853"/>
    </row>
    <row r="326" spans="2:15" x14ac:dyDescent="0.25">
      <c r="B326" s="859" t="s">
        <v>1211</v>
      </c>
      <c r="C326" s="889" t="s">
        <v>1212</v>
      </c>
      <c r="D326" s="861" t="s">
        <v>861</v>
      </c>
      <c r="E326" s="865">
        <v>15296</v>
      </c>
      <c r="F326" s="866"/>
      <c r="G326" s="853"/>
      <c r="H326" s="853"/>
      <c r="I326" s="853"/>
      <c r="J326" s="853"/>
      <c r="K326" s="853"/>
      <c r="M326" s="853"/>
      <c r="N326" s="853"/>
      <c r="O326" s="853"/>
    </row>
    <row r="327" spans="2:15" x14ac:dyDescent="0.25">
      <c r="B327" s="859" t="s">
        <v>1213</v>
      </c>
      <c r="C327" s="889" t="s">
        <v>1214</v>
      </c>
      <c r="D327" s="861" t="s">
        <v>861</v>
      </c>
      <c r="E327" s="865">
        <v>20395</v>
      </c>
      <c r="F327" s="866"/>
      <c r="G327" s="853"/>
      <c r="H327" s="853"/>
      <c r="I327" s="853"/>
      <c r="J327" s="853"/>
      <c r="K327" s="853"/>
      <c r="M327" s="853"/>
      <c r="N327" s="853"/>
      <c r="O327" s="853"/>
    </row>
    <row r="328" spans="2:15" x14ac:dyDescent="0.25">
      <c r="B328" s="859" t="s">
        <v>1215</v>
      </c>
      <c r="C328" s="889" t="s">
        <v>1216</v>
      </c>
      <c r="D328" s="861" t="s">
        <v>861</v>
      </c>
      <c r="E328" s="865">
        <v>22944</v>
      </c>
      <c r="F328" s="866"/>
      <c r="G328" s="853"/>
      <c r="H328" s="853"/>
      <c r="I328" s="853"/>
      <c r="J328" s="853"/>
      <c r="K328" s="853"/>
      <c r="M328" s="853"/>
      <c r="N328" s="853"/>
      <c r="O328" s="853"/>
    </row>
    <row r="329" spans="2:15" x14ac:dyDescent="0.25">
      <c r="B329" s="859" t="s">
        <v>1217</v>
      </c>
      <c r="C329" s="889" t="s">
        <v>1218</v>
      </c>
      <c r="D329" s="861" t="s">
        <v>861</v>
      </c>
      <c r="E329" s="865">
        <v>38241</v>
      </c>
      <c r="F329" s="866"/>
      <c r="G329" s="853"/>
      <c r="H329" s="853"/>
      <c r="I329" s="853"/>
      <c r="J329" s="853"/>
      <c r="K329" s="853"/>
      <c r="M329" s="853"/>
      <c r="N329" s="853"/>
      <c r="O329" s="853"/>
    </row>
    <row r="330" spans="2:15" x14ac:dyDescent="0.25">
      <c r="B330" s="859" t="s">
        <v>1219</v>
      </c>
      <c r="C330" s="889" t="s">
        <v>1220</v>
      </c>
      <c r="D330" s="861" t="s">
        <v>861</v>
      </c>
      <c r="E330" s="865">
        <v>50988</v>
      </c>
      <c r="F330" s="866"/>
      <c r="G330" s="853"/>
      <c r="H330" s="853"/>
      <c r="I330" s="853"/>
      <c r="J330" s="853"/>
      <c r="K330" s="853"/>
      <c r="M330" s="853"/>
      <c r="N330" s="853"/>
      <c r="O330" s="853"/>
    </row>
    <row r="331" spans="2:15" x14ac:dyDescent="0.25">
      <c r="B331" s="859" t="s">
        <v>1221</v>
      </c>
      <c r="C331" s="860" t="s">
        <v>1222</v>
      </c>
      <c r="D331" s="861"/>
      <c r="E331" s="862"/>
      <c r="F331" s="863"/>
      <c r="G331" s="853"/>
      <c r="H331" s="853"/>
      <c r="I331" s="853"/>
      <c r="J331" s="853"/>
      <c r="K331" s="853"/>
      <c r="M331" s="853"/>
      <c r="N331" s="853"/>
      <c r="O331" s="853"/>
    </row>
    <row r="332" spans="2:15" x14ac:dyDescent="0.25">
      <c r="B332" s="859" t="s">
        <v>1223</v>
      </c>
      <c r="C332" s="864" t="s">
        <v>1224</v>
      </c>
      <c r="D332" s="861"/>
      <c r="E332" s="862"/>
      <c r="F332" s="863"/>
      <c r="G332" s="853"/>
      <c r="H332" s="853"/>
      <c r="I332" s="853"/>
      <c r="J332" s="853"/>
      <c r="K332" s="853"/>
      <c r="M332" s="853"/>
      <c r="N332" s="853"/>
      <c r="O332" s="853"/>
    </row>
    <row r="333" spans="2:15" x14ac:dyDescent="0.25">
      <c r="B333" s="859" t="s">
        <v>1225</v>
      </c>
      <c r="C333" s="889" t="s">
        <v>1212</v>
      </c>
      <c r="D333" s="861" t="s">
        <v>861</v>
      </c>
      <c r="E333" s="865">
        <v>14022</v>
      </c>
      <c r="F333" s="866"/>
      <c r="G333" s="853"/>
      <c r="H333" s="853"/>
      <c r="I333" s="853"/>
      <c r="J333" s="853"/>
      <c r="K333" s="853"/>
      <c r="M333" s="853"/>
      <c r="N333" s="853"/>
      <c r="O333" s="853"/>
    </row>
    <row r="334" spans="2:15" x14ac:dyDescent="0.25">
      <c r="B334" s="859" t="s">
        <v>1226</v>
      </c>
      <c r="C334" s="889" t="s">
        <v>1214</v>
      </c>
      <c r="D334" s="861" t="s">
        <v>861</v>
      </c>
      <c r="E334" s="865">
        <v>22944</v>
      </c>
      <c r="F334" s="866"/>
      <c r="G334" s="853"/>
      <c r="H334" s="853"/>
      <c r="I334" s="853"/>
      <c r="J334" s="853"/>
      <c r="K334" s="853"/>
      <c r="M334" s="853"/>
      <c r="N334" s="853"/>
      <c r="O334" s="853"/>
    </row>
    <row r="335" spans="2:15" x14ac:dyDescent="0.25">
      <c r="B335" s="859" t="s">
        <v>1227</v>
      </c>
      <c r="C335" s="889" t="s">
        <v>1216</v>
      </c>
      <c r="D335" s="861" t="s">
        <v>861</v>
      </c>
      <c r="E335" s="865">
        <v>25494</v>
      </c>
      <c r="F335" s="866"/>
      <c r="G335" s="853"/>
      <c r="H335" s="853"/>
      <c r="I335" s="853"/>
      <c r="J335" s="853"/>
      <c r="K335" s="853"/>
      <c r="M335" s="853"/>
      <c r="N335" s="853"/>
      <c r="O335" s="853"/>
    </row>
    <row r="336" spans="2:15" x14ac:dyDescent="0.25">
      <c r="B336" s="859" t="s">
        <v>1228</v>
      </c>
      <c r="C336" s="889" t="s">
        <v>1218</v>
      </c>
      <c r="D336" s="861" t="s">
        <v>861</v>
      </c>
      <c r="E336" s="865">
        <v>44614</v>
      </c>
      <c r="F336" s="866"/>
      <c r="G336" s="853"/>
      <c r="H336" s="853"/>
      <c r="I336" s="853"/>
      <c r="J336" s="853"/>
      <c r="K336" s="853"/>
      <c r="M336" s="853"/>
      <c r="N336" s="853"/>
      <c r="O336" s="853"/>
    </row>
    <row r="337" spans="2:15" x14ac:dyDescent="0.25">
      <c r="B337" s="859" t="s">
        <v>1229</v>
      </c>
      <c r="C337" s="889" t="s">
        <v>1220</v>
      </c>
      <c r="D337" s="861" t="s">
        <v>861</v>
      </c>
      <c r="E337" s="865">
        <v>57361</v>
      </c>
      <c r="F337" s="866"/>
      <c r="G337" s="853"/>
      <c r="H337" s="853"/>
      <c r="I337" s="853"/>
      <c r="J337" s="853"/>
      <c r="K337" s="853"/>
      <c r="M337" s="853"/>
      <c r="N337" s="853"/>
      <c r="O337" s="853"/>
    </row>
    <row r="338" spans="2:15" x14ac:dyDescent="0.25">
      <c r="B338" s="859" t="s">
        <v>1230</v>
      </c>
      <c r="C338" s="889" t="s">
        <v>1231</v>
      </c>
      <c r="D338" s="861" t="s">
        <v>861</v>
      </c>
      <c r="E338" s="865">
        <v>108349</v>
      </c>
      <c r="F338" s="866"/>
      <c r="G338" s="853"/>
      <c r="H338" s="853"/>
      <c r="I338" s="853"/>
      <c r="J338" s="853"/>
      <c r="K338" s="853"/>
      <c r="M338" s="853"/>
      <c r="N338" s="853"/>
      <c r="O338" s="853"/>
    </row>
    <row r="339" spans="2:15" x14ac:dyDescent="0.25">
      <c r="B339" s="859" t="s">
        <v>1232</v>
      </c>
      <c r="C339" s="889" t="s">
        <v>1233</v>
      </c>
      <c r="D339" s="861" t="s">
        <v>861</v>
      </c>
      <c r="E339" s="865">
        <v>127469</v>
      </c>
      <c r="F339" s="866"/>
      <c r="G339" s="853"/>
      <c r="H339" s="853"/>
      <c r="I339" s="853"/>
      <c r="J339" s="853"/>
      <c r="K339" s="853"/>
      <c r="M339" s="853"/>
      <c r="N339" s="853"/>
      <c r="O339" s="853"/>
    </row>
    <row r="340" spans="2:15" x14ac:dyDescent="0.25">
      <c r="B340" s="859" t="s">
        <v>1234</v>
      </c>
      <c r="C340" s="889" t="s">
        <v>1235</v>
      </c>
      <c r="D340" s="861" t="s">
        <v>861</v>
      </c>
      <c r="E340" s="865">
        <v>140216</v>
      </c>
      <c r="F340" s="866"/>
      <c r="G340" s="853"/>
      <c r="H340" s="853"/>
      <c r="I340" s="853"/>
      <c r="J340" s="853"/>
      <c r="K340" s="853"/>
      <c r="M340" s="853"/>
      <c r="N340" s="853"/>
      <c r="O340" s="853"/>
    </row>
    <row r="341" spans="2:15" x14ac:dyDescent="0.25">
      <c r="B341" s="859" t="s">
        <v>1236</v>
      </c>
      <c r="C341" s="860" t="s">
        <v>1237</v>
      </c>
      <c r="D341" s="861"/>
      <c r="E341" s="862"/>
      <c r="F341" s="863"/>
      <c r="G341" s="853"/>
      <c r="H341" s="853"/>
      <c r="I341" s="853"/>
      <c r="J341" s="853"/>
      <c r="K341" s="853"/>
      <c r="M341" s="853"/>
      <c r="N341" s="853"/>
      <c r="O341" s="853"/>
    </row>
    <row r="342" spans="2:15" x14ac:dyDescent="0.25">
      <c r="B342" s="859" t="s">
        <v>1238</v>
      </c>
      <c r="C342" s="864" t="s">
        <v>1239</v>
      </c>
      <c r="D342" s="861" t="s">
        <v>861</v>
      </c>
      <c r="E342" s="865">
        <v>17846</v>
      </c>
      <c r="F342" s="866"/>
      <c r="G342" s="853"/>
      <c r="H342" s="853"/>
      <c r="I342" s="853"/>
      <c r="J342" s="853"/>
      <c r="K342" s="853"/>
      <c r="M342" s="853"/>
      <c r="N342" s="853"/>
      <c r="O342" s="853"/>
    </row>
    <row r="343" spans="2:15" x14ac:dyDescent="0.25">
      <c r="B343" s="859" t="s">
        <v>1240</v>
      </c>
      <c r="C343" s="860" t="s">
        <v>1241</v>
      </c>
      <c r="D343" s="861"/>
      <c r="E343" s="862"/>
      <c r="F343" s="863"/>
      <c r="G343" s="853"/>
      <c r="H343" s="853"/>
      <c r="I343" s="853"/>
      <c r="J343" s="853"/>
      <c r="K343" s="853"/>
      <c r="M343" s="853"/>
      <c r="N343" s="853"/>
      <c r="O343" s="853"/>
    </row>
    <row r="344" spans="2:15" x14ac:dyDescent="0.25">
      <c r="B344" s="859" t="s">
        <v>1242</v>
      </c>
      <c r="C344" s="864" t="s">
        <v>1241</v>
      </c>
      <c r="D344" s="861"/>
      <c r="E344" s="862"/>
      <c r="F344" s="863"/>
      <c r="G344" s="853"/>
      <c r="H344" s="853"/>
      <c r="I344" s="853"/>
      <c r="J344" s="853"/>
      <c r="K344" s="853"/>
      <c r="M344" s="853"/>
      <c r="N344" s="853"/>
      <c r="O344" s="853"/>
    </row>
    <row r="345" spans="2:15" x14ac:dyDescent="0.25">
      <c r="B345" s="859" t="s">
        <v>1243</v>
      </c>
      <c r="C345" s="889" t="s">
        <v>1212</v>
      </c>
      <c r="D345" s="861" t="s">
        <v>861</v>
      </c>
      <c r="E345" s="865">
        <v>31867</v>
      </c>
      <c r="F345" s="866"/>
      <c r="G345" s="853"/>
      <c r="H345" s="853"/>
      <c r="I345" s="853"/>
      <c r="J345" s="853"/>
      <c r="K345" s="853"/>
      <c r="M345" s="853"/>
      <c r="N345" s="853"/>
      <c r="O345" s="853"/>
    </row>
    <row r="346" spans="2:15" x14ac:dyDescent="0.25">
      <c r="B346" s="859" t="s">
        <v>1244</v>
      </c>
      <c r="C346" s="889" t="s">
        <v>1214</v>
      </c>
      <c r="D346" s="861" t="s">
        <v>861</v>
      </c>
      <c r="E346" s="865">
        <v>38241</v>
      </c>
      <c r="F346" s="866"/>
      <c r="G346" s="853"/>
      <c r="H346" s="853"/>
      <c r="I346" s="853"/>
      <c r="J346" s="853"/>
      <c r="K346" s="853"/>
      <c r="M346" s="853"/>
      <c r="N346" s="853"/>
      <c r="O346" s="853"/>
    </row>
    <row r="347" spans="2:15" x14ac:dyDescent="0.25">
      <c r="B347" s="859" t="s">
        <v>1245</v>
      </c>
      <c r="C347" s="889" t="s">
        <v>1216</v>
      </c>
      <c r="D347" s="861" t="s">
        <v>861</v>
      </c>
      <c r="E347" s="865">
        <v>44614</v>
      </c>
      <c r="F347" s="866"/>
      <c r="G347" s="853"/>
      <c r="H347" s="853"/>
      <c r="I347" s="853"/>
      <c r="J347" s="853"/>
      <c r="K347" s="853"/>
      <c r="M347" s="853"/>
      <c r="N347" s="853"/>
      <c r="O347" s="853"/>
    </row>
    <row r="348" spans="2:15" x14ac:dyDescent="0.25">
      <c r="B348" s="859" t="s">
        <v>1246</v>
      </c>
      <c r="C348" s="860" t="s">
        <v>1247</v>
      </c>
      <c r="D348" s="861"/>
      <c r="E348" s="862"/>
      <c r="F348" s="863"/>
      <c r="G348" s="853"/>
      <c r="H348" s="853"/>
      <c r="I348" s="853"/>
      <c r="J348" s="853"/>
      <c r="K348" s="853"/>
      <c r="M348" s="853"/>
      <c r="N348" s="853"/>
      <c r="O348" s="853"/>
    </row>
    <row r="349" spans="2:15" x14ac:dyDescent="0.25">
      <c r="B349" s="859" t="s">
        <v>1248</v>
      </c>
      <c r="C349" s="864" t="s">
        <v>1249</v>
      </c>
      <c r="D349" s="861" t="s">
        <v>861</v>
      </c>
      <c r="E349" s="865">
        <v>17846</v>
      </c>
      <c r="F349" s="866"/>
      <c r="G349" s="853"/>
      <c r="H349" s="853"/>
      <c r="I349" s="853"/>
      <c r="J349" s="853"/>
      <c r="K349" s="853"/>
      <c r="M349" s="853"/>
      <c r="N349" s="853"/>
      <c r="O349" s="853"/>
    </row>
    <row r="350" spans="2:15" x14ac:dyDescent="0.25">
      <c r="B350" s="859" t="s">
        <v>1250</v>
      </c>
      <c r="C350" s="860" t="s">
        <v>1251</v>
      </c>
      <c r="D350" s="861"/>
      <c r="E350" s="862"/>
      <c r="F350" s="863"/>
      <c r="G350" s="853"/>
      <c r="H350" s="853"/>
      <c r="I350" s="853"/>
      <c r="J350" s="853"/>
      <c r="K350" s="853"/>
      <c r="M350" s="853"/>
      <c r="N350" s="853"/>
      <c r="O350" s="853"/>
    </row>
    <row r="351" spans="2:15" x14ac:dyDescent="0.25">
      <c r="B351" s="859" t="s">
        <v>1252</v>
      </c>
      <c r="C351" s="864" t="s">
        <v>1253</v>
      </c>
      <c r="D351" s="861"/>
      <c r="E351" s="862"/>
      <c r="F351" s="863"/>
      <c r="G351" s="853"/>
      <c r="H351" s="853"/>
      <c r="I351" s="853"/>
      <c r="J351" s="853"/>
      <c r="K351" s="853"/>
      <c r="M351" s="853"/>
      <c r="N351" s="853"/>
      <c r="O351" s="853"/>
    </row>
    <row r="352" spans="2:15" x14ac:dyDescent="0.25">
      <c r="B352" s="859" t="s">
        <v>1254</v>
      </c>
      <c r="C352" s="889" t="s">
        <v>1212</v>
      </c>
      <c r="D352" s="861" t="s">
        <v>950</v>
      </c>
      <c r="E352" s="865">
        <v>2294</v>
      </c>
      <c r="F352" s="866"/>
      <c r="G352" s="853"/>
      <c r="H352" s="853"/>
      <c r="I352" s="853"/>
      <c r="J352" s="853"/>
      <c r="K352" s="853"/>
      <c r="M352" s="853"/>
      <c r="N352" s="853"/>
      <c r="O352" s="853"/>
    </row>
    <row r="353" spans="2:15" x14ac:dyDescent="0.25">
      <c r="B353" s="859" t="s">
        <v>1255</v>
      </c>
      <c r="C353" s="889" t="s">
        <v>1214</v>
      </c>
      <c r="D353" s="861" t="s">
        <v>950</v>
      </c>
      <c r="E353" s="865">
        <v>3059</v>
      </c>
      <c r="F353" s="866"/>
      <c r="G353" s="853"/>
      <c r="H353" s="853"/>
      <c r="I353" s="853"/>
      <c r="J353" s="853"/>
      <c r="K353" s="853"/>
      <c r="M353" s="853"/>
      <c r="N353" s="853"/>
      <c r="O353" s="853"/>
    </row>
    <row r="354" spans="2:15" x14ac:dyDescent="0.25">
      <c r="B354" s="859" t="s">
        <v>1256</v>
      </c>
      <c r="C354" s="889" t="s">
        <v>1216</v>
      </c>
      <c r="D354" s="861" t="s">
        <v>950</v>
      </c>
      <c r="E354" s="865">
        <v>3442</v>
      </c>
      <c r="F354" s="866"/>
      <c r="G354" s="853"/>
      <c r="H354" s="853"/>
      <c r="I354" s="853"/>
      <c r="J354" s="853"/>
      <c r="K354" s="853"/>
      <c r="M354" s="853"/>
      <c r="N354" s="853"/>
      <c r="O354" s="853"/>
    </row>
    <row r="355" spans="2:15" x14ac:dyDescent="0.25">
      <c r="B355" s="859" t="s">
        <v>1257</v>
      </c>
      <c r="C355" s="864" t="s">
        <v>1258</v>
      </c>
      <c r="D355" s="861"/>
      <c r="E355" s="862"/>
      <c r="F355" s="863"/>
      <c r="G355" s="853"/>
      <c r="H355" s="853"/>
      <c r="I355" s="853"/>
      <c r="J355" s="853"/>
      <c r="K355" s="853"/>
      <c r="M355" s="853"/>
      <c r="N355" s="853"/>
      <c r="O355" s="853"/>
    </row>
    <row r="356" spans="2:15" x14ac:dyDescent="0.25">
      <c r="B356" s="859" t="s">
        <v>1259</v>
      </c>
      <c r="C356" s="889" t="s">
        <v>1212</v>
      </c>
      <c r="D356" s="861" t="s">
        <v>950</v>
      </c>
      <c r="E356" s="865">
        <v>2103</v>
      </c>
      <c r="F356" s="866"/>
      <c r="G356" s="853"/>
      <c r="H356" s="853"/>
      <c r="I356" s="853"/>
      <c r="J356" s="853"/>
      <c r="K356" s="853"/>
      <c r="M356" s="853"/>
      <c r="N356" s="853"/>
      <c r="O356" s="853"/>
    </row>
    <row r="357" spans="2:15" x14ac:dyDescent="0.25">
      <c r="B357" s="859" t="s">
        <v>1260</v>
      </c>
      <c r="C357" s="889" t="s">
        <v>1214</v>
      </c>
      <c r="D357" s="861" t="s">
        <v>950</v>
      </c>
      <c r="E357" s="865">
        <v>3442</v>
      </c>
      <c r="F357" s="866"/>
      <c r="G357" s="853"/>
      <c r="H357" s="853"/>
      <c r="I357" s="853"/>
      <c r="J357" s="853"/>
      <c r="K357" s="853"/>
      <c r="M357" s="853"/>
      <c r="N357" s="853"/>
      <c r="O357" s="853"/>
    </row>
    <row r="358" spans="2:15" x14ac:dyDescent="0.25">
      <c r="B358" s="859" t="s">
        <v>1261</v>
      </c>
      <c r="C358" s="889" t="s">
        <v>1216</v>
      </c>
      <c r="D358" s="861" t="s">
        <v>950</v>
      </c>
      <c r="E358" s="865">
        <v>3824</v>
      </c>
      <c r="F358" s="866"/>
      <c r="G358" s="853"/>
      <c r="H358" s="853"/>
      <c r="I358" s="853"/>
      <c r="J358" s="853"/>
      <c r="K358" s="853"/>
      <c r="M358" s="853"/>
      <c r="N358" s="853"/>
      <c r="O358" s="853"/>
    </row>
    <row r="359" spans="2:15" x14ac:dyDescent="0.25">
      <c r="B359" s="859" t="s">
        <v>1262</v>
      </c>
      <c r="C359" s="864" t="s">
        <v>1263</v>
      </c>
      <c r="D359" s="861"/>
      <c r="E359" s="862"/>
      <c r="F359" s="863"/>
      <c r="G359" s="853"/>
      <c r="H359" s="853"/>
      <c r="I359" s="853"/>
      <c r="J359" s="853"/>
      <c r="K359" s="853"/>
      <c r="M359" s="853"/>
      <c r="N359" s="853"/>
      <c r="O359" s="853"/>
    </row>
    <row r="360" spans="2:15" x14ac:dyDescent="0.25">
      <c r="B360" s="859" t="s">
        <v>1264</v>
      </c>
      <c r="C360" s="889" t="s">
        <v>1214</v>
      </c>
      <c r="D360" s="861" t="s">
        <v>950</v>
      </c>
      <c r="E360" s="865">
        <v>2677</v>
      </c>
      <c r="F360" s="866"/>
      <c r="G360" s="853"/>
      <c r="H360" s="853"/>
      <c r="I360" s="853"/>
      <c r="J360" s="853"/>
      <c r="K360" s="853"/>
      <c r="M360" s="853"/>
      <c r="N360" s="853"/>
      <c r="O360" s="853"/>
    </row>
    <row r="361" spans="2:15" x14ac:dyDescent="0.25">
      <c r="B361" s="859" t="s">
        <v>1265</v>
      </c>
      <c r="C361" s="860" t="s">
        <v>1266</v>
      </c>
      <c r="D361" s="861"/>
      <c r="E361" s="862"/>
      <c r="F361" s="863"/>
      <c r="G361" s="853"/>
      <c r="H361" s="853"/>
      <c r="I361" s="853"/>
      <c r="J361" s="853"/>
      <c r="K361" s="853"/>
      <c r="M361" s="853"/>
      <c r="N361" s="853"/>
      <c r="O361" s="853"/>
    </row>
    <row r="362" spans="2:15" x14ac:dyDescent="0.25">
      <c r="B362" s="859" t="s">
        <v>1267</v>
      </c>
      <c r="C362" s="864" t="s">
        <v>1268</v>
      </c>
      <c r="D362" s="861"/>
      <c r="E362" s="862"/>
      <c r="F362" s="863"/>
      <c r="G362" s="853"/>
      <c r="H362" s="853"/>
      <c r="I362" s="853"/>
      <c r="J362" s="853"/>
      <c r="K362" s="853"/>
      <c r="M362" s="853"/>
      <c r="N362" s="853"/>
      <c r="O362" s="853"/>
    </row>
    <row r="363" spans="2:15" x14ac:dyDescent="0.25">
      <c r="B363" s="859" t="s">
        <v>1269</v>
      </c>
      <c r="C363" s="889" t="s">
        <v>1216</v>
      </c>
      <c r="D363" s="861" t="s">
        <v>861</v>
      </c>
      <c r="E363" s="865">
        <v>63735</v>
      </c>
      <c r="F363" s="866"/>
      <c r="G363" s="853"/>
      <c r="H363" s="853"/>
      <c r="I363" s="853"/>
      <c r="J363" s="853"/>
      <c r="K363" s="853"/>
      <c r="M363" s="853"/>
      <c r="N363" s="853"/>
      <c r="O363" s="853"/>
    </row>
    <row r="364" spans="2:15" x14ac:dyDescent="0.25">
      <c r="B364" s="859" t="s">
        <v>1270</v>
      </c>
      <c r="C364" s="889" t="s">
        <v>1218</v>
      </c>
      <c r="D364" s="861" t="s">
        <v>861</v>
      </c>
      <c r="E364" s="865">
        <v>76481</v>
      </c>
      <c r="F364" s="866"/>
      <c r="G364" s="853"/>
      <c r="H364" s="853"/>
      <c r="I364" s="853"/>
      <c r="J364" s="853"/>
      <c r="K364" s="853"/>
      <c r="M364" s="853"/>
      <c r="N364" s="853"/>
      <c r="O364" s="853"/>
    </row>
    <row r="365" spans="2:15" x14ac:dyDescent="0.25">
      <c r="B365" s="859" t="s">
        <v>1271</v>
      </c>
      <c r="C365" s="864" t="s">
        <v>1272</v>
      </c>
      <c r="D365" s="861"/>
      <c r="E365" s="862"/>
      <c r="F365" s="863"/>
      <c r="G365" s="853"/>
      <c r="H365" s="853"/>
      <c r="I365" s="853"/>
      <c r="J365" s="853"/>
      <c r="K365" s="853"/>
      <c r="M365" s="853"/>
      <c r="N365" s="853"/>
      <c r="O365" s="853"/>
    </row>
    <row r="366" spans="2:15" x14ac:dyDescent="0.25">
      <c r="B366" s="859" t="s">
        <v>1273</v>
      </c>
      <c r="C366" s="889" t="s">
        <v>1216</v>
      </c>
      <c r="D366" s="861" t="s">
        <v>861</v>
      </c>
      <c r="E366" s="865">
        <v>76481</v>
      </c>
      <c r="F366" s="866"/>
      <c r="G366" s="853"/>
      <c r="H366" s="853"/>
      <c r="I366" s="853"/>
      <c r="J366" s="853"/>
      <c r="K366" s="853"/>
      <c r="M366" s="853"/>
      <c r="N366" s="853"/>
      <c r="O366" s="853"/>
    </row>
    <row r="367" spans="2:15" x14ac:dyDescent="0.25">
      <c r="B367" s="859" t="s">
        <v>1274</v>
      </c>
      <c r="C367" s="860" t="s">
        <v>1275</v>
      </c>
      <c r="D367" s="861"/>
      <c r="E367" s="862"/>
      <c r="F367" s="863"/>
      <c r="G367" s="853"/>
      <c r="H367" s="853"/>
      <c r="I367" s="853"/>
      <c r="J367" s="853"/>
      <c r="K367" s="853"/>
      <c r="M367" s="853"/>
      <c r="N367" s="853"/>
      <c r="O367" s="853"/>
    </row>
    <row r="368" spans="2:15" x14ac:dyDescent="0.25">
      <c r="B368" s="859" t="s">
        <v>1276</v>
      </c>
      <c r="C368" s="864" t="s">
        <v>1277</v>
      </c>
      <c r="D368" s="861"/>
      <c r="E368" s="862"/>
      <c r="F368" s="863"/>
      <c r="G368" s="853"/>
      <c r="H368" s="853"/>
      <c r="I368" s="853"/>
      <c r="J368" s="853"/>
      <c r="K368" s="853"/>
      <c r="M368" s="853"/>
      <c r="N368" s="853"/>
      <c r="O368" s="853"/>
    </row>
    <row r="369" spans="2:15" x14ac:dyDescent="0.25">
      <c r="B369" s="859" t="s">
        <v>1278</v>
      </c>
      <c r="C369" s="889" t="s">
        <v>1210</v>
      </c>
      <c r="D369" s="861" t="s">
        <v>861</v>
      </c>
      <c r="E369" s="865">
        <v>25183</v>
      </c>
      <c r="F369" s="866"/>
      <c r="G369" s="853"/>
      <c r="H369" s="853"/>
      <c r="I369" s="853"/>
      <c r="J369" s="853"/>
      <c r="K369" s="853"/>
      <c r="M369" s="853"/>
      <c r="N369" s="853"/>
      <c r="O369" s="853"/>
    </row>
    <row r="370" spans="2:15" x14ac:dyDescent="0.25">
      <c r="B370" s="859" t="s">
        <v>1279</v>
      </c>
      <c r="C370" s="889" t="s">
        <v>1212</v>
      </c>
      <c r="D370" s="861" t="s">
        <v>861</v>
      </c>
      <c r="E370" s="865">
        <v>29846</v>
      </c>
      <c r="F370" s="866"/>
      <c r="G370" s="853"/>
      <c r="H370" s="853"/>
      <c r="I370" s="853"/>
      <c r="J370" s="853"/>
      <c r="K370" s="853"/>
      <c r="M370" s="853"/>
      <c r="N370" s="853"/>
      <c r="O370" s="853"/>
    </row>
    <row r="371" spans="2:15" x14ac:dyDescent="0.25">
      <c r="B371" s="859" t="s">
        <v>1280</v>
      </c>
      <c r="C371" s="889" t="s">
        <v>1214</v>
      </c>
      <c r="D371" s="861" t="s">
        <v>861</v>
      </c>
      <c r="E371" s="865">
        <v>37308</v>
      </c>
      <c r="F371" s="866"/>
      <c r="G371" s="853"/>
      <c r="H371" s="853"/>
      <c r="I371" s="853"/>
      <c r="J371" s="853"/>
      <c r="K371" s="853"/>
      <c r="M371" s="853"/>
      <c r="N371" s="853"/>
      <c r="O371" s="853"/>
    </row>
    <row r="372" spans="2:15" x14ac:dyDescent="0.25">
      <c r="B372" s="859" t="s">
        <v>1281</v>
      </c>
      <c r="C372" s="880" t="s">
        <v>1282</v>
      </c>
      <c r="D372" s="861"/>
      <c r="E372" s="862"/>
      <c r="F372" s="863"/>
      <c r="G372" s="853"/>
      <c r="H372" s="853"/>
      <c r="I372" s="853"/>
      <c r="J372" s="853"/>
      <c r="K372" s="853"/>
      <c r="M372" s="853"/>
      <c r="N372" s="853"/>
      <c r="O372" s="853"/>
    </row>
    <row r="373" spans="2:15" x14ac:dyDescent="0.25">
      <c r="B373" s="859" t="s">
        <v>1283</v>
      </c>
      <c r="C373" s="864" t="s">
        <v>1284</v>
      </c>
      <c r="D373" s="861"/>
      <c r="E373" s="862"/>
      <c r="F373" s="863"/>
      <c r="G373" s="853"/>
      <c r="H373" s="853"/>
      <c r="I373" s="853"/>
      <c r="J373" s="853"/>
      <c r="K373" s="853"/>
      <c r="M373" s="853"/>
      <c r="N373" s="853"/>
      <c r="O373" s="853"/>
    </row>
    <row r="374" spans="2:15" x14ac:dyDescent="0.25">
      <c r="B374" s="859" t="s">
        <v>1285</v>
      </c>
      <c r="C374" s="889" t="s">
        <v>1286</v>
      </c>
      <c r="D374" s="861" t="s">
        <v>861</v>
      </c>
      <c r="E374" s="865">
        <v>19120</v>
      </c>
      <c r="F374" s="866"/>
      <c r="G374" s="853"/>
      <c r="H374" s="853"/>
      <c r="I374" s="853"/>
      <c r="J374" s="853"/>
      <c r="K374" s="853"/>
      <c r="M374" s="853"/>
      <c r="N374" s="853"/>
      <c r="O374" s="853"/>
    </row>
    <row r="375" spans="2:15" x14ac:dyDescent="0.25">
      <c r="B375" s="859" t="s">
        <v>1287</v>
      </c>
      <c r="C375" s="889" t="s">
        <v>1210</v>
      </c>
      <c r="D375" s="861" t="s">
        <v>861</v>
      </c>
      <c r="E375" s="865">
        <v>24219</v>
      </c>
      <c r="F375" s="866"/>
      <c r="G375" s="853"/>
      <c r="H375" s="853"/>
      <c r="I375" s="853"/>
      <c r="J375" s="853"/>
      <c r="K375" s="853"/>
      <c r="M375" s="853"/>
      <c r="N375" s="853"/>
      <c r="O375" s="853"/>
    </row>
    <row r="376" spans="2:15" x14ac:dyDescent="0.25">
      <c r="B376" s="859" t="s">
        <v>1288</v>
      </c>
      <c r="C376" s="889" t="s">
        <v>1212</v>
      </c>
      <c r="D376" s="861" t="s">
        <v>861</v>
      </c>
      <c r="E376" s="865">
        <v>31867</v>
      </c>
      <c r="F376" s="866"/>
      <c r="G376" s="853"/>
      <c r="H376" s="853"/>
      <c r="I376" s="853"/>
      <c r="J376" s="853"/>
      <c r="K376" s="853"/>
      <c r="M376" s="853"/>
      <c r="N376" s="853"/>
      <c r="O376" s="853"/>
    </row>
    <row r="377" spans="2:15" x14ac:dyDescent="0.25">
      <c r="B377" s="859" t="s">
        <v>1289</v>
      </c>
      <c r="C377" s="889" t="s">
        <v>1214</v>
      </c>
      <c r="D377" s="861" t="s">
        <v>861</v>
      </c>
      <c r="E377" s="865">
        <v>38241</v>
      </c>
      <c r="F377" s="866"/>
      <c r="G377" s="853"/>
      <c r="H377" s="853"/>
      <c r="I377" s="853"/>
      <c r="J377" s="853"/>
      <c r="K377" s="853"/>
      <c r="M377" s="853"/>
      <c r="N377" s="853"/>
      <c r="O377" s="853"/>
    </row>
    <row r="378" spans="2:15" x14ac:dyDescent="0.25">
      <c r="B378" s="859" t="s">
        <v>1290</v>
      </c>
      <c r="C378" s="889" t="s">
        <v>1216</v>
      </c>
      <c r="D378" s="861" t="s">
        <v>861</v>
      </c>
      <c r="E378" s="865">
        <v>44614</v>
      </c>
      <c r="F378" s="866"/>
      <c r="G378" s="853"/>
      <c r="H378" s="853"/>
      <c r="I378" s="853"/>
      <c r="J378" s="853"/>
      <c r="K378" s="853"/>
      <c r="M378" s="853"/>
      <c r="N378" s="853"/>
      <c r="O378" s="853"/>
    </row>
    <row r="379" spans="2:15" x14ac:dyDescent="0.25">
      <c r="B379" s="859" t="s">
        <v>1291</v>
      </c>
      <c r="C379" s="880" t="s">
        <v>1292</v>
      </c>
      <c r="D379" s="861"/>
      <c r="E379" s="862"/>
      <c r="F379" s="863"/>
      <c r="G379" s="853"/>
      <c r="H379" s="853"/>
      <c r="I379" s="853"/>
      <c r="J379" s="853"/>
      <c r="K379" s="853"/>
      <c r="M379" s="853"/>
      <c r="N379" s="853"/>
      <c r="O379" s="853"/>
    </row>
    <row r="380" spans="2:15" x14ac:dyDescent="0.25">
      <c r="B380" s="859" t="s">
        <v>1293</v>
      </c>
      <c r="C380" s="864" t="s">
        <v>1294</v>
      </c>
      <c r="D380" s="861" t="s">
        <v>861</v>
      </c>
      <c r="E380" s="865">
        <v>31867</v>
      </c>
      <c r="F380" s="866"/>
      <c r="G380" s="853"/>
      <c r="H380" s="853"/>
      <c r="I380" s="853"/>
      <c r="J380" s="853"/>
      <c r="K380" s="853"/>
      <c r="M380" s="853"/>
      <c r="N380" s="853"/>
      <c r="O380" s="853"/>
    </row>
    <row r="381" spans="2:15" x14ac:dyDescent="0.25">
      <c r="B381" s="859" t="s">
        <v>1295</v>
      </c>
      <c r="C381" s="864" t="s">
        <v>1296</v>
      </c>
      <c r="D381" s="861" t="s">
        <v>861</v>
      </c>
      <c r="E381" s="865">
        <v>200531</v>
      </c>
      <c r="F381" s="866"/>
      <c r="G381" s="853"/>
      <c r="H381" s="853"/>
      <c r="I381" s="853"/>
      <c r="J381" s="853"/>
      <c r="K381" s="853"/>
      <c r="M381" s="853"/>
      <c r="N381" s="853"/>
      <c r="O381" s="853"/>
    </row>
    <row r="382" spans="2:15" x14ac:dyDescent="0.25">
      <c r="B382" s="859" t="s">
        <v>1297</v>
      </c>
      <c r="C382" s="864" t="s">
        <v>1298</v>
      </c>
      <c r="D382" s="861" t="s">
        <v>861</v>
      </c>
      <c r="E382" s="865">
        <v>139905</v>
      </c>
      <c r="F382" s="866"/>
      <c r="G382" s="853"/>
      <c r="H382" s="853"/>
      <c r="I382" s="853"/>
      <c r="J382" s="853"/>
      <c r="K382" s="853"/>
      <c r="M382" s="853"/>
      <c r="N382" s="853"/>
      <c r="O382" s="853"/>
    </row>
    <row r="383" spans="2:15" x14ac:dyDescent="0.25">
      <c r="B383" s="859"/>
      <c r="C383" s="864"/>
      <c r="D383" s="861"/>
      <c r="E383" s="862"/>
      <c r="F383" s="863"/>
      <c r="G383" s="853"/>
      <c r="H383" s="853"/>
      <c r="I383" s="853"/>
      <c r="J383" s="853"/>
      <c r="K383" s="853"/>
      <c r="M383" s="853"/>
      <c r="N383" s="853"/>
      <c r="O383" s="853"/>
    </row>
    <row r="384" spans="2:15" x14ac:dyDescent="0.25">
      <c r="B384" s="859"/>
      <c r="C384" s="871" t="s">
        <v>1299</v>
      </c>
      <c r="D384" s="872"/>
      <c r="E384" s="862"/>
      <c r="F384" s="863"/>
      <c r="G384" s="853"/>
      <c r="H384" s="853"/>
      <c r="I384" s="853"/>
      <c r="J384" s="853"/>
      <c r="K384" s="853"/>
      <c r="M384" s="853"/>
      <c r="N384" s="853"/>
      <c r="O384" s="853"/>
    </row>
    <row r="385" spans="2:15" x14ac:dyDescent="0.25">
      <c r="B385" s="859" t="s">
        <v>1300</v>
      </c>
      <c r="C385" s="880" t="s">
        <v>1301</v>
      </c>
      <c r="D385" s="862"/>
      <c r="E385" s="862"/>
      <c r="F385" s="863"/>
      <c r="G385" s="853"/>
      <c r="H385" s="853"/>
      <c r="I385" s="853"/>
      <c r="J385" s="853"/>
      <c r="K385" s="853"/>
      <c r="M385" s="853"/>
      <c r="N385" s="853"/>
      <c r="O385" s="853"/>
    </row>
    <row r="386" spans="2:15" x14ac:dyDescent="0.25">
      <c r="B386" s="859" t="s">
        <v>1302</v>
      </c>
      <c r="C386" s="860" t="s">
        <v>1303</v>
      </c>
      <c r="D386" s="862"/>
      <c r="E386" s="862"/>
      <c r="F386" s="863"/>
      <c r="G386" s="853"/>
      <c r="H386" s="853"/>
      <c r="I386" s="853"/>
      <c r="J386" s="853"/>
      <c r="K386" s="853"/>
      <c r="M386" s="853"/>
      <c r="N386" s="853"/>
      <c r="O386" s="853"/>
    </row>
    <row r="387" spans="2:15" x14ac:dyDescent="0.25">
      <c r="B387" s="859" t="s">
        <v>1304</v>
      </c>
      <c r="C387" s="864" t="s">
        <v>1305</v>
      </c>
      <c r="D387" s="861" t="s">
        <v>861</v>
      </c>
      <c r="E387" s="865">
        <v>65328</v>
      </c>
      <c r="F387" s="866"/>
      <c r="G387" s="853"/>
      <c r="H387" s="853"/>
      <c r="I387" s="853"/>
      <c r="J387" s="853"/>
      <c r="K387" s="853"/>
      <c r="M387" s="853"/>
      <c r="N387" s="853"/>
      <c r="O387" s="853"/>
    </row>
    <row r="388" spans="2:15" x14ac:dyDescent="0.25">
      <c r="B388" s="859" t="s">
        <v>1306</v>
      </c>
      <c r="C388" s="864" t="s">
        <v>1307</v>
      </c>
      <c r="D388" s="861" t="s">
        <v>861</v>
      </c>
      <c r="E388" s="865">
        <v>71861</v>
      </c>
      <c r="F388" s="866"/>
      <c r="G388" s="853"/>
      <c r="H388" s="853"/>
      <c r="I388" s="853"/>
      <c r="J388" s="853"/>
      <c r="K388" s="853"/>
      <c r="M388" s="853"/>
      <c r="N388" s="853"/>
      <c r="O388" s="853"/>
    </row>
    <row r="389" spans="2:15" x14ac:dyDescent="0.25">
      <c r="B389" s="859" t="s">
        <v>1308</v>
      </c>
      <c r="C389" s="860" t="s">
        <v>1309</v>
      </c>
      <c r="D389" s="862"/>
      <c r="E389" s="862"/>
      <c r="F389" s="863"/>
      <c r="G389" s="853"/>
      <c r="H389" s="853"/>
      <c r="I389" s="853"/>
      <c r="J389" s="853"/>
      <c r="K389" s="853"/>
      <c r="M389" s="853"/>
      <c r="N389" s="853"/>
      <c r="O389" s="853"/>
    </row>
    <row r="390" spans="2:15" x14ac:dyDescent="0.25">
      <c r="B390" s="859" t="s">
        <v>1310</v>
      </c>
      <c r="C390" s="864" t="s">
        <v>1311</v>
      </c>
      <c r="D390" s="861" t="s">
        <v>861</v>
      </c>
      <c r="E390" s="865">
        <v>58954</v>
      </c>
      <c r="F390" s="866"/>
      <c r="G390" s="853"/>
      <c r="H390" s="853"/>
      <c r="I390" s="853"/>
      <c r="J390" s="853"/>
      <c r="K390" s="853"/>
      <c r="M390" s="853"/>
      <c r="N390" s="853"/>
      <c r="O390" s="853"/>
    </row>
    <row r="391" spans="2:15" x14ac:dyDescent="0.25">
      <c r="B391" s="859" t="s">
        <v>1312</v>
      </c>
      <c r="C391" s="864" t="s">
        <v>1313</v>
      </c>
      <c r="D391" s="861" t="s">
        <v>861</v>
      </c>
      <c r="E391" s="865">
        <v>65487</v>
      </c>
      <c r="F391" s="866"/>
      <c r="G391" s="853"/>
      <c r="H391" s="853"/>
      <c r="I391" s="853"/>
      <c r="J391" s="853"/>
      <c r="K391" s="853"/>
      <c r="M391" s="853"/>
      <c r="N391" s="853"/>
      <c r="O391" s="853"/>
    </row>
    <row r="392" spans="2:15" x14ac:dyDescent="0.25">
      <c r="B392" s="859" t="s">
        <v>1314</v>
      </c>
      <c r="C392" s="860" t="s">
        <v>1315</v>
      </c>
      <c r="D392" s="862"/>
      <c r="E392" s="862"/>
      <c r="F392" s="863"/>
      <c r="G392" s="853"/>
      <c r="H392" s="853"/>
      <c r="I392" s="853"/>
      <c r="J392" s="853"/>
      <c r="K392" s="853"/>
      <c r="M392" s="853"/>
      <c r="N392" s="853"/>
      <c r="O392" s="853"/>
    </row>
    <row r="393" spans="2:15" x14ac:dyDescent="0.25">
      <c r="B393" s="859" t="s">
        <v>1316</v>
      </c>
      <c r="C393" s="864" t="s">
        <v>1317</v>
      </c>
      <c r="D393" s="861" t="s">
        <v>861</v>
      </c>
      <c r="E393" s="865">
        <v>82855</v>
      </c>
      <c r="F393" s="866"/>
      <c r="G393" s="853"/>
      <c r="H393" s="853"/>
      <c r="I393" s="853"/>
      <c r="J393" s="853"/>
      <c r="K393" s="853"/>
      <c r="M393" s="853"/>
      <c r="N393" s="853"/>
      <c r="O393" s="853"/>
    </row>
    <row r="394" spans="2:15" x14ac:dyDescent="0.25">
      <c r="B394" s="859" t="s">
        <v>1318</v>
      </c>
      <c r="C394" s="864" t="s">
        <v>1319</v>
      </c>
      <c r="D394" s="861" t="s">
        <v>861</v>
      </c>
      <c r="E394" s="865">
        <v>89388</v>
      </c>
      <c r="F394" s="866"/>
      <c r="G394" s="853"/>
      <c r="H394" s="853"/>
      <c r="I394" s="853"/>
      <c r="J394" s="853"/>
      <c r="K394" s="853"/>
      <c r="M394" s="853"/>
      <c r="N394" s="853"/>
      <c r="O394" s="853"/>
    </row>
    <row r="395" spans="2:15" x14ac:dyDescent="0.25">
      <c r="B395" s="859" t="s">
        <v>1320</v>
      </c>
      <c r="C395" s="860" t="s">
        <v>1321</v>
      </c>
      <c r="D395" s="862"/>
      <c r="E395" s="862"/>
      <c r="F395" s="863"/>
      <c r="G395" s="853"/>
      <c r="H395" s="853"/>
      <c r="I395" s="853"/>
      <c r="J395" s="853"/>
      <c r="K395" s="853"/>
      <c r="M395" s="853"/>
      <c r="N395" s="853"/>
      <c r="O395" s="853"/>
    </row>
    <row r="396" spans="2:15" x14ac:dyDescent="0.25">
      <c r="B396" s="859" t="s">
        <v>1322</v>
      </c>
      <c r="C396" s="864" t="s">
        <v>1323</v>
      </c>
      <c r="D396" s="861" t="s">
        <v>861</v>
      </c>
      <c r="E396" s="865">
        <v>76481</v>
      </c>
      <c r="F396" s="866"/>
      <c r="G396" s="853"/>
      <c r="H396" s="853"/>
      <c r="I396" s="853"/>
      <c r="J396" s="853"/>
      <c r="K396" s="853"/>
      <c r="M396" s="853"/>
      <c r="N396" s="853"/>
      <c r="O396" s="853"/>
    </row>
    <row r="397" spans="2:15" x14ac:dyDescent="0.25">
      <c r="B397" s="859" t="s">
        <v>1324</v>
      </c>
      <c r="C397" s="864" t="s">
        <v>1325</v>
      </c>
      <c r="D397" s="861" t="s">
        <v>861</v>
      </c>
      <c r="E397" s="865">
        <v>83014</v>
      </c>
      <c r="F397" s="866"/>
      <c r="G397" s="853"/>
      <c r="H397" s="853"/>
      <c r="I397" s="853"/>
      <c r="J397" s="853"/>
      <c r="K397" s="853"/>
      <c r="M397" s="853"/>
      <c r="N397" s="853"/>
      <c r="O397" s="853"/>
    </row>
    <row r="398" spans="2:15" x14ac:dyDescent="0.25">
      <c r="B398" s="859" t="s">
        <v>1326</v>
      </c>
      <c r="C398" s="860" t="s">
        <v>1327</v>
      </c>
      <c r="D398" s="862"/>
      <c r="E398" s="862"/>
      <c r="F398" s="863"/>
      <c r="G398" s="853"/>
      <c r="H398" s="853"/>
      <c r="I398" s="853"/>
      <c r="J398" s="853"/>
      <c r="K398" s="853"/>
      <c r="M398" s="853"/>
      <c r="N398" s="853"/>
      <c r="O398" s="853"/>
    </row>
    <row r="399" spans="2:15" x14ac:dyDescent="0.25">
      <c r="B399" s="859" t="s">
        <v>1328</v>
      </c>
      <c r="C399" s="864" t="s">
        <v>1305</v>
      </c>
      <c r="D399" s="861" t="s">
        <v>861</v>
      </c>
      <c r="E399" s="865">
        <v>175192</v>
      </c>
      <c r="F399" s="866"/>
      <c r="G399" s="853"/>
      <c r="H399" s="853"/>
      <c r="I399" s="853"/>
      <c r="J399" s="853"/>
      <c r="K399" s="853"/>
      <c r="M399" s="853"/>
      <c r="N399" s="853"/>
      <c r="O399" s="853"/>
    </row>
    <row r="400" spans="2:15" x14ac:dyDescent="0.25">
      <c r="B400" s="859" t="s">
        <v>1329</v>
      </c>
      <c r="C400" s="864" t="s">
        <v>1307</v>
      </c>
      <c r="D400" s="861" t="s">
        <v>861</v>
      </c>
      <c r="E400" s="865">
        <v>212967</v>
      </c>
      <c r="F400" s="866"/>
      <c r="G400" s="853"/>
      <c r="H400" s="853"/>
      <c r="I400" s="853"/>
      <c r="J400" s="853"/>
      <c r="K400" s="853"/>
      <c r="M400" s="853"/>
      <c r="N400" s="853"/>
      <c r="O400" s="853"/>
    </row>
    <row r="401" spans="2:15" x14ac:dyDescent="0.25">
      <c r="B401" s="859" t="s">
        <v>1330</v>
      </c>
      <c r="C401" s="860" t="s">
        <v>1331</v>
      </c>
      <c r="D401" s="862"/>
      <c r="E401" s="862"/>
      <c r="F401" s="863"/>
      <c r="G401" s="853"/>
      <c r="H401" s="853"/>
      <c r="I401" s="853"/>
      <c r="J401" s="853"/>
      <c r="K401" s="853"/>
      <c r="M401" s="853"/>
      <c r="N401" s="853"/>
      <c r="O401" s="853"/>
    </row>
    <row r="402" spans="2:15" ht="31.5" x14ac:dyDescent="0.25">
      <c r="B402" s="859" t="s">
        <v>1332</v>
      </c>
      <c r="C402" s="864" t="s">
        <v>1333</v>
      </c>
      <c r="D402" s="861" t="s">
        <v>861</v>
      </c>
      <c r="E402" s="865">
        <v>46635</v>
      </c>
      <c r="F402" s="866"/>
      <c r="G402" s="853"/>
      <c r="H402" s="853"/>
      <c r="I402" s="853"/>
      <c r="J402" s="853"/>
      <c r="K402" s="853"/>
      <c r="M402" s="853"/>
      <c r="N402" s="853"/>
      <c r="O402" s="853"/>
    </row>
    <row r="403" spans="2:15" ht="31.5" x14ac:dyDescent="0.25">
      <c r="B403" s="859" t="s">
        <v>1334</v>
      </c>
      <c r="C403" s="864" t="s">
        <v>1335</v>
      </c>
      <c r="D403" s="861" t="s">
        <v>861</v>
      </c>
      <c r="E403" s="865">
        <v>32645</v>
      </c>
      <c r="F403" s="866"/>
      <c r="G403" s="853"/>
      <c r="H403" s="853"/>
      <c r="I403" s="853"/>
      <c r="J403" s="853"/>
      <c r="K403" s="853"/>
      <c r="M403" s="853"/>
      <c r="N403" s="853"/>
      <c r="O403" s="853"/>
    </row>
    <row r="404" spans="2:15" ht="31.5" x14ac:dyDescent="0.25">
      <c r="B404" s="859" t="s">
        <v>1336</v>
      </c>
      <c r="C404" s="864" t="s">
        <v>1337</v>
      </c>
      <c r="D404" s="861" t="s">
        <v>861</v>
      </c>
      <c r="E404" s="865">
        <v>38085</v>
      </c>
      <c r="F404" s="866"/>
      <c r="G404" s="853"/>
      <c r="H404" s="853"/>
      <c r="I404" s="853"/>
      <c r="J404" s="853"/>
      <c r="K404" s="853"/>
      <c r="M404" s="853"/>
      <c r="N404" s="853"/>
      <c r="O404" s="853"/>
    </row>
    <row r="405" spans="2:15" ht="31.5" x14ac:dyDescent="0.25">
      <c r="B405" s="859" t="s">
        <v>1338</v>
      </c>
      <c r="C405" s="864" t="s">
        <v>1339</v>
      </c>
      <c r="D405" s="861" t="s">
        <v>861</v>
      </c>
      <c r="E405" s="865">
        <v>43526</v>
      </c>
      <c r="F405" s="866"/>
      <c r="G405" s="853"/>
      <c r="H405" s="853"/>
      <c r="I405" s="853"/>
      <c r="J405" s="853"/>
      <c r="K405" s="853"/>
      <c r="M405" s="853"/>
      <c r="N405" s="853"/>
      <c r="O405" s="853"/>
    </row>
    <row r="406" spans="2:15" ht="31.5" x14ac:dyDescent="0.25">
      <c r="B406" s="859" t="s">
        <v>1340</v>
      </c>
      <c r="C406" s="864" t="s">
        <v>1341</v>
      </c>
      <c r="D406" s="861" t="s">
        <v>861</v>
      </c>
      <c r="E406" s="865">
        <v>31090</v>
      </c>
      <c r="F406" s="866"/>
      <c r="G406" s="853"/>
      <c r="H406" s="853"/>
      <c r="I406" s="853"/>
      <c r="J406" s="853"/>
      <c r="K406" s="853"/>
      <c r="M406" s="853"/>
      <c r="N406" s="853"/>
      <c r="O406" s="853"/>
    </row>
    <row r="407" spans="2:15" ht="31.5" x14ac:dyDescent="0.25">
      <c r="B407" s="859" t="s">
        <v>1342</v>
      </c>
      <c r="C407" s="864" t="s">
        <v>1343</v>
      </c>
      <c r="D407" s="861" t="s">
        <v>861</v>
      </c>
      <c r="E407" s="865">
        <v>37308</v>
      </c>
      <c r="F407" s="866"/>
      <c r="G407" s="853"/>
      <c r="H407" s="853"/>
      <c r="I407" s="853"/>
      <c r="J407" s="853"/>
      <c r="K407" s="853"/>
      <c r="M407" s="853"/>
      <c r="N407" s="853"/>
      <c r="O407" s="853"/>
    </row>
    <row r="408" spans="2:15" x14ac:dyDescent="0.25">
      <c r="B408" s="859" t="s">
        <v>1344</v>
      </c>
      <c r="C408" s="860" t="s">
        <v>1345</v>
      </c>
      <c r="D408" s="862"/>
      <c r="E408" s="862"/>
      <c r="F408" s="863"/>
      <c r="G408" s="853"/>
      <c r="H408" s="853"/>
      <c r="I408" s="853"/>
      <c r="J408" s="853"/>
      <c r="K408" s="853"/>
      <c r="M408" s="853"/>
      <c r="N408" s="853"/>
      <c r="O408" s="853"/>
    </row>
    <row r="409" spans="2:15" ht="31.5" x14ac:dyDescent="0.25">
      <c r="B409" s="859" t="s">
        <v>1346</v>
      </c>
      <c r="C409" s="864" t="s">
        <v>1347</v>
      </c>
      <c r="D409" s="861" t="s">
        <v>950</v>
      </c>
      <c r="E409" s="865">
        <v>58294</v>
      </c>
      <c r="F409" s="866"/>
      <c r="G409" s="853"/>
      <c r="H409" s="853"/>
      <c r="I409" s="853"/>
      <c r="J409" s="853"/>
      <c r="K409" s="853"/>
      <c r="M409" s="853"/>
      <c r="N409" s="853"/>
      <c r="O409" s="853"/>
    </row>
    <row r="410" spans="2:15" ht="31.5" x14ac:dyDescent="0.25">
      <c r="B410" s="859" t="s">
        <v>1348</v>
      </c>
      <c r="C410" s="864" t="s">
        <v>1349</v>
      </c>
      <c r="D410" s="861" t="s">
        <v>950</v>
      </c>
      <c r="E410" s="865">
        <v>49744</v>
      </c>
      <c r="F410" s="866"/>
      <c r="G410" s="853"/>
      <c r="H410" s="853"/>
      <c r="I410" s="853"/>
      <c r="J410" s="853"/>
      <c r="K410" s="853"/>
      <c r="M410" s="853"/>
      <c r="N410" s="853"/>
      <c r="O410" s="853"/>
    </row>
    <row r="411" spans="2:15" ht="31.5" x14ac:dyDescent="0.25">
      <c r="B411" s="859" t="s">
        <v>1350</v>
      </c>
      <c r="C411" s="864" t="s">
        <v>1351</v>
      </c>
      <c r="D411" s="861" t="s">
        <v>950</v>
      </c>
      <c r="E411" s="865">
        <v>64279</v>
      </c>
      <c r="F411" s="866"/>
      <c r="G411" s="853"/>
      <c r="H411" s="853"/>
      <c r="I411" s="853"/>
      <c r="J411" s="853"/>
      <c r="K411" s="853"/>
      <c r="M411" s="853"/>
      <c r="N411" s="853"/>
      <c r="O411" s="853"/>
    </row>
    <row r="412" spans="2:15" ht="31.5" x14ac:dyDescent="0.25">
      <c r="B412" s="859" t="s">
        <v>1352</v>
      </c>
      <c r="C412" s="864" t="s">
        <v>1353</v>
      </c>
      <c r="D412" s="861" t="s">
        <v>950</v>
      </c>
      <c r="E412" s="865">
        <v>59071</v>
      </c>
      <c r="F412" s="866"/>
      <c r="G412" s="853"/>
      <c r="H412" s="853"/>
      <c r="I412" s="853"/>
      <c r="J412" s="853"/>
      <c r="K412" s="853"/>
      <c r="M412" s="853"/>
      <c r="N412" s="853"/>
      <c r="O412" s="853"/>
    </row>
    <row r="413" spans="2:15" x14ac:dyDescent="0.25">
      <c r="B413" s="859" t="s">
        <v>1354</v>
      </c>
      <c r="C413" s="860" t="s">
        <v>1355</v>
      </c>
      <c r="D413" s="862"/>
      <c r="E413" s="862"/>
      <c r="F413" s="863"/>
      <c r="G413" s="853"/>
      <c r="H413" s="853"/>
      <c r="I413" s="853"/>
      <c r="J413" s="853"/>
      <c r="K413" s="853"/>
      <c r="M413" s="853"/>
      <c r="N413" s="853"/>
      <c r="O413" s="853"/>
    </row>
    <row r="414" spans="2:15" x14ac:dyDescent="0.25">
      <c r="B414" s="859" t="s">
        <v>1356</v>
      </c>
      <c r="C414" s="864" t="s">
        <v>1357</v>
      </c>
      <c r="D414" s="861" t="s">
        <v>727</v>
      </c>
      <c r="E414" s="865">
        <v>79280</v>
      </c>
      <c r="F414" s="866"/>
      <c r="G414" s="853"/>
      <c r="H414" s="853"/>
      <c r="I414" s="853"/>
      <c r="J414" s="853"/>
      <c r="K414" s="853"/>
      <c r="M414" s="853"/>
      <c r="N414" s="853"/>
      <c r="O414" s="853"/>
    </row>
    <row r="415" spans="2:15" ht="31.5" x14ac:dyDescent="0.25">
      <c r="B415" s="859" t="s">
        <v>1358</v>
      </c>
      <c r="C415" s="864" t="s">
        <v>1359</v>
      </c>
      <c r="D415" s="861" t="s">
        <v>727</v>
      </c>
      <c r="E415" s="865">
        <v>342539</v>
      </c>
      <c r="F415" s="866"/>
      <c r="G415" s="853"/>
      <c r="H415" s="853"/>
      <c r="I415" s="853"/>
      <c r="J415" s="853"/>
      <c r="K415" s="853"/>
      <c r="M415" s="853"/>
      <c r="N415" s="853"/>
      <c r="O415" s="853"/>
    </row>
    <row r="416" spans="2:15" x14ac:dyDescent="0.25">
      <c r="B416" s="859"/>
      <c r="C416" s="864"/>
      <c r="D416" s="861"/>
      <c r="E416" s="862"/>
      <c r="F416" s="863"/>
      <c r="G416" s="853"/>
      <c r="H416" s="853"/>
      <c r="I416" s="853"/>
      <c r="J416" s="853"/>
      <c r="K416" s="853"/>
      <c r="M416" s="853"/>
      <c r="N416" s="853"/>
      <c r="O416" s="853"/>
    </row>
    <row r="417" spans="2:15" x14ac:dyDescent="0.25">
      <c r="B417" s="859"/>
      <c r="C417" s="871" t="s">
        <v>1360</v>
      </c>
      <c r="D417" s="872"/>
      <c r="E417" s="862"/>
      <c r="F417" s="863"/>
      <c r="G417" s="853"/>
      <c r="H417" s="853"/>
      <c r="I417" s="853"/>
      <c r="J417" s="853"/>
      <c r="K417" s="853"/>
      <c r="M417" s="853"/>
      <c r="N417" s="853"/>
      <c r="O417" s="853"/>
    </row>
    <row r="418" spans="2:15" x14ac:dyDescent="0.25">
      <c r="B418" s="859" t="s">
        <v>1361</v>
      </c>
      <c r="C418" s="880" t="s">
        <v>1362</v>
      </c>
      <c r="D418" s="861"/>
      <c r="E418" s="862"/>
      <c r="F418" s="863"/>
      <c r="G418" s="853"/>
      <c r="H418" s="853"/>
      <c r="I418" s="853"/>
      <c r="J418" s="853"/>
      <c r="K418" s="853"/>
      <c r="M418" s="853"/>
      <c r="N418" s="853"/>
      <c r="O418" s="853"/>
    </row>
    <row r="419" spans="2:15" x14ac:dyDescent="0.25">
      <c r="B419" s="859" t="s">
        <v>1363</v>
      </c>
      <c r="C419" s="860" t="s">
        <v>1364</v>
      </c>
      <c r="D419" s="861"/>
      <c r="E419" s="862"/>
      <c r="F419" s="863"/>
      <c r="G419" s="853"/>
      <c r="H419" s="853"/>
      <c r="I419" s="853"/>
      <c r="J419" s="853"/>
      <c r="K419" s="853"/>
      <c r="M419" s="853"/>
      <c r="N419" s="853"/>
      <c r="O419" s="853"/>
    </row>
    <row r="420" spans="2:15" x14ac:dyDescent="0.25">
      <c r="B420" s="859" t="s">
        <v>1365</v>
      </c>
      <c r="C420" s="864" t="s">
        <v>1366</v>
      </c>
      <c r="D420" s="861" t="s">
        <v>1367</v>
      </c>
      <c r="E420" s="865">
        <v>210545</v>
      </c>
      <c r="F420" s="866"/>
      <c r="G420" s="853"/>
      <c r="H420" s="853"/>
      <c r="I420" s="853"/>
      <c r="J420" s="853"/>
      <c r="K420" s="853"/>
      <c r="M420" s="853"/>
      <c r="N420" s="853"/>
      <c r="O420" s="853"/>
    </row>
    <row r="421" spans="2:15" x14ac:dyDescent="0.25">
      <c r="B421" s="859" t="s">
        <v>1368</v>
      </c>
      <c r="C421" s="864" t="s">
        <v>1369</v>
      </c>
      <c r="D421" s="861" t="s">
        <v>1367</v>
      </c>
      <c r="E421" s="865">
        <v>28593</v>
      </c>
      <c r="F421" s="866"/>
      <c r="G421" s="853"/>
      <c r="H421" s="853"/>
      <c r="I421" s="853"/>
      <c r="J421" s="853"/>
      <c r="K421" s="853"/>
      <c r="M421" s="853"/>
      <c r="N421" s="853"/>
      <c r="O421" s="853"/>
    </row>
    <row r="422" spans="2:15" ht="31.5" x14ac:dyDescent="0.25">
      <c r="B422" s="859" t="s">
        <v>1370</v>
      </c>
      <c r="C422" s="864" t="s">
        <v>1371</v>
      </c>
      <c r="D422" s="861" t="s">
        <v>1367</v>
      </c>
      <c r="E422" s="865">
        <v>42430</v>
      </c>
      <c r="F422" s="866"/>
      <c r="G422" s="853"/>
      <c r="H422" s="853"/>
      <c r="I422" s="853"/>
      <c r="J422" s="853"/>
      <c r="K422" s="853"/>
      <c r="M422" s="853"/>
      <c r="N422" s="853"/>
      <c r="O422" s="853"/>
    </row>
    <row r="423" spans="2:15" x14ac:dyDescent="0.25">
      <c r="B423" s="859" t="s">
        <v>1372</v>
      </c>
      <c r="C423" s="860" t="s">
        <v>1373</v>
      </c>
      <c r="D423" s="861"/>
      <c r="E423" s="862"/>
      <c r="F423" s="863"/>
      <c r="G423" s="853"/>
      <c r="H423" s="853"/>
      <c r="I423" s="853"/>
      <c r="J423" s="853"/>
      <c r="K423" s="853"/>
      <c r="M423" s="853"/>
      <c r="N423" s="853"/>
      <c r="O423" s="853"/>
    </row>
    <row r="424" spans="2:15" x14ac:dyDescent="0.25">
      <c r="B424" s="859" t="s">
        <v>1374</v>
      </c>
      <c r="C424" s="864" t="s">
        <v>1375</v>
      </c>
      <c r="D424" s="861" t="s">
        <v>950</v>
      </c>
      <c r="E424" s="865">
        <v>3851</v>
      </c>
      <c r="F424" s="866"/>
      <c r="G424" s="853"/>
      <c r="H424" s="853"/>
      <c r="I424" s="853"/>
      <c r="J424" s="853"/>
      <c r="K424" s="853"/>
      <c r="M424" s="853"/>
      <c r="N424" s="853"/>
      <c r="O424" s="853"/>
    </row>
    <row r="425" spans="2:15" x14ac:dyDescent="0.25">
      <c r="B425" s="859" t="s">
        <v>1376</v>
      </c>
      <c r="C425" s="864" t="s">
        <v>1377</v>
      </c>
      <c r="D425" s="861" t="s">
        <v>950</v>
      </c>
      <c r="E425" s="865">
        <v>5007</v>
      </c>
      <c r="F425" s="866"/>
      <c r="G425" s="853"/>
      <c r="H425" s="853"/>
      <c r="I425" s="853"/>
      <c r="J425" s="853"/>
      <c r="K425" s="853"/>
      <c r="M425" s="853"/>
      <c r="N425" s="853"/>
      <c r="O425" s="853"/>
    </row>
    <row r="426" spans="2:15" x14ac:dyDescent="0.25">
      <c r="B426" s="859" t="s">
        <v>1378</v>
      </c>
      <c r="C426" s="864" t="s">
        <v>1379</v>
      </c>
      <c r="D426" s="861" t="s">
        <v>950</v>
      </c>
      <c r="E426" s="865">
        <v>6509</v>
      </c>
      <c r="F426" s="866"/>
      <c r="G426" s="853"/>
      <c r="H426" s="853"/>
      <c r="I426" s="853"/>
      <c r="J426" s="853"/>
      <c r="K426" s="853"/>
      <c r="M426" s="853"/>
      <c r="N426" s="853"/>
      <c r="O426" s="853"/>
    </row>
    <row r="427" spans="2:15" x14ac:dyDescent="0.25">
      <c r="B427" s="859" t="s">
        <v>1380</v>
      </c>
      <c r="C427" s="864" t="s">
        <v>1381</v>
      </c>
      <c r="D427" s="861" t="s">
        <v>950</v>
      </c>
      <c r="E427" s="865">
        <v>8461</v>
      </c>
      <c r="F427" s="866"/>
      <c r="G427" s="853"/>
      <c r="H427" s="853"/>
      <c r="I427" s="853"/>
      <c r="J427" s="853"/>
      <c r="K427" s="853"/>
      <c r="M427" s="853"/>
      <c r="N427" s="853"/>
      <c r="O427" s="853"/>
    </row>
    <row r="428" spans="2:15" x14ac:dyDescent="0.25">
      <c r="B428" s="859" t="s">
        <v>1382</v>
      </c>
      <c r="C428" s="864" t="s">
        <v>1383</v>
      </c>
      <c r="D428" s="861" t="s">
        <v>950</v>
      </c>
      <c r="E428" s="865">
        <v>11000</v>
      </c>
      <c r="F428" s="866"/>
      <c r="G428" s="853"/>
      <c r="H428" s="853"/>
      <c r="I428" s="853"/>
      <c r="J428" s="853"/>
      <c r="K428" s="853"/>
      <c r="M428" s="853"/>
      <c r="N428" s="853"/>
      <c r="O428" s="853"/>
    </row>
    <row r="429" spans="2:15" x14ac:dyDescent="0.25">
      <c r="B429" s="859" t="s">
        <v>1384</v>
      </c>
      <c r="C429" s="864" t="s">
        <v>1385</v>
      </c>
      <c r="D429" s="861" t="s">
        <v>950</v>
      </c>
      <c r="E429" s="865">
        <v>14299</v>
      </c>
      <c r="F429" s="866"/>
      <c r="G429" s="853"/>
      <c r="H429" s="853"/>
      <c r="I429" s="853"/>
      <c r="J429" s="853"/>
      <c r="K429" s="853"/>
      <c r="M429" s="853"/>
      <c r="N429" s="853"/>
      <c r="O429" s="853"/>
    </row>
    <row r="430" spans="2:15" x14ac:dyDescent="0.25">
      <c r="B430" s="859" t="s">
        <v>1386</v>
      </c>
      <c r="C430" s="864" t="s">
        <v>1387</v>
      </c>
      <c r="D430" s="861" t="s">
        <v>950</v>
      </c>
      <c r="E430" s="865">
        <v>18589</v>
      </c>
      <c r="F430" s="866"/>
      <c r="G430" s="853"/>
      <c r="H430" s="853"/>
      <c r="I430" s="853"/>
      <c r="J430" s="853"/>
      <c r="K430" s="853"/>
      <c r="M430" s="853"/>
      <c r="N430" s="853"/>
      <c r="O430" s="853"/>
    </row>
    <row r="431" spans="2:15" x14ac:dyDescent="0.25">
      <c r="B431" s="859" t="s">
        <v>1388</v>
      </c>
      <c r="C431" s="864" t="s">
        <v>1389</v>
      </c>
      <c r="D431" s="861" t="s">
        <v>950</v>
      </c>
      <c r="E431" s="865">
        <v>24166</v>
      </c>
      <c r="F431" s="866"/>
      <c r="G431" s="853"/>
      <c r="H431" s="853"/>
      <c r="I431" s="853"/>
      <c r="J431" s="853"/>
      <c r="K431" s="853"/>
      <c r="M431" s="853"/>
      <c r="N431" s="853"/>
      <c r="O431" s="853"/>
    </row>
    <row r="432" spans="2:15" x14ac:dyDescent="0.25">
      <c r="B432" s="859" t="s">
        <v>1390</v>
      </c>
      <c r="C432" s="860" t="s">
        <v>1391</v>
      </c>
      <c r="D432" s="861"/>
      <c r="E432" s="862"/>
      <c r="F432" s="863"/>
      <c r="G432" s="853"/>
      <c r="H432" s="853"/>
      <c r="I432" s="853"/>
      <c r="J432" s="853"/>
      <c r="K432" s="853"/>
      <c r="M432" s="853"/>
      <c r="N432" s="853"/>
      <c r="O432" s="853"/>
    </row>
    <row r="433" spans="2:15" x14ac:dyDescent="0.25">
      <c r="B433" s="859" t="s">
        <v>1392</v>
      </c>
      <c r="C433" s="864" t="s">
        <v>1393</v>
      </c>
      <c r="D433" s="861" t="s">
        <v>950</v>
      </c>
      <c r="E433" s="865">
        <v>1155</v>
      </c>
      <c r="F433" s="866"/>
      <c r="G433" s="853"/>
      <c r="H433" s="853"/>
      <c r="I433" s="853"/>
      <c r="J433" s="853"/>
      <c r="K433" s="853"/>
      <c r="M433" s="853"/>
      <c r="N433" s="853"/>
      <c r="O433" s="853"/>
    </row>
    <row r="434" spans="2:15" x14ac:dyDescent="0.25">
      <c r="B434" s="859" t="s">
        <v>1394</v>
      </c>
      <c r="C434" s="864" t="s">
        <v>1395</v>
      </c>
      <c r="D434" s="861" t="s">
        <v>950</v>
      </c>
      <c r="E434" s="865">
        <v>1541</v>
      </c>
      <c r="F434" s="866"/>
      <c r="G434" s="853"/>
      <c r="H434" s="853"/>
      <c r="I434" s="853"/>
      <c r="J434" s="853"/>
      <c r="K434" s="853"/>
      <c r="M434" s="853"/>
      <c r="N434" s="853"/>
      <c r="O434" s="853"/>
    </row>
    <row r="435" spans="2:15" x14ac:dyDescent="0.25">
      <c r="B435" s="859" t="s">
        <v>1396</v>
      </c>
      <c r="C435" s="864" t="s">
        <v>1397</v>
      </c>
      <c r="D435" s="861" t="s">
        <v>950</v>
      </c>
      <c r="E435" s="865">
        <v>2022</v>
      </c>
      <c r="F435" s="866"/>
      <c r="G435" s="853"/>
      <c r="H435" s="853"/>
      <c r="I435" s="853"/>
      <c r="J435" s="853"/>
      <c r="K435" s="853"/>
      <c r="M435" s="853"/>
      <c r="N435" s="853"/>
      <c r="O435" s="853"/>
    </row>
    <row r="436" spans="2:15" x14ac:dyDescent="0.25">
      <c r="B436" s="859" t="s">
        <v>1398</v>
      </c>
      <c r="C436" s="864" t="s">
        <v>1399</v>
      </c>
      <c r="D436" s="861" t="s">
        <v>950</v>
      </c>
      <c r="E436" s="865">
        <v>2888</v>
      </c>
      <c r="F436" s="866"/>
      <c r="G436" s="853"/>
      <c r="H436" s="853"/>
      <c r="I436" s="853"/>
      <c r="J436" s="853"/>
      <c r="K436" s="853"/>
      <c r="M436" s="853"/>
      <c r="N436" s="853"/>
      <c r="O436" s="853"/>
    </row>
    <row r="437" spans="2:15" x14ac:dyDescent="0.25">
      <c r="B437" s="859" t="s">
        <v>1400</v>
      </c>
      <c r="C437" s="864" t="s">
        <v>1401</v>
      </c>
      <c r="D437" s="861" t="s">
        <v>950</v>
      </c>
      <c r="E437" s="865">
        <v>4429</v>
      </c>
      <c r="F437" s="866"/>
      <c r="G437" s="853"/>
      <c r="H437" s="853"/>
      <c r="I437" s="853"/>
      <c r="J437" s="853"/>
      <c r="K437" s="853"/>
      <c r="M437" s="853"/>
      <c r="N437" s="853"/>
      <c r="O437" s="853"/>
    </row>
    <row r="438" spans="2:15" x14ac:dyDescent="0.25">
      <c r="B438" s="859" t="s">
        <v>1402</v>
      </c>
      <c r="C438" s="864" t="s">
        <v>1403</v>
      </c>
      <c r="D438" s="861" t="s">
        <v>950</v>
      </c>
      <c r="E438" s="865">
        <v>6355</v>
      </c>
      <c r="F438" s="866"/>
      <c r="G438" s="853"/>
      <c r="H438" s="853"/>
      <c r="I438" s="853"/>
      <c r="J438" s="853"/>
      <c r="K438" s="853"/>
      <c r="M438" s="853"/>
      <c r="N438" s="853"/>
      <c r="O438" s="853"/>
    </row>
    <row r="439" spans="2:15" x14ac:dyDescent="0.25">
      <c r="B439" s="859" t="s">
        <v>1404</v>
      </c>
      <c r="C439" s="864" t="s">
        <v>1405</v>
      </c>
      <c r="D439" s="861" t="s">
        <v>950</v>
      </c>
      <c r="E439" s="865">
        <v>7029</v>
      </c>
      <c r="F439" s="866"/>
      <c r="G439" s="853"/>
      <c r="H439" s="853"/>
      <c r="I439" s="853"/>
      <c r="J439" s="853"/>
      <c r="K439" s="853"/>
      <c r="M439" s="853"/>
      <c r="N439" s="853"/>
      <c r="O439" s="853"/>
    </row>
    <row r="440" spans="2:15" x14ac:dyDescent="0.25">
      <c r="B440" s="859" t="s">
        <v>1406</v>
      </c>
      <c r="C440" s="864" t="s">
        <v>1407</v>
      </c>
      <c r="D440" s="861" t="s">
        <v>950</v>
      </c>
      <c r="E440" s="865">
        <v>12517</v>
      </c>
      <c r="F440" s="866"/>
      <c r="G440" s="853"/>
      <c r="H440" s="853"/>
      <c r="I440" s="853"/>
      <c r="J440" s="853"/>
      <c r="K440" s="853"/>
      <c r="M440" s="853"/>
      <c r="N440" s="853"/>
      <c r="O440" s="853"/>
    </row>
    <row r="441" spans="2:15" x14ac:dyDescent="0.25">
      <c r="B441" s="859" t="s">
        <v>1408</v>
      </c>
      <c r="C441" s="864" t="s">
        <v>1409</v>
      </c>
      <c r="D441" s="861" t="s">
        <v>950</v>
      </c>
      <c r="E441" s="865">
        <v>19541</v>
      </c>
      <c r="F441" s="866"/>
      <c r="G441" s="853"/>
      <c r="H441" s="853"/>
      <c r="I441" s="853"/>
      <c r="J441" s="853"/>
      <c r="K441" s="853"/>
      <c r="M441" s="853"/>
      <c r="N441" s="853"/>
      <c r="O441" s="853"/>
    </row>
    <row r="442" spans="2:15" x14ac:dyDescent="0.25">
      <c r="B442" s="859" t="s">
        <v>1410</v>
      </c>
      <c r="C442" s="860" t="s">
        <v>1411</v>
      </c>
      <c r="D442" s="861"/>
      <c r="E442" s="862"/>
      <c r="F442" s="863"/>
      <c r="G442" s="853"/>
      <c r="H442" s="853"/>
      <c r="I442" s="853"/>
      <c r="J442" s="853"/>
      <c r="K442" s="853"/>
      <c r="M442" s="853"/>
      <c r="N442" s="853"/>
      <c r="O442" s="853"/>
    </row>
    <row r="443" spans="2:15" x14ac:dyDescent="0.25">
      <c r="B443" s="859" t="s">
        <v>1412</v>
      </c>
      <c r="C443" s="864" t="s">
        <v>1413</v>
      </c>
      <c r="D443" s="861" t="s">
        <v>950</v>
      </c>
      <c r="E443" s="865">
        <v>3780</v>
      </c>
      <c r="F443" s="866"/>
      <c r="G443" s="853"/>
      <c r="H443" s="853"/>
      <c r="I443" s="853"/>
      <c r="J443" s="853"/>
      <c r="K443" s="853"/>
      <c r="M443" s="853"/>
      <c r="N443" s="853"/>
      <c r="O443" s="853"/>
    </row>
    <row r="444" spans="2:15" x14ac:dyDescent="0.25">
      <c r="B444" s="859" t="s">
        <v>1414</v>
      </c>
      <c r="C444" s="864" t="s">
        <v>1415</v>
      </c>
      <c r="D444" s="861" t="s">
        <v>950</v>
      </c>
      <c r="E444" s="865">
        <v>4581</v>
      </c>
      <c r="F444" s="866"/>
      <c r="G444" s="853"/>
      <c r="H444" s="853"/>
      <c r="I444" s="853"/>
      <c r="J444" s="853"/>
      <c r="K444" s="853"/>
      <c r="M444" s="853"/>
      <c r="N444" s="853"/>
      <c r="O444" s="853"/>
    </row>
    <row r="445" spans="2:15" x14ac:dyDescent="0.25">
      <c r="B445" s="859" t="s">
        <v>1416</v>
      </c>
      <c r="C445" s="864" t="s">
        <v>1417</v>
      </c>
      <c r="D445" s="861" t="s">
        <v>950</v>
      </c>
      <c r="E445" s="865">
        <v>5813</v>
      </c>
      <c r="F445" s="866"/>
      <c r="G445" s="853"/>
      <c r="H445" s="853"/>
      <c r="I445" s="853"/>
      <c r="J445" s="853"/>
      <c r="K445" s="853"/>
      <c r="M445" s="853"/>
      <c r="N445" s="853"/>
      <c r="O445" s="853"/>
    </row>
    <row r="446" spans="2:15" x14ac:dyDescent="0.25">
      <c r="B446" s="859" t="s">
        <v>1418</v>
      </c>
      <c r="C446" s="864" t="s">
        <v>1419</v>
      </c>
      <c r="D446" s="861" t="s">
        <v>950</v>
      </c>
      <c r="E446" s="865">
        <v>6540</v>
      </c>
      <c r="F446" s="866"/>
      <c r="G446" s="853"/>
      <c r="H446" s="853"/>
      <c r="I446" s="853"/>
      <c r="J446" s="853"/>
      <c r="K446" s="853"/>
      <c r="M446" s="853"/>
      <c r="N446" s="853"/>
      <c r="O446" s="853"/>
    </row>
    <row r="447" spans="2:15" x14ac:dyDescent="0.25">
      <c r="B447" s="859" t="s">
        <v>1420</v>
      </c>
      <c r="C447" s="864" t="s">
        <v>1421</v>
      </c>
      <c r="D447" s="861" t="s">
        <v>950</v>
      </c>
      <c r="E447" s="865">
        <v>7993</v>
      </c>
      <c r="F447" s="866"/>
      <c r="G447" s="853"/>
      <c r="H447" s="853"/>
      <c r="I447" s="853"/>
      <c r="J447" s="853"/>
      <c r="K447" s="853"/>
      <c r="M447" s="853"/>
      <c r="N447" s="853"/>
      <c r="O447" s="853"/>
    </row>
    <row r="448" spans="2:15" x14ac:dyDescent="0.25">
      <c r="B448" s="859" t="s">
        <v>1422</v>
      </c>
      <c r="C448" s="864" t="s">
        <v>1423</v>
      </c>
      <c r="D448" s="861" t="s">
        <v>950</v>
      </c>
      <c r="E448" s="865">
        <v>9442</v>
      </c>
      <c r="F448" s="866"/>
      <c r="G448" s="853"/>
      <c r="H448" s="853"/>
      <c r="I448" s="853"/>
      <c r="J448" s="853"/>
      <c r="K448" s="853"/>
      <c r="M448" s="853"/>
      <c r="N448" s="853"/>
      <c r="O448" s="853"/>
    </row>
    <row r="449" spans="2:15" x14ac:dyDescent="0.25">
      <c r="B449" s="859" t="s">
        <v>1424</v>
      </c>
      <c r="C449" s="864" t="s">
        <v>1425</v>
      </c>
      <c r="D449" s="861" t="s">
        <v>950</v>
      </c>
      <c r="E449" s="865">
        <v>11142</v>
      </c>
      <c r="F449" s="866"/>
      <c r="G449" s="853"/>
      <c r="H449" s="853"/>
      <c r="I449" s="853"/>
      <c r="J449" s="853"/>
      <c r="K449" s="853"/>
      <c r="M449" s="853"/>
      <c r="N449" s="853"/>
      <c r="O449" s="853"/>
    </row>
    <row r="450" spans="2:15" x14ac:dyDescent="0.25">
      <c r="B450" s="859" t="s">
        <v>1426</v>
      </c>
      <c r="C450" s="864" t="s">
        <v>1427</v>
      </c>
      <c r="D450" s="861" t="s">
        <v>950</v>
      </c>
      <c r="E450" s="865">
        <v>13080</v>
      </c>
      <c r="F450" s="866"/>
      <c r="G450" s="853"/>
      <c r="H450" s="853"/>
      <c r="I450" s="853"/>
      <c r="J450" s="853"/>
      <c r="K450" s="853"/>
      <c r="M450" s="853"/>
      <c r="N450" s="853"/>
      <c r="O450" s="853"/>
    </row>
    <row r="451" spans="2:15" x14ac:dyDescent="0.25">
      <c r="B451" s="859" t="s">
        <v>1428</v>
      </c>
      <c r="C451" s="880" t="s">
        <v>1429</v>
      </c>
      <c r="D451" s="861"/>
      <c r="E451" s="862"/>
      <c r="F451" s="863"/>
      <c r="G451" s="853"/>
      <c r="H451" s="853"/>
      <c r="I451" s="853"/>
      <c r="J451" s="853"/>
      <c r="K451" s="853"/>
      <c r="M451" s="853"/>
      <c r="N451" s="853"/>
      <c r="O451" s="853"/>
    </row>
    <row r="452" spans="2:15" x14ac:dyDescent="0.25">
      <c r="B452" s="859" t="s">
        <v>1430</v>
      </c>
      <c r="C452" s="860" t="s">
        <v>1431</v>
      </c>
      <c r="D452" s="861"/>
      <c r="E452" s="862"/>
      <c r="F452" s="863"/>
      <c r="G452" s="853"/>
      <c r="H452" s="853"/>
      <c r="I452" s="853"/>
      <c r="J452" s="853"/>
      <c r="K452" s="853"/>
      <c r="M452" s="853"/>
      <c r="N452" s="853"/>
      <c r="O452" s="853"/>
    </row>
    <row r="453" spans="2:15" x14ac:dyDescent="0.25">
      <c r="B453" s="859" t="s">
        <v>1432</v>
      </c>
      <c r="C453" s="864" t="s">
        <v>1433</v>
      </c>
      <c r="D453" s="861" t="s">
        <v>950</v>
      </c>
      <c r="E453" s="865">
        <v>3200</v>
      </c>
      <c r="F453" s="866"/>
      <c r="G453" s="853"/>
      <c r="H453" s="853"/>
      <c r="I453" s="853"/>
      <c r="J453" s="853"/>
      <c r="K453" s="853"/>
      <c r="M453" s="853"/>
      <c r="N453" s="853"/>
      <c r="O453" s="853"/>
    </row>
    <row r="454" spans="2:15" x14ac:dyDescent="0.25">
      <c r="B454" s="859" t="s">
        <v>1434</v>
      </c>
      <c r="C454" s="864" t="s">
        <v>1401</v>
      </c>
      <c r="D454" s="861" t="s">
        <v>950</v>
      </c>
      <c r="E454" s="865">
        <v>4135</v>
      </c>
      <c r="F454" s="866"/>
      <c r="G454" s="853"/>
      <c r="H454" s="853"/>
      <c r="I454" s="853"/>
      <c r="J454" s="853"/>
      <c r="K454" s="853"/>
      <c r="M454" s="853"/>
      <c r="N454" s="853"/>
      <c r="O454" s="853"/>
    </row>
    <row r="455" spans="2:15" x14ac:dyDescent="0.25">
      <c r="B455" s="859" t="s">
        <v>1435</v>
      </c>
      <c r="C455" s="864" t="s">
        <v>1436</v>
      </c>
      <c r="D455" s="861" t="s">
        <v>950</v>
      </c>
      <c r="E455" s="865">
        <v>5169</v>
      </c>
      <c r="F455" s="866"/>
      <c r="G455" s="853"/>
      <c r="H455" s="853"/>
      <c r="I455" s="853"/>
      <c r="J455" s="853"/>
      <c r="K455" s="853"/>
      <c r="M455" s="853"/>
      <c r="N455" s="853"/>
      <c r="O455" s="853"/>
    </row>
    <row r="456" spans="2:15" x14ac:dyDescent="0.25">
      <c r="B456" s="859" t="s">
        <v>1437</v>
      </c>
      <c r="C456" s="864" t="s">
        <v>1438</v>
      </c>
      <c r="D456" s="861" t="s">
        <v>950</v>
      </c>
      <c r="E456" s="865">
        <v>6646</v>
      </c>
      <c r="F456" s="866"/>
      <c r="G456" s="853"/>
      <c r="H456" s="853"/>
      <c r="I456" s="853"/>
      <c r="J456" s="853"/>
      <c r="K456" s="853"/>
      <c r="M456" s="853"/>
      <c r="N456" s="853"/>
      <c r="O456" s="853"/>
    </row>
    <row r="457" spans="2:15" x14ac:dyDescent="0.25">
      <c r="B457" s="859" t="s">
        <v>1439</v>
      </c>
      <c r="C457" s="864" t="s">
        <v>1440</v>
      </c>
      <c r="D457" s="861" t="s">
        <v>950</v>
      </c>
      <c r="E457" s="865">
        <v>9649</v>
      </c>
      <c r="F457" s="866"/>
      <c r="G457" s="853"/>
      <c r="H457" s="853"/>
      <c r="I457" s="853"/>
      <c r="J457" s="853"/>
      <c r="K457" s="853"/>
      <c r="M457" s="853"/>
      <c r="N457" s="853"/>
      <c r="O457" s="853"/>
    </row>
    <row r="458" spans="2:15" x14ac:dyDescent="0.25">
      <c r="B458" s="859" t="s">
        <v>1441</v>
      </c>
      <c r="C458" s="864" t="s">
        <v>1442</v>
      </c>
      <c r="D458" s="861" t="s">
        <v>950</v>
      </c>
      <c r="E458" s="865">
        <v>10831</v>
      </c>
      <c r="F458" s="866"/>
      <c r="G458" s="853"/>
      <c r="H458" s="853"/>
      <c r="I458" s="853"/>
      <c r="J458" s="853"/>
      <c r="K458" s="853"/>
      <c r="M458" s="853"/>
      <c r="N458" s="853"/>
      <c r="O458" s="853"/>
    </row>
    <row r="459" spans="2:15" x14ac:dyDescent="0.25">
      <c r="B459" s="859" t="s">
        <v>1443</v>
      </c>
      <c r="C459" s="864" t="s">
        <v>1444</v>
      </c>
      <c r="D459" s="861" t="s">
        <v>950</v>
      </c>
      <c r="E459" s="865">
        <v>11682</v>
      </c>
      <c r="F459" s="866"/>
      <c r="G459" s="853"/>
      <c r="H459" s="853"/>
      <c r="I459" s="853"/>
      <c r="J459" s="853"/>
      <c r="K459" s="853"/>
      <c r="M459" s="853"/>
      <c r="N459" s="853"/>
      <c r="O459" s="853"/>
    </row>
    <row r="460" spans="2:15" x14ac:dyDescent="0.25">
      <c r="B460" s="859" t="s">
        <v>1445</v>
      </c>
      <c r="C460" s="864" t="s">
        <v>1446</v>
      </c>
      <c r="D460" s="861" t="s">
        <v>950</v>
      </c>
      <c r="E460" s="865">
        <v>13539</v>
      </c>
      <c r="F460" s="866"/>
      <c r="G460" s="853"/>
      <c r="H460" s="853"/>
      <c r="I460" s="853"/>
      <c r="J460" s="853"/>
      <c r="K460" s="853"/>
      <c r="M460" s="853"/>
      <c r="N460" s="853"/>
      <c r="O460" s="853"/>
    </row>
    <row r="461" spans="2:15" x14ac:dyDescent="0.25">
      <c r="B461" s="859" t="s">
        <v>1447</v>
      </c>
      <c r="C461" s="864" t="s">
        <v>1448</v>
      </c>
      <c r="D461" s="861" t="s">
        <v>950</v>
      </c>
      <c r="E461" s="865">
        <v>20431</v>
      </c>
      <c r="F461" s="866"/>
      <c r="G461" s="853"/>
      <c r="H461" s="853"/>
      <c r="I461" s="853"/>
      <c r="J461" s="853"/>
      <c r="K461" s="853"/>
      <c r="M461" s="853"/>
      <c r="N461" s="853"/>
      <c r="O461" s="853"/>
    </row>
    <row r="462" spans="2:15" x14ac:dyDescent="0.25">
      <c r="B462" s="859" t="s">
        <v>1449</v>
      </c>
      <c r="C462" s="864" t="s">
        <v>1450</v>
      </c>
      <c r="D462" s="861" t="s">
        <v>950</v>
      </c>
      <c r="E462" s="865">
        <v>33724</v>
      </c>
      <c r="F462" s="866"/>
      <c r="G462" s="853"/>
      <c r="H462" s="853"/>
      <c r="I462" s="853"/>
      <c r="J462" s="853"/>
      <c r="K462" s="853"/>
      <c r="M462" s="853"/>
      <c r="N462" s="853"/>
      <c r="O462" s="853"/>
    </row>
    <row r="463" spans="2:15" x14ac:dyDescent="0.25">
      <c r="B463" s="859" t="s">
        <v>1451</v>
      </c>
      <c r="C463" s="880" t="s">
        <v>1452</v>
      </c>
      <c r="D463" s="861"/>
      <c r="E463" s="862"/>
      <c r="F463" s="863"/>
      <c r="G463" s="853"/>
      <c r="H463" s="853"/>
      <c r="I463" s="853"/>
      <c r="J463" s="853"/>
      <c r="K463" s="853"/>
      <c r="M463" s="853"/>
      <c r="N463" s="853"/>
      <c r="O463" s="853"/>
    </row>
    <row r="464" spans="2:15" x14ac:dyDescent="0.25">
      <c r="B464" s="859" t="s">
        <v>1453</v>
      </c>
      <c r="C464" s="860" t="s">
        <v>1454</v>
      </c>
      <c r="D464" s="861"/>
      <c r="E464" s="862"/>
      <c r="F464" s="863"/>
      <c r="G464" s="853"/>
      <c r="H464" s="853"/>
      <c r="I464" s="853"/>
      <c r="J464" s="853"/>
      <c r="K464" s="853"/>
      <c r="M464" s="853"/>
      <c r="N464" s="853"/>
      <c r="O464" s="853"/>
    </row>
    <row r="465" spans="2:15" x14ac:dyDescent="0.25">
      <c r="B465" s="859" t="s">
        <v>1455</v>
      </c>
      <c r="C465" s="864" t="s">
        <v>1456</v>
      </c>
      <c r="D465" s="861" t="s">
        <v>727</v>
      </c>
      <c r="E465" s="865">
        <v>5226</v>
      </c>
      <c r="F465" s="866"/>
      <c r="G465" s="853"/>
      <c r="H465" s="853"/>
      <c r="I465" s="853"/>
      <c r="J465" s="853"/>
      <c r="K465" s="853"/>
      <c r="M465" s="853"/>
      <c r="N465" s="853"/>
      <c r="O465" s="853"/>
    </row>
    <row r="466" spans="2:15" x14ac:dyDescent="0.25">
      <c r="B466" s="859" t="s">
        <v>1457</v>
      </c>
      <c r="C466" s="864" t="s">
        <v>1458</v>
      </c>
      <c r="D466" s="861" t="s">
        <v>727</v>
      </c>
      <c r="E466" s="865">
        <v>5908</v>
      </c>
      <c r="F466" s="866"/>
      <c r="G466" s="853"/>
      <c r="H466" s="853"/>
      <c r="I466" s="853"/>
      <c r="J466" s="853"/>
      <c r="K466" s="853"/>
      <c r="M466" s="853"/>
      <c r="N466" s="853"/>
      <c r="O466" s="853"/>
    </row>
    <row r="467" spans="2:15" x14ac:dyDescent="0.25">
      <c r="B467" s="859" t="s">
        <v>1459</v>
      </c>
      <c r="C467" s="864" t="s">
        <v>1460</v>
      </c>
      <c r="D467" s="861" t="s">
        <v>727</v>
      </c>
      <c r="E467" s="865">
        <v>7953</v>
      </c>
      <c r="F467" s="866"/>
      <c r="G467" s="853"/>
      <c r="H467" s="853"/>
      <c r="I467" s="853"/>
      <c r="J467" s="853"/>
      <c r="K467" s="853"/>
      <c r="M467" s="853"/>
      <c r="N467" s="853"/>
      <c r="O467" s="853"/>
    </row>
    <row r="468" spans="2:15" x14ac:dyDescent="0.25">
      <c r="B468" s="859" t="s">
        <v>1461</v>
      </c>
      <c r="C468" s="864" t="s">
        <v>1462</v>
      </c>
      <c r="D468" s="861" t="s">
        <v>727</v>
      </c>
      <c r="E468" s="865">
        <v>11361</v>
      </c>
      <c r="F468" s="866"/>
      <c r="G468" s="853"/>
      <c r="H468" s="853"/>
      <c r="I468" s="853"/>
      <c r="J468" s="853"/>
      <c r="K468" s="853"/>
      <c r="M468" s="853"/>
      <c r="N468" s="853"/>
      <c r="O468" s="853"/>
    </row>
    <row r="469" spans="2:15" x14ac:dyDescent="0.25">
      <c r="B469" s="859" t="s">
        <v>1463</v>
      </c>
      <c r="C469" s="864" t="s">
        <v>1464</v>
      </c>
      <c r="D469" s="861" t="s">
        <v>727</v>
      </c>
      <c r="E469" s="865">
        <v>16587</v>
      </c>
      <c r="F469" s="866"/>
      <c r="G469" s="853"/>
      <c r="H469" s="853"/>
      <c r="I469" s="853"/>
      <c r="J469" s="853"/>
      <c r="K469" s="853"/>
      <c r="M469" s="853"/>
      <c r="N469" s="853"/>
      <c r="O469" s="853"/>
    </row>
    <row r="470" spans="2:15" x14ac:dyDescent="0.25">
      <c r="B470" s="859" t="s">
        <v>1465</v>
      </c>
      <c r="C470" s="860" t="s">
        <v>1466</v>
      </c>
      <c r="D470" s="861"/>
      <c r="E470" s="862"/>
      <c r="F470" s="863"/>
      <c r="G470" s="853"/>
      <c r="H470" s="853"/>
      <c r="I470" s="853"/>
      <c r="J470" s="853"/>
      <c r="K470" s="853"/>
      <c r="M470" s="853"/>
      <c r="N470" s="853"/>
      <c r="O470" s="853"/>
    </row>
    <row r="471" spans="2:15" x14ac:dyDescent="0.25">
      <c r="B471" s="859" t="s">
        <v>1467</v>
      </c>
      <c r="C471" s="864" t="s">
        <v>1468</v>
      </c>
      <c r="D471" s="861" t="s">
        <v>727</v>
      </c>
      <c r="E471" s="865">
        <v>7639</v>
      </c>
      <c r="F471" s="866"/>
      <c r="G471" s="853"/>
      <c r="H471" s="853"/>
      <c r="I471" s="853"/>
      <c r="J471" s="853"/>
      <c r="K471" s="853"/>
      <c r="M471" s="853"/>
      <c r="N471" s="853"/>
      <c r="O471" s="853"/>
    </row>
    <row r="472" spans="2:15" x14ac:dyDescent="0.25">
      <c r="B472" s="859" t="s">
        <v>1469</v>
      </c>
      <c r="C472" s="864" t="s">
        <v>1470</v>
      </c>
      <c r="D472" s="861" t="s">
        <v>727</v>
      </c>
      <c r="E472" s="865">
        <v>6708</v>
      </c>
      <c r="F472" s="866"/>
      <c r="G472" s="853"/>
      <c r="H472" s="853"/>
      <c r="I472" s="853"/>
      <c r="J472" s="853"/>
      <c r="K472" s="853"/>
      <c r="M472" s="853"/>
      <c r="N472" s="853"/>
      <c r="O472" s="853"/>
    </row>
    <row r="473" spans="2:15" x14ac:dyDescent="0.25">
      <c r="B473" s="859" t="s">
        <v>1471</v>
      </c>
      <c r="C473" s="864" t="s">
        <v>1472</v>
      </c>
      <c r="D473" s="861" t="s">
        <v>727</v>
      </c>
      <c r="E473" s="865">
        <v>14057</v>
      </c>
      <c r="F473" s="866"/>
      <c r="G473" s="853"/>
      <c r="H473" s="853"/>
      <c r="I473" s="853"/>
      <c r="J473" s="853"/>
      <c r="K473" s="853"/>
      <c r="M473" s="853"/>
      <c r="N473" s="853"/>
      <c r="O473" s="853"/>
    </row>
    <row r="474" spans="2:15" x14ac:dyDescent="0.25">
      <c r="B474" s="859" t="s">
        <v>1473</v>
      </c>
      <c r="C474" s="880" t="s">
        <v>1474</v>
      </c>
      <c r="D474" s="861"/>
      <c r="E474" s="862"/>
      <c r="F474" s="863"/>
      <c r="G474" s="853"/>
      <c r="H474" s="853"/>
      <c r="I474" s="853"/>
      <c r="J474" s="853"/>
      <c r="K474" s="853"/>
      <c r="M474" s="853"/>
      <c r="N474" s="853"/>
      <c r="O474" s="853"/>
    </row>
    <row r="475" spans="2:15" ht="34.5" x14ac:dyDescent="0.25">
      <c r="B475" s="859" t="s">
        <v>1475</v>
      </c>
      <c r="C475" s="860" t="s">
        <v>3070</v>
      </c>
      <c r="D475" s="861"/>
      <c r="E475" s="862"/>
      <c r="F475" s="863"/>
      <c r="G475" s="853"/>
      <c r="H475" s="853"/>
      <c r="I475" s="853"/>
      <c r="J475" s="853"/>
      <c r="K475" s="853"/>
      <c r="M475" s="853"/>
      <c r="N475" s="853"/>
      <c r="O475" s="853"/>
    </row>
    <row r="476" spans="2:15" x14ac:dyDescent="0.25">
      <c r="B476" s="859" t="s">
        <v>1477</v>
      </c>
      <c r="C476" s="864" t="s">
        <v>1478</v>
      </c>
      <c r="D476" s="861" t="s">
        <v>727</v>
      </c>
      <c r="E476" s="865">
        <v>210324</v>
      </c>
      <c r="F476" s="866"/>
      <c r="G476" s="853"/>
      <c r="H476" s="853"/>
      <c r="I476" s="853"/>
      <c r="J476" s="853"/>
      <c r="K476" s="853"/>
      <c r="M476" s="853"/>
      <c r="N476" s="853"/>
      <c r="O476" s="853"/>
    </row>
    <row r="477" spans="2:15" x14ac:dyDescent="0.25">
      <c r="B477" s="859" t="s">
        <v>1479</v>
      </c>
      <c r="C477" s="864" t="s">
        <v>1480</v>
      </c>
      <c r="D477" s="861" t="s">
        <v>727</v>
      </c>
      <c r="E477" s="865">
        <v>352778</v>
      </c>
      <c r="F477" s="866"/>
      <c r="G477" s="853"/>
      <c r="H477" s="853"/>
      <c r="I477" s="853"/>
      <c r="J477" s="853"/>
      <c r="K477" s="853"/>
      <c r="M477" s="853"/>
      <c r="N477" s="853"/>
      <c r="O477" s="853"/>
    </row>
    <row r="478" spans="2:15" x14ac:dyDescent="0.25">
      <c r="B478" s="859" t="s">
        <v>1481</v>
      </c>
      <c r="C478" s="864" t="s">
        <v>1482</v>
      </c>
      <c r="D478" s="861" t="s">
        <v>727</v>
      </c>
      <c r="E478" s="865">
        <v>75393</v>
      </c>
      <c r="F478" s="866"/>
      <c r="G478" s="853"/>
      <c r="H478" s="853"/>
      <c r="I478" s="853"/>
      <c r="J478" s="853"/>
      <c r="K478" s="853"/>
      <c r="M478" s="853"/>
      <c r="N478" s="853"/>
      <c r="O478" s="853"/>
    </row>
    <row r="479" spans="2:15" x14ac:dyDescent="0.25">
      <c r="B479" s="859" t="s">
        <v>1483</v>
      </c>
      <c r="C479" s="864" t="s">
        <v>1484</v>
      </c>
      <c r="D479" s="861" t="s">
        <v>727</v>
      </c>
      <c r="E479" s="865">
        <v>31090</v>
      </c>
      <c r="F479" s="866"/>
      <c r="G479" s="853"/>
      <c r="H479" s="853"/>
      <c r="I479" s="853"/>
      <c r="J479" s="853"/>
      <c r="K479" s="853"/>
      <c r="M479" s="853"/>
      <c r="N479" s="853"/>
      <c r="O479" s="853"/>
    </row>
    <row r="480" spans="2:15" x14ac:dyDescent="0.25">
      <c r="B480" s="859" t="s">
        <v>1485</v>
      </c>
      <c r="C480" s="864" t="s">
        <v>1486</v>
      </c>
      <c r="D480" s="861" t="s">
        <v>727</v>
      </c>
      <c r="E480" s="865">
        <v>96519</v>
      </c>
      <c r="F480" s="866"/>
      <c r="G480" s="853"/>
      <c r="H480" s="853"/>
      <c r="I480" s="853"/>
      <c r="J480" s="853"/>
      <c r="K480" s="853"/>
      <c r="M480" s="853"/>
      <c r="N480" s="853"/>
      <c r="O480" s="853"/>
    </row>
    <row r="481" spans="2:15" x14ac:dyDescent="0.25">
      <c r="B481" s="859" t="s">
        <v>1487</v>
      </c>
      <c r="C481" s="864" t="s">
        <v>1488</v>
      </c>
      <c r="D481" s="861" t="s">
        <v>727</v>
      </c>
      <c r="E481" s="865">
        <v>70108</v>
      </c>
      <c r="F481" s="866"/>
      <c r="G481" s="853"/>
      <c r="H481" s="853"/>
      <c r="I481" s="853"/>
      <c r="J481" s="853"/>
      <c r="K481" s="853"/>
      <c r="M481" s="853"/>
      <c r="N481" s="853"/>
      <c r="O481" s="853"/>
    </row>
    <row r="482" spans="2:15" ht="31.5" x14ac:dyDescent="0.25">
      <c r="B482" s="859" t="s">
        <v>1489</v>
      </c>
      <c r="C482" s="864" t="s">
        <v>1490</v>
      </c>
      <c r="D482" s="861" t="s">
        <v>727</v>
      </c>
      <c r="E482" s="865">
        <v>257456</v>
      </c>
      <c r="F482" s="866"/>
      <c r="G482" s="853"/>
      <c r="H482" s="853"/>
      <c r="I482" s="853"/>
      <c r="J482" s="853"/>
      <c r="K482" s="853"/>
      <c r="M482" s="853"/>
      <c r="N482" s="853"/>
      <c r="O482" s="853"/>
    </row>
    <row r="483" spans="2:15" x14ac:dyDescent="0.25">
      <c r="B483" s="859" t="s">
        <v>1491</v>
      </c>
      <c r="C483" s="864" t="s">
        <v>1492</v>
      </c>
      <c r="D483" s="861" t="s">
        <v>727</v>
      </c>
      <c r="E483" s="865">
        <v>792857</v>
      </c>
      <c r="F483" s="866"/>
      <c r="G483" s="853"/>
      <c r="H483" s="853"/>
      <c r="I483" s="853"/>
      <c r="J483" s="853"/>
      <c r="K483" s="853"/>
      <c r="M483" s="853"/>
      <c r="N483" s="853"/>
      <c r="O483" s="853"/>
    </row>
    <row r="484" spans="2:15" x14ac:dyDescent="0.25">
      <c r="B484" s="859" t="s">
        <v>1493</v>
      </c>
      <c r="C484" s="864" t="s">
        <v>1494</v>
      </c>
      <c r="D484" s="861" t="s">
        <v>727</v>
      </c>
      <c r="E484" s="865">
        <v>214148</v>
      </c>
      <c r="F484" s="866"/>
      <c r="G484" s="853"/>
      <c r="H484" s="853"/>
      <c r="I484" s="853"/>
      <c r="J484" s="853"/>
      <c r="K484" s="853"/>
      <c r="M484" s="853"/>
      <c r="N484" s="853"/>
      <c r="O484" s="853"/>
    </row>
    <row r="485" spans="2:15" x14ac:dyDescent="0.25">
      <c r="B485" s="859" t="s">
        <v>1495</v>
      </c>
      <c r="C485" s="864" t="s">
        <v>1496</v>
      </c>
      <c r="D485" s="861" t="s">
        <v>727</v>
      </c>
      <c r="E485" s="865">
        <v>114085</v>
      </c>
      <c r="F485" s="866"/>
      <c r="G485" s="853"/>
      <c r="H485" s="853"/>
      <c r="I485" s="853"/>
      <c r="J485" s="853"/>
      <c r="K485" s="853"/>
      <c r="M485" s="853"/>
      <c r="N485" s="853"/>
      <c r="O485" s="853"/>
    </row>
    <row r="486" spans="2:15" x14ac:dyDescent="0.25">
      <c r="B486" s="859" t="s">
        <v>1497</v>
      </c>
      <c r="C486" s="864" t="s">
        <v>1498</v>
      </c>
      <c r="D486" s="861" t="s">
        <v>727</v>
      </c>
      <c r="E486" s="865">
        <v>491984</v>
      </c>
      <c r="F486" s="866"/>
      <c r="G486" s="853"/>
      <c r="H486" s="853"/>
      <c r="I486" s="853"/>
      <c r="J486" s="853"/>
      <c r="K486" s="853"/>
      <c r="M486" s="853"/>
      <c r="N486" s="853"/>
      <c r="O486" s="853"/>
    </row>
    <row r="487" spans="2:15" x14ac:dyDescent="0.25">
      <c r="B487" s="859" t="s">
        <v>1499</v>
      </c>
      <c r="C487" s="864" t="s">
        <v>1500</v>
      </c>
      <c r="D487" s="861" t="s">
        <v>727</v>
      </c>
      <c r="E487" s="865">
        <v>315613</v>
      </c>
      <c r="F487" s="866"/>
      <c r="G487" s="853"/>
      <c r="H487" s="853"/>
      <c r="I487" s="853"/>
      <c r="J487" s="853"/>
      <c r="K487" s="853"/>
      <c r="M487" s="853"/>
      <c r="N487" s="853"/>
      <c r="O487" s="853"/>
    </row>
    <row r="488" spans="2:15" x14ac:dyDescent="0.25">
      <c r="B488" s="859" t="s">
        <v>1501</v>
      </c>
      <c r="C488" s="864" t="s">
        <v>1502</v>
      </c>
      <c r="D488" s="861" t="s">
        <v>727</v>
      </c>
      <c r="E488" s="865">
        <v>66284</v>
      </c>
      <c r="F488" s="866"/>
      <c r="G488" s="853"/>
      <c r="H488" s="853"/>
      <c r="I488" s="853"/>
      <c r="J488" s="853"/>
      <c r="K488" s="853"/>
      <c r="M488" s="853"/>
      <c r="N488" s="853"/>
      <c r="O488" s="853"/>
    </row>
    <row r="489" spans="2:15" x14ac:dyDescent="0.25">
      <c r="B489" s="859" t="s">
        <v>1503</v>
      </c>
      <c r="C489" s="864" t="s">
        <v>1504</v>
      </c>
      <c r="D489" s="861" t="s">
        <v>727</v>
      </c>
      <c r="E489" s="865">
        <v>145952</v>
      </c>
      <c r="F489" s="866"/>
      <c r="G489" s="853"/>
      <c r="H489" s="853"/>
      <c r="I489" s="853"/>
      <c r="J489" s="853"/>
      <c r="K489" s="853"/>
      <c r="M489" s="853"/>
      <c r="N489" s="853"/>
      <c r="O489" s="853"/>
    </row>
    <row r="490" spans="2:15" ht="31.5" x14ac:dyDescent="0.25">
      <c r="B490" s="859" t="s">
        <v>1505</v>
      </c>
      <c r="C490" s="864" t="s">
        <v>1506</v>
      </c>
      <c r="D490" s="861" t="s">
        <v>727</v>
      </c>
      <c r="E490" s="865">
        <v>371572</v>
      </c>
      <c r="F490" s="866"/>
      <c r="G490" s="853"/>
      <c r="H490" s="853"/>
      <c r="I490" s="853"/>
      <c r="J490" s="853"/>
      <c r="K490" s="853"/>
      <c r="M490" s="853"/>
      <c r="N490" s="853"/>
      <c r="O490" s="853"/>
    </row>
    <row r="491" spans="2:15" ht="31.5" x14ac:dyDescent="0.25">
      <c r="B491" s="859" t="s">
        <v>1507</v>
      </c>
      <c r="C491" s="864" t="s">
        <v>1508</v>
      </c>
      <c r="D491" s="861" t="s">
        <v>727</v>
      </c>
      <c r="E491" s="865">
        <v>544852</v>
      </c>
      <c r="F491" s="866"/>
      <c r="G491" s="853"/>
      <c r="H491" s="853"/>
      <c r="I491" s="853"/>
      <c r="J491" s="853"/>
      <c r="K491" s="853"/>
      <c r="M491" s="853"/>
      <c r="N491" s="853"/>
      <c r="O491" s="853"/>
    </row>
    <row r="492" spans="2:15" x14ac:dyDescent="0.25">
      <c r="B492" s="859" t="s">
        <v>1509</v>
      </c>
      <c r="C492" s="864" t="s">
        <v>1510</v>
      </c>
      <c r="D492" s="861" t="s">
        <v>727</v>
      </c>
      <c r="E492" s="865">
        <v>109623</v>
      </c>
      <c r="F492" s="866"/>
      <c r="G492" s="853"/>
      <c r="H492" s="853"/>
      <c r="I492" s="853"/>
      <c r="J492" s="853"/>
      <c r="K492" s="853"/>
      <c r="M492" s="853"/>
      <c r="N492" s="853"/>
      <c r="O492" s="853"/>
    </row>
    <row r="493" spans="2:15" ht="31.5" x14ac:dyDescent="0.25">
      <c r="B493" s="859" t="s">
        <v>1511</v>
      </c>
      <c r="C493" s="864" t="s">
        <v>1512</v>
      </c>
      <c r="D493" s="861" t="s">
        <v>727</v>
      </c>
      <c r="E493" s="865">
        <v>607772</v>
      </c>
      <c r="F493" s="866"/>
      <c r="G493" s="853"/>
      <c r="H493" s="853"/>
      <c r="I493" s="853"/>
      <c r="J493" s="853"/>
      <c r="K493" s="853"/>
      <c r="M493" s="853"/>
      <c r="N493" s="853"/>
      <c r="O493" s="853"/>
    </row>
    <row r="494" spans="2:15" ht="31.5" x14ac:dyDescent="0.25">
      <c r="B494" s="859" t="s">
        <v>1513</v>
      </c>
      <c r="C494" s="864" t="s">
        <v>1514</v>
      </c>
      <c r="D494" s="861" t="s">
        <v>727</v>
      </c>
      <c r="E494" s="865">
        <v>521986</v>
      </c>
      <c r="F494" s="866"/>
      <c r="G494" s="853"/>
      <c r="H494" s="853"/>
      <c r="I494" s="853"/>
      <c r="J494" s="853"/>
      <c r="K494" s="853"/>
      <c r="M494" s="853"/>
      <c r="N494" s="853"/>
      <c r="O494" s="853"/>
    </row>
    <row r="495" spans="2:15" x14ac:dyDescent="0.25">
      <c r="B495" s="859" t="s">
        <v>1515</v>
      </c>
      <c r="C495" s="864" t="s">
        <v>1516</v>
      </c>
      <c r="D495" s="861" t="s">
        <v>727</v>
      </c>
      <c r="E495" s="865">
        <v>309346</v>
      </c>
      <c r="F495" s="866"/>
      <c r="G495" s="853"/>
      <c r="H495" s="853"/>
      <c r="I495" s="853"/>
      <c r="J495" s="853"/>
      <c r="K495" s="853"/>
      <c r="M495" s="853"/>
      <c r="N495" s="853"/>
      <c r="O495" s="853"/>
    </row>
    <row r="496" spans="2:15" x14ac:dyDescent="0.25">
      <c r="B496" s="859" t="s">
        <v>1517</v>
      </c>
      <c r="C496" s="864" t="s">
        <v>1518</v>
      </c>
      <c r="D496" s="861" t="s">
        <v>727</v>
      </c>
      <c r="E496" s="865">
        <v>187379</v>
      </c>
      <c r="F496" s="866"/>
      <c r="G496" s="853"/>
      <c r="H496" s="853"/>
      <c r="I496" s="853"/>
      <c r="J496" s="853"/>
      <c r="K496" s="853"/>
      <c r="M496" s="853"/>
      <c r="N496" s="853"/>
      <c r="O496" s="853"/>
    </row>
    <row r="497" spans="2:15" x14ac:dyDescent="0.25">
      <c r="B497" s="859" t="s">
        <v>1519</v>
      </c>
      <c r="C497" s="864" t="s">
        <v>1520</v>
      </c>
      <c r="D497" s="861" t="s">
        <v>727</v>
      </c>
      <c r="E497" s="865">
        <v>30313</v>
      </c>
      <c r="F497" s="866"/>
      <c r="G497" s="853"/>
      <c r="H497" s="853"/>
      <c r="I497" s="853"/>
      <c r="J497" s="853"/>
      <c r="K497" s="853"/>
      <c r="M497" s="853"/>
      <c r="N497" s="853"/>
      <c r="O497" s="853"/>
    </row>
    <row r="498" spans="2:15" x14ac:dyDescent="0.25">
      <c r="B498" s="859" t="s">
        <v>1521</v>
      </c>
      <c r="C498" s="864" t="s">
        <v>1522</v>
      </c>
      <c r="D498" s="861" t="s">
        <v>727</v>
      </c>
      <c r="E498" s="865">
        <v>22540</v>
      </c>
      <c r="F498" s="866"/>
      <c r="G498" s="853"/>
      <c r="H498" s="853"/>
      <c r="I498" s="853"/>
      <c r="J498" s="853"/>
      <c r="K498" s="853"/>
      <c r="M498" s="853"/>
      <c r="N498" s="853"/>
      <c r="O498" s="853"/>
    </row>
    <row r="499" spans="2:15" x14ac:dyDescent="0.25">
      <c r="B499" s="859" t="s">
        <v>1523</v>
      </c>
      <c r="C499" s="864" t="s">
        <v>1524</v>
      </c>
      <c r="D499" s="861" t="s">
        <v>727</v>
      </c>
      <c r="E499" s="865">
        <v>25649</v>
      </c>
      <c r="F499" s="866"/>
      <c r="G499" s="853"/>
      <c r="H499" s="853"/>
      <c r="I499" s="853"/>
      <c r="J499" s="853"/>
      <c r="K499" s="853"/>
      <c r="M499" s="853"/>
      <c r="N499" s="853"/>
      <c r="O499" s="853"/>
    </row>
    <row r="500" spans="2:15" x14ac:dyDescent="0.25">
      <c r="B500" s="859" t="s">
        <v>1525</v>
      </c>
      <c r="C500" s="864" t="s">
        <v>1526</v>
      </c>
      <c r="D500" s="861" t="s">
        <v>727</v>
      </c>
      <c r="E500" s="865">
        <v>45124</v>
      </c>
      <c r="F500" s="866"/>
      <c r="G500" s="853"/>
      <c r="H500" s="853"/>
      <c r="I500" s="853"/>
      <c r="J500" s="853"/>
      <c r="K500" s="853"/>
      <c r="M500" s="853"/>
      <c r="N500" s="853"/>
      <c r="O500" s="853"/>
    </row>
    <row r="501" spans="2:15" x14ac:dyDescent="0.25">
      <c r="B501" s="859" t="s">
        <v>1527</v>
      </c>
      <c r="C501" s="864" t="s">
        <v>1528</v>
      </c>
      <c r="D501" s="861" t="s">
        <v>727</v>
      </c>
      <c r="E501" s="865">
        <v>53537</v>
      </c>
      <c r="F501" s="866"/>
      <c r="G501" s="853"/>
      <c r="H501" s="853"/>
      <c r="I501" s="853"/>
      <c r="J501" s="853"/>
      <c r="K501" s="853"/>
      <c r="M501" s="853"/>
      <c r="N501" s="853"/>
      <c r="O501" s="853"/>
    </row>
    <row r="502" spans="2:15" x14ac:dyDescent="0.25">
      <c r="B502" s="859" t="s">
        <v>1529</v>
      </c>
      <c r="C502" s="864" t="s">
        <v>1530</v>
      </c>
      <c r="D502" s="861" t="s">
        <v>727</v>
      </c>
      <c r="E502" s="865">
        <v>48438</v>
      </c>
      <c r="F502" s="866"/>
      <c r="G502" s="853"/>
      <c r="H502" s="853"/>
      <c r="I502" s="853"/>
      <c r="J502" s="853"/>
      <c r="K502" s="853"/>
      <c r="M502" s="853"/>
      <c r="N502" s="853"/>
      <c r="O502" s="853"/>
    </row>
    <row r="503" spans="2:15" x14ac:dyDescent="0.25">
      <c r="B503" s="859" t="s">
        <v>1531</v>
      </c>
      <c r="C503" s="864" t="s">
        <v>1532</v>
      </c>
      <c r="D503" s="861" t="s">
        <v>727</v>
      </c>
      <c r="E503" s="865">
        <v>36329</v>
      </c>
      <c r="F503" s="866"/>
      <c r="G503" s="853"/>
      <c r="H503" s="853"/>
      <c r="I503" s="853"/>
      <c r="J503" s="853"/>
      <c r="K503" s="853"/>
      <c r="M503" s="853"/>
      <c r="N503" s="853"/>
      <c r="O503" s="853"/>
    </row>
    <row r="504" spans="2:15" x14ac:dyDescent="0.25">
      <c r="B504" s="859" t="s">
        <v>1533</v>
      </c>
      <c r="C504" s="864" t="s">
        <v>1534</v>
      </c>
      <c r="D504" s="861" t="s">
        <v>727</v>
      </c>
      <c r="E504" s="865">
        <v>28681</v>
      </c>
      <c r="F504" s="866"/>
      <c r="G504" s="853"/>
      <c r="H504" s="853"/>
      <c r="I504" s="853"/>
      <c r="J504" s="853"/>
      <c r="K504" s="853"/>
      <c r="M504" s="853"/>
      <c r="N504" s="853"/>
      <c r="O504" s="853"/>
    </row>
    <row r="505" spans="2:15" ht="31.5" x14ac:dyDescent="0.25">
      <c r="B505" s="859" t="s">
        <v>1535</v>
      </c>
      <c r="C505" s="864" t="s">
        <v>1536</v>
      </c>
      <c r="D505" s="861" t="s">
        <v>727</v>
      </c>
      <c r="E505" s="865">
        <v>69953</v>
      </c>
      <c r="F505" s="866"/>
      <c r="G505" s="853"/>
      <c r="H505" s="853"/>
      <c r="I505" s="853"/>
      <c r="J505" s="853"/>
      <c r="K505" s="853"/>
      <c r="M505" s="853"/>
      <c r="N505" s="853"/>
      <c r="O505" s="853"/>
    </row>
    <row r="506" spans="2:15" x14ac:dyDescent="0.25">
      <c r="B506" s="859" t="s">
        <v>1537</v>
      </c>
      <c r="C506" s="864" t="s">
        <v>1538</v>
      </c>
      <c r="D506" s="861" t="s">
        <v>727</v>
      </c>
      <c r="E506" s="865">
        <v>44303</v>
      </c>
      <c r="F506" s="866"/>
      <c r="G506" s="853"/>
      <c r="H506" s="853"/>
      <c r="I506" s="853"/>
      <c r="J506" s="853"/>
      <c r="K506" s="853"/>
      <c r="M506" s="853"/>
      <c r="N506" s="853"/>
      <c r="O506" s="853"/>
    </row>
    <row r="507" spans="2:15" x14ac:dyDescent="0.25">
      <c r="B507" s="859" t="s">
        <v>1539</v>
      </c>
      <c r="C507" s="864" t="s">
        <v>1540</v>
      </c>
      <c r="D507" s="861" t="s">
        <v>727</v>
      </c>
      <c r="E507" s="865">
        <v>51299</v>
      </c>
      <c r="F507" s="866"/>
      <c r="G507" s="853"/>
      <c r="H507" s="853"/>
      <c r="I507" s="853"/>
      <c r="J507" s="853"/>
      <c r="K507" s="853"/>
      <c r="M507" s="853"/>
      <c r="N507" s="853"/>
      <c r="O507" s="853"/>
    </row>
    <row r="508" spans="2:15" x14ac:dyDescent="0.25">
      <c r="B508" s="859" t="s">
        <v>1541</v>
      </c>
      <c r="C508" s="864" t="s">
        <v>1542</v>
      </c>
      <c r="D508" s="861" t="s">
        <v>727</v>
      </c>
      <c r="E508" s="865">
        <v>1018198</v>
      </c>
      <c r="F508" s="866"/>
      <c r="G508" s="853"/>
      <c r="H508" s="853"/>
      <c r="I508" s="853"/>
      <c r="J508" s="853"/>
      <c r="K508" s="853"/>
      <c r="M508" s="853"/>
      <c r="N508" s="853"/>
      <c r="O508" s="853"/>
    </row>
    <row r="509" spans="2:15" ht="31.5" x14ac:dyDescent="0.25">
      <c r="B509" s="859" t="s">
        <v>1543</v>
      </c>
      <c r="C509" s="864" t="s">
        <v>1544</v>
      </c>
      <c r="D509" s="861" t="s">
        <v>727</v>
      </c>
      <c r="E509" s="865">
        <v>15545</v>
      </c>
      <c r="F509" s="866"/>
      <c r="G509" s="853"/>
      <c r="H509" s="853"/>
      <c r="I509" s="853"/>
      <c r="J509" s="853"/>
      <c r="K509" s="853"/>
      <c r="M509" s="853"/>
      <c r="N509" s="853"/>
      <c r="O509" s="853"/>
    </row>
    <row r="510" spans="2:15" ht="34.5" x14ac:dyDescent="0.25">
      <c r="B510" s="859" t="s">
        <v>1545</v>
      </c>
      <c r="C510" s="860" t="s">
        <v>3071</v>
      </c>
      <c r="D510" s="861"/>
      <c r="E510" s="862"/>
      <c r="F510" s="863"/>
      <c r="G510" s="853"/>
      <c r="H510" s="853"/>
      <c r="I510" s="853"/>
      <c r="J510" s="853"/>
      <c r="K510" s="853"/>
      <c r="M510" s="853"/>
      <c r="N510" s="853"/>
      <c r="O510" s="853"/>
    </row>
    <row r="511" spans="2:15" x14ac:dyDescent="0.25">
      <c r="B511" s="859" t="s">
        <v>1547</v>
      </c>
      <c r="C511" s="864" t="s">
        <v>1478</v>
      </c>
      <c r="D511" s="861" t="s">
        <v>727</v>
      </c>
      <c r="E511" s="865">
        <v>93270</v>
      </c>
      <c r="F511" s="866"/>
      <c r="G511" s="853"/>
      <c r="H511" s="853"/>
      <c r="I511" s="853"/>
      <c r="J511" s="853"/>
      <c r="K511" s="853"/>
      <c r="M511" s="853"/>
      <c r="N511" s="853"/>
      <c r="O511" s="853"/>
    </row>
    <row r="512" spans="2:15" x14ac:dyDescent="0.25">
      <c r="B512" s="859" t="s">
        <v>1548</v>
      </c>
      <c r="C512" s="864" t="s">
        <v>1482</v>
      </c>
      <c r="D512" s="861" t="s">
        <v>727</v>
      </c>
      <c r="E512" s="865">
        <v>32645</v>
      </c>
      <c r="F512" s="866"/>
      <c r="G512" s="853"/>
      <c r="H512" s="853"/>
      <c r="I512" s="853"/>
      <c r="J512" s="853"/>
      <c r="K512" s="853"/>
      <c r="M512" s="853"/>
      <c r="N512" s="853"/>
      <c r="O512" s="853"/>
    </row>
    <row r="513" spans="2:15" x14ac:dyDescent="0.25">
      <c r="B513" s="859" t="s">
        <v>1549</v>
      </c>
      <c r="C513" s="864" t="s">
        <v>1488</v>
      </c>
      <c r="D513" s="861" t="s">
        <v>727</v>
      </c>
      <c r="E513" s="865">
        <v>85498</v>
      </c>
      <c r="F513" s="866"/>
      <c r="G513" s="853"/>
      <c r="H513" s="853"/>
      <c r="I513" s="853"/>
      <c r="J513" s="853"/>
      <c r="K513" s="853"/>
      <c r="M513" s="853"/>
      <c r="N513" s="853"/>
      <c r="O513" s="853"/>
    </row>
    <row r="514" spans="2:15" x14ac:dyDescent="0.25">
      <c r="B514" s="859" t="s">
        <v>1550</v>
      </c>
      <c r="C514" s="864" t="s">
        <v>1494</v>
      </c>
      <c r="D514" s="861" t="s">
        <v>727</v>
      </c>
      <c r="E514" s="865">
        <v>101043</v>
      </c>
      <c r="F514" s="866"/>
      <c r="G514" s="853"/>
      <c r="H514" s="853"/>
      <c r="I514" s="853"/>
      <c r="J514" s="853"/>
      <c r="K514" s="853"/>
      <c r="M514" s="853"/>
      <c r="N514" s="853"/>
      <c r="O514" s="853"/>
    </row>
    <row r="515" spans="2:15" x14ac:dyDescent="0.25">
      <c r="B515" s="859" t="s">
        <v>1551</v>
      </c>
      <c r="C515" s="864" t="s">
        <v>1496</v>
      </c>
      <c r="D515" s="861" t="s">
        <v>727</v>
      </c>
      <c r="E515" s="865">
        <v>85498</v>
      </c>
      <c r="F515" s="866"/>
      <c r="G515" s="853"/>
      <c r="H515" s="853"/>
      <c r="I515" s="853"/>
      <c r="J515" s="853"/>
      <c r="K515" s="853"/>
      <c r="M515" s="853"/>
      <c r="N515" s="853"/>
      <c r="O515" s="853"/>
    </row>
    <row r="516" spans="2:15" x14ac:dyDescent="0.25">
      <c r="B516" s="859" t="s">
        <v>1552</v>
      </c>
      <c r="C516" s="864" t="s">
        <v>1502</v>
      </c>
      <c r="D516" s="861" t="s">
        <v>727</v>
      </c>
      <c r="E516" s="865">
        <v>59848</v>
      </c>
      <c r="F516" s="866"/>
      <c r="G516" s="853"/>
      <c r="H516" s="853"/>
      <c r="I516" s="853"/>
      <c r="J516" s="853"/>
      <c r="K516" s="853"/>
      <c r="M516" s="853"/>
      <c r="N516" s="853"/>
      <c r="O516" s="853"/>
    </row>
    <row r="517" spans="2:15" x14ac:dyDescent="0.25">
      <c r="B517" s="859" t="s">
        <v>1553</v>
      </c>
      <c r="C517" s="864" t="s">
        <v>1554</v>
      </c>
      <c r="D517" s="861" t="s">
        <v>727</v>
      </c>
      <c r="E517" s="865">
        <v>170995</v>
      </c>
      <c r="F517" s="866"/>
      <c r="G517" s="853"/>
      <c r="H517" s="853"/>
      <c r="I517" s="853"/>
      <c r="J517" s="853"/>
      <c r="K517" s="853"/>
      <c r="M517" s="853"/>
      <c r="N517" s="853"/>
      <c r="O517" s="853"/>
    </row>
    <row r="518" spans="2:15" x14ac:dyDescent="0.25">
      <c r="B518" s="859" t="s">
        <v>1555</v>
      </c>
      <c r="C518" s="864" t="s">
        <v>1556</v>
      </c>
      <c r="D518" s="861" t="s">
        <v>727</v>
      </c>
      <c r="E518" s="865">
        <v>272038</v>
      </c>
      <c r="F518" s="866"/>
      <c r="G518" s="853"/>
      <c r="H518" s="853"/>
      <c r="I518" s="853"/>
      <c r="J518" s="853"/>
      <c r="K518" s="853"/>
      <c r="M518" s="853"/>
      <c r="N518" s="853"/>
      <c r="O518" s="853"/>
    </row>
    <row r="519" spans="2:15" x14ac:dyDescent="0.25">
      <c r="B519" s="859" t="s">
        <v>1557</v>
      </c>
      <c r="C519" s="864" t="s">
        <v>1510</v>
      </c>
      <c r="D519" s="861" t="s">
        <v>727</v>
      </c>
      <c r="E519" s="865">
        <v>62180</v>
      </c>
      <c r="F519" s="866"/>
      <c r="G519" s="853"/>
      <c r="H519" s="853"/>
      <c r="I519" s="853"/>
      <c r="J519" s="853"/>
      <c r="K519" s="853"/>
      <c r="M519" s="853"/>
      <c r="N519" s="853"/>
      <c r="O519" s="853"/>
    </row>
    <row r="520" spans="2:15" x14ac:dyDescent="0.25">
      <c r="B520" s="859" t="s">
        <v>1558</v>
      </c>
      <c r="C520" s="864" t="s">
        <v>1559</v>
      </c>
      <c r="D520" s="861" t="s">
        <v>727</v>
      </c>
      <c r="E520" s="865">
        <v>85498</v>
      </c>
      <c r="F520" s="866"/>
      <c r="G520" s="853"/>
      <c r="H520" s="853"/>
      <c r="I520" s="853"/>
      <c r="J520" s="853"/>
      <c r="K520" s="853"/>
      <c r="M520" s="853"/>
      <c r="N520" s="853"/>
      <c r="O520" s="853"/>
    </row>
    <row r="521" spans="2:15" x14ac:dyDescent="0.25">
      <c r="B521" s="859" t="s">
        <v>1560</v>
      </c>
      <c r="C521" s="864" t="s">
        <v>1516</v>
      </c>
      <c r="D521" s="861" t="s">
        <v>727</v>
      </c>
      <c r="E521" s="865">
        <v>147678</v>
      </c>
      <c r="F521" s="866"/>
      <c r="G521" s="853"/>
      <c r="H521" s="853"/>
      <c r="I521" s="853"/>
      <c r="J521" s="853"/>
      <c r="K521" s="853"/>
      <c r="M521" s="853"/>
      <c r="N521" s="853"/>
      <c r="O521" s="853"/>
    </row>
    <row r="522" spans="2:15" x14ac:dyDescent="0.25">
      <c r="B522" s="859" t="s">
        <v>1561</v>
      </c>
      <c r="C522" s="864" t="s">
        <v>1518</v>
      </c>
      <c r="D522" s="861" t="s">
        <v>727</v>
      </c>
      <c r="E522" s="865">
        <v>101043</v>
      </c>
      <c r="F522" s="866"/>
      <c r="G522" s="853"/>
      <c r="H522" s="853"/>
      <c r="I522" s="853"/>
      <c r="J522" s="853"/>
      <c r="K522" s="853"/>
      <c r="M522" s="853"/>
      <c r="N522" s="853"/>
      <c r="O522" s="853"/>
    </row>
    <row r="523" spans="2:15" x14ac:dyDescent="0.25">
      <c r="B523" s="859" t="s">
        <v>1562</v>
      </c>
      <c r="C523" s="864" t="s">
        <v>1520</v>
      </c>
      <c r="D523" s="861" t="s">
        <v>727</v>
      </c>
      <c r="E523" s="865">
        <v>21763</v>
      </c>
      <c r="F523" s="866"/>
      <c r="G523" s="853"/>
      <c r="H523" s="853"/>
      <c r="I523" s="853"/>
      <c r="J523" s="853"/>
      <c r="K523" s="853"/>
      <c r="M523" s="853"/>
      <c r="N523" s="853"/>
      <c r="O523" s="853"/>
    </row>
    <row r="524" spans="2:15" x14ac:dyDescent="0.25">
      <c r="B524" s="859" t="s">
        <v>1563</v>
      </c>
      <c r="C524" s="864" t="s">
        <v>1522</v>
      </c>
      <c r="D524" s="861" t="s">
        <v>727</v>
      </c>
      <c r="E524" s="865">
        <v>11659</v>
      </c>
      <c r="F524" s="866"/>
      <c r="G524" s="853"/>
      <c r="H524" s="853"/>
      <c r="I524" s="853"/>
      <c r="J524" s="853"/>
      <c r="K524" s="853"/>
      <c r="M524" s="853"/>
      <c r="N524" s="853"/>
      <c r="O524" s="853"/>
    </row>
    <row r="525" spans="2:15" x14ac:dyDescent="0.25">
      <c r="B525" s="859" t="s">
        <v>1564</v>
      </c>
      <c r="C525" s="864" t="s">
        <v>1524</v>
      </c>
      <c r="D525" s="861" t="s">
        <v>727</v>
      </c>
      <c r="E525" s="865">
        <v>13213</v>
      </c>
      <c r="F525" s="866"/>
      <c r="G525" s="853"/>
      <c r="H525" s="853"/>
      <c r="I525" s="853"/>
      <c r="J525" s="853"/>
      <c r="K525" s="853"/>
      <c r="M525" s="853"/>
      <c r="N525" s="853"/>
      <c r="O525" s="853"/>
    </row>
    <row r="526" spans="2:15" x14ac:dyDescent="0.25">
      <c r="B526" s="859" t="s">
        <v>1565</v>
      </c>
      <c r="C526" s="864" t="s">
        <v>1526</v>
      </c>
      <c r="D526" s="861" t="s">
        <v>727</v>
      </c>
      <c r="E526" s="865">
        <v>20986</v>
      </c>
      <c r="F526" s="866"/>
      <c r="G526" s="853"/>
      <c r="H526" s="853"/>
      <c r="I526" s="853"/>
      <c r="J526" s="853"/>
      <c r="K526" s="853"/>
      <c r="M526" s="853"/>
      <c r="N526" s="853"/>
      <c r="O526" s="853"/>
    </row>
    <row r="527" spans="2:15" x14ac:dyDescent="0.25">
      <c r="B527" s="859" t="s">
        <v>1566</v>
      </c>
      <c r="C527" s="864" t="s">
        <v>1528</v>
      </c>
      <c r="D527" s="861" t="s">
        <v>727</v>
      </c>
      <c r="E527" s="865">
        <v>22540</v>
      </c>
      <c r="F527" s="866"/>
      <c r="G527" s="853"/>
      <c r="H527" s="853"/>
      <c r="I527" s="853"/>
      <c r="J527" s="853"/>
      <c r="K527" s="853"/>
      <c r="M527" s="853"/>
      <c r="N527" s="853"/>
      <c r="O527" s="853"/>
    </row>
    <row r="528" spans="2:15" ht="31.5" x14ac:dyDescent="0.25">
      <c r="B528" s="859" t="s">
        <v>1567</v>
      </c>
      <c r="C528" s="864" t="s">
        <v>1544</v>
      </c>
      <c r="D528" s="861" t="s">
        <v>727</v>
      </c>
      <c r="E528" s="865">
        <v>9327</v>
      </c>
      <c r="F528" s="866"/>
      <c r="G528" s="853"/>
      <c r="H528" s="853"/>
      <c r="I528" s="853"/>
      <c r="J528" s="853"/>
      <c r="K528" s="853"/>
      <c r="M528" s="853"/>
      <c r="N528" s="853"/>
      <c r="O528" s="853"/>
    </row>
    <row r="529" spans="2:15" x14ac:dyDescent="0.25">
      <c r="B529" s="859" t="s">
        <v>1568</v>
      </c>
      <c r="C529" s="860" t="s">
        <v>1569</v>
      </c>
      <c r="D529" s="861"/>
      <c r="E529" s="862"/>
      <c r="F529" s="863"/>
      <c r="G529" s="853"/>
      <c r="H529" s="853"/>
      <c r="I529" s="853"/>
      <c r="J529" s="853"/>
      <c r="K529" s="853"/>
      <c r="M529" s="853"/>
      <c r="N529" s="853"/>
      <c r="O529" s="853"/>
    </row>
    <row r="530" spans="2:15" x14ac:dyDescent="0.25">
      <c r="B530" s="859" t="s">
        <v>1570</v>
      </c>
      <c r="C530" s="864" t="s">
        <v>1571</v>
      </c>
      <c r="D530" s="861" t="s">
        <v>727</v>
      </c>
      <c r="E530" s="865">
        <v>23685</v>
      </c>
      <c r="F530" s="866"/>
      <c r="G530" s="853"/>
      <c r="H530" s="853"/>
      <c r="I530" s="853"/>
      <c r="J530" s="853"/>
      <c r="K530" s="853"/>
      <c r="M530" s="853"/>
      <c r="N530" s="853"/>
      <c r="O530" s="853"/>
    </row>
    <row r="531" spans="2:15" x14ac:dyDescent="0.25">
      <c r="B531" s="859" t="s">
        <v>1572</v>
      </c>
      <c r="C531" s="864" t="s">
        <v>1573</v>
      </c>
      <c r="D531" s="861" t="s">
        <v>727</v>
      </c>
      <c r="E531" s="865">
        <v>6740</v>
      </c>
      <c r="F531" s="866"/>
      <c r="G531" s="853"/>
      <c r="H531" s="853"/>
      <c r="I531" s="853"/>
      <c r="J531" s="853"/>
      <c r="K531" s="853"/>
      <c r="M531" s="853"/>
      <c r="N531" s="853"/>
      <c r="O531" s="853"/>
    </row>
    <row r="532" spans="2:15" x14ac:dyDescent="0.25">
      <c r="B532" s="859" t="s">
        <v>1574</v>
      </c>
      <c r="C532" s="864" t="s">
        <v>1575</v>
      </c>
      <c r="D532" s="861" t="s">
        <v>727</v>
      </c>
      <c r="E532" s="865">
        <v>23685</v>
      </c>
      <c r="F532" s="866"/>
      <c r="G532" s="853"/>
      <c r="H532" s="853"/>
      <c r="I532" s="853"/>
      <c r="J532" s="853"/>
      <c r="K532" s="853"/>
      <c r="M532" s="853"/>
      <c r="N532" s="853"/>
      <c r="O532" s="853"/>
    </row>
    <row r="533" spans="2:15" x14ac:dyDescent="0.25">
      <c r="B533" s="859" t="s">
        <v>1576</v>
      </c>
      <c r="C533" s="864" t="s">
        <v>1577</v>
      </c>
      <c r="D533" s="861" t="s">
        <v>727</v>
      </c>
      <c r="E533" s="865">
        <v>8665</v>
      </c>
      <c r="F533" s="866"/>
      <c r="G533" s="853"/>
      <c r="H533" s="853"/>
      <c r="I533" s="853"/>
      <c r="J533" s="853"/>
      <c r="K533" s="853"/>
      <c r="M533" s="853"/>
      <c r="N533" s="853"/>
      <c r="O533" s="853"/>
    </row>
    <row r="534" spans="2:15" x14ac:dyDescent="0.25">
      <c r="B534" s="859" t="s">
        <v>1578</v>
      </c>
      <c r="C534" s="864" t="s">
        <v>1579</v>
      </c>
      <c r="D534" s="861" t="s">
        <v>727</v>
      </c>
      <c r="E534" s="865">
        <v>35528</v>
      </c>
      <c r="F534" s="866"/>
      <c r="G534" s="853"/>
      <c r="H534" s="853"/>
      <c r="I534" s="853"/>
      <c r="J534" s="853"/>
      <c r="K534" s="853"/>
      <c r="M534" s="853"/>
      <c r="N534" s="853"/>
      <c r="O534" s="853"/>
    </row>
    <row r="535" spans="2:15" x14ac:dyDescent="0.25">
      <c r="B535" s="859" t="s">
        <v>1580</v>
      </c>
      <c r="C535" s="864" t="s">
        <v>1581</v>
      </c>
      <c r="D535" s="861" t="s">
        <v>727</v>
      </c>
      <c r="E535" s="865">
        <v>50528</v>
      </c>
      <c r="F535" s="866"/>
      <c r="G535" s="853"/>
      <c r="H535" s="853"/>
      <c r="I535" s="853"/>
      <c r="J535" s="853"/>
      <c r="K535" s="853"/>
      <c r="M535" s="853"/>
      <c r="N535" s="853"/>
      <c r="O535" s="853"/>
    </row>
    <row r="536" spans="2:15" x14ac:dyDescent="0.25">
      <c r="B536" s="859" t="s">
        <v>1582</v>
      </c>
      <c r="C536" s="864" t="s">
        <v>1583</v>
      </c>
      <c r="D536" s="861" t="s">
        <v>727</v>
      </c>
      <c r="E536" s="865">
        <v>51992</v>
      </c>
      <c r="F536" s="866"/>
      <c r="G536" s="853"/>
      <c r="H536" s="853"/>
      <c r="I536" s="853"/>
      <c r="J536" s="853"/>
      <c r="K536" s="853"/>
      <c r="M536" s="853"/>
      <c r="N536" s="853"/>
      <c r="O536" s="853"/>
    </row>
    <row r="537" spans="2:15" x14ac:dyDescent="0.25">
      <c r="B537" s="859" t="s">
        <v>1584</v>
      </c>
      <c r="C537" s="864" t="s">
        <v>1585</v>
      </c>
      <c r="D537" s="861" t="s">
        <v>727</v>
      </c>
      <c r="E537" s="865">
        <v>36587</v>
      </c>
      <c r="F537" s="866"/>
      <c r="G537" s="853"/>
      <c r="H537" s="853"/>
      <c r="I537" s="853"/>
      <c r="J537" s="853"/>
      <c r="K537" s="853"/>
      <c r="M537" s="853"/>
      <c r="N537" s="853"/>
      <c r="O537" s="853"/>
    </row>
    <row r="538" spans="2:15" x14ac:dyDescent="0.25">
      <c r="B538" s="859" t="s">
        <v>1586</v>
      </c>
      <c r="C538" s="864" t="s">
        <v>1587</v>
      </c>
      <c r="D538" s="861" t="s">
        <v>727</v>
      </c>
      <c r="E538" s="865">
        <v>18948</v>
      </c>
      <c r="F538" s="866"/>
      <c r="G538" s="853"/>
      <c r="H538" s="853"/>
      <c r="I538" s="853"/>
      <c r="J538" s="853"/>
      <c r="K538" s="853"/>
      <c r="M538" s="853"/>
      <c r="N538" s="853"/>
      <c r="O538" s="853"/>
    </row>
    <row r="539" spans="2:15" x14ac:dyDescent="0.25">
      <c r="B539" s="859" t="s">
        <v>1588</v>
      </c>
      <c r="C539" s="864" t="s">
        <v>1589</v>
      </c>
      <c r="D539" s="861" t="s">
        <v>727</v>
      </c>
      <c r="E539" s="865">
        <v>33698</v>
      </c>
      <c r="F539" s="866"/>
      <c r="G539" s="853"/>
      <c r="H539" s="853"/>
      <c r="I539" s="853"/>
      <c r="J539" s="853"/>
      <c r="K539" s="853"/>
      <c r="M539" s="853"/>
      <c r="N539" s="853"/>
      <c r="O539" s="853"/>
    </row>
    <row r="540" spans="2:15" x14ac:dyDescent="0.25">
      <c r="B540" s="859" t="s">
        <v>1590</v>
      </c>
      <c r="C540" s="864" t="s">
        <v>1591</v>
      </c>
      <c r="D540" s="861" t="s">
        <v>727</v>
      </c>
      <c r="E540" s="865">
        <v>13643</v>
      </c>
      <c r="F540" s="866"/>
      <c r="G540" s="853"/>
      <c r="H540" s="853"/>
      <c r="I540" s="853"/>
      <c r="J540" s="853"/>
      <c r="K540" s="853"/>
      <c r="M540" s="853"/>
      <c r="N540" s="853"/>
      <c r="O540" s="853"/>
    </row>
    <row r="541" spans="2:15" x14ac:dyDescent="0.25">
      <c r="B541" s="859" t="s">
        <v>1592</v>
      </c>
      <c r="C541" s="864" t="s">
        <v>1593</v>
      </c>
      <c r="D541" s="861" t="s">
        <v>727</v>
      </c>
      <c r="E541" s="865">
        <v>70740</v>
      </c>
      <c r="F541" s="866"/>
      <c r="G541" s="853"/>
      <c r="H541" s="853"/>
      <c r="I541" s="853"/>
      <c r="J541" s="853"/>
      <c r="K541" s="853"/>
      <c r="M541" s="853"/>
      <c r="N541" s="853"/>
      <c r="O541" s="853"/>
    </row>
    <row r="542" spans="2:15" x14ac:dyDescent="0.25">
      <c r="B542" s="859" t="s">
        <v>1594</v>
      </c>
      <c r="C542" s="864" t="s">
        <v>1595</v>
      </c>
      <c r="D542" s="861" t="s">
        <v>727</v>
      </c>
      <c r="E542" s="865">
        <v>5969</v>
      </c>
      <c r="F542" s="866"/>
      <c r="G542" s="853"/>
      <c r="H542" s="853"/>
      <c r="I542" s="853"/>
      <c r="J542" s="853"/>
      <c r="K542" s="853"/>
      <c r="M542" s="853"/>
      <c r="N542" s="853"/>
      <c r="O542" s="853"/>
    </row>
    <row r="543" spans="2:15" x14ac:dyDescent="0.25">
      <c r="B543" s="859" t="s">
        <v>1596</v>
      </c>
      <c r="C543" s="860" t="s">
        <v>1597</v>
      </c>
      <c r="D543" s="861"/>
      <c r="E543" s="862"/>
      <c r="F543" s="863"/>
      <c r="G543" s="853"/>
      <c r="H543" s="853"/>
      <c r="I543" s="853"/>
      <c r="J543" s="853"/>
      <c r="K543" s="853"/>
      <c r="M543" s="853"/>
      <c r="N543" s="853"/>
      <c r="O543" s="853"/>
    </row>
    <row r="544" spans="2:15" ht="31.5" x14ac:dyDescent="0.25">
      <c r="B544" s="859" t="s">
        <v>1598</v>
      </c>
      <c r="C544" s="864" t="s">
        <v>1599</v>
      </c>
      <c r="D544" s="861" t="s">
        <v>727</v>
      </c>
      <c r="E544" s="865">
        <v>2485366</v>
      </c>
      <c r="F544" s="866"/>
      <c r="G544" s="853"/>
      <c r="H544" s="853"/>
      <c r="I544" s="853"/>
      <c r="J544" s="853"/>
      <c r="K544" s="853"/>
      <c r="M544" s="853"/>
      <c r="N544" s="853"/>
      <c r="O544" s="853"/>
    </row>
    <row r="545" spans="2:15" ht="47.25" x14ac:dyDescent="0.25">
      <c r="B545" s="859" t="s">
        <v>1600</v>
      </c>
      <c r="C545" s="864" t="s">
        <v>1601</v>
      </c>
      <c r="D545" s="861" t="s">
        <v>727</v>
      </c>
      <c r="E545" s="865">
        <v>1515852</v>
      </c>
      <c r="F545" s="866"/>
      <c r="G545" s="853"/>
      <c r="H545" s="853"/>
      <c r="I545" s="853"/>
      <c r="J545" s="853"/>
      <c r="K545" s="853"/>
      <c r="M545" s="853"/>
      <c r="N545" s="853"/>
      <c r="O545" s="853"/>
    </row>
    <row r="546" spans="2:15" x14ac:dyDescent="0.25">
      <c r="B546" s="859" t="s">
        <v>1602</v>
      </c>
      <c r="C546" s="864" t="s">
        <v>1603</v>
      </c>
      <c r="D546" s="861" t="s">
        <v>727</v>
      </c>
      <c r="E546" s="865">
        <v>307055</v>
      </c>
      <c r="F546" s="866"/>
      <c r="G546" s="853"/>
      <c r="H546" s="853"/>
      <c r="I546" s="853"/>
      <c r="J546" s="853"/>
      <c r="K546" s="853"/>
      <c r="M546" s="853"/>
      <c r="N546" s="853"/>
      <c r="O546" s="853"/>
    </row>
    <row r="547" spans="2:15" x14ac:dyDescent="0.25">
      <c r="B547" s="859" t="s">
        <v>1604</v>
      </c>
      <c r="C547" s="864" t="s">
        <v>1605</v>
      </c>
      <c r="D547" s="861" t="s">
        <v>727</v>
      </c>
      <c r="E547" s="865">
        <v>333140</v>
      </c>
      <c r="F547" s="866"/>
      <c r="G547" s="853"/>
      <c r="H547" s="853"/>
      <c r="I547" s="853"/>
      <c r="J547" s="853"/>
      <c r="K547" s="853"/>
      <c r="M547" s="853"/>
      <c r="N547" s="853"/>
      <c r="O547" s="853"/>
    </row>
    <row r="548" spans="2:15" x14ac:dyDescent="0.25">
      <c r="B548" s="859" t="s">
        <v>1606</v>
      </c>
      <c r="C548" s="864" t="s">
        <v>1607</v>
      </c>
      <c r="D548" s="861" t="s">
        <v>727</v>
      </c>
      <c r="E548" s="865">
        <v>428323</v>
      </c>
      <c r="F548" s="866"/>
      <c r="G548" s="853"/>
      <c r="H548" s="853"/>
      <c r="I548" s="853"/>
      <c r="J548" s="853"/>
      <c r="K548" s="853"/>
      <c r="M548" s="853"/>
      <c r="N548" s="853"/>
      <c r="O548" s="853"/>
    </row>
    <row r="549" spans="2:15" x14ac:dyDescent="0.25">
      <c r="B549" s="859" t="s">
        <v>1608</v>
      </c>
      <c r="C549" s="864" t="s">
        <v>1609</v>
      </c>
      <c r="D549" s="861" t="s">
        <v>727</v>
      </c>
      <c r="E549" s="865">
        <v>523506</v>
      </c>
      <c r="F549" s="866"/>
      <c r="G549" s="853"/>
      <c r="H549" s="853"/>
      <c r="I549" s="853"/>
      <c r="J549" s="853"/>
      <c r="K549" s="853"/>
      <c r="M549" s="853"/>
      <c r="N549" s="853"/>
      <c r="O549" s="853"/>
    </row>
    <row r="550" spans="2:15" x14ac:dyDescent="0.25">
      <c r="B550" s="859" t="s">
        <v>1610</v>
      </c>
      <c r="C550" s="864" t="s">
        <v>1611</v>
      </c>
      <c r="D550" s="861" t="s">
        <v>727</v>
      </c>
      <c r="E550" s="865">
        <v>255338</v>
      </c>
      <c r="F550" s="866"/>
      <c r="G550" s="853"/>
      <c r="H550" s="853"/>
      <c r="I550" s="853"/>
      <c r="J550" s="853"/>
      <c r="K550" s="853"/>
      <c r="M550" s="853"/>
      <c r="N550" s="853"/>
      <c r="O550" s="853"/>
    </row>
    <row r="551" spans="2:15" x14ac:dyDescent="0.25">
      <c r="B551" s="859"/>
      <c r="C551" s="864"/>
      <c r="D551" s="861"/>
      <c r="E551" s="862"/>
      <c r="F551" s="863"/>
      <c r="G551" s="853"/>
      <c r="H551" s="853"/>
      <c r="I551" s="853"/>
      <c r="J551" s="853"/>
      <c r="K551" s="853"/>
      <c r="M551" s="853"/>
      <c r="N551" s="853"/>
      <c r="O551" s="853"/>
    </row>
    <row r="552" spans="2:15" x14ac:dyDescent="0.25">
      <c r="B552" s="859"/>
      <c r="C552" s="864"/>
      <c r="D552" s="861"/>
      <c r="E552" s="862"/>
      <c r="F552" s="863"/>
      <c r="G552" s="853"/>
      <c r="H552" s="853"/>
      <c r="I552" s="853"/>
      <c r="J552" s="853"/>
      <c r="K552" s="853"/>
      <c r="M552" s="853"/>
      <c r="N552" s="853"/>
      <c r="O552" s="853"/>
    </row>
    <row r="553" spans="2:15" x14ac:dyDescent="0.25">
      <c r="B553" s="859"/>
      <c r="C553" s="871" t="s">
        <v>1612</v>
      </c>
      <c r="D553" s="872"/>
      <c r="E553" s="862"/>
      <c r="F553" s="863"/>
      <c r="G553" s="853"/>
      <c r="H553" s="853"/>
      <c r="I553" s="853"/>
      <c r="J553" s="853"/>
      <c r="K553" s="853"/>
      <c r="M553" s="853"/>
      <c r="N553" s="853"/>
      <c r="O553" s="853"/>
    </row>
    <row r="554" spans="2:15" x14ac:dyDescent="0.25">
      <c r="B554" s="859" t="s">
        <v>1613</v>
      </c>
      <c r="C554" s="880" t="s">
        <v>1614</v>
      </c>
      <c r="D554" s="861"/>
      <c r="E554" s="862"/>
      <c r="F554" s="863"/>
      <c r="G554" s="853"/>
      <c r="H554" s="853"/>
      <c r="I554" s="853"/>
      <c r="J554" s="853"/>
      <c r="K554" s="853"/>
      <c r="M554" s="853"/>
      <c r="N554" s="853"/>
      <c r="O554" s="853"/>
    </row>
    <row r="555" spans="2:15" x14ac:dyDescent="0.25">
      <c r="B555" s="859" t="s">
        <v>1615</v>
      </c>
      <c r="C555" s="860" t="s">
        <v>1616</v>
      </c>
      <c r="D555" s="861"/>
      <c r="E555" s="862"/>
      <c r="F555" s="863"/>
      <c r="G555" s="853"/>
      <c r="H555" s="853"/>
      <c r="I555" s="853"/>
      <c r="J555" s="853"/>
      <c r="K555" s="853"/>
      <c r="M555" s="853"/>
      <c r="N555" s="853"/>
      <c r="O555" s="853"/>
    </row>
    <row r="556" spans="2:15" x14ac:dyDescent="0.25">
      <c r="B556" s="859" t="s">
        <v>1617</v>
      </c>
      <c r="C556" s="864" t="s">
        <v>1618</v>
      </c>
      <c r="D556" s="861" t="s">
        <v>950</v>
      </c>
      <c r="E556" s="865">
        <v>5295</v>
      </c>
      <c r="F556" s="866"/>
      <c r="G556" s="853"/>
      <c r="H556" s="853"/>
      <c r="I556" s="853"/>
      <c r="J556" s="853"/>
      <c r="K556" s="853"/>
      <c r="M556" s="853"/>
      <c r="N556" s="853"/>
      <c r="O556" s="853"/>
    </row>
    <row r="557" spans="2:15" x14ac:dyDescent="0.25">
      <c r="B557" s="859" t="s">
        <v>1619</v>
      </c>
      <c r="C557" s="864" t="s">
        <v>1620</v>
      </c>
      <c r="D557" s="861" t="s">
        <v>950</v>
      </c>
      <c r="E557" s="865">
        <v>6355</v>
      </c>
      <c r="F557" s="866"/>
      <c r="G557" s="853"/>
      <c r="H557" s="853"/>
      <c r="I557" s="853"/>
      <c r="J557" s="853"/>
      <c r="K557" s="853"/>
      <c r="M557" s="853"/>
      <c r="N557" s="853"/>
      <c r="O557" s="853"/>
    </row>
    <row r="558" spans="2:15" x14ac:dyDescent="0.25">
      <c r="B558" s="859" t="s">
        <v>1621</v>
      </c>
      <c r="C558" s="864" t="s">
        <v>1622</v>
      </c>
      <c r="D558" s="861" t="s">
        <v>950</v>
      </c>
      <c r="E558" s="865">
        <v>7625</v>
      </c>
      <c r="F558" s="866"/>
      <c r="G558" s="853"/>
      <c r="H558" s="853"/>
      <c r="I558" s="853"/>
      <c r="J558" s="853"/>
      <c r="K558" s="853"/>
      <c r="M558" s="853"/>
      <c r="N558" s="853"/>
      <c r="O558" s="853"/>
    </row>
    <row r="559" spans="2:15" x14ac:dyDescent="0.25">
      <c r="B559" s="859" t="s">
        <v>1623</v>
      </c>
      <c r="C559" s="864" t="s">
        <v>1624</v>
      </c>
      <c r="D559" s="861" t="s">
        <v>950</v>
      </c>
      <c r="E559" s="865">
        <v>9151</v>
      </c>
      <c r="F559" s="866"/>
      <c r="G559" s="853"/>
      <c r="H559" s="853"/>
      <c r="I559" s="853"/>
      <c r="J559" s="853"/>
      <c r="K559" s="853"/>
      <c r="M559" s="853"/>
      <c r="N559" s="853"/>
      <c r="O559" s="853"/>
    </row>
    <row r="560" spans="2:15" x14ac:dyDescent="0.25">
      <c r="B560" s="859" t="s">
        <v>1625</v>
      </c>
      <c r="C560" s="860" t="s">
        <v>1626</v>
      </c>
      <c r="D560" s="861"/>
      <c r="E560" s="862"/>
      <c r="F560" s="863"/>
      <c r="G560" s="853"/>
      <c r="H560" s="853"/>
      <c r="I560" s="853"/>
      <c r="J560" s="853"/>
      <c r="K560" s="853"/>
      <c r="M560" s="853"/>
      <c r="N560" s="853"/>
      <c r="O560" s="853"/>
    </row>
    <row r="561" spans="2:15" x14ac:dyDescent="0.25">
      <c r="B561" s="859" t="s">
        <v>1627</v>
      </c>
      <c r="C561" s="864" t="s">
        <v>1628</v>
      </c>
      <c r="D561" s="861" t="s">
        <v>950</v>
      </c>
      <c r="E561" s="865">
        <v>7991</v>
      </c>
      <c r="F561" s="866"/>
      <c r="G561" s="853"/>
      <c r="H561" s="853"/>
      <c r="I561" s="853"/>
      <c r="J561" s="853"/>
      <c r="K561" s="853"/>
      <c r="M561" s="853"/>
      <c r="N561" s="853"/>
      <c r="O561" s="853"/>
    </row>
    <row r="562" spans="2:15" x14ac:dyDescent="0.25">
      <c r="B562" s="859" t="s">
        <v>1629</v>
      </c>
      <c r="C562" s="864" t="s">
        <v>1630</v>
      </c>
      <c r="D562" s="861" t="s">
        <v>950</v>
      </c>
      <c r="E562" s="865">
        <v>9190</v>
      </c>
      <c r="F562" s="866"/>
      <c r="G562" s="853"/>
      <c r="H562" s="853"/>
      <c r="I562" s="853"/>
      <c r="J562" s="853"/>
      <c r="K562" s="853"/>
      <c r="M562" s="853"/>
      <c r="N562" s="853"/>
      <c r="O562" s="853"/>
    </row>
    <row r="563" spans="2:15" x14ac:dyDescent="0.25">
      <c r="B563" s="859" t="s">
        <v>1631</v>
      </c>
      <c r="C563" s="864" t="s">
        <v>1632</v>
      </c>
      <c r="D563" s="861" t="s">
        <v>950</v>
      </c>
      <c r="E563" s="865">
        <v>10569</v>
      </c>
      <c r="F563" s="866"/>
      <c r="G563" s="853"/>
      <c r="H563" s="853"/>
      <c r="I563" s="853"/>
      <c r="J563" s="853"/>
      <c r="K563" s="853"/>
      <c r="M563" s="853"/>
      <c r="N563" s="853"/>
      <c r="O563" s="853"/>
    </row>
    <row r="564" spans="2:15" x14ac:dyDescent="0.25">
      <c r="B564" s="859" t="s">
        <v>1633</v>
      </c>
      <c r="C564" s="864" t="s">
        <v>1634</v>
      </c>
      <c r="D564" s="861" t="s">
        <v>950</v>
      </c>
      <c r="E564" s="865">
        <v>14796</v>
      </c>
      <c r="F564" s="866"/>
      <c r="G564" s="853"/>
      <c r="H564" s="853"/>
      <c r="I564" s="853"/>
      <c r="J564" s="853"/>
      <c r="K564" s="853"/>
      <c r="M564" s="853"/>
      <c r="N564" s="853"/>
      <c r="O564" s="853"/>
    </row>
    <row r="565" spans="2:15" x14ac:dyDescent="0.25">
      <c r="B565" s="859" t="s">
        <v>1635</v>
      </c>
      <c r="C565" s="864" t="s">
        <v>1636</v>
      </c>
      <c r="D565" s="861" t="s">
        <v>950</v>
      </c>
      <c r="E565" s="865">
        <v>18495</v>
      </c>
      <c r="F565" s="866"/>
      <c r="G565" s="853"/>
      <c r="H565" s="853"/>
      <c r="I565" s="853"/>
      <c r="J565" s="853"/>
      <c r="K565" s="853"/>
      <c r="M565" s="853"/>
      <c r="N565" s="853"/>
      <c r="O565" s="853"/>
    </row>
    <row r="566" spans="2:15" x14ac:dyDescent="0.25">
      <c r="B566" s="859" t="s">
        <v>1637</v>
      </c>
      <c r="C566" s="864" t="s">
        <v>1638</v>
      </c>
      <c r="D566" s="861" t="s">
        <v>950</v>
      </c>
      <c r="E566" s="865">
        <v>24968</v>
      </c>
      <c r="F566" s="866"/>
      <c r="G566" s="853"/>
      <c r="H566" s="853"/>
      <c r="I566" s="853"/>
      <c r="J566" s="853"/>
      <c r="K566" s="853"/>
      <c r="M566" s="853"/>
      <c r="N566" s="853"/>
      <c r="O566" s="853"/>
    </row>
    <row r="567" spans="2:15" x14ac:dyDescent="0.25">
      <c r="B567" s="859" t="s">
        <v>1639</v>
      </c>
      <c r="C567" s="864" t="s">
        <v>1640</v>
      </c>
      <c r="D567" s="861" t="s">
        <v>950</v>
      </c>
      <c r="E567" s="865">
        <v>33707</v>
      </c>
      <c r="F567" s="866"/>
      <c r="G567" s="853"/>
      <c r="H567" s="853"/>
      <c r="I567" s="853"/>
      <c r="J567" s="853"/>
      <c r="K567" s="853"/>
      <c r="M567" s="853"/>
      <c r="N567" s="853"/>
      <c r="O567" s="853"/>
    </row>
    <row r="568" spans="2:15" x14ac:dyDescent="0.25">
      <c r="B568" s="859" t="s">
        <v>1641</v>
      </c>
      <c r="C568" s="864" t="s">
        <v>1642</v>
      </c>
      <c r="D568" s="861" t="s">
        <v>950</v>
      </c>
      <c r="E568" s="865">
        <v>45505</v>
      </c>
      <c r="F568" s="866"/>
      <c r="G568" s="853"/>
      <c r="H568" s="853"/>
      <c r="I568" s="853"/>
      <c r="J568" s="853"/>
      <c r="K568" s="853"/>
      <c r="M568" s="853"/>
      <c r="N568" s="853"/>
      <c r="O568" s="853"/>
    </row>
    <row r="569" spans="2:15" x14ac:dyDescent="0.25">
      <c r="B569" s="859" t="s">
        <v>1643</v>
      </c>
      <c r="C569" s="864" t="s">
        <v>1644</v>
      </c>
      <c r="D569" s="861" t="s">
        <v>950</v>
      </c>
      <c r="E569" s="865">
        <v>59156</v>
      </c>
      <c r="F569" s="866"/>
      <c r="G569" s="853"/>
      <c r="H569" s="853"/>
      <c r="I569" s="853"/>
      <c r="J569" s="853"/>
      <c r="K569" s="853"/>
      <c r="M569" s="853"/>
      <c r="N569" s="853"/>
      <c r="O569" s="853"/>
    </row>
    <row r="570" spans="2:15" x14ac:dyDescent="0.25">
      <c r="B570" s="859" t="s">
        <v>1645</v>
      </c>
      <c r="C570" s="864" t="s">
        <v>1646</v>
      </c>
      <c r="D570" s="861" t="s">
        <v>950</v>
      </c>
      <c r="E570" s="865">
        <v>65072</v>
      </c>
      <c r="F570" s="866"/>
      <c r="G570" s="853"/>
      <c r="H570" s="853"/>
      <c r="I570" s="853"/>
      <c r="J570" s="853"/>
      <c r="K570" s="853"/>
      <c r="M570" s="853"/>
      <c r="N570" s="853"/>
      <c r="O570" s="853"/>
    </row>
    <row r="571" spans="2:15" x14ac:dyDescent="0.25">
      <c r="B571" s="859" t="s">
        <v>1647</v>
      </c>
      <c r="C571" s="864" t="s">
        <v>1648</v>
      </c>
      <c r="D571" s="861" t="s">
        <v>950</v>
      </c>
      <c r="E571" s="865">
        <v>81339</v>
      </c>
      <c r="F571" s="866"/>
      <c r="G571" s="853"/>
      <c r="H571" s="853"/>
      <c r="I571" s="853"/>
      <c r="J571" s="853"/>
      <c r="K571" s="853"/>
      <c r="M571" s="853"/>
      <c r="N571" s="853"/>
      <c r="O571" s="853"/>
    </row>
    <row r="572" spans="2:15" ht="31.5" x14ac:dyDescent="0.25">
      <c r="B572" s="859" t="s">
        <v>1649</v>
      </c>
      <c r="C572" s="864" t="s">
        <v>1650</v>
      </c>
      <c r="D572" s="861" t="s">
        <v>950</v>
      </c>
      <c r="E572" s="865">
        <v>122009</v>
      </c>
      <c r="F572" s="866"/>
      <c r="G572" s="853"/>
      <c r="H572" s="853"/>
      <c r="I572" s="853"/>
      <c r="J572" s="853"/>
      <c r="K572" s="853"/>
      <c r="M572" s="853"/>
      <c r="N572" s="853"/>
      <c r="O572" s="853"/>
    </row>
    <row r="573" spans="2:15" x14ac:dyDescent="0.25">
      <c r="B573" s="859" t="s">
        <v>1651</v>
      </c>
      <c r="C573" s="860" t="s">
        <v>1652</v>
      </c>
      <c r="D573" s="861"/>
      <c r="E573" s="862"/>
      <c r="F573" s="863"/>
      <c r="G573" s="853"/>
      <c r="H573" s="853"/>
      <c r="I573" s="853"/>
      <c r="J573" s="853"/>
      <c r="K573" s="853"/>
      <c r="M573" s="853"/>
      <c r="N573" s="853"/>
      <c r="O573" s="853"/>
    </row>
    <row r="574" spans="2:15" x14ac:dyDescent="0.25">
      <c r="B574" s="859" t="s">
        <v>1653</v>
      </c>
      <c r="C574" s="864" t="s">
        <v>1654</v>
      </c>
      <c r="D574" s="861" t="s">
        <v>950</v>
      </c>
      <c r="E574" s="865">
        <v>8540</v>
      </c>
      <c r="F574" s="866"/>
      <c r="G574" s="853"/>
      <c r="H574" s="853"/>
      <c r="I574" s="853"/>
      <c r="J574" s="853"/>
      <c r="K574" s="853"/>
      <c r="M574" s="853"/>
      <c r="N574" s="853"/>
      <c r="O574" s="853"/>
    </row>
    <row r="575" spans="2:15" x14ac:dyDescent="0.25">
      <c r="B575" s="859" t="s">
        <v>1655</v>
      </c>
      <c r="C575" s="864" t="s">
        <v>1656</v>
      </c>
      <c r="D575" s="861" t="s">
        <v>950</v>
      </c>
      <c r="E575" s="865">
        <v>12887</v>
      </c>
      <c r="F575" s="866"/>
      <c r="G575" s="853"/>
      <c r="H575" s="853"/>
      <c r="I575" s="853"/>
      <c r="J575" s="853"/>
      <c r="K575" s="853"/>
      <c r="M575" s="853"/>
      <c r="N575" s="853"/>
      <c r="O575" s="853"/>
    </row>
    <row r="576" spans="2:15" x14ac:dyDescent="0.25">
      <c r="B576" s="859" t="s">
        <v>1657</v>
      </c>
      <c r="C576" s="864" t="s">
        <v>1658</v>
      </c>
      <c r="D576" s="861" t="s">
        <v>950</v>
      </c>
      <c r="E576" s="865">
        <v>21272</v>
      </c>
      <c r="F576" s="866"/>
      <c r="G576" s="853"/>
      <c r="H576" s="853"/>
      <c r="I576" s="853"/>
      <c r="J576" s="853"/>
      <c r="K576" s="853"/>
      <c r="M576" s="853"/>
      <c r="N576" s="853"/>
      <c r="O576" s="853"/>
    </row>
    <row r="577" spans="2:15" x14ac:dyDescent="0.25">
      <c r="B577" s="859" t="s">
        <v>1659</v>
      </c>
      <c r="C577" s="864" t="s">
        <v>1660</v>
      </c>
      <c r="D577" s="861" t="s">
        <v>950</v>
      </c>
      <c r="E577" s="865">
        <v>49686</v>
      </c>
      <c r="F577" s="866"/>
      <c r="G577" s="853"/>
      <c r="H577" s="853"/>
      <c r="I577" s="853"/>
      <c r="J577" s="853"/>
      <c r="K577" s="853"/>
      <c r="M577" s="853"/>
      <c r="N577" s="853"/>
      <c r="O577" s="853"/>
    </row>
    <row r="578" spans="2:15" x14ac:dyDescent="0.25">
      <c r="B578" s="859" t="s">
        <v>1661</v>
      </c>
      <c r="C578" s="864" t="s">
        <v>1662</v>
      </c>
      <c r="D578" s="861" t="s">
        <v>950</v>
      </c>
      <c r="E578" s="865">
        <v>78877</v>
      </c>
      <c r="F578" s="866"/>
      <c r="G578" s="853"/>
      <c r="H578" s="853"/>
      <c r="I578" s="853"/>
      <c r="J578" s="853"/>
      <c r="K578" s="853"/>
      <c r="M578" s="853"/>
      <c r="N578" s="853"/>
      <c r="O578" s="853"/>
    </row>
    <row r="579" spans="2:15" x14ac:dyDescent="0.25">
      <c r="B579" s="859" t="s">
        <v>1663</v>
      </c>
      <c r="C579" s="860" t="s">
        <v>1664</v>
      </c>
      <c r="D579" s="861"/>
      <c r="E579" s="862"/>
      <c r="F579" s="863"/>
      <c r="G579" s="853"/>
      <c r="H579" s="853"/>
      <c r="I579" s="853"/>
      <c r="J579" s="853"/>
      <c r="K579" s="853"/>
      <c r="M579" s="853"/>
      <c r="N579" s="853"/>
      <c r="O579" s="853"/>
    </row>
    <row r="580" spans="2:15" x14ac:dyDescent="0.25">
      <c r="B580" s="859" t="s">
        <v>1665</v>
      </c>
      <c r="C580" s="864" t="s">
        <v>1666</v>
      </c>
      <c r="D580" s="861" t="s">
        <v>950</v>
      </c>
      <c r="E580" s="865">
        <v>7369</v>
      </c>
      <c r="F580" s="866"/>
      <c r="G580" s="853"/>
      <c r="H580" s="853"/>
      <c r="I580" s="853"/>
      <c r="J580" s="853"/>
      <c r="K580" s="853"/>
      <c r="M580" s="853"/>
      <c r="N580" s="853"/>
      <c r="O580" s="853"/>
    </row>
    <row r="581" spans="2:15" x14ac:dyDescent="0.25">
      <c r="B581" s="859" t="s">
        <v>1667</v>
      </c>
      <c r="C581" s="864" t="s">
        <v>1656</v>
      </c>
      <c r="D581" s="861" t="s">
        <v>950</v>
      </c>
      <c r="E581" s="865">
        <v>12887</v>
      </c>
      <c r="F581" s="866"/>
      <c r="G581" s="853"/>
      <c r="H581" s="853"/>
      <c r="I581" s="853"/>
      <c r="J581" s="853"/>
      <c r="K581" s="853"/>
      <c r="M581" s="853"/>
      <c r="N581" s="853"/>
      <c r="O581" s="853"/>
    </row>
    <row r="582" spans="2:15" x14ac:dyDescent="0.25">
      <c r="B582" s="859" t="s">
        <v>1668</v>
      </c>
      <c r="C582" s="864" t="s">
        <v>1658</v>
      </c>
      <c r="D582" s="861" t="s">
        <v>950</v>
      </c>
      <c r="E582" s="865">
        <v>21272</v>
      </c>
      <c r="F582" s="866"/>
      <c r="G582" s="853"/>
      <c r="H582" s="853"/>
      <c r="I582" s="853"/>
      <c r="J582" s="853"/>
      <c r="K582" s="853"/>
      <c r="M582" s="853"/>
      <c r="N582" s="853"/>
      <c r="O582" s="853"/>
    </row>
    <row r="583" spans="2:15" x14ac:dyDescent="0.25">
      <c r="B583" s="859" t="s">
        <v>1669</v>
      </c>
      <c r="C583" s="864" t="s">
        <v>1662</v>
      </c>
      <c r="D583" s="861" t="s">
        <v>950</v>
      </c>
      <c r="E583" s="865">
        <v>78877</v>
      </c>
      <c r="F583" s="866"/>
      <c r="G583" s="853"/>
      <c r="H583" s="853"/>
      <c r="I583" s="853"/>
      <c r="J583" s="853"/>
      <c r="K583" s="853"/>
      <c r="M583" s="853"/>
      <c r="N583" s="853"/>
      <c r="O583" s="853"/>
    </row>
    <row r="584" spans="2:15" x14ac:dyDescent="0.25">
      <c r="B584" s="859" t="s">
        <v>1670</v>
      </c>
      <c r="C584" s="880" t="s">
        <v>941</v>
      </c>
      <c r="D584" s="861"/>
      <c r="E584" s="862"/>
      <c r="F584" s="863"/>
      <c r="G584" s="853"/>
      <c r="H584" s="853"/>
      <c r="I584" s="853"/>
      <c r="J584" s="853"/>
      <c r="K584" s="853"/>
      <c r="M584" s="853"/>
      <c r="N584" s="853"/>
      <c r="O584" s="853"/>
    </row>
    <row r="585" spans="2:15" x14ac:dyDescent="0.25">
      <c r="B585" s="859" t="s">
        <v>1671</v>
      </c>
      <c r="C585" s="860" t="s">
        <v>1672</v>
      </c>
      <c r="D585" s="861"/>
      <c r="E585" s="862"/>
      <c r="F585" s="863"/>
      <c r="G585" s="853"/>
      <c r="H585" s="853"/>
      <c r="I585" s="853"/>
      <c r="J585" s="853"/>
      <c r="K585" s="853"/>
      <c r="M585" s="853"/>
      <c r="N585" s="853"/>
      <c r="O585" s="853"/>
    </row>
    <row r="586" spans="2:15" x14ac:dyDescent="0.25">
      <c r="B586" s="859" t="s">
        <v>1673</v>
      </c>
      <c r="C586" s="864" t="s">
        <v>1674</v>
      </c>
      <c r="D586" s="861"/>
      <c r="E586" s="862"/>
      <c r="F586" s="863"/>
      <c r="G586" s="853"/>
      <c r="H586" s="853"/>
      <c r="I586" s="853"/>
      <c r="J586" s="853"/>
      <c r="K586" s="853"/>
      <c r="M586" s="853"/>
      <c r="N586" s="853"/>
      <c r="O586" s="853"/>
    </row>
    <row r="587" spans="2:15" x14ac:dyDescent="0.25">
      <c r="B587" s="859" t="s">
        <v>1675</v>
      </c>
      <c r="C587" s="890" t="s">
        <v>1676</v>
      </c>
      <c r="D587" s="861" t="s">
        <v>727</v>
      </c>
      <c r="E587" s="865">
        <v>22006</v>
      </c>
      <c r="F587" s="866"/>
      <c r="G587" s="853"/>
      <c r="H587" s="853"/>
      <c r="I587" s="853"/>
      <c r="J587" s="853"/>
      <c r="K587" s="853"/>
      <c r="M587" s="853"/>
      <c r="N587" s="853"/>
      <c r="O587" s="853"/>
    </row>
    <row r="588" spans="2:15" x14ac:dyDescent="0.25">
      <c r="B588" s="859" t="s">
        <v>1677</v>
      </c>
      <c r="C588" s="890" t="s">
        <v>1678</v>
      </c>
      <c r="D588" s="861" t="s">
        <v>727</v>
      </c>
      <c r="E588" s="865">
        <v>26841</v>
      </c>
      <c r="F588" s="866"/>
      <c r="G588" s="853"/>
      <c r="H588" s="853"/>
      <c r="I588" s="853"/>
      <c r="J588" s="853"/>
      <c r="K588" s="853"/>
      <c r="M588" s="853"/>
      <c r="N588" s="853"/>
      <c r="O588" s="853"/>
    </row>
    <row r="589" spans="2:15" x14ac:dyDescent="0.25">
      <c r="B589" s="859" t="s">
        <v>1679</v>
      </c>
      <c r="C589" s="890" t="s">
        <v>1680</v>
      </c>
      <c r="D589" s="861" t="s">
        <v>727</v>
      </c>
      <c r="E589" s="865">
        <v>33810</v>
      </c>
      <c r="F589" s="866"/>
      <c r="G589" s="853"/>
      <c r="H589" s="853"/>
      <c r="I589" s="853"/>
      <c r="J589" s="853"/>
      <c r="K589" s="853"/>
      <c r="M589" s="853"/>
      <c r="N589" s="853"/>
      <c r="O589" s="853"/>
    </row>
    <row r="590" spans="2:15" x14ac:dyDescent="0.25">
      <c r="B590" s="859" t="s">
        <v>1681</v>
      </c>
      <c r="C590" s="890" t="s">
        <v>1682</v>
      </c>
      <c r="D590" s="861" t="s">
        <v>727</v>
      </c>
      <c r="E590" s="865">
        <v>39490</v>
      </c>
      <c r="F590" s="866"/>
      <c r="G590" s="853"/>
      <c r="H590" s="853"/>
      <c r="I590" s="853"/>
      <c r="J590" s="853"/>
      <c r="K590" s="853"/>
      <c r="M590" s="853"/>
      <c r="N590" s="853"/>
      <c r="O590" s="853"/>
    </row>
    <row r="591" spans="2:15" x14ac:dyDescent="0.25">
      <c r="B591" s="859" t="s">
        <v>1683</v>
      </c>
      <c r="C591" s="890" t="s">
        <v>1684</v>
      </c>
      <c r="D591" s="861" t="s">
        <v>727</v>
      </c>
      <c r="E591" s="865">
        <v>44192</v>
      </c>
      <c r="F591" s="866"/>
      <c r="G591" s="853"/>
      <c r="H591" s="853"/>
      <c r="I591" s="853"/>
      <c r="J591" s="853"/>
      <c r="K591" s="853"/>
      <c r="M591" s="853"/>
      <c r="N591" s="853"/>
      <c r="O591" s="853"/>
    </row>
    <row r="592" spans="2:15" x14ac:dyDescent="0.25">
      <c r="B592" s="859" t="s">
        <v>1685</v>
      </c>
      <c r="C592" s="890" t="s">
        <v>1686</v>
      </c>
      <c r="D592" s="861" t="s">
        <v>727</v>
      </c>
      <c r="E592" s="865">
        <v>46688</v>
      </c>
      <c r="F592" s="866"/>
      <c r="G592" s="853"/>
      <c r="H592" s="853"/>
      <c r="I592" s="853"/>
      <c r="J592" s="853"/>
      <c r="K592" s="853"/>
      <c r="M592" s="853"/>
      <c r="N592" s="853"/>
      <c r="O592" s="853"/>
    </row>
    <row r="593" spans="2:15" x14ac:dyDescent="0.25">
      <c r="B593" s="859" t="s">
        <v>1687</v>
      </c>
      <c r="C593" s="890" t="s">
        <v>1688</v>
      </c>
      <c r="D593" s="861" t="s">
        <v>727</v>
      </c>
      <c r="E593" s="865">
        <v>64717</v>
      </c>
      <c r="F593" s="866"/>
      <c r="G593" s="853"/>
      <c r="H593" s="853"/>
      <c r="I593" s="853"/>
      <c r="J593" s="853"/>
      <c r="K593" s="853"/>
      <c r="M593" s="853"/>
      <c r="N593" s="853"/>
      <c r="O593" s="853"/>
    </row>
    <row r="594" spans="2:15" x14ac:dyDescent="0.25">
      <c r="B594" s="859" t="s">
        <v>1689</v>
      </c>
      <c r="C594" s="890" t="s">
        <v>1690</v>
      </c>
      <c r="D594" s="861" t="s">
        <v>727</v>
      </c>
      <c r="E594" s="865">
        <v>74234</v>
      </c>
      <c r="F594" s="866"/>
      <c r="G594" s="853"/>
      <c r="H594" s="853"/>
      <c r="I594" s="853"/>
      <c r="J594" s="853"/>
      <c r="K594" s="853"/>
      <c r="M594" s="853"/>
      <c r="N594" s="853"/>
      <c r="O594" s="853"/>
    </row>
    <row r="595" spans="2:15" x14ac:dyDescent="0.25">
      <c r="B595" s="859" t="s">
        <v>1691</v>
      </c>
      <c r="C595" s="864" t="s">
        <v>1692</v>
      </c>
      <c r="D595" s="861"/>
      <c r="E595" s="862"/>
      <c r="F595" s="863"/>
      <c r="G595" s="853"/>
      <c r="H595" s="853"/>
      <c r="I595" s="853"/>
      <c r="J595" s="853"/>
      <c r="K595" s="853"/>
      <c r="M595" s="853"/>
      <c r="N595" s="853"/>
      <c r="O595" s="853"/>
    </row>
    <row r="596" spans="2:15" x14ac:dyDescent="0.25">
      <c r="B596" s="859" t="s">
        <v>1693</v>
      </c>
      <c r="C596" s="890" t="s">
        <v>1676</v>
      </c>
      <c r="D596" s="861" t="s">
        <v>727</v>
      </c>
      <c r="E596" s="865">
        <v>25507</v>
      </c>
      <c r="F596" s="866"/>
      <c r="G596" s="853"/>
      <c r="H596" s="853"/>
      <c r="I596" s="853"/>
      <c r="J596" s="853"/>
      <c r="K596" s="853"/>
      <c r="M596" s="853"/>
      <c r="N596" s="853"/>
      <c r="O596" s="853"/>
    </row>
    <row r="597" spans="2:15" x14ac:dyDescent="0.25">
      <c r="B597" s="859" t="s">
        <v>1694</v>
      </c>
      <c r="C597" s="890" t="s">
        <v>1678</v>
      </c>
      <c r="D597" s="861" t="s">
        <v>727</v>
      </c>
      <c r="E597" s="865">
        <v>30520</v>
      </c>
      <c r="F597" s="866"/>
      <c r="G597" s="853"/>
      <c r="H597" s="853"/>
      <c r="I597" s="853"/>
      <c r="J597" s="853"/>
      <c r="K597" s="853"/>
      <c r="M597" s="853"/>
      <c r="N597" s="853"/>
      <c r="O597" s="853"/>
    </row>
    <row r="598" spans="2:15" x14ac:dyDescent="0.25">
      <c r="B598" s="859" t="s">
        <v>1695</v>
      </c>
      <c r="C598" s="890" t="s">
        <v>1680</v>
      </c>
      <c r="D598" s="861" t="s">
        <v>727</v>
      </c>
      <c r="E598" s="865">
        <v>35995</v>
      </c>
      <c r="F598" s="866"/>
      <c r="G598" s="853"/>
      <c r="H598" s="853"/>
      <c r="I598" s="853"/>
      <c r="J598" s="853"/>
      <c r="K598" s="853"/>
      <c r="M598" s="853"/>
      <c r="N598" s="853"/>
      <c r="O598" s="853"/>
    </row>
    <row r="599" spans="2:15" x14ac:dyDescent="0.25">
      <c r="B599" s="859" t="s">
        <v>1696</v>
      </c>
      <c r="C599" s="890" t="s">
        <v>1682</v>
      </c>
      <c r="D599" s="861" t="s">
        <v>727</v>
      </c>
      <c r="E599" s="865">
        <v>35995</v>
      </c>
      <c r="F599" s="866"/>
      <c r="G599" s="853"/>
      <c r="H599" s="853"/>
      <c r="I599" s="853"/>
      <c r="J599" s="853"/>
      <c r="K599" s="853"/>
      <c r="M599" s="853"/>
      <c r="N599" s="853"/>
      <c r="O599" s="853"/>
    </row>
    <row r="600" spans="2:15" x14ac:dyDescent="0.25">
      <c r="B600" s="859" t="s">
        <v>1697</v>
      </c>
      <c r="C600" s="890" t="s">
        <v>1684</v>
      </c>
      <c r="D600" s="861" t="s">
        <v>727</v>
      </c>
      <c r="E600" s="865">
        <v>41609</v>
      </c>
      <c r="F600" s="866"/>
      <c r="G600" s="853"/>
      <c r="H600" s="853"/>
      <c r="I600" s="853"/>
      <c r="J600" s="853"/>
      <c r="K600" s="853"/>
      <c r="M600" s="853"/>
      <c r="N600" s="853"/>
      <c r="O600" s="853"/>
    </row>
    <row r="601" spans="2:15" x14ac:dyDescent="0.25">
      <c r="B601" s="859" t="s">
        <v>1698</v>
      </c>
      <c r="C601" s="890" t="s">
        <v>1686</v>
      </c>
      <c r="D601" s="861" t="s">
        <v>727</v>
      </c>
      <c r="E601" s="865">
        <v>47706</v>
      </c>
      <c r="F601" s="866"/>
      <c r="G601" s="853"/>
      <c r="H601" s="853"/>
      <c r="I601" s="853"/>
      <c r="J601" s="853"/>
      <c r="K601" s="853"/>
      <c r="M601" s="853"/>
      <c r="N601" s="853"/>
      <c r="O601" s="853"/>
    </row>
    <row r="602" spans="2:15" x14ac:dyDescent="0.25">
      <c r="B602" s="859" t="s">
        <v>1699</v>
      </c>
      <c r="C602" s="890" t="s">
        <v>1688</v>
      </c>
      <c r="D602" s="861" t="s">
        <v>727</v>
      </c>
      <c r="E602" s="865">
        <v>48977</v>
      </c>
      <c r="F602" s="866"/>
      <c r="G602" s="853"/>
      <c r="H602" s="853"/>
      <c r="I602" s="853"/>
      <c r="J602" s="853"/>
      <c r="K602" s="853"/>
      <c r="M602" s="853"/>
      <c r="N602" s="853"/>
      <c r="O602" s="853"/>
    </row>
    <row r="603" spans="2:15" x14ac:dyDescent="0.25">
      <c r="B603" s="859" t="s">
        <v>1700</v>
      </c>
      <c r="C603" s="890" t="s">
        <v>1690</v>
      </c>
      <c r="D603" s="861" t="s">
        <v>727</v>
      </c>
      <c r="E603" s="865">
        <v>73716</v>
      </c>
      <c r="F603" s="866"/>
      <c r="G603" s="853"/>
      <c r="H603" s="853"/>
      <c r="I603" s="853"/>
      <c r="J603" s="853"/>
      <c r="K603" s="853"/>
      <c r="M603" s="853"/>
      <c r="N603" s="853"/>
      <c r="O603" s="853"/>
    </row>
    <row r="604" spans="2:15" ht="31.5" x14ac:dyDescent="0.25">
      <c r="B604" s="859" t="s">
        <v>1701</v>
      </c>
      <c r="C604" s="864" t="s">
        <v>1702</v>
      </c>
      <c r="D604" s="861"/>
      <c r="E604" s="862"/>
      <c r="F604" s="863"/>
      <c r="G604" s="853"/>
      <c r="H604" s="853"/>
      <c r="I604" s="853"/>
      <c r="J604" s="853"/>
      <c r="K604" s="853"/>
      <c r="M604" s="853"/>
      <c r="N604" s="853"/>
      <c r="O604" s="853"/>
    </row>
    <row r="605" spans="2:15" x14ac:dyDescent="0.25">
      <c r="B605" s="859" t="s">
        <v>1703</v>
      </c>
      <c r="C605" s="890" t="s">
        <v>1704</v>
      </c>
      <c r="D605" s="861" t="s">
        <v>727</v>
      </c>
      <c r="E605" s="865">
        <v>1353</v>
      </c>
      <c r="F605" s="866"/>
      <c r="G605" s="853"/>
      <c r="H605" s="853"/>
      <c r="I605" s="853"/>
      <c r="J605" s="853"/>
      <c r="K605" s="853"/>
      <c r="M605" s="853"/>
      <c r="N605" s="853"/>
      <c r="O605" s="853"/>
    </row>
    <row r="606" spans="2:15" x14ac:dyDescent="0.25">
      <c r="B606" s="859" t="s">
        <v>1705</v>
      </c>
      <c r="C606" s="890" t="s">
        <v>1706</v>
      </c>
      <c r="D606" s="861" t="s">
        <v>727</v>
      </c>
      <c r="E606" s="865">
        <v>2028</v>
      </c>
      <c r="F606" s="866"/>
      <c r="G606" s="853"/>
      <c r="H606" s="853"/>
      <c r="I606" s="853"/>
      <c r="J606" s="853"/>
      <c r="K606" s="853"/>
      <c r="M606" s="853"/>
      <c r="N606" s="853"/>
      <c r="O606" s="853"/>
    </row>
    <row r="607" spans="2:15" x14ac:dyDescent="0.25">
      <c r="B607" s="859" t="s">
        <v>1707</v>
      </c>
      <c r="C607" s="890" t="s">
        <v>1708</v>
      </c>
      <c r="D607" s="861" t="s">
        <v>727</v>
      </c>
      <c r="E607" s="865">
        <v>4056</v>
      </c>
      <c r="F607" s="866"/>
      <c r="G607" s="853"/>
      <c r="H607" s="853"/>
      <c r="I607" s="853"/>
      <c r="J607" s="853"/>
      <c r="K607" s="853"/>
      <c r="M607" s="853"/>
      <c r="N607" s="853"/>
      <c r="O607" s="853"/>
    </row>
    <row r="608" spans="2:15" x14ac:dyDescent="0.25">
      <c r="B608" s="859" t="s">
        <v>1709</v>
      </c>
      <c r="C608" s="890" t="s">
        <v>1710</v>
      </c>
      <c r="D608" s="861" t="s">
        <v>727</v>
      </c>
      <c r="E608" s="865">
        <v>6178</v>
      </c>
      <c r="F608" s="866"/>
      <c r="G608" s="853"/>
      <c r="H608" s="853"/>
      <c r="I608" s="853"/>
      <c r="J608" s="853"/>
      <c r="K608" s="853"/>
      <c r="M608" s="853"/>
      <c r="N608" s="853"/>
      <c r="O608" s="853"/>
    </row>
    <row r="609" spans="2:15" x14ac:dyDescent="0.25">
      <c r="B609" s="859" t="s">
        <v>1711</v>
      </c>
      <c r="C609" s="864" t="s">
        <v>1712</v>
      </c>
      <c r="D609" s="861"/>
      <c r="E609" s="862"/>
      <c r="F609" s="863"/>
      <c r="G609" s="853"/>
      <c r="H609" s="853"/>
      <c r="I609" s="853"/>
      <c r="J609" s="853"/>
      <c r="K609" s="853"/>
      <c r="M609" s="853"/>
      <c r="N609" s="853"/>
      <c r="O609" s="853"/>
    </row>
    <row r="610" spans="2:15" x14ac:dyDescent="0.25">
      <c r="B610" s="859" t="s">
        <v>1713</v>
      </c>
      <c r="C610" s="890" t="s">
        <v>1714</v>
      </c>
      <c r="D610" s="861" t="s">
        <v>727</v>
      </c>
      <c r="E610" s="865">
        <v>355745</v>
      </c>
      <c r="F610" s="866"/>
      <c r="G610" s="853"/>
      <c r="H610" s="853"/>
      <c r="I610" s="853"/>
      <c r="J610" s="853"/>
      <c r="K610" s="853"/>
      <c r="M610" s="853"/>
      <c r="N610" s="853"/>
      <c r="O610" s="853"/>
    </row>
    <row r="611" spans="2:15" x14ac:dyDescent="0.25">
      <c r="B611" s="859" t="s">
        <v>1715</v>
      </c>
      <c r="C611" s="890" t="s">
        <v>1716</v>
      </c>
      <c r="D611" s="861" t="s">
        <v>727</v>
      </c>
      <c r="E611" s="865">
        <v>373814</v>
      </c>
      <c r="F611" s="866"/>
      <c r="G611" s="853"/>
      <c r="H611" s="853"/>
      <c r="I611" s="853"/>
      <c r="J611" s="853"/>
      <c r="K611" s="853"/>
      <c r="M611" s="853"/>
      <c r="N611" s="853"/>
      <c r="O611" s="853"/>
    </row>
    <row r="612" spans="2:15" x14ac:dyDescent="0.25">
      <c r="B612" s="859" t="s">
        <v>1717</v>
      </c>
      <c r="C612" s="864" t="s">
        <v>1718</v>
      </c>
      <c r="D612" s="861" t="s">
        <v>727</v>
      </c>
      <c r="E612" s="865">
        <v>21763</v>
      </c>
      <c r="F612" s="866"/>
      <c r="G612" s="853"/>
      <c r="H612" s="853"/>
      <c r="I612" s="853"/>
      <c r="J612" s="853"/>
      <c r="K612" s="853"/>
      <c r="M612" s="853"/>
      <c r="N612" s="853"/>
      <c r="O612" s="853"/>
    </row>
    <row r="613" spans="2:15" x14ac:dyDescent="0.25">
      <c r="B613" s="859" t="s">
        <v>1719</v>
      </c>
      <c r="C613" s="860" t="s">
        <v>1720</v>
      </c>
      <c r="D613" s="861"/>
      <c r="E613" s="862"/>
      <c r="F613" s="863"/>
      <c r="G613" s="853"/>
      <c r="H613" s="853"/>
      <c r="I613" s="853"/>
      <c r="J613" s="853"/>
      <c r="K613" s="853"/>
      <c r="M613" s="853"/>
      <c r="N613" s="853"/>
      <c r="O613" s="853"/>
    </row>
    <row r="614" spans="2:15" x14ac:dyDescent="0.25">
      <c r="B614" s="859" t="s">
        <v>1721</v>
      </c>
      <c r="C614" s="864" t="s">
        <v>1722</v>
      </c>
      <c r="D614" s="861"/>
      <c r="E614" s="862"/>
      <c r="F614" s="863"/>
      <c r="G614" s="853"/>
      <c r="H614" s="853"/>
      <c r="I614" s="853"/>
      <c r="J614" s="853"/>
      <c r="K614" s="853"/>
      <c r="M614" s="853"/>
      <c r="N614" s="853"/>
      <c r="O614" s="853"/>
    </row>
    <row r="615" spans="2:15" x14ac:dyDescent="0.25">
      <c r="B615" s="859" t="s">
        <v>1723</v>
      </c>
      <c r="C615" s="890" t="s">
        <v>1724</v>
      </c>
      <c r="D615" s="861" t="s">
        <v>727</v>
      </c>
      <c r="E615" s="865">
        <v>485967</v>
      </c>
      <c r="F615" s="866"/>
      <c r="G615" s="853"/>
      <c r="H615" s="853"/>
      <c r="I615" s="853"/>
      <c r="J615" s="853"/>
      <c r="K615" s="853"/>
      <c r="M615" s="853"/>
      <c r="N615" s="853"/>
      <c r="O615" s="853"/>
    </row>
    <row r="616" spans="2:15" x14ac:dyDescent="0.25">
      <c r="B616" s="859" t="s">
        <v>1725</v>
      </c>
      <c r="C616" s="890" t="s">
        <v>1726</v>
      </c>
      <c r="D616" s="861" t="s">
        <v>727</v>
      </c>
      <c r="E616" s="865">
        <v>629252</v>
      </c>
      <c r="F616" s="866"/>
      <c r="G616" s="853"/>
      <c r="H616" s="853"/>
      <c r="I616" s="853"/>
      <c r="J616" s="853"/>
      <c r="K616" s="853"/>
      <c r="M616" s="853"/>
      <c r="N616" s="853"/>
      <c r="O616" s="853"/>
    </row>
    <row r="617" spans="2:15" x14ac:dyDescent="0.25">
      <c r="B617" s="859" t="s">
        <v>1727</v>
      </c>
      <c r="C617" s="890" t="s">
        <v>1728</v>
      </c>
      <c r="D617" s="861" t="s">
        <v>727</v>
      </c>
      <c r="E617" s="865">
        <v>780213</v>
      </c>
      <c r="F617" s="866"/>
      <c r="G617" s="853"/>
      <c r="H617" s="853"/>
      <c r="I617" s="853"/>
      <c r="J617" s="853"/>
      <c r="K617" s="853"/>
      <c r="M617" s="853"/>
      <c r="N617" s="853"/>
      <c r="O617" s="853"/>
    </row>
    <row r="618" spans="2:15" x14ac:dyDescent="0.25">
      <c r="B618" s="859" t="s">
        <v>1729</v>
      </c>
      <c r="C618" s="890" t="s">
        <v>1730</v>
      </c>
      <c r="D618" s="861" t="s">
        <v>727</v>
      </c>
      <c r="E618" s="865">
        <v>1072099</v>
      </c>
      <c r="F618" s="866"/>
      <c r="G618" s="853"/>
      <c r="H618" s="853"/>
      <c r="I618" s="853"/>
      <c r="J618" s="853"/>
      <c r="K618" s="853"/>
      <c r="M618" s="853"/>
      <c r="N618" s="853"/>
      <c r="O618" s="853"/>
    </row>
    <row r="619" spans="2:15" x14ac:dyDescent="0.25">
      <c r="B619" s="859" t="s">
        <v>1731</v>
      </c>
      <c r="C619" s="890" t="s">
        <v>1732</v>
      </c>
      <c r="D619" s="861" t="s">
        <v>727</v>
      </c>
      <c r="E619" s="865">
        <v>1313787</v>
      </c>
      <c r="F619" s="866"/>
      <c r="G619" s="853"/>
      <c r="H619" s="853"/>
      <c r="I619" s="853"/>
      <c r="J619" s="853"/>
      <c r="K619" s="853"/>
      <c r="M619" s="853"/>
      <c r="N619" s="853"/>
      <c r="O619" s="853"/>
    </row>
    <row r="620" spans="2:15" x14ac:dyDescent="0.25">
      <c r="B620" s="859" t="s">
        <v>1733</v>
      </c>
      <c r="C620" s="890" t="s">
        <v>1734</v>
      </c>
      <c r="D620" s="861" t="s">
        <v>727</v>
      </c>
      <c r="E620" s="865">
        <v>1592721</v>
      </c>
      <c r="F620" s="866"/>
      <c r="G620" s="853"/>
      <c r="H620" s="853"/>
      <c r="I620" s="853"/>
      <c r="J620" s="853"/>
      <c r="K620" s="853"/>
      <c r="M620" s="853"/>
      <c r="N620" s="853"/>
      <c r="O620" s="853"/>
    </row>
    <row r="621" spans="2:15" x14ac:dyDescent="0.25">
      <c r="B621" s="859" t="s">
        <v>1735</v>
      </c>
      <c r="C621" s="890" t="s">
        <v>1736</v>
      </c>
      <c r="D621" s="861" t="s">
        <v>727</v>
      </c>
      <c r="E621" s="865">
        <v>1822598</v>
      </c>
      <c r="F621" s="866"/>
      <c r="G621" s="853"/>
      <c r="H621" s="853"/>
      <c r="I621" s="853"/>
      <c r="J621" s="853"/>
      <c r="K621" s="853"/>
      <c r="M621" s="853"/>
      <c r="N621" s="853"/>
      <c r="O621" s="853"/>
    </row>
    <row r="622" spans="2:15" x14ac:dyDescent="0.25">
      <c r="B622" s="859" t="s">
        <v>1737</v>
      </c>
      <c r="C622" s="890" t="s">
        <v>1738</v>
      </c>
      <c r="D622" s="861" t="s">
        <v>727</v>
      </c>
      <c r="E622" s="865">
        <v>2274034</v>
      </c>
      <c r="F622" s="866"/>
      <c r="G622" s="853"/>
      <c r="H622" s="853"/>
      <c r="I622" s="853"/>
      <c r="J622" s="853"/>
      <c r="K622" s="853"/>
      <c r="M622" s="853"/>
      <c r="N622" s="853"/>
      <c r="O622" s="853"/>
    </row>
    <row r="623" spans="2:15" x14ac:dyDescent="0.25">
      <c r="B623" s="859" t="s">
        <v>1739</v>
      </c>
      <c r="C623" s="890" t="s">
        <v>1740</v>
      </c>
      <c r="D623" s="861" t="s">
        <v>727</v>
      </c>
      <c r="E623" s="865">
        <v>2696045</v>
      </c>
      <c r="F623" s="866"/>
      <c r="G623" s="853"/>
      <c r="H623" s="853"/>
      <c r="I623" s="853"/>
      <c r="J623" s="853"/>
      <c r="K623" s="853"/>
      <c r="M623" s="853"/>
      <c r="N623" s="853"/>
      <c r="O623" s="853"/>
    </row>
    <row r="624" spans="2:15" x14ac:dyDescent="0.25">
      <c r="B624" s="859" t="s">
        <v>1741</v>
      </c>
      <c r="C624" s="890" t="s">
        <v>1742</v>
      </c>
      <c r="D624" s="861" t="s">
        <v>727</v>
      </c>
      <c r="E624" s="865">
        <v>2928913</v>
      </c>
      <c r="F624" s="866"/>
      <c r="G624" s="853"/>
      <c r="H624" s="853"/>
      <c r="I624" s="853"/>
      <c r="J624" s="853"/>
      <c r="K624" s="853"/>
      <c r="M624" s="853"/>
      <c r="N624" s="853"/>
      <c r="O624" s="853"/>
    </row>
    <row r="625" spans="2:15" x14ac:dyDescent="0.25">
      <c r="B625" s="859" t="s">
        <v>1743</v>
      </c>
      <c r="C625" s="860" t="s">
        <v>1744</v>
      </c>
      <c r="D625" s="861"/>
      <c r="E625" s="862"/>
      <c r="F625" s="863"/>
      <c r="G625" s="853"/>
      <c r="H625" s="853"/>
      <c r="I625" s="853"/>
      <c r="J625" s="853"/>
      <c r="K625" s="853"/>
      <c r="M625" s="853"/>
      <c r="N625" s="853"/>
      <c r="O625" s="853"/>
    </row>
    <row r="626" spans="2:15" x14ac:dyDescent="0.25">
      <c r="B626" s="859" t="s">
        <v>1745</v>
      </c>
      <c r="C626" s="864" t="s">
        <v>1744</v>
      </c>
      <c r="D626" s="861"/>
      <c r="E626" s="862"/>
      <c r="F626" s="863"/>
      <c r="G626" s="853"/>
      <c r="H626" s="853"/>
      <c r="I626" s="853"/>
      <c r="J626" s="853"/>
      <c r="K626" s="853"/>
      <c r="M626" s="853"/>
      <c r="N626" s="853"/>
      <c r="O626" s="853"/>
    </row>
    <row r="627" spans="2:15" x14ac:dyDescent="0.25">
      <c r="B627" s="859" t="s">
        <v>1746</v>
      </c>
      <c r="C627" s="890" t="s">
        <v>1747</v>
      </c>
      <c r="D627" s="861" t="s">
        <v>727</v>
      </c>
      <c r="E627" s="865">
        <v>293193</v>
      </c>
      <c r="F627" s="866"/>
      <c r="G627" s="853"/>
      <c r="H627" s="853"/>
      <c r="I627" s="853"/>
      <c r="J627" s="853"/>
      <c r="K627" s="853"/>
      <c r="M627" s="853"/>
      <c r="N627" s="853"/>
      <c r="O627" s="853"/>
    </row>
    <row r="628" spans="2:15" x14ac:dyDescent="0.25">
      <c r="B628" s="859" t="s">
        <v>1748</v>
      </c>
      <c r="C628" s="890" t="s">
        <v>1749</v>
      </c>
      <c r="D628" s="861" t="s">
        <v>727</v>
      </c>
      <c r="E628" s="865">
        <v>345691</v>
      </c>
      <c r="F628" s="866"/>
      <c r="G628" s="853"/>
      <c r="H628" s="853"/>
      <c r="I628" s="853"/>
      <c r="J628" s="853"/>
      <c r="K628" s="853"/>
      <c r="M628" s="853"/>
      <c r="N628" s="853"/>
      <c r="O628" s="853"/>
    </row>
    <row r="629" spans="2:15" x14ac:dyDescent="0.25">
      <c r="B629" s="859" t="s">
        <v>1750</v>
      </c>
      <c r="C629" s="890" t="s">
        <v>1751</v>
      </c>
      <c r="D629" s="861" t="s">
        <v>727</v>
      </c>
      <c r="E629" s="865">
        <v>530439</v>
      </c>
      <c r="F629" s="866"/>
      <c r="G629" s="853"/>
      <c r="H629" s="853"/>
      <c r="I629" s="853"/>
      <c r="J629" s="853"/>
      <c r="K629" s="853"/>
      <c r="M629" s="853"/>
      <c r="N629" s="853"/>
      <c r="O629" s="853"/>
    </row>
    <row r="630" spans="2:15" x14ac:dyDescent="0.25">
      <c r="B630" s="859" t="s">
        <v>1752</v>
      </c>
      <c r="C630" s="890" t="s">
        <v>1753</v>
      </c>
      <c r="D630" s="861" t="s">
        <v>727</v>
      </c>
      <c r="E630" s="865">
        <v>709177</v>
      </c>
      <c r="F630" s="866"/>
      <c r="G630" s="853"/>
      <c r="H630" s="853"/>
      <c r="I630" s="853"/>
      <c r="J630" s="853"/>
      <c r="K630" s="853"/>
      <c r="M630" s="853"/>
      <c r="N630" s="853"/>
      <c r="O630" s="853"/>
    </row>
    <row r="631" spans="2:15" x14ac:dyDescent="0.25">
      <c r="B631" s="859" t="s">
        <v>1754</v>
      </c>
      <c r="C631" s="890" t="s">
        <v>1755</v>
      </c>
      <c r="D631" s="861" t="s">
        <v>727</v>
      </c>
      <c r="E631" s="865">
        <v>1182510</v>
      </c>
      <c r="F631" s="866"/>
      <c r="G631" s="853"/>
      <c r="H631" s="853"/>
      <c r="I631" s="853"/>
      <c r="J631" s="853"/>
      <c r="K631" s="853"/>
      <c r="M631" s="853"/>
      <c r="N631" s="853"/>
      <c r="O631" s="853"/>
    </row>
    <row r="632" spans="2:15" x14ac:dyDescent="0.25">
      <c r="B632" s="859" t="s">
        <v>1756</v>
      </c>
      <c r="C632" s="891" t="s">
        <v>1757</v>
      </c>
      <c r="D632" s="861"/>
      <c r="E632" s="862"/>
      <c r="F632" s="863"/>
      <c r="G632" s="853"/>
      <c r="H632" s="853"/>
      <c r="I632" s="853"/>
      <c r="J632" s="853"/>
      <c r="K632" s="853"/>
      <c r="M632" s="853"/>
      <c r="N632" s="853"/>
      <c r="O632" s="853"/>
    </row>
    <row r="633" spans="2:15" x14ac:dyDescent="0.25">
      <c r="B633" s="859" t="s">
        <v>1758</v>
      </c>
      <c r="C633" s="864" t="s">
        <v>1759</v>
      </c>
      <c r="D633" s="861"/>
      <c r="E633" s="862"/>
      <c r="F633" s="863"/>
      <c r="G633" s="853"/>
      <c r="H633" s="853"/>
      <c r="I633" s="853"/>
      <c r="J633" s="853"/>
      <c r="K633" s="853"/>
      <c r="M633" s="853"/>
      <c r="N633" s="853"/>
      <c r="O633" s="853"/>
    </row>
    <row r="634" spans="2:15" x14ac:dyDescent="0.25">
      <c r="B634" s="859" t="s">
        <v>1760</v>
      </c>
      <c r="C634" s="890" t="s">
        <v>1761</v>
      </c>
      <c r="D634" s="861" t="s">
        <v>727</v>
      </c>
      <c r="E634" s="865">
        <v>264265</v>
      </c>
      <c r="F634" s="866"/>
      <c r="G634" s="853"/>
      <c r="H634" s="853"/>
      <c r="I634" s="853"/>
      <c r="J634" s="853"/>
      <c r="K634" s="853"/>
      <c r="M634" s="853"/>
      <c r="N634" s="853"/>
      <c r="O634" s="853"/>
    </row>
    <row r="635" spans="2:15" x14ac:dyDescent="0.25">
      <c r="B635" s="859" t="s">
        <v>1762</v>
      </c>
      <c r="C635" s="890" t="s">
        <v>1763</v>
      </c>
      <c r="D635" s="861" t="s">
        <v>727</v>
      </c>
      <c r="E635" s="865">
        <v>419715</v>
      </c>
      <c r="F635" s="866"/>
      <c r="G635" s="853"/>
      <c r="H635" s="853"/>
      <c r="I635" s="853"/>
      <c r="J635" s="853"/>
      <c r="K635" s="853"/>
      <c r="M635" s="853"/>
      <c r="N635" s="853"/>
      <c r="O635" s="853"/>
    </row>
    <row r="636" spans="2:15" x14ac:dyDescent="0.25">
      <c r="B636" s="859" t="s">
        <v>1764</v>
      </c>
      <c r="C636" s="890" t="s">
        <v>1765</v>
      </c>
      <c r="D636" s="861" t="s">
        <v>727</v>
      </c>
      <c r="E636" s="865">
        <v>730615</v>
      </c>
      <c r="F636" s="866"/>
      <c r="G636" s="853"/>
      <c r="H636" s="853"/>
      <c r="I636" s="853"/>
      <c r="J636" s="853"/>
      <c r="K636" s="853"/>
      <c r="M636" s="853"/>
      <c r="N636" s="853"/>
      <c r="O636" s="853"/>
    </row>
    <row r="637" spans="2:15" x14ac:dyDescent="0.25">
      <c r="B637" s="859" t="s">
        <v>1766</v>
      </c>
      <c r="C637" s="890" t="s">
        <v>1767</v>
      </c>
      <c r="D637" s="861" t="s">
        <v>727</v>
      </c>
      <c r="E637" s="865">
        <v>1025970</v>
      </c>
      <c r="F637" s="866"/>
      <c r="G637" s="853"/>
      <c r="H637" s="853"/>
      <c r="I637" s="853"/>
      <c r="J637" s="853"/>
      <c r="K637" s="853"/>
      <c r="M637" s="853"/>
      <c r="N637" s="853"/>
      <c r="O637" s="853"/>
    </row>
    <row r="638" spans="2:15" x14ac:dyDescent="0.25">
      <c r="B638" s="859" t="s">
        <v>1768</v>
      </c>
      <c r="C638" s="864" t="s">
        <v>1769</v>
      </c>
      <c r="D638" s="861"/>
      <c r="E638" s="862"/>
      <c r="F638" s="863"/>
      <c r="G638" s="853"/>
      <c r="H638" s="853"/>
      <c r="I638" s="853"/>
      <c r="J638" s="853"/>
      <c r="K638" s="853"/>
      <c r="M638" s="853"/>
      <c r="N638" s="853"/>
      <c r="O638" s="853"/>
    </row>
    <row r="639" spans="2:15" x14ac:dyDescent="0.25">
      <c r="B639" s="859" t="s">
        <v>1770</v>
      </c>
      <c r="C639" s="890" t="s">
        <v>1761</v>
      </c>
      <c r="D639" s="861" t="s">
        <v>727</v>
      </c>
      <c r="E639" s="865">
        <v>295355</v>
      </c>
      <c r="F639" s="866"/>
      <c r="G639" s="853"/>
      <c r="H639" s="853"/>
      <c r="I639" s="853"/>
      <c r="J639" s="853"/>
      <c r="K639" s="853"/>
      <c r="M639" s="853"/>
      <c r="N639" s="853"/>
      <c r="O639" s="853"/>
    </row>
    <row r="640" spans="2:15" x14ac:dyDescent="0.25">
      <c r="B640" s="859" t="s">
        <v>1771</v>
      </c>
      <c r="C640" s="890" t="s">
        <v>1763</v>
      </c>
      <c r="D640" s="861" t="s">
        <v>727</v>
      </c>
      <c r="E640" s="865">
        <v>450805</v>
      </c>
      <c r="F640" s="866"/>
      <c r="G640" s="853"/>
      <c r="H640" s="853"/>
      <c r="I640" s="853"/>
      <c r="J640" s="853"/>
      <c r="K640" s="853"/>
      <c r="M640" s="853"/>
      <c r="N640" s="853"/>
      <c r="O640" s="853"/>
    </row>
    <row r="641" spans="2:15" x14ac:dyDescent="0.25">
      <c r="B641" s="859" t="s">
        <v>1772</v>
      </c>
      <c r="C641" s="890" t="s">
        <v>1765</v>
      </c>
      <c r="D641" s="861" t="s">
        <v>727</v>
      </c>
      <c r="E641" s="865">
        <v>761705</v>
      </c>
      <c r="F641" s="866"/>
      <c r="G641" s="853"/>
      <c r="H641" s="853"/>
      <c r="I641" s="853"/>
      <c r="J641" s="853"/>
      <c r="K641" s="853"/>
      <c r="M641" s="853"/>
      <c r="N641" s="853"/>
      <c r="O641" s="853"/>
    </row>
    <row r="642" spans="2:15" x14ac:dyDescent="0.25">
      <c r="B642" s="859" t="s">
        <v>1773</v>
      </c>
      <c r="C642" s="890" t="s">
        <v>1767</v>
      </c>
      <c r="D642" s="861" t="s">
        <v>727</v>
      </c>
      <c r="E642" s="865">
        <v>1072605</v>
      </c>
      <c r="F642" s="866"/>
      <c r="G642" s="853"/>
      <c r="H642" s="853"/>
      <c r="I642" s="853"/>
      <c r="J642" s="853"/>
      <c r="K642" s="853"/>
      <c r="M642" s="853"/>
      <c r="N642" s="853"/>
      <c r="O642" s="853"/>
    </row>
    <row r="643" spans="2:15" ht="31.5" x14ac:dyDescent="0.25">
      <c r="B643" s="859" t="s">
        <v>1774</v>
      </c>
      <c r="C643" s="864" t="s">
        <v>1775</v>
      </c>
      <c r="D643" s="861"/>
      <c r="E643" s="862"/>
      <c r="F643" s="863"/>
      <c r="G643" s="853"/>
      <c r="H643" s="853"/>
      <c r="I643" s="853"/>
      <c r="J643" s="853"/>
      <c r="K643" s="853"/>
      <c r="M643" s="853"/>
      <c r="N643" s="853"/>
      <c r="O643" s="853"/>
    </row>
    <row r="644" spans="2:15" x14ac:dyDescent="0.25">
      <c r="B644" s="859" t="s">
        <v>1776</v>
      </c>
      <c r="C644" s="890" t="s">
        <v>1777</v>
      </c>
      <c r="D644" s="861" t="s">
        <v>727</v>
      </c>
      <c r="E644" s="865">
        <v>241288</v>
      </c>
      <c r="F644" s="866"/>
      <c r="G644" s="853"/>
      <c r="H644" s="853"/>
      <c r="I644" s="853"/>
      <c r="J644" s="853"/>
      <c r="K644" s="853"/>
      <c r="M644" s="853"/>
      <c r="N644" s="853"/>
      <c r="O644" s="853"/>
    </row>
    <row r="645" spans="2:15" x14ac:dyDescent="0.25">
      <c r="B645" s="859" t="s">
        <v>1778</v>
      </c>
      <c r="C645" s="890" t="s">
        <v>1779</v>
      </c>
      <c r="D645" s="861" t="s">
        <v>727</v>
      </c>
      <c r="E645" s="865">
        <v>336549</v>
      </c>
      <c r="F645" s="866"/>
      <c r="G645" s="853"/>
      <c r="H645" s="853"/>
      <c r="I645" s="853"/>
      <c r="J645" s="853"/>
      <c r="K645" s="853"/>
      <c r="M645" s="853"/>
      <c r="N645" s="853"/>
      <c r="O645" s="853"/>
    </row>
    <row r="646" spans="2:15" x14ac:dyDescent="0.25">
      <c r="B646" s="859" t="s">
        <v>1780</v>
      </c>
      <c r="C646" s="864" t="s">
        <v>1781</v>
      </c>
      <c r="D646" s="861"/>
      <c r="E646" s="862"/>
      <c r="F646" s="863"/>
      <c r="G646" s="853"/>
      <c r="H646" s="853"/>
      <c r="I646" s="853"/>
      <c r="J646" s="853"/>
      <c r="K646" s="853"/>
      <c r="M646" s="853"/>
      <c r="N646" s="853"/>
      <c r="O646" s="853"/>
    </row>
    <row r="647" spans="2:15" x14ac:dyDescent="0.25">
      <c r="B647" s="859" t="s">
        <v>1782</v>
      </c>
      <c r="C647" s="890" t="s">
        <v>1783</v>
      </c>
      <c r="D647" s="861" t="s">
        <v>727</v>
      </c>
      <c r="E647" s="865">
        <v>233175</v>
      </c>
      <c r="F647" s="866"/>
      <c r="G647" s="853"/>
      <c r="H647" s="853"/>
      <c r="I647" s="853"/>
      <c r="J647" s="853"/>
      <c r="K647" s="853"/>
      <c r="M647" s="853"/>
      <c r="N647" s="853"/>
      <c r="O647" s="853"/>
    </row>
    <row r="648" spans="2:15" x14ac:dyDescent="0.25">
      <c r="B648" s="859" t="s">
        <v>1784</v>
      </c>
      <c r="C648" s="890" t="s">
        <v>1785</v>
      </c>
      <c r="D648" s="861" t="s">
        <v>727</v>
      </c>
      <c r="E648" s="865">
        <v>310900</v>
      </c>
      <c r="F648" s="866"/>
      <c r="G648" s="853"/>
      <c r="H648" s="853"/>
      <c r="I648" s="853"/>
      <c r="J648" s="853"/>
      <c r="K648" s="853"/>
      <c r="M648" s="853"/>
      <c r="N648" s="853"/>
      <c r="O648" s="853"/>
    </row>
    <row r="649" spans="2:15" x14ac:dyDescent="0.25">
      <c r="B649" s="859" t="s">
        <v>1786</v>
      </c>
      <c r="C649" s="890" t="s">
        <v>1761</v>
      </c>
      <c r="D649" s="861" t="s">
        <v>727</v>
      </c>
      <c r="E649" s="865">
        <v>404170</v>
      </c>
      <c r="F649" s="866"/>
      <c r="G649" s="853"/>
      <c r="H649" s="853"/>
      <c r="I649" s="853"/>
      <c r="J649" s="853"/>
      <c r="K649" s="853"/>
      <c r="M649" s="853"/>
      <c r="N649" s="853"/>
      <c r="O649" s="853"/>
    </row>
    <row r="650" spans="2:15" x14ac:dyDescent="0.25">
      <c r="B650" s="859" t="s">
        <v>1787</v>
      </c>
      <c r="C650" s="864" t="s">
        <v>1788</v>
      </c>
      <c r="D650" s="861"/>
      <c r="E650" s="862"/>
      <c r="F650" s="863"/>
      <c r="G650" s="853"/>
      <c r="H650" s="853"/>
      <c r="I650" s="853"/>
      <c r="J650" s="853"/>
      <c r="K650" s="853"/>
      <c r="M650" s="853"/>
      <c r="N650" s="853"/>
      <c r="O650" s="853"/>
    </row>
    <row r="651" spans="2:15" x14ac:dyDescent="0.25">
      <c r="B651" s="859" t="s">
        <v>1789</v>
      </c>
      <c r="C651" s="890" t="s">
        <v>1761</v>
      </c>
      <c r="D651" s="861" t="s">
        <v>727</v>
      </c>
      <c r="E651" s="865">
        <v>388625</v>
      </c>
      <c r="F651" s="866"/>
      <c r="G651" s="853"/>
      <c r="H651" s="853"/>
      <c r="I651" s="853"/>
      <c r="J651" s="853"/>
      <c r="K651" s="853"/>
      <c r="M651" s="853"/>
      <c r="N651" s="853"/>
      <c r="O651" s="853"/>
    </row>
    <row r="652" spans="2:15" x14ac:dyDescent="0.25">
      <c r="B652" s="859" t="s">
        <v>1790</v>
      </c>
      <c r="C652" s="890" t="s">
        <v>1763</v>
      </c>
      <c r="D652" s="861" t="s">
        <v>727</v>
      </c>
      <c r="E652" s="865">
        <v>544075</v>
      </c>
      <c r="F652" s="866"/>
      <c r="G652" s="853"/>
      <c r="H652" s="853"/>
      <c r="I652" s="853"/>
      <c r="J652" s="853"/>
      <c r="K652" s="853"/>
      <c r="M652" s="853"/>
      <c r="N652" s="853"/>
      <c r="O652" s="853"/>
    </row>
    <row r="653" spans="2:15" x14ac:dyDescent="0.25">
      <c r="B653" s="859" t="s">
        <v>1791</v>
      </c>
      <c r="C653" s="890" t="s">
        <v>1765</v>
      </c>
      <c r="D653" s="861" t="s">
        <v>727</v>
      </c>
      <c r="E653" s="865">
        <v>917155</v>
      </c>
      <c r="F653" s="866"/>
      <c r="G653" s="853"/>
      <c r="H653" s="853"/>
      <c r="I653" s="853"/>
      <c r="J653" s="853"/>
      <c r="K653" s="853"/>
      <c r="M653" s="853"/>
      <c r="N653" s="853"/>
      <c r="O653" s="853"/>
    </row>
    <row r="654" spans="2:15" x14ac:dyDescent="0.25">
      <c r="B654" s="859" t="s">
        <v>1792</v>
      </c>
      <c r="C654" s="864" t="s">
        <v>1793</v>
      </c>
      <c r="D654" s="861"/>
      <c r="E654" s="862"/>
      <c r="F654" s="863"/>
      <c r="G654" s="853"/>
      <c r="H654" s="853"/>
      <c r="I654" s="853"/>
      <c r="J654" s="853"/>
      <c r="K654" s="853"/>
      <c r="M654" s="853"/>
      <c r="N654" s="853"/>
      <c r="O654" s="853"/>
    </row>
    <row r="655" spans="2:15" x14ac:dyDescent="0.25">
      <c r="B655" s="859" t="s">
        <v>1794</v>
      </c>
      <c r="C655" s="890" t="s">
        <v>1783</v>
      </c>
      <c r="D655" s="861" t="s">
        <v>727</v>
      </c>
      <c r="E655" s="865">
        <v>139905</v>
      </c>
      <c r="F655" s="866"/>
      <c r="G655" s="853"/>
      <c r="H655" s="853"/>
      <c r="I655" s="853"/>
      <c r="J655" s="853"/>
      <c r="K655" s="853"/>
      <c r="M655" s="853"/>
      <c r="N655" s="853"/>
      <c r="O655" s="853"/>
    </row>
    <row r="656" spans="2:15" x14ac:dyDescent="0.25">
      <c r="B656" s="859" t="s">
        <v>1795</v>
      </c>
      <c r="C656" s="890" t="s">
        <v>1761</v>
      </c>
      <c r="D656" s="861" t="s">
        <v>727</v>
      </c>
      <c r="E656" s="865">
        <v>186540</v>
      </c>
      <c r="F656" s="866"/>
      <c r="G656" s="853"/>
      <c r="H656" s="853"/>
      <c r="I656" s="853"/>
      <c r="J656" s="853"/>
      <c r="K656" s="853"/>
      <c r="M656" s="853"/>
      <c r="N656" s="853"/>
      <c r="O656" s="853"/>
    </row>
    <row r="657" spans="2:15" x14ac:dyDescent="0.25">
      <c r="B657" s="859" t="s">
        <v>1796</v>
      </c>
      <c r="C657" s="890" t="s">
        <v>1763</v>
      </c>
      <c r="D657" s="861" t="s">
        <v>727</v>
      </c>
      <c r="E657" s="865">
        <v>279810</v>
      </c>
      <c r="F657" s="866"/>
      <c r="G657" s="853"/>
      <c r="H657" s="853"/>
      <c r="I657" s="853"/>
      <c r="J657" s="853"/>
      <c r="K657" s="853"/>
      <c r="M657" s="853"/>
      <c r="N657" s="853"/>
      <c r="O657" s="853"/>
    </row>
    <row r="658" spans="2:15" x14ac:dyDescent="0.25">
      <c r="B658" s="859" t="s">
        <v>1797</v>
      </c>
      <c r="C658" s="890" t="s">
        <v>1765</v>
      </c>
      <c r="D658" s="861" t="s">
        <v>727</v>
      </c>
      <c r="E658" s="865">
        <v>466350</v>
      </c>
      <c r="F658" s="866"/>
      <c r="G658" s="853"/>
      <c r="H658" s="853"/>
      <c r="I658" s="853"/>
      <c r="J658" s="853"/>
      <c r="K658" s="853"/>
      <c r="M658" s="853"/>
      <c r="N658" s="853"/>
      <c r="O658" s="853"/>
    </row>
    <row r="659" spans="2:15" x14ac:dyDescent="0.25">
      <c r="B659" s="859" t="s">
        <v>1798</v>
      </c>
      <c r="C659" s="860" t="s">
        <v>1799</v>
      </c>
      <c r="D659" s="861"/>
      <c r="E659" s="862"/>
      <c r="F659" s="863"/>
      <c r="G659" s="853"/>
      <c r="H659" s="853"/>
      <c r="I659" s="853"/>
      <c r="J659" s="853"/>
      <c r="K659" s="853"/>
      <c r="M659" s="853"/>
      <c r="N659" s="853"/>
      <c r="O659" s="853"/>
    </row>
    <row r="660" spans="2:15" ht="31.5" x14ac:dyDescent="0.25">
      <c r="B660" s="859" t="s">
        <v>1800</v>
      </c>
      <c r="C660" s="864" t="s">
        <v>1801</v>
      </c>
      <c r="D660" s="861"/>
      <c r="E660" s="862"/>
      <c r="F660" s="863"/>
      <c r="G660" s="853"/>
      <c r="H660" s="853"/>
      <c r="I660" s="853"/>
      <c r="J660" s="853"/>
      <c r="K660" s="853"/>
      <c r="M660" s="853"/>
      <c r="N660" s="853"/>
      <c r="O660" s="853"/>
    </row>
    <row r="661" spans="2:15" x14ac:dyDescent="0.25">
      <c r="B661" s="859" t="s">
        <v>1802</v>
      </c>
      <c r="C661" s="890" t="s">
        <v>1803</v>
      </c>
      <c r="D661" s="861" t="s">
        <v>950</v>
      </c>
      <c r="E661" s="865">
        <v>18393</v>
      </c>
      <c r="F661" s="866"/>
      <c r="G661" s="853"/>
      <c r="H661" s="853"/>
      <c r="I661" s="853"/>
      <c r="J661" s="853"/>
      <c r="K661" s="853"/>
      <c r="M661" s="853"/>
      <c r="N661" s="853"/>
      <c r="O661" s="853"/>
    </row>
    <row r="662" spans="2:15" x14ac:dyDescent="0.25">
      <c r="B662" s="859" t="s">
        <v>1804</v>
      </c>
      <c r="C662" s="890" t="s">
        <v>1805</v>
      </c>
      <c r="D662" s="861" t="s">
        <v>950</v>
      </c>
      <c r="E662" s="865">
        <v>21693</v>
      </c>
      <c r="F662" s="866"/>
      <c r="G662" s="853"/>
      <c r="H662" s="853"/>
      <c r="I662" s="853"/>
      <c r="J662" s="853"/>
      <c r="K662" s="853"/>
      <c r="M662" s="853"/>
      <c r="N662" s="853"/>
      <c r="O662" s="853"/>
    </row>
    <row r="663" spans="2:15" x14ac:dyDescent="0.25">
      <c r="B663" s="859" t="s">
        <v>1806</v>
      </c>
      <c r="C663" s="890" t="s">
        <v>1807</v>
      </c>
      <c r="D663" s="861" t="s">
        <v>950</v>
      </c>
      <c r="E663" s="865">
        <v>25411</v>
      </c>
      <c r="F663" s="866"/>
      <c r="G663" s="853"/>
      <c r="H663" s="853"/>
      <c r="I663" s="853"/>
      <c r="J663" s="853"/>
      <c r="K663" s="853"/>
      <c r="M663" s="853"/>
      <c r="N663" s="853"/>
      <c r="O663" s="853"/>
    </row>
    <row r="664" spans="2:15" x14ac:dyDescent="0.25">
      <c r="B664" s="859" t="s">
        <v>1808</v>
      </c>
      <c r="C664" s="890" t="s">
        <v>1809</v>
      </c>
      <c r="D664" s="861" t="s">
        <v>950</v>
      </c>
      <c r="E664" s="865">
        <v>26157</v>
      </c>
      <c r="F664" s="866"/>
      <c r="G664" s="853"/>
      <c r="H664" s="853"/>
      <c r="I664" s="853"/>
      <c r="J664" s="853"/>
      <c r="K664" s="853"/>
      <c r="M664" s="853"/>
      <c r="N664" s="853"/>
      <c r="O664" s="853"/>
    </row>
    <row r="665" spans="2:15" ht="31.5" x14ac:dyDescent="0.25">
      <c r="B665" s="859" t="s">
        <v>1810</v>
      </c>
      <c r="C665" s="864" t="s">
        <v>1811</v>
      </c>
      <c r="D665" s="861"/>
      <c r="E665" s="862"/>
      <c r="F665" s="863"/>
      <c r="G665" s="853"/>
      <c r="H665" s="853"/>
      <c r="I665" s="853"/>
      <c r="J665" s="853"/>
      <c r="K665" s="853"/>
      <c r="M665" s="853"/>
      <c r="N665" s="853"/>
      <c r="O665" s="853"/>
    </row>
    <row r="666" spans="2:15" x14ac:dyDescent="0.25">
      <c r="B666" s="859" t="s">
        <v>1812</v>
      </c>
      <c r="C666" s="890" t="s">
        <v>1813</v>
      </c>
      <c r="D666" s="861" t="s">
        <v>950</v>
      </c>
      <c r="E666" s="865">
        <v>91200</v>
      </c>
      <c r="F666" s="866"/>
      <c r="G666" s="853"/>
      <c r="H666" s="853"/>
      <c r="I666" s="853"/>
      <c r="J666" s="853"/>
      <c r="K666" s="853"/>
      <c r="M666" s="853"/>
      <c r="N666" s="853"/>
      <c r="O666" s="853"/>
    </row>
    <row r="667" spans="2:15" x14ac:dyDescent="0.25">
      <c r="B667" s="859" t="s">
        <v>1814</v>
      </c>
      <c r="C667" s="890" t="s">
        <v>1815</v>
      </c>
      <c r="D667" s="861" t="s">
        <v>950</v>
      </c>
      <c r="E667" s="865">
        <v>170329</v>
      </c>
      <c r="F667" s="866"/>
      <c r="G667" s="853"/>
      <c r="H667" s="853"/>
      <c r="I667" s="853"/>
      <c r="J667" s="853"/>
      <c r="K667" s="853"/>
      <c r="M667" s="853"/>
      <c r="N667" s="853"/>
      <c r="O667" s="853"/>
    </row>
    <row r="668" spans="2:15" ht="31.5" x14ac:dyDescent="0.25">
      <c r="B668" s="859" t="s">
        <v>1816</v>
      </c>
      <c r="C668" s="864" t="s">
        <v>1817</v>
      </c>
      <c r="D668" s="861"/>
      <c r="E668" s="862"/>
      <c r="F668" s="863"/>
      <c r="G668" s="853"/>
      <c r="H668" s="853"/>
      <c r="I668" s="853"/>
      <c r="J668" s="853"/>
      <c r="K668" s="853"/>
      <c r="M668" s="853"/>
      <c r="N668" s="853"/>
      <c r="O668" s="853"/>
    </row>
    <row r="669" spans="2:15" x14ac:dyDescent="0.25">
      <c r="B669" s="859" t="s">
        <v>1818</v>
      </c>
      <c r="C669" s="890" t="s">
        <v>1819</v>
      </c>
      <c r="D669" s="861" t="s">
        <v>950</v>
      </c>
      <c r="E669" s="865">
        <v>300990</v>
      </c>
      <c r="F669" s="866"/>
      <c r="G669" s="853"/>
      <c r="H669" s="853"/>
      <c r="I669" s="853"/>
      <c r="J669" s="853"/>
      <c r="K669" s="853"/>
      <c r="M669" s="853"/>
      <c r="N669" s="853"/>
      <c r="O669" s="853"/>
    </row>
    <row r="670" spans="2:15" x14ac:dyDescent="0.25">
      <c r="B670" s="859" t="s">
        <v>1820</v>
      </c>
      <c r="C670" s="890" t="s">
        <v>1821</v>
      </c>
      <c r="D670" s="861" t="s">
        <v>950</v>
      </c>
      <c r="E670" s="865">
        <v>266429</v>
      </c>
      <c r="F670" s="866"/>
      <c r="G670" s="853"/>
      <c r="H670" s="853"/>
      <c r="I670" s="853"/>
      <c r="J670" s="853"/>
      <c r="K670" s="853"/>
      <c r="M670" s="853"/>
      <c r="N670" s="853"/>
      <c r="O670" s="853"/>
    </row>
    <row r="671" spans="2:15" x14ac:dyDescent="0.25">
      <c r="B671" s="859" t="s">
        <v>1822</v>
      </c>
      <c r="C671" s="864" t="s">
        <v>1823</v>
      </c>
      <c r="D671" s="861"/>
      <c r="E671" s="862"/>
      <c r="F671" s="863"/>
      <c r="G671" s="853"/>
      <c r="H671" s="853"/>
      <c r="I671" s="853"/>
      <c r="J671" s="853"/>
      <c r="K671" s="853"/>
      <c r="M671" s="853"/>
      <c r="N671" s="853"/>
      <c r="O671" s="853"/>
    </row>
    <row r="672" spans="2:15" x14ac:dyDescent="0.25">
      <c r="B672" s="859" t="s">
        <v>1824</v>
      </c>
      <c r="C672" s="890" t="s">
        <v>1825</v>
      </c>
      <c r="D672" s="861" t="s">
        <v>861</v>
      </c>
      <c r="E672" s="865">
        <v>15194</v>
      </c>
      <c r="F672" s="866"/>
      <c r="G672" s="853"/>
      <c r="H672" s="853"/>
      <c r="I672" s="853"/>
      <c r="J672" s="853"/>
      <c r="K672" s="853"/>
      <c r="M672" s="853"/>
      <c r="N672" s="853"/>
      <c r="O672" s="853"/>
    </row>
    <row r="673" spans="2:15" ht="31.5" x14ac:dyDescent="0.25">
      <c r="B673" s="859" t="s">
        <v>1826</v>
      </c>
      <c r="C673" s="890" t="s">
        <v>1827</v>
      </c>
      <c r="D673" s="861" t="s">
        <v>861</v>
      </c>
      <c r="E673" s="865">
        <v>20957</v>
      </c>
      <c r="F673" s="866"/>
      <c r="G673" s="853"/>
      <c r="H673" s="853"/>
      <c r="I673" s="853"/>
      <c r="J673" s="853"/>
      <c r="K673" s="853"/>
      <c r="M673" s="853"/>
      <c r="N673" s="853"/>
      <c r="O673" s="853"/>
    </row>
    <row r="674" spans="2:15" ht="31.5" x14ac:dyDescent="0.25">
      <c r="B674" s="859" t="s">
        <v>1828</v>
      </c>
      <c r="C674" s="890" t="s">
        <v>1829</v>
      </c>
      <c r="D674" s="861" t="s">
        <v>861</v>
      </c>
      <c r="E674" s="865">
        <v>29614</v>
      </c>
      <c r="F674" s="866"/>
      <c r="G674" s="853"/>
      <c r="H674" s="853"/>
      <c r="I674" s="853"/>
      <c r="J674" s="853"/>
      <c r="K674" s="853"/>
      <c r="M674" s="853"/>
      <c r="N674" s="853"/>
      <c r="O674" s="853"/>
    </row>
    <row r="675" spans="2:15" x14ac:dyDescent="0.25">
      <c r="B675" s="859" t="s">
        <v>1830</v>
      </c>
      <c r="C675" s="864" t="s">
        <v>1831</v>
      </c>
      <c r="D675" s="861" t="s">
        <v>950</v>
      </c>
      <c r="E675" s="865">
        <v>3034</v>
      </c>
      <c r="F675" s="866"/>
      <c r="G675" s="853"/>
      <c r="H675" s="853"/>
      <c r="I675" s="853"/>
      <c r="J675" s="853"/>
      <c r="K675" s="853"/>
      <c r="M675" s="853"/>
      <c r="N675" s="853"/>
      <c r="O675" s="853"/>
    </row>
    <row r="676" spans="2:15" x14ac:dyDescent="0.25">
      <c r="B676" s="859" t="s">
        <v>1832</v>
      </c>
      <c r="C676" s="860" t="s">
        <v>1833</v>
      </c>
      <c r="D676" s="861"/>
      <c r="E676" s="862"/>
      <c r="F676" s="863"/>
      <c r="G676" s="853"/>
      <c r="H676" s="853"/>
      <c r="I676" s="853"/>
      <c r="J676" s="853"/>
      <c r="K676" s="853"/>
      <c r="M676" s="853"/>
      <c r="N676" s="853"/>
      <c r="O676" s="853"/>
    </row>
    <row r="677" spans="2:15" ht="31.5" x14ac:dyDescent="0.25">
      <c r="B677" s="859" t="s">
        <v>1834</v>
      </c>
      <c r="C677" s="864" t="s">
        <v>1835</v>
      </c>
      <c r="D677" s="861"/>
      <c r="E677" s="862"/>
      <c r="F677" s="863"/>
      <c r="G677" s="853"/>
      <c r="H677" s="853"/>
      <c r="I677" s="853"/>
      <c r="J677" s="853"/>
      <c r="K677" s="853"/>
      <c r="M677" s="853"/>
      <c r="N677" s="853"/>
      <c r="O677" s="853"/>
    </row>
    <row r="678" spans="2:15" x14ac:dyDescent="0.25">
      <c r="B678" s="859" t="s">
        <v>1836</v>
      </c>
      <c r="C678" s="890" t="s">
        <v>1837</v>
      </c>
      <c r="D678" s="861" t="s">
        <v>950</v>
      </c>
      <c r="E678" s="865">
        <v>78819</v>
      </c>
      <c r="F678" s="866"/>
      <c r="G678" s="853"/>
      <c r="H678" s="853"/>
      <c r="I678" s="853"/>
      <c r="J678" s="853"/>
      <c r="K678" s="853"/>
      <c r="M678" s="853"/>
      <c r="N678" s="853"/>
      <c r="O678" s="853"/>
    </row>
    <row r="679" spans="2:15" x14ac:dyDescent="0.25">
      <c r="B679" s="859" t="s">
        <v>1838</v>
      </c>
      <c r="C679" s="890" t="s">
        <v>1839</v>
      </c>
      <c r="D679" s="861" t="s">
        <v>950</v>
      </c>
      <c r="E679" s="865">
        <v>115756</v>
      </c>
      <c r="F679" s="866"/>
      <c r="G679" s="853"/>
      <c r="H679" s="853"/>
      <c r="I679" s="853"/>
      <c r="J679" s="853"/>
      <c r="K679" s="853"/>
      <c r="M679" s="853"/>
      <c r="N679" s="853"/>
      <c r="O679" s="853"/>
    </row>
    <row r="680" spans="2:15" x14ac:dyDescent="0.25">
      <c r="B680" s="859" t="s">
        <v>1840</v>
      </c>
      <c r="C680" s="890" t="s">
        <v>1841</v>
      </c>
      <c r="D680" s="861" t="s">
        <v>950</v>
      </c>
      <c r="E680" s="865">
        <v>153194</v>
      </c>
      <c r="F680" s="866"/>
      <c r="G680" s="853"/>
      <c r="H680" s="853"/>
      <c r="I680" s="853"/>
      <c r="J680" s="853"/>
      <c r="K680" s="853"/>
      <c r="M680" s="853"/>
      <c r="N680" s="853"/>
      <c r="O680" s="853"/>
    </row>
    <row r="681" spans="2:15" ht="31.5" x14ac:dyDescent="0.25">
      <c r="B681" s="859" t="s">
        <v>1842</v>
      </c>
      <c r="C681" s="864" t="s">
        <v>1843</v>
      </c>
      <c r="D681" s="861"/>
      <c r="E681" s="862"/>
      <c r="F681" s="863"/>
      <c r="G681" s="853"/>
      <c r="H681" s="853"/>
      <c r="I681" s="853"/>
      <c r="J681" s="853"/>
      <c r="K681" s="853"/>
      <c r="M681" s="853"/>
      <c r="N681" s="853"/>
      <c r="O681" s="853"/>
    </row>
    <row r="682" spans="2:15" x14ac:dyDescent="0.25">
      <c r="B682" s="859" t="s">
        <v>1844</v>
      </c>
      <c r="C682" s="890" t="s">
        <v>1845</v>
      </c>
      <c r="D682" s="861" t="s">
        <v>950</v>
      </c>
      <c r="E682" s="865">
        <v>221977</v>
      </c>
      <c r="F682" s="866"/>
      <c r="G682" s="853"/>
      <c r="H682" s="853"/>
      <c r="I682" s="853"/>
      <c r="J682" s="853"/>
      <c r="K682" s="853"/>
      <c r="M682" s="853"/>
      <c r="N682" s="853"/>
      <c r="O682" s="853"/>
    </row>
    <row r="683" spans="2:15" x14ac:dyDescent="0.25">
      <c r="B683" s="859" t="s">
        <v>1846</v>
      </c>
      <c r="C683" s="890" t="s">
        <v>1847</v>
      </c>
      <c r="D683" s="861" t="s">
        <v>950</v>
      </c>
      <c r="E683" s="865">
        <v>263321</v>
      </c>
      <c r="F683" s="866"/>
      <c r="G683" s="853"/>
      <c r="H683" s="853"/>
      <c r="I683" s="853"/>
      <c r="J683" s="853"/>
      <c r="K683" s="853"/>
      <c r="M683" s="853"/>
      <c r="N683" s="853"/>
      <c r="O683" s="853"/>
    </row>
    <row r="684" spans="2:15" x14ac:dyDescent="0.25">
      <c r="B684" s="859" t="s">
        <v>1848</v>
      </c>
      <c r="C684" s="890" t="s">
        <v>1849</v>
      </c>
      <c r="D684" s="861" t="s">
        <v>950</v>
      </c>
      <c r="E684" s="865">
        <v>301978</v>
      </c>
      <c r="F684" s="866"/>
      <c r="G684" s="853"/>
      <c r="H684" s="853"/>
      <c r="I684" s="853"/>
      <c r="J684" s="853"/>
      <c r="K684" s="853"/>
      <c r="M684" s="853"/>
      <c r="N684" s="853"/>
      <c r="O684" s="853"/>
    </row>
    <row r="685" spans="2:15" x14ac:dyDescent="0.25">
      <c r="B685" s="859" t="s">
        <v>1850</v>
      </c>
      <c r="C685" s="890" t="s">
        <v>1851</v>
      </c>
      <c r="D685" s="861" t="s">
        <v>950</v>
      </c>
      <c r="E685" s="865">
        <v>345511</v>
      </c>
      <c r="F685" s="866"/>
      <c r="G685" s="853"/>
      <c r="H685" s="853"/>
      <c r="I685" s="853"/>
      <c r="J685" s="853"/>
      <c r="K685" s="853"/>
      <c r="M685" s="853"/>
      <c r="N685" s="853"/>
      <c r="O685" s="853"/>
    </row>
    <row r="686" spans="2:15" x14ac:dyDescent="0.25">
      <c r="B686" s="859" t="s">
        <v>1852</v>
      </c>
      <c r="C686" s="890" t="s">
        <v>1853</v>
      </c>
      <c r="D686" s="861" t="s">
        <v>950</v>
      </c>
      <c r="E686" s="865">
        <v>376381</v>
      </c>
      <c r="F686" s="866"/>
      <c r="G686" s="853"/>
      <c r="H686" s="853"/>
      <c r="I686" s="853"/>
      <c r="J686" s="853"/>
      <c r="K686" s="853"/>
      <c r="M686" s="853"/>
      <c r="N686" s="853"/>
      <c r="O686" s="853"/>
    </row>
    <row r="687" spans="2:15" x14ac:dyDescent="0.25">
      <c r="B687" s="859" t="s">
        <v>1854</v>
      </c>
      <c r="C687" s="890" t="s">
        <v>1855</v>
      </c>
      <c r="D687" s="861" t="s">
        <v>950</v>
      </c>
      <c r="E687" s="865">
        <v>421452</v>
      </c>
      <c r="F687" s="866"/>
      <c r="G687" s="853"/>
      <c r="H687" s="853"/>
      <c r="I687" s="853"/>
      <c r="J687" s="853"/>
      <c r="K687" s="853"/>
      <c r="M687" s="853"/>
      <c r="N687" s="853"/>
      <c r="O687" s="853"/>
    </row>
    <row r="688" spans="2:15" x14ac:dyDescent="0.25">
      <c r="B688" s="859" t="s">
        <v>1856</v>
      </c>
      <c r="C688" s="860" t="s">
        <v>1857</v>
      </c>
      <c r="D688" s="861"/>
      <c r="E688" s="862"/>
      <c r="F688" s="863"/>
      <c r="G688" s="853"/>
      <c r="H688" s="853"/>
      <c r="I688" s="853"/>
      <c r="J688" s="853"/>
      <c r="K688" s="853"/>
      <c r="M688" s="853"/>
      <c r="N688" s="853"/>
      <c r="O688" s="853"/>
    </row>
    <row r="689" spans="2:15" x14ac:dyDescent="0.25">
      <c r="B689" s="859" t="s">
        <v>1858</v>
      </c>
      <c r="C689" s="864" t="s">
        <v>1859</v>
      </c>
      <c r="D689" s="861" t="s">
        <v>950</v>
      </c>
      <c r="E689" s="865">
        <v>2612</v>
      </c>
      <c r="F689" s="866"/>
      <c r="G689" s="853"/>
      <c r="H689" s="853"/>
      <c r="I689" s="853"/>
      <c r="J689" s="853"/>
      <c r="K689" s="853"/>
      <c r="M689" s="853"/>
      <c r="N689" s="853"/>
      <c r="O689" s="853"/>
    </row>
    <row r="690" spans="2:15" x14ac:dyDescent="0.25">
      <c r="B690" s="859"/>
      <c r="C690" s="864"/>
      <c r="D690" s="861"/>
      <c r="E690" s="862"/>
      <c r="F690" s="863"/>
      <c r="G690" s="853"/>
      <c r="H690" s="853"/>
      <c r="I690" s="853"/>
      <c r="J690" s="853"/>
      <c r="K690" s="853"/>
      <c r="M690" s="853"/>
      <c r="N690" s="853"/>
      <c r="O690" s="853"/>
    </row>
    <row r="691" spans="2:15" x14ac:dyDescent="0.25">
      <c r="B691" s="859"/>
      <c r="C691" s="871" t="s">
        <v>1860</v>
      </c>
      <c r="D691" s="872"/>
      <c r="E691" s="862"/>
      <c r="F691" s="863"/>
      <c r="G691" s="853"/>
      <c r="H691" s="853"/>
      <c r="I691" s="853"/>
      <c r="J691" s="853"/>
      <c r="K691" s="853"/>
      <c r="M691" s="853"/>
      <c r="N691" s="853"/>
      <c r="O691" s="853"/>
    </row>
    <row r="692" spans="2:15" x14ac:dyDescent="0.25">
      <c r="B692" s="859" t="s">
        <v>1861</v>
      </c>
      <c r="C692" s="880" t="s">
        <v>1862</v>
      </c>
      <c r="D692" s="861"/>
      <c r="E692" s="862"/>
      <c r="F692" s="863"/>
      <c r="G692" s="853"/>
      <c r="H692" s="853"/>
      <c r="I692" s="853"/>
      <c r="J692" s="853"/>
      <c r="K692" s="853"/>
      <c r="M692" s="853"/>
      <c r="N692" s="853"/>
      <c r="O692" s="853"/>
    </row>
    <row r="693" spans="2:15" x14ac:dyDescent="0.25">
      <c r="B693" s="859" t="s">
        <v>1863</v>
      </c>
      <c r="C693" s="860" t="s">
        <v>1864</v>
      </c>
      <c r="D693" s="861"/>
      <c r="E693" s="862"/>
      <c r="F693" s="863"/>
      <c r="G693" s="853"/>
      <c r="H693" s="853"/>
      <c r="I693" s="853"/>
      <c r="J693" s="853"/>
      <c r="K693" s="853"/>
      <c r="M693" s="853"/>
      <c r="N693" s="853"/>
      <c r="O693" s="853"/>
    </row>
    <row r="694" spans="2:15" x14ac:dyDescent="0.25">
      <c r="B694" s="859" t="s">
        <v>1865</v>
      </c>
      <c r="C694" s="864" t="s">
        <v>1866</v>
      </c>
      <c r="D694" s="861" t="s">
        <v>727</v>
      </c>
      <c r="E694" s="865">
        <v>14270</v>
      </c>
      <c r="F694" s="866"/>
      <c r="G694" s="853"/>
      <c r="H694" s="853"/>
      <c r="I694" s="853"/>
      <c r="J694" s="853"/>
      <c r="K694" s="853"/>
      <c r="M694" s="853"/>
      <c r="N694" s="853"/>
      <c r="O694" s="853"/>
    </row>
    <row r="695" spans="2:15" x14ac:dyDescent="0.25">
      <c r="B695" s="859" t="s">
        <v>1867</v>
      </c>
      <c r="C695" s="864" t="s">
        <v>1868</v>
      </c>
      <c r="D695" s="861" t="s">
        <v>727</v>
      </c>
      <c r="E695" s="865">
        <v>44490</v>
      </c>
      <c r="F695" s="866"/>
      <c r="G695" s="853"/>
      <c r="H695" s="853"/>
      <c r="I695" s="853"/>
      <c r="J695" s="853"/>
      <c r="K695" s="853"/>
      <c r="M695" s="853"/>
      <c r="N695" s="853"/>
      <c r="O695" s="853"/>
    </row>
    <row r="696" spans="2:15" x14ac:dyDescent="0.25">
      <c r="B696" s="859" t="s">
        <v>1869</v>
      </c>
      <c r="C696" s="864" t="s">
        <v>1870</v>
      </c>
      <c r="D696" s="861" t="s">
        <v>727</v>
      </c>
      <c r="E696" s="865">
        <v>75549</v>
      </c>
      <c r="F696" s="866"/>
      <c r="G696" s="853"/>
      <c r="H696" s="853"/>
      <c r="I696" s="853"/>
      <c r="J696" s="853"/>
      <c r="K696" s="853"/>
      <c r="M696" s="853"/>
      <c r="N696" s="853"/>
      <c r="O696" s="853"/>
    </row>
    <row r="697" spans="2:15" x14ac:dyDescent="0.25">
      <c r="B697" s="859" t="s">
        <v>1871</v>
      </c>
      <c r="C697" s="864" t="s">
        <v>1872</v>
      </c>
      <c r="D697" s="861" t="s">
        <v>727</v>
      </c>
      <c r="E697" s="865">
        <v>92337</v>
      </c>
      <c r="F697" s="866"/>
      <c r="G697" s="853"/>
      <c r="H697" s="853"/>
      <c r="I697" s="853"/>
      <c r="J697" s="853"/>
      <c r="K697" s="853"/>
      <c r="M697" s="853"/>
      <c r="N697" s="853"/>
      <c r="O697" s="853"/>
    </row>
    <row r="698" spans="2:15" x14ac:dyDescent="0.25">
      <c r="B698" s="859" t="s">
        <v>1873</v>
      </c>
      <c r="C698" s="864" t="s">
        <v>1874</v>
      </c>
      <c r="D698" s="861" t="s">
        <v>727</v>
      </c>
      <c r="E698" s="865">
        <v>125915</v>
      </c>
      <c r="F698" s="866"/>
      <c r="G698" s="853"/>
      <c r="H698" s="853"/>
      <c r="I698" s="853"/>
      <c r="J698" s="853"/>
      <c r="K698" s="853"/>
      <c r="M698" s="853"/>
      <c r="N698" s="853"/>
      <c r="O698" s="853"/>
    </row>
    <row r="699" spans="2:15" x14ac:dyDescent="0.25">
      <c r="B699" s="859" t="s">
        <v>1875</v>
      </c>
      <c r="C699" s="860" t="s">
        <v>1876</v>
      </c>
      <c r="D699" s="861"/>
      <c r="E699" s="862"/>
      <c r="F699" s="863"/>
      <c r="G699" s="853"/>
      <c r="H699" s="853"/>
      <c r="I699" s="853"/>
      <c r="J699" s="853"/>
      <c r="K699" s="853"/>
      <c r="M699" s="853"/>
      <c r="N699" s="853"/>
      <c r="O699" s="853"/>
    </row>
    <row r="700" spans="2:15" x14ac:dyDescent="0.25">
      <c r="B700" s="859" t="s">
        <v>1877</v>
      </c>
      <c r="C700" s="864" t="s">
        <v>1878</v>
      </c>
      <c r="D700" s="861" t="s">
        <v>727</v>
      </c>
      <c r="E700" s="865">
        <v>1930689</v>
      </c>
      <c r="F700" s="866"/>
      <c r="G700" s="853"/>
      <c r="H700" s="853"/>
      <c r="I700" s="853"/>
      <c r="J700" s="853"/>
      <c r="K700" s="853"/>
      <c r="M700" s="853"/>
      <c r="N700" s="853"/>
      <c r="O700" s="853"/>
    </row>
    <row r="701" spans="2:15" x14ac:dyDescent="0.25">
      <c r="B701" s="859" t="s">
        <v>1879</v>
      </c>
      <c r="C701" s="864" t="s">
        <v>1880</v>
      </c>
      <c r="D701" s="861" t="s">
        <v>727</v>
      </c>
      <c r="E701" s="865">
        <v>2860280</v>
      </c>
      <c r="F701" s="866"/>
      <c r="G701" s="853"/>
      <c r="H701" s="853"/>
      <c r="I701" s="853"/>
      <c r="J701" s="853"/>
      <c r="K701" s="853"/>
      <c r="M701" s="853"/>
      <c r="N701" s="853"/>
      <c r="O701" s="853"/>
    </row>
    <row r="702" spans="2:15" x14ac:dyDescent="0.25">
      <c r="B702" s="859" t="s">
        <v>1881</v>
      </c>
      <c r="C702" s="864" t="s">
        <v>1882</v>
      </c>
      <c r="D702" s="861" t="s">
        <v>727</v>
      </c>
      <c r="E702" s="865">
        <v>3575350</v>
      </c>
      <c r="F702" s="866"/>
      <c r="G702" s="853"/>
      <c r="H702" s="853"/>
      <c r="I702" s="853"/>
      <c r="J702" s="853"/>
      <c r="K702" s="853"/>
      <c r="M702" s="853"/>
      <c r="N702" s="853"/>
      <c r="O702" s="853"/>
    </row>
    <row r="703" spans="2:15" x14ac:dyDescent="0.25">
      <c r="B703" s="859" t="s">
        <v>1883</v>
      </c>
      <c r="C703" s="864" t="s">
        <v>1884</v>
      </c>
      <c r="D703" s="861" t="s">
        <v>727</v>
      </c>
      <c r="E703" s="865">
        <v>5005490</v>
      </c>
      <c r="F703" s="866"/>
      <c r="G703" s="853"/>
      <c r="H703" s="853"/>
      <c r="I703" s="853"/>
      <c r="J703" s="853"/>
      <c r="K703" s="853"/>
      <c r="M703" s="853"/>
      <c r="N703" s="853"/>
      <c r="O703" s="853"/>
    </row>
    <row r="704" spans="2:15" x14ac:dyDescent="0.25">
      <c r="B704" s="859" t="s">
        <v>1885</v>
      </c>
      <c r="C704" s="864" t="s">
        <v>1886</v>
      </c>
      <c r="D704" s="861" t="s">
        <v>727</v>
      </c>
      <c r="E704" s="865">
        <v>6435630</v>
      </c>
      <c r="F704" s="866"/>
      <c r="G704" s="853"/>
      <c r="H704" s="853"/>
      <c r="I704" s="853"/>
      <c r="J704" s="853"/>
      <c r="K704" s="853"/>
      <c r="M704" s="853"/>
      <c r="N704" s="853"/>
      <c r="O704" s="853"/>
    </row>
    <row r="705" spans="2:15" x14ac:dyDescent="0.25">
      <c r="B705" s="859" t="s">
        <v>1887</v>
      </c>
      <c r="C705" s="860" t="s">
        <v>1888</v>
      </c>
      <c r="D705" s="861"/>
      <c r="E705" s="862"/>
      <c r="F705" s="863"/>
      <c r="G705" s="853"/>
      <c r="H705" s="853"/>
      <c r="I705" s="853"/>
      <c r="J705" s="853"/>
      <c r="K705" s="853"/>
      <c r="M705" s="853"/>
      <c r="N705" s="853"/>
      <c r="O705" s="853"/>
    </row>
    <row r="706" spans="2:15" ht="18.75" x14ac:dyDescent="0.25">
      <c r="B706" s="859" t="s">
        <v>1889</v>
      </c>
      <c r="C706" s="864" t="s">
        <v>3072</v>
      </c>
      <c r="D706" s="861" t="s">
        <v>950</v>
      </c>
      <c r="E706" s="865">
        <v>2518</v>
      </c>
      <c r="F706" s="866"/>
      <c r="G706" s="853"/>
      <c r="H706" s="853"/>
      <c r="I706" s="853"/>
      <c r="J706" s="853"/>
      <c r="K706" s="853"/>
      <c r="M706" s="853"/>
      <c r="N706" s="853"/>
      <c r="O706" s="853"/>
    </row>
    <row r="707" spans="2:15" ht="18.75" x14ac:dyDescent="0.25">
      <c r="B707" s="859" t="s">
        <v>1891</v>
      </c>
      <c r="C707" s="864" t="s">
        <v>3073</v>
      </c>
      <c r="D707" s="861" t="s">
        <v>950</v>
      </c>
      <c r="E707" s="865">
        <v>2854</v>
      </c>
      <c r="F707" s="866"/>
      <c r="G707" s="853"/>
      <c r="H707" s="853"/>
      <c r="I707" s="853"/>
      <c r="J707" s="853"/>
      <c r="K707" s="853"/>
      <c r="M707" s="853"/>
      <c r="N707" s="853"/>
      <c r="O707" s="853"/>
    </row>
    <row r="708" spans="2:15" ht="18.75" x14ac:dyDescent="0.25">
      <c r="B708" s="859" t="s">
        <v>1893</v>
      </c>
      <c r="C708" s="864" t="s">
        <v>3074</v>
      </c>
      <c r="D708" s="861" t="s">
        <v>950</v>
      </c>
      <c r="E708" s="865">
        <v>3190</v>
      </c>
      <c r="F708" s="866"/>
      <c r="G708" s="853"/>
      <c r="H708" s="853"/>
      <c r="I708" s="853"/>
      <c r="J708" s="853"/>
      <c r="K708" s="853"/>
      <c r="M708" s="853"/>
      <c r="N708" s="853"/>
      <c r="O708" s="853"/>
    </row>
    <row r="709" spans="2:15" ht="18.75" x14ac:dyDescent="0.25">
      <c r="B709" s="859" t="s">
        <v>1895</v>
      </c>
      <c r="C709" s="864" t="s">
        <v>3075</v>
      </c>
      <c r="D709" s="861" t="s">
        <v>950</v>
      </c>
      <c r="E709" s="865">
        <v>3022</v>
      </c>
      <c r="F709" s="866"/>
      <c r="G709" s="853"/>
      <c r="H709" s="853"/>
      <c r="I709" s="853"/>
      <c r="J709" s="853"/>
      <c r="K709" s="853"/>
      <c r="M709" s="853"/>
      <c r="N709" s="853"/>
      <c r="O709" s="853"/>
    </row>
    <row r="710" spans="2:15" ht="18.75" x14ac:dyDescent="0.25">
      <c r="B710" s="859" t="s">
        <v>1896</v>
      </c>
      <c r="C710" s="864" t="s">
        <v>3076</v>
      </c>
      <c r="D710" s="861" t="s">
        <v>950</v>
      </c>
      <c r="E710" s="865">
        <v>3526</v>
      </c>
      <c r="F710" s="866"/>
      <c r="G710" s="853"/>
      <c r="H710" s="853"/>
      <c r="I710" s="853"/>
      <c r="J710" s="853"/>
      <c r="K710" s="853"/>
      <c r="M710" s="853"/>
      <c r="N710" s="853"/>
      <c r="O710" s="853"/>
    </row>
    <row r="711" spans="2:15" ht="18.75" x14ac:dyDescent="0.25">
      <c r="B711" s="859" t="s">
        <v>1897</v>
      </c>
      <c r="C711" s="864" t="s">
        <v>3077</v>
      </c>
      <c r="D711" s="861" t="s">
        <v>950</v>
      </c>
      <c r="E711" s="865">
        <v>3861</v>
      </c>
      <c r="F711" s="866"/>
      <c r="G711" s="853"/>
      <c r="H711" s="853"/>
      <c r="I711" s="853"/>
      <c r="J711" s="853"/>
      <c r="K711" s="853"/>
      <c r="M711" s="853"/>
      <c r="N711" s="853"/>
      <c r="O711" s="853"/>
    </row>
    <row r="712" spans="2:15" ht="18.75" x14ac:dyDescent="0.25">
      <c r="B712" s="859" t="s">
        <v>1898</v>
      </c>
      <c r="C712" s="864" t="s">
        <v>3078</v>
      </c>
      <c r="D712" s="861" t="s">
        <v>950</v>
      </c>
      <c r="E712" s="865">
        <v>4869</v>
      </c>
      <c r="F712" s="866"/>
      <c r="G712" s="853"/>
      <c r="H712" s="853"/>
      <c r="I712" s="853"/>
      <c r="J712" s="853"/>
      <c r="K712" s="853"/>
      <c r="M712" s="853"/>
      <c r="N712" s="853"/>
      <c r="O712" s="853"/>
    </row>
    <row r="713" spans="2:15" ht="18.75" x14ac:dyDescent="0.25">
      <c r="B713" s="859" t="s">
        <v>1899</v>
      </c>
      <c r="C713" s="864" t="s">
        <v>3079</v>
      </c>
      <c r="D713" s="861" t="s">
        <v>950</v>
      </c>
      <c r="E713" s="865">
        <v>5372</v>
      </c>
      <c r="F713" s="866"/>
      <c r="G713" s="853"/>
      <c r="H713" s="853"/>
      <c r="I713" s="853"/>
      <c r="J713" s="853"/>
      <c r="K713" s="853"/>
      <c r="M713" s="853"/>
      <c r="N713" s="853"/>
      <c r="O713" s="853"/>
    </row>
    <row r="714" spans="2:15" ht="18.75" x14ac:dyDescent="0.25">
      <c r="B714" s="859" t="s">
        <v>1900</v>
      </c>
      <c r="C714" s="864" t="s">
        <v>3080</v>
      </c>
      <c r="D714" s="861" t="s">
        <v>950</v>
      </c>
      <c r="E714" s="865">
        <v>5540</v>
      </c>
      <c r="F714" s="866"/>
      <c r="G714" s="853"/>
      <c r="H714" s="853"/>
      <c r="I714" s="853"/>
      <c r="J714" s="853"/>
      <c r="K714" s="853"/>
      <c r="M714" s="853"/>
      <c r="N714" s="853"/>
      <c r="O714" s="853"/>
    </row>
    <row r="715" spans="2:15" ht="18.75" x14ac:dyDescent="0.25">
      <c r="B715" s="859" t="s">
        <v>1901</v>
      </c>
      <c r="C715" s="864" t="s">
        <v>3081</v>
      </c>
      <c r="D715" s="861" t="s">
        <v>950</v>
      </c>
      <c r="E715" s="865">
        <v>6883</v>
      </c>
      <c r="F715" s="866"/>
      <c r="G715" s="853"/>
      <c r="H715" s="853"/>
      <c r="I715" s="853"/>
      <c r="J715" s="853"/>
      <c r="K715" s="853"/>
      <c r="M715" s="853"/>
      <c r="N715" s="853"/>
      <c r="O715" s="853"/>
    </row>
    <row r="716" spans="2:15" ht="18.75" x14ac:dyDescent="0.25">
      <c r="B716" s="859" t="s">
        <v>1902</v>
      </c>
      <c r="C716" s="864" t="s">
        <v>3082</v>
      </c>
      <c r="D716" s="861" t="s">
        <v>950</v>
      </c>
      <c r="E716" s="865">
        <v>8905</v>
      </c>
      <c r="F716" s="866"/>
      <c r="G716" s="853"/>
      <c r="H716" s="853"/>
      <c r="I716" s="853"/>
      <c r="J716" s="853"/>
      <c r="K716" s="853"/>
      <c r="M716" s="853"/>
      <c r="N716" s="853"/>
      <c r="O716" s="853"/>
    </row>
    <row r="717" spans="2:15" ht="18.75" x14ac:dyDescent="0.25">
      <c r="B717" s="859" t="s">
        <v>1903</v>
      </c>
      <c r="C717" s="864" t="s">
        <v>3083</v>
      </c>
      <c r="D717" s="861" t="s">
        <v>950</v>
      </c>
      <c r="E717" s="865">
        <v>7219</v>
      </c>
      <c r="F717" s="866"/>
      <c r="G717" s="853"/>
      <c r="H717" s="853"/>
      <c r="I717" s="853"/>
      <c r="J717" s="853"/>
      <c r="K717" s="853"/>
      <c r="M717" s="853"/>
      <c r="N717" s="853"/>
      <c r="O717" s="853"/>
    </row>
    <row r="718" spans="2:15" ht="18.75" x14ac:dyDescent="0.25">
      <c r="B718" s="859" t="s">
        <v>1904</v>
      </c>
      <c r="C718" s="864" t="s">
        <v>3084</v>
      </c>
      <c r="D718" s="861" t="s">
        <v>950</v>
      </c>
      <c r="E718" s="865">
        <v>9737</v>
      </c>
      <c r="F718" s="866"/>
      <c r="G718" s="853"/>
      <c r="H718" s="853"/>
      <c r="I718" s="853"/>
      <c r="J718" s="853"/>
      <c r="K718" s="853"/>
      <c r="M718" s="853"/>
      <c r="N718" s="853"/>
      <c r="O718" s="853"/>
    </row>
    <row r="719" spans="2:15" ht="18.75" x14ac:dyDescent="0.25">
      <c r="B719" s="859" t="s">
        <v>1905</v>
      </c>
      <c r="C719" s="864" t="s">
        <v>3085</v>
      </c>
      <c r="D719" s="861" t="s">
        <v>950</v>
      </c>
      <c r="E719" s="865">
        <v>12222</v>
      </c>
      <c r="F719" s="866"/>
      <c r="G719" s="853"/>
      <c r="H719" s="853"/>
      <c r="I719" s="853"/>
      <c r="J719" s="853"/>
      <c r="K719" s="853"/>
      <c r="M719" s="853"/>
      <c r="N719" s="853"/>
      <c r="O719" s="853"/>
    </row>
    <row r="720" spans="2:15" ht="18.75" x14ac:dyDescent="0.25">
      <c r="B720" s="859" t="s">
        <v>1906</v>
      </c>
      <c r="C720" s="864" t="s">
        <v>3086</v>
      </c>
      <c r="D720" s="861" t="s">
        <v>950</v>
      </c>
      <c r="E720" s="865">
        <v>13263</v>
      </c>
      <c r="F720" s="866"/>
      <c r="G720" s="853"/>
      <c r="H720" s="853"/>
      <c r="I720" s="853"/>
      <c r="J720" s="853"/>
      <c r="K720" s="853"/>
      <c r="M720" s="853"/>
      <c r="N720" s="853"/>
      <c r="O720" s="853"/>
    </row>
    <row r="721" spans="2:15" ht="18.75" x14ac:dyDescent="0.25">
      <c r="B721" s="859" t="s">
        <v>1907</v>
      </c>
      <c r="C721" s="864" t="s">
        <v>3087</v>
      </c>
      <c r="D721" s="861" t="s">
        <v>950</v>
      </c>
      <c r="E721" s="865">
        <v>14819</v>
      </c>
      <c r="F721" s="866"/>
      <c r="G721" s="853"/>
      <c r="H721" s="853"/>
      <c r="I721" s="853"/>
      <c r="J721" s="853"/>
      <c r="K721" s="853"/>
      <c r="M721" s="853"/>
      <c r="N721" s="853"/>
      <c r="O721" s="853"/>
    </row>
    <row r="722" spans="2:15" ht="18.75" x14ac:dyDescent="0.25">
      <c r="B722" s="859" t="s">
        <v>1908</v>
      </c>
      <c r="C722" s="864" t="s">
        <v>3088</v>
      </c>
      <c r="D722" s="861" t="s">
        <v>950</v>
      </c>
      <c r="E722" s="865">
        <v>20516</v>
      </c>
      <c r="F722" s="866"/>
      <c r="G722" s="853"/>
      <c r="H722" s="853"/>
      <c r="I722" s="853"/>
      <c r="J722" s="853"/>
      <c r="K722" s="853"/>
      <c r="M722" s="853"/>
      <c r="N722" s="853"/>
      <c r="O722" s="853"/>
    </row>
    <row r="723" spans="2:15" ht="18.75" x14ac:dyDescent="0.25">
      <c r="B723" s="859" t="s">
        <v>1909</v>
      </c>
      <c r="C723" s="864" t="s">
        <v>3089</v>
      </c>
      <c r="D723" s="861" t="s">
        <v>950</v>
      </c>
      <c r="E723" s="865">
        <v>29615</v>
      </c>
      <c r="F723" s="866"/>
      <c r="G723" s="853"/>
      <c r="H723" s="853"/>
      <c r="I723" s="853"/>
      <c r="J723" s="853"/>
      <c r="K723" s="853"/>
      <c r="M723" s="853"/>
      <c r="N723" s="853"/>
      <c r="O723" s="853"/>
    </row>
    <row r="724" spans="2:15" ht="18.75" x14ac:dyDescent="0.25">
      <c r="B724" s="859" t="s">
        <v>1910</v>
      </c>
      <c r="C724" s="864" t="s">
        <v>3090</v>
      </c>
      <c r="D724" s="861" t="s">
        <v>950</v>
      </c>
      <c r="E724" s="865">
        <v>43902</v>
      </c>
      <c r="F724" s="866"/>
      <c r="G724" s="853"/>
      <c r="H724" s="853"/>
      <c r="I724" s="853"/>
      <c r="J724" s="853"/>
      <c r="K724" s="853"/>
      <c r="M724" s="853"/>
      <c r="N724" s="853"/>
      <c r="O724" s="853"/>
    </row>
    <row r="725" spans="2:15" ht="18.75" x14ac:dyDescent="0.25">
      <c r="B725" s="859" t="s">
        <v>1911</v>
      </c>
      <c r="C725" s="864" t="s">
        <v>3091</v>
      </c>
      <c r="D725" s="861" t="s">
        <v>950</v>
      </c>
      <c r="E725" s="865">
        <v>62857</v>
      </c>
      <c r="F725" s="866"/>
      <c r="G725" s="853"/>
      <c r="H725" s="853"/>
      <c r="I725" s="853"/>
      <c r="J725" s="853"/>
      <c r="K725" s="853"/>
      <c r="M725" s="853"/>
      <c r="N725" s="853"/>
      <c r="O725" s="853"/>
    </row>
    <row r="726" spans="2:15" ht="18.75" x14ac:dyDescent="0.25">
      <c r="B726" s="859" t="s">
        <v>1912</v>
      </c>
      <c r="C726" s="864" t="s">
        <v>3092</v>
      </c>
      <c r="D726" s="861" t="s">
        <v>950</v>
      </c>
      <c r="E726" s="865">
        <v>83322</v>
      </c>
      <c r="F726" s="866"/>
      <c r="G726" s="853"/>
      <c r="H726" s="853"/>
      <c r="I726" s="853"/>
      <c r="J726" s="853"/>
      <c r="K726" s="853"/>
      <c r="M726" s="853"/>
      <c r="N726" s="853"/>
      <c r="O726" s="853"/>
    </row>
    <row r="727" spans="2:15" ht="18.75" x14ac:dyDescent="0.25">
      <c r="B727" s="859" t="s">
        <v>1913</v>
      </c>
      <c r="C727" s="864" t="s">
        <v>3093</v>
      </c>
      <c r="D727" s="861" t="s">
        <v>950</v>
      </c>
      <c r="E727" s="865">
        <v>42022</v>
      </c>
      <c r="F727" s="866"/>
      <c r="G727" s="853"/>
      <c r="H727" s="853"/>
      <c r="I727" s="853"/>
      <c r="J727" s="853"/>
      <c r="K727" s="853"/>
      <c r="M727" s="853"/>
      <c r="N727" s="853"/>
      <c r="O727" s="853"/>
    </row>
    <row r="728" spans="2:15" ht="18.75" x14ac:dyDescent="0.25">
      <c r="B728" s="859" t="s">
        <v>1914</v>
      </c>
      <c r="C728" s="864" t="s">
        <v>3094</v>
      </c>
      <c r="D728" s="861" t="s">
        <v>950</v>
      </c>
      <c r="E728" s="865">
        <v>58072</v>
      </c>
      <c r="F728" s="866"/>
      <c r="G728" s="853"/>
      <c r="H728" s="853"/>
      <c r="I728" s="853"/>
      <c r="J728" s="853"/>
      <c r="K728" s="853"/>
      <c r="M728" s="853"/>
      <c r="N728" s="853"/>
      <c r="O728" s="853"/>
    </row>
    <row r="729" spans="2:15" ht="18.75" x14ac:dyDescent="0.25">
      <c r="B729" s="859" t="s">
        <v>1915</v>
      </c>
      <c r="C729" s="864" t="s">
        <v>3095</v>
      </c>
      <c r="D729" s="861" t="s">
        <v>950</v>
      </c>
      <c r="E729" s="865">
        <v>65476</v>
      </c>
      <c r="F729" s="866"/>
      <c r="G729" s="853"/>
      <c r="H729" s="853"/>
      <c r="I729" s="853"/>
      <c r="J729" s="853"/>
      <c r="K729" s="853"/>
      <c r="M729" s="853"/>
      <c r="N729" s="853"/>
      <c r="O729" s="853"/>
    </row>
    <row r="730" spans="2:15" ht="18.75" x14ac:dyDescent="0.25">
      <c r="B730" s="859" t="s">
        <v>1916</v>
      </c>
      <c r="C730" s="864" t="s">
        <v>3096</v>
      </c>
      <c r="D730" s="861" t="s">
        <v>950</v>
      </c>
      <c r="E730" s="865">
        <v>72401</v>
      </c>
      <c r="F730" s="866"/>
      <c r="G730" s="853"/>
      <c r="H730" s="853"/>
      <c r="I730" s="853"/>
      <c r="J730" s="853"/>
      <c r="K730" s="853"/>
      <c r="M730" s="853"/>
      <c r="N730" s="853"/>
      <c r="O730" s="853"/>
    </row>
    <row r="731" spans="2:15" ht="18.75" x14ac:dyDescent="0.25">
      <c r="B731" s="859" t="s">
        <v>1917</v>
      </c>
      <c r="C731" s="864" t="s">
        <v>3097</v>
      </c>
      <c r="D731" s="861" t="s">
        <v>950</v>
      </c>
      <c r="E731" s="865">
        <v>91001</v>
      </c>
      <c r="F731" s="866"/>
      <c r="G731" s="853"/>
      <c r="H731" s="853"/>
      <c r="I731" s="853"/>
      <c r="J731" s="853"/>
      <c r="K731" s="853"/>
      <c r="M731" s="853"/>
      <c r="N731" s="853"/>
      <c r="O731" s="853"/>
    </row>
    <row r="732" spans="2:15" ht="18.75" x14ac:dyDescent="0.25">
      <c r="B732" s="859" t="s">
        <v>1918</v>
      </c>
      <c r="C732" s="864" t="s">
        <v>3098</v>
      </c>
      <c r="D732" s="861" t="s">
        <v>950</v>
      </c>
      <c r="E732" s="865">
        <v>108119</v>
      </c>
      <c r="F732" s="866"/>
      <c r="G732" s="853"/>
      <c r="H732" s="853"/>
      <c r="I732" s="853"/>
      <c r="J732" s="853"/>
      <c r="K732" s="853"/>
      <c r="M732" s="853"/>
      <c r="N732" s="853"/>
      <c r="O732" s="853"/>
    </row>
    <row r="733" spans="2:15" ht="18.75" x14ac:dyDescent="0.25">
      <c r="B733" s="859" t="s">
        <v>1919</v>
      </c>
      <c r="C733" s="864" t="s">
        <v>3099</v>
      </c>
      <c r="D733" s="861" t="s">
        <v>950</v>
      </c>
      <c r="E733" s="865">
        <v>136088</v>
      </c>
      <c r="F733" s="866"/>
      <c r="G733" s="853"/>
      <c r="H733" s="853"/>
      <c r="I733" s="853"/>
      <c r="J733" s="853"/>
      <c r="K733" s="853"/>
      <c r="M733" s="853"/>
      <c r="N733" s="853"/>
      <c r="O733" s="853"/>
    </row>
    <row r="734" spans="2:15" ht="18.75" x14ac:dyDescent="0.25">
      <c r="B734" s="859" t="s">
        <v>1920</v>
      </c>
      <c r="C734" s="864" t="s">
        <v>3100</v>
      </c>
      <c r="D734" s="861" t="s">
        <v>950</v>
      </c>
      <c r="E734" s="865">
        <v>175072</v>
      </c>
      <c r="F734" s="866"/>
      <c r="G734" s="853"/>
      <c r="H734" s="853"/>
      <c r="I734" s="853"/>
      <c r="J734" s="853"/>
      <c r="K734" s="853"/>
      <c r="M734" s="853"/>
      <c r="N734" s="853"/>
      <c r="O734" s="853"/>
    </row>
    <row r="735" spans="2:15" ht="18.75" x14ac:dyDescent="0.25">
      <c r="B735" s="859" t="s">
        <v>1921</v>
      </c>
      <c r="C735" s="864" t="s">
        <v>3101</v>
      </c>
      <c r="D735" s="861" t="s">
        <v>950</v>
      </c>
      <c r="E735" s="865">
        <v>1251</v>
      </c>
      <c r="F735" s="866"/>
      <c r="G735" s="853"/>
      <c r="H735" s="853"/>
      <c r="I735" s="853"/>
      <c r="J735" s="853"/>
      <c r="K735" s="853"/>
      <c r="M735" s="853"/>
      <c r="N735" s="853"/>
      <c r="O735" s="853"/>
    </row>
    <row r="736" spans="2:15" ht="18.75" x14ac:dyDescent="0.25">
      <c r="B736" s="859" t="s">
        <v>1923</v>
      </c>
      <c r="C736" s="864" t="s">
        <v>3102</v>
      </c>
      <c r="D736" s="861" t="s">
        <v>950</v>
      </c>
      <c r="E736" s="865">
        <v>1310</v>
      </c>
      <c r="F736" s="866"/>
      <c r="G736" s="853"/>
      <c r="H736" s="853"/>
      <c r="I736" s="853"/>
      <c r="J736" s="853"/>
      <c r="K736" s="853"/>
      <c r="M736" s="853"/>
      <c r="N736" s="853"/>
      <c r="O736" s="853"/>
    </row>
    <row r="737" spans="2:15" ht="18.75" x14ac:dyDescent="0.25">
      <c r="B737" s="859" t="s">
        <v>1925</v>
      </c>
      <c r="C737" s="864" t="s">
        <v>3103</v>
      </c>
      <c r="D737" s="861" t="s">
        <v>950</v>
      </c>
      <c r="E737" s="865">
        <v>1811</v>
      </c>
      <c r="F737" s="866"/>
      <c r="G737" s="853"/>
      <c r="H737" s="853"/>
      <c r="I737" s="853"/>
      <c r="J737" s="853"/>
      <c r="K737" s="853"/>
      <c r="M737" s="853"/>
      <c r="N737" s="853"/>
      <c r="O737" s="853"/>
    </row>
    <row r="738" spans="2:15" ht="18.75" x14ac:dyDescent="0.25">
      <c r="B738" s="859" t="s">
        <v>1927</v>
      </c>
      <c r="C738" s="864" t="s">
        <v>3104</v>
      </c>
      <c r="D738" s="861" t="s">
        <v>950</v>
      </c>
      <c r="E738" s="865">
        <v>3056</v>
      </c>
      <c r="F738" s="866"/>
      <c r="G738" s="853"/>
      <c r="H738" s="853"/>
      <c r="I738" s="853"/>
      <c r="J738" s="853"/>
      <c r="K738" s="853"/>
      <c r="M738" s="853"/>
      <c r="N738" s="853"/>
      <c r="O738" s="853"/>
    </row>
    <row r="739" spans="2:15" ht="18.75" x14ac:dyDescent="0.25">
      <c r="B739" s="859" t="s">
        <v>1928</v>
      </c>
      <c r="C739" s="864" t="s">
        <v>3105</v>
      </c>
      <c r="D739" s="861" t="s">
        <v>950</v>
      </c>
      <c r="E739" s="865">
        <v>3443</v>
      </c>
      <c r="F739" s="866"/>
      <c r="G739" s="853"/>
      <c r="H739" s="853"/>
      <c r="I739" s="853"/>
      <c r="J739" s="853"/>
      <c r="K739" s="853"/>
      <c r="M739" s="853"/>
      <c r="N739" s="853"/>
      <c r="O739" s="853"/>
    </row>
    <row r="740" spans="2:15" ht="18.75" x14ac:dyDescent="0.25">
      <c r="B740" s="859" t="s">
        <v>1929</v>
      </c>
      <c r="C740" s="864" t="s">
        <v>3106</v>
      </c>
      <c r="D740" s="861" t="s">
        <v>950</v>
      </c>
      <c r="E740" s="865">
        <v>4090</v>
      </c>
      <c r="F740" s="866"/>
      <c r="G740" s="853"/>
      <c r="H740" s="853"/>
      <c r="I740" s="853"/>
      <c r="J740" s="853"/>
      <c r="K740" s="853"/>
      <c r="M740" s="853"/>
      <c r="N740" s="853"/>
      <c r="O740" s="853"/>
    </row>
    <row r="741" spans="2:15" ht="18.75" x14ac:dyDescent="0.25">
      <c r="B741" s="859" t="s">
        <v>1930</v>
      </c>
      <c r="C741" s="864" t="s">
        <v>3107</v>
      </c>
      <c r="D741" s="861" t="s">
        <v>950</v>
      </c>
      <c r="E741" s="865">
        <v>6910</v>
      </c>
      <c r="F741" s="866"/>
      <c r="G741" s="853"/>
      <c r="H741" s="853"/>
      <c r="I741" s="853"/>
      <c r="J741" s="853"/>
      <c r="K741" s="853"/>
      <c r="M741" s="853"/>
      <c r="N741" s="853"/>
      <c r="O741" s="853"/>
    </row>
    <row r="742" spans="2:15" ht="18.75" x14ac:dyDescent="0.25">
      <c r="B742" s="859" t="s">
        <v>1931</v>
      </c>
      <c r="C742" s="864" t="s">
        <v>3108</v>
      </c>
      <c r="D742" s="861" t="s">
        <v>950</v>
      </c>
      <c r="E742" s="865">
        <v>12222</v>
      </c>
      <c r="F742" s="866"/>
      <c r="G742" s="853"/>
      <c r="H742" s="853"/>
      <c r="I742" s="853"/>
      <c r="J742" s="853"/>
      <c r="K742" s="853"/>
      <c r="M742" s="853"/>
      <c r="N742" s="853"/>
      <c r="O742" s="853"/>
    </row>
    <row r="743" spans="2:15" ht="18.75" x14ac:dyDescent="0.25">
      <c r="B743" s="859" t="s">
        <v>1932</v>
      </c>
      <c r="C743" s="864" t="s">
        <v>3109</v>
      </c>
      <c r="D743" s="861" t="s">
        <v>950</v>
      </c>
      <c r="E743" s="865">
        <v>5456</v>
      </c>
      <c r="F743" s="866"/>
      <c r="G743" s="853"/>
      <c r="H743" s="853"/>
      <c r="I743" s="853"/>
      <c r="J743" s="853"/>
      <c r="K743" s="853"/>
      <c r="M743" s="853"/>
      <c r="N743" s="853"/>
      <c r="O743" s="853"/>
    </row>
    <row r="744" spans="2:15" ht="18.75" x14ac:dyDescent="0.25">
      <c r="B744" s="859" t="s">
        <v>1933</v>
      </c>
      <c r="C744" s="864" t="s">
        <v>3110</v>
      </c>
      <c r="D744" s="861" t="s">
        <v>950</v>
      </c>
      <c r="E744" s="865">
        <v>14819</v>
      </c>
      <c r="F744" s="866"/>
      <c r="G744" s="853"/>
      <c r="H744" s="853"/>
      <c r="I744" s="853"/>
      <c r="J744" s="853"/>
      <c r="K744" s="853"/>
      <c r="M744" s="853"/>
      <c r="N744" s="853"/>
      <c r="O744" s="853"/>
    </row>
    <row r="745" spans="2:15" ht="18.75" x14ac:dyDescent="0.25">
      <c r="B745" s="859" t="s">
        <v>1934</v>
      </c>
      <c r="C745" s="864" t="s">
        <v>3111</v>
      </c>
      <c r="D745" s="861" t="s">
        <v>950</v>
      </c>
      <c r="E745" s="865">
        <v>20516</v>
      </c>
      <c r="F745" s="866"/>
      <c r="G745" s="853"/>
      <c r="H745" s="853"/>
      <c r="I745" s="853"/>
      <c r="J745" s="853"/>
      <c r="K745" s="853"/>
      <c r="M745" s="853"/>
      <c r="N745" s="853"/>
      <c r="O745" s="853"/>
    </row>
    <row r="746" spans="2:15" ht="18.75" x14ac:dyDescent="0.25">
      <c r="B746" s="859" t="s">
        <v>1935</v>
      </c>
      <c r="C746" s="864" t="s">
        <v>3112</v>
      </c>
      <c r="D746" s="861" t="s">
        <v>950</v>
      </c>
      <c r="E746" s="865">
        <v>20717</v>
      </c>
      <c r="F746" s="866"/>
      <c r="G746" s="853"/>
      <c r="H746" s="853"/>
      <c r="I746" s="853"/>
      <c r="J746" s="853"/>
      <c r="K746" s="853"/>
      <c r="M746" s="853"/>
      <c r="N746" s="853"/>
      <c r="O746" s="853"/>
    </row>
    <row r="747" spans="2:15" ht="18.75" x14ac:dyDescent="0.25">
      <c r="B747" s="859" t="s">
        <v>1936</v>
      </c>
      <c r="C747" s="864" t="s">
        <v>3113</v>
      </c>
      <c r="D747" s="861" t="s">
        <v>950</v>
      </c>
      <c r="E747" s="865">
        <v>13095</v>
      </c>
      <c r="F747" s="866"/>
      <c r="G747" s="853"/>
      <c r="H747" s="853"/>
      <c r="I747" s="853"/>
      <c r="J747" s="853"/>
      <c r="K747" s="853"/>
      <c r="M747" s="853"/>
      <c r="N747" s="853"/>
      <c r="O747" s="853"/>
    </row>
    <row r="748" spans="2:15" ht="18.75" x14ac:dyDescent="0.25">
      <c r="B748" s="859" t="s">
        <v>1937</v>
      </c>
      <c r="C748" s="864" t="s">
        <v>3114</v>
      </c>
      <c r="D748" s="861" t="s">
        <v>950</v>
      </c>
      <c r="E748" s="865">
        <v>66016</v>
      </c>
      <c r="F748" s="866"/>
      <c r="G748" s="853"/>
      <c r="H748" s="853"/>
      <c r="I748" s="853"/>
      <c r="J748" s="853"/>
      <c r="K748" s="853"/>
      <c r="M748" s="853"/>
      <c r="N748" s="853"/>
      <c r="O748" s="853"/>
    </row>
    <row r="749" spans="2:15" ht="18.75" x14ac:dyDescent="0.25">
      <c r="B749" s="859" t="s">
        <v>1938</v>
      </c>
      <c r="C749" s="864" t="s">
        <v>3115</v>
      </c>
      <c r="D749" s="861" t="s">
        <v>950</v>
      </c>
      <c r="E749" s="865">
        <v>2401</v>
      </c>
      <c r="F749" s="866"/>
      <c r="G749" s="853"/>
      <c r="H749" s="853"/>
      <c r="I749" s="853"/>
      <c r="J749" s="853"/>
      <c r="K749" s="853"/>
      <c r="M749" s="853"/>
      <c r="N749" s="853"/>
      <c r="O749" s="853"/>
    </row>
    <row r="750" spans="2:15" ht="18.75" x14ac:dyDescent="0.25">
      <c r="B750" s="859" t="s">
        <v>1940</v>
      </c>
      <c r="C750" s="864" t="s">
        <v>3116</v>
      </c>
      <c r="D750" s="861" t="s">
        <v>950</v>
      </c>
      <c r="E750" s="865">
        <v>3056</v>
      </c>
      <c r="F750" s="866"/>
      <c r="G750" s="853"/>
      <c r="H750" s="853"/>
      <c r="I750" s="853"/>
      <c r="J750" s="853"/>
      <c r="K750" s="853"/>
      <c r="M750" s="853"/>
      <c r="N750" s="853"/>
      <c r="O750" s="853"/>
    </row>
    <row r="751" spans="2:15" ht="18.75" x14ac:dyDescent="0.25">
      <c r="B751" s="859" t="s">
        <v>1942</v>
      </c>
      <c r="C751" s="864" t="s">
        <v>3117</v>
      </c>
      <c r="D751" s="861" t="s">
        <v>950</v>
      </c>
      <c r="E751" s="865">
        <v>4632</v>
      </c>
      <c r="F751" s="866"/>
      <c r="G751" s="853"/>
      <c r="H751" s="853"/>
      <c r="I751" s="853"/>
      <c r="J751" s="853"/>
      <c r="K751" s="853"/>
      <c r="M751" s="853"/>
      <c r="N751" s="853"/>
      <c r="O751" s="853"/>
    </row>
    <row r="752" spans="2:15" ht="18.75" x14ac:dyDescent="0.25">
      <c r="B752" s="859" t="s">
        <v>1944</v>
      </c>
      <c r="C752" s="864" t="s">
        <v>3118</v>
      </c>
      <c r="D752" s="861" t="s">
        <v>950</v>
      </c>
      <c r="E752" s="865">
        <v>5675</v>
      </c>
      <c r="F752" s="866"/>
      <c r="G752" s="853"/>
      <c r="H752" s="853"/>
      <c r="I752" s="853"/>
      <c r="J752" s="853"/>
      <c r="K752" s="853"/>
      <c r="M752" s="853"/>
      <c r="N752" s="853"/>
      <c r="O752" s="853"/>
    </row>
    <row r="753" spans="2:15" ht="18.75" x14ac:dyDescent="0.25">
      <c r="B753" s="859" t="s">
        <v>1945</v>
      </c>
      <c r="C753" s="864" t="s">
        <v>3119</v>
      </c>
      <c r="D753" s="861" t="s">
        <v>950</v>
      </c>
      <c r="E753" s="865">
        <v>3190</v>
      </c>
      <c r="F753" s="866"/>
      <c r="G753" s="853"/>
      <c r="H753" s="853"/>
      <c r="I753" s="853"/>
      <c r="J753" s="853"/>
      <c r="K753" s="853"/>
      <c r="M753" s="853"/>
      <c r="N753" s="853"/>
      <c r="O753" s="853"/>
    </row>
    <row r="754" spans="2:15" ht="18.75" x14ac:dyDescent="0.25">
      <c r="B754" s="859" t="s">
        <v>1947</v>
      </c>
      <c r="C754" s="864" t="s">
        <v>3120</v>
      </c>
      <c r="D754" s="861" t="s">
        <v>950</v>
      </c>
      <c r="E754" s="865">
        <v>3693</v>
      </c>
      <c r="F754" s="866"/>
      <c r="G754" s="853"/>
      <c r="H754" s="853"/>
      <c r="I754" s="853"/>
      <c r="J754" s="853"/>
      <c r="K754" s="853"/>
      <c r="M754" s="853"/>
      <c r="N754" s="853"/>
      <c r="O754" s="853"/>
    </row>
    <row r="755" spans="2:15" ht="18.75" x14ac:dyDescent="0.25">
      <c r="B755" s="859" t="s">
        <v>1949</v>
      </c>
      <c r="C755" s="864" t="s">
        <v>3121</v>
      </c>
      <c r="D755" s="861" t="s">
        <v>950</v>
      </c>
      <c r="E755" s="865">
        <v>4533</v>
      </c>
      <c r="F755" s="866"/>
      <c r="G755" s="853"/>
      <c r="H755" s="853"/>
      <c r="I755" s="853"/>
      <c r="J755" s="853"/>
      <c r="K755" s="853"/>
      <c r="M755" s="853"/>
      <c r="N755" s="853"/>
      <c r="O755" s="853"/>
    </row>
    <row r="756" spans="2:15" ht="18.75" x14ac:dyDescent="0.25">
      <c r="B756" s="859" t="s">
        <v>1951</v>
      </c>
      <c r="C756" s="864" t="s">
        <v>3122</v>
      </c>
      <c r="D756" s="861" t="s">
        <v>950</v>
      </c>
      <c r="E756" s="865">
        <v>5540</v>
      </c>
      <c r="F756" s="866"/>
      <c r="G756" s="853"/>
      <c r="H756" s="853"/>
      <c r="I756" s="853"/>
      <c r="J756" s="853"/>
      <c r="K756" s="853"/>
      <c r="M756" s="853"/>
      <c r="N756" s="853"/>
      <c r="O756" s="853"/>
    </row>
    <row r="757" spans="2:15" ht="18.75" x14ac:dyDescent="0.25">
      <c r="B757" s="859" t="s">
        <v>1952</v>
      </c>
      <c r="C757" s="864" t="s">
        <v>3123</v>
      </c>
      <c r="D757" s="861" t="s">
        <v>950</v>
      </c>
      <c r="E757" s="865">
        <v>9234</v>
      </c>
      <c r="F757" s="866"/>
      <c r="G757" s="853"/>
      <c r="H757" s="853"/>
      <c r="I757" s="853"/>
      <c r="J757" s="853"/>
      <c r="K757" s="853"/>
      <c r="M757" s="853"/>
      <c r="N757" s="853"/>
      <c r="O757" s="853"/>
    </row>
    <row r="758" spans="2:15" x14ac:dyDescent="0.25">
      <c r="B758" s="859" t="s">
        <v>1953</v>
      </c>
      <c r="C758" s="864" t="s">
        <v>1954</v>
      </c>
      <c r="D758" s="861" t="s">
        <v>727</v>
      </c>
      <c r="E758" s="865">
        <v>26719</v>
      </c>
      <c r="F758" s="866"/>
      <c r="G758" s="853"/>
      <c r="H758" s="853"/>
      <c r="I758" s="853"/>
      <c r="J758" s="853"/>
      <c r="K758" s="853"/>
      <c r="M758" s="853"/>
      <c r="N758" s="853"/>
      <c r="O758" s="853"/>
    </row>
    <row r="759" spans="2:15" x14ac:dyDescent="0.25">
      <c r="B759" s="859" t="s">
        <v>1955</v>
      </c>
      <c r="C759" s="864" t="s">
        <v>1956</v>
      </c>
      <c r="D759" s="861" t="s">
        <v>1957</v>
      </c>
      <c r="E759" s="865">
        <v>148940</v>
      </c>
      <c r="F759" s="866"/>
      <c r="G759" s="853"/>
      <c r="H759" s="853"/>
      <c r="I759" s="853"/>
      <c r="J759" s="853"/>
      <c r="K759" s="853"/>
      <c r="M759" s="853"/>
      <c r="N759" s="853"/>
      <c r="O759" s="853"/>
    </row>
    <row r="760" spans="2:15" x14ac:dyDescent="0.25">
      <c r="B760" s="859" t="s">
        <v>1958</v>
      </c>
      <c r="C760" s="864" t="s">
        <v>1959</v>
      </c>
      <c r="D760" s="861" t="s">
        <v>950</v>
      </c>
      <c r="E760" s="862">
        <v>410</v>
      </c>
      <c r="F760" s="863"/>
      <c r="G760" s="853"/>
      <c r="H760" s="853"/>
      <c r="I760" s="853"/>
      <c r="J760" s="853"/>
      <c r="K760" s="853"/>
      <c r="M760" s="853"/>
      <c r="N760" s="853"/>
      <c r="O760" s="853"/>
    </row>
    <row r="761" spans="2:15" x14ac:dyDescent="0.25">
      <c r="B761" s="859" t="s">
        <v>1960</v>
      </c>
      <c r="C761" s="864" t="s">
        <v>1961</v>
      </c>
      <c r="D761" s="861" t="s">
        <v>950</v>
      </c>
      <c r="E761" s="862">
        <v>423</v>
      </c>
      <c r="F761" s="863"/>
      <c r="G761" s="853"/>
      <c r="H761" s="853"/>
      <c r="I761" s="853"/>
      <c r="J761" s="853"/>
      <c r="K761" s="853"/>
      <c r="M761" s="853"/>
      <c r="N761" s="853"/>
      <c r="O761" s="853"/>
    </row>
    <row r="762" spans="2:15" x14ac:dyDescent="0.25">
      <c r="B762" s="859" t="s">
        <v>1962</v>
      </c>
      <c r="C762" s="864" t="s">
        <v>1963</v>
      </c>
      <c r="D762" s="861" t="s">
        <v>950</v>
      </c>
      <c r="E762" s="862">
        <v>567</v>
      </c>
      <c r="F762" s="863"/>
      <c r="G762" s="853"/>
      <c r="H762" s="853"/>
      <c r="I762" s="853"/>
      <c r="J762" s="853"/>
      <c r="K762" s="853"/>
      <c r="M762" s="853"/>
      <c r="N762" s="853"/>
      <c r="O762" s="853"/>
    </row>
    <row r="763" spans="2:15" x14ac:dyDescent="0.25">
      <c r="B763" s="859" t="s">
        <v>1964</v>
      </c>
      <c r="C763" s="864" t="s">
        <v>1965</v>
      </c>
      <c r="D763" s="861" t="s">
        <v>950</v>
      </c>
      <c r="E763" s="862">
        <v>635</v>
      </c>
      <c r="F763" s="863"/>
      <c r="G763" s="853"/>
      <c r="H763" s="853"/>
      <c r="I763" s="853"/>
      <c r="J763" s="853"/>
      <c r="K763" s="853"/>
      <c r="M763" s="853"/>
      <c r="N763" s="853"/>
      <c r="O763" s="853"/>
    </row>
    <row r="764" spans="2:15" x14ac:dyDescent="0.25">
      <c r="B764" s="859" t="s">
        <v>1966</v>
      </c>
      <c r="C764" s="864" t="s">
        <v>1967</v>
      </c>
      <c r="D764" s="861" t="s">
        <v>950</v>
      </c>
      <c r="E764" s="862">
        <v>876</v>
      </c>
      <c r="F764" s="866"/>
      <c r="G764" s="853"/>
      <c r="H764" s="853"/>
      <c r="I764" s="853"/>
      <c r="J764" s="853"/>
      <c r="K764" s="853"/>
      <c r="M764" s="853"/>
      <c r="N764" s="853"/>
      <c r="O764" s="853"/>
    </row>
    <row r="765" spans="2:15" x14ac:dyDescent="0.25">
      <c r="B765" s="859" t="s">
        <v>1968</v>
      </c>
      <c r="C765" s="864" t="s">
        <v>1969</v>
      </c>
      <c r="D765" s="861" t="s">
        <v>950</v>
      </c>
      <c r="E765" s="865">
        <v>1239</v>
      </c>
      <c r="F765" s="866"/>
      <c r="G765" s="853"/>
      <c r="H765" s="853"/>
      <c r="I765" s="853"/>
      <c r="J765" s="853"/>
      <c r="K765" s="853"/>
      <c r="M765" s="853"/>
      <c r="N765" s="853"/>
      <c r="O765" s="853"/>
    </row>
    <row r="766" spans="2:15" x14ac:dyDescent="0.25">
      <c r="B766" s="859" t="s">
        <v>1970</v>
      </c>
      <c r="C766" s="864" t="s">
        <v>1971</v>
      </c>
      <c r="D766" s="861" t="s">
        <v>950</v>
      </c>
      <c r="E766" s="865">
        <v>1964</v>
      </c>
      <c r="F766" s="866"/>
      <c r="G766" s="853"/>
      <c r="H766" s="853"/>
      <c r="I766" s="853"/>
      <c r="J766" s="853"/>
      <c r="K766" s="853"/>
      <c r="M766" s="853"/>
      <c r="N766" s="853"/>
      <c r="O766" s="853"/>
    </row>
    <row r="767" spans="2:15" x14ac:dyDescent="0.25">
      <c r="B767" s="859" t="s">
        <v>1972</v>
      </c>
      <c r="C767" s="864" t="s">
        <v>1973</v>
      </c>
      <c r="D767" s="861" t="s">
        <v>950</v>
      </c>
      <c r="E767" s="865">
        <v>2569</v>
      </c>
      <c r="F767" s="866"/>
      <c r="G767" s="853"/>
      <c r="H767" s="853"/>
      <c r="I767" s="853"/>
      <c r="J767" s="853"/>
      <c r="K767" s="853"/>
      <c r="M767" s="853"/>
      <c r="N767" s="853"/>
      <c r="O767" s="853"/>
    </row>
    <row r="768" spans="2:15" x14ac:dyDescent="0.25">
      <c r="B768" s="859" t="s">
        <v>1974</v>
      </c>
      <c r="C768" s="860" t="s">
        <v>1975</v>
      </c>
      <c r="D768" s="861"/>
      <c r="E768" s="862"/>
      <c r="F768" s="863"/>
      <c r="G768" s="853"/>
      <c r="H768" s="853"/>
      <c r="I768" s="853"/>
      <c r="J768" s="853"/>
      <c r="K768" s="853"/>
      <c r="M768" s="853"/>
      <c r="N768" s="853"/>
      <c r="O768" s="853"/>
    </row>
    <row r="769" spans="2:15" ht="66" x14ac:dyDescent="0.25">
      <c r="B769" s="859" t="s">
        <v>1976</v>
      </c>
      <c r="C769" s="864" t="s">
        <v>3124</v>
      </c>
      <c r="D769" s="861" t="s">
        <v>950</v>
      </c>
      <c r="E769" s="865">
        <v>5372</v>
      </c>
      <c r="F769" s="866"/>
      <c r="G769" s="853"/>
      <c r="H769" s="853"/>
      <c r="I769" s="853"/>
      <c r="J769" s="853"/>
      <c r="K769" s="853"/>
      <c r="M769" s="853"/>
      <c r="N769" s="853"/>
      <c r="O769" s="853"/>
    </row>
    <row r="770" spans="2:15" ht="31.5" x14ac:dyDescent="0.25">
      <c r="B770" s="859" t="s">
        <v>1978</v>
      </c>
      <c r="C770" s="864" t="s">
        <v>1979</v>
      </c>
      <c r="D770" s="861" t="s">
        <v>727</v>
      </c>
      <c r="E770" s="865">
        <v>53891</v>
      </c>
      <c r="F770" s="866"/>
      <c r="G770" s="853"/>
      <c r="H770" s="853"/>
      <c r="I770" s="853"/>
      <c r="J770" s="853"/>
      <c r="K770" s="853"/>
      <c r="M770" s="853"/>
      <c r="N770" s="853"/>
      <c r="O770" s="853"/>
    </row>
    <row r="771" spans="2:15" x14ac:dyDescent="0.25">
      <c r="B771" s="859" t="s">
        <v>1980</v>
      </c>
      <c r="C771" s="864" t="s">
        <v>1981</v>
      </c>
      <c r="D771" s="861" t="s">
        <v>1957</v>
      </c>
      <c r="E771" s="865">
        <v>125915</v>
      </c>
      <c r="F771" s="866"/>
      <c r="G771" s="853"/>
      <c r="H771" s="853"/>
      <c r="I771" s="853"/>
      <c r="J771" s="853"/>
      <c r="K771" s="853"/>
      <c r="M771" s="853"/>
      <c r="N771" s="853"/>
      <c r="O771" s="853"/>
    </row>
    <row r="772" spans="2:15" x14ac:dyDescent="0.25">
      <c r="B772" s="859" t="s">
        <v>1982</v>
      </c>
      <c r="C772" s="860" t="s">
        <v>1983</v>
      </c>
      <c r="D772" s="861"/>
      <c r="E772" s="862"/>
      <c r="F772" s="863"/>
      <c r="G772" s="853"/>
      <c r="H772" s="853"/>
      <c r="I772" s="853"/>
      <c r="J772" s="853"/>
      <c r="K772" s="853"/>
      <c r="M772" s="853"/>
      <c r="N772" s="853"/>
      <c r="O772" s="853"/>
    </row>
    <row r="773" spans="2:15" x14ac:dyDescent="0.25">
      <c r="B773" s="859" t="s">
        <v>1984</v>
      </c>
      <c r="C773" s="864" t="s">
        <v>1985</v>
      </c>
      <c r="D773" s="861" t="s">
        <v>727</v>
      </c>
      <c r="E773" s="865">
        <v>474024</v>
      </c>
      <c r="F773" s="866"/>
      <c r="G773" s="853"/>
      <c r="H773" s="853"/>
      <c r="I773" s="853"/>
      <c r="J773" s="853"/>
      <c r="K773" s="853"/>
      <c r="M773" s="853"/>
      <c r="N773" s="853"/>
      <c r="O773" s="853"/>
    </row>
    <row r="774" spans="2:15" x14ac:dyDescent="0.25">
      <c r="B774" s="859" t="s">
        <v>1986</v>
      </c>
      <c r="C774" s="864" t="s">
        <v>1987</v>
      </c>
      <c r="D774" s="861" t="s">
        <v>727</v>
      </c>
      <c r="E774" s="865">
        <v>155132</v>
      </c>
      <c r="F774" s="866"/>
      <c r="G774" s="853"/>
      <c r="H774" s="853"/>
      <c r="I774" s="853"/>
      <c r="J774" s="853"/>
      <c r="K774" s="853"/>
      <c r="M774" s="853"/>
      <c r="N774" s="853"/>
      <c r="O774" s="853"/>
    </row>
    <row r="775" spans="2:15" x14ac:dyDescent="0.25">
      <c r="B775" s="859" t="s">
        <v>1988</v>
      </c>
      <c r="C775" s="864" t="s">
        <v>1989</v>
      </c>
      <c r="D775" s="861" t="s">
        <v>727</v>
      </c>
      <c r="E775" s="865">
        <v>291584</v>
      </c>
      <c r="F775" s="866"/>
      <c r="G775" s="853"/>
      <c r="H775" s="853"/>
      <c r="I775" s="853"/>
      <c r="J775" s="853"/>
      <c r="K775" s="853"/>
      <c r="M775" s="853"/>
      <c r="N775" s="853"/>
      <c r="O775" s="853"/>
    </row>
    <row r="776" spans="2:15" x14ac:dyDescent="0.25">
      <c r="B776" s="859" t="s">
        <v>1990</v>
      </c>
      <c r="C776" s="864" t="s">
        <v>1991</v>
      </c>
      <c r="D776" s="861" t="s">
        <v>727</v>
      </c>
      <c r="E776" s="865">
        <v>297091</v>
      </c>
      <c r="F776" s="866"/>
      <c r="G776" s="853"/>
      <c r="H776" s="853"/>
      <c r="I776" s="853"/>
      <c r="J776" s="853"/>
      <c r="K776" s="853"/>
      <c r="M776" s="853"/>
      <c r="N776" s="853"/>
      <c r="O776" s="853"/>
    </row>
    <row r="777" spans="2:15" x14ac:dyDescent="0.25">
      <c r="B777" s="859" t="s">
        <v>1992</v>
      </c>
      <c r="C777" s="864" t="s">
        <v>1993</v>
      </c>
      <c r="D777" s="861" t="s">
        <v>727</v>
      </c>
      <c r="E777" s="865">
        <v>305860</v>
      </c>
      <c r="F777" s="866"/>
      <c r="G777" s="853"/>
      <c r="H777" s="853"/>
      <c r="I777" s="853"/>
      <c r="J777" s="853"/>
      <c r="K777" s="853"/>
      <c r="M777" s="853"/>
      <c r="N777" s="853"/>
      <c r="O777" s="853"/>
    </row>
    <row r="778" spans="2:15" x14ac:dyDescent="0.25">
      <c r="B778" s="859" t="s">
        <v>1994</v>
      </c>
      <c r="C778" s="864" t="s">
        <v>1995</v>
      </c>
      <c r="D778" s="861" t="s">
        <v>727</v>
      </c>
      <c r="E778" s="865">
        <v>163353</v>
      </c>
      <c r="F778" s="866"/>
      <c r="G778" s="853"/>
      <c r="H778" s="853"/>
      <c r="I778" s="853"/>
      <c r="J778" s="853"/>
      <c r="K778" s="853"/>
      <c r="M778" s="853"/>
      <c r="N778" s="853"/>
      <c r="O778" s="853"/>
    </row>
    <row r="779" spans="2:15" x14ac:dyDescent="0.25">
      <c r="B779" s="859" t="s">
        <v>1996</v>
      </c>
      <c r="C779" s="864" t="s">
        <v>1997</v>
      </c>
      <c r="D779" s="861" t="s">
        <v>727</v>
      </c>
      <c r="E779" s="865">
        <v>164901</v>
      </c>
      <c r="F779" s="866"/>
      <c r="G779" s="853"/>
      <c r="H779" s="853"/>
      <c r="I779" s="853"/>
      <c r="J779" s="853"/>
      <c r="K779" s="853"/>
      <c r="M779" s="853"/>
      <c r="N779" s="853"/>
      <c r="O779" s="853"/>
    </row>
    <row r="780" spans="2:15" x14ac:dyDescent="0.25">
      <c r="B780" s="859" t="s">
        <v>1998</v>
      </c>
      <c r="C780" s="864" t="s">
        <v>1999</v>
      </c>
      <c r="D780" s="861" t="s">
        <v>727</v>
      </c>
      <c r="E780" s="865">
        <v>484112</v>
      </c>
      <c r="F780" s="866"/>
      <c r="G780" s="853"/>
      <c r="H780" s="853"/>
      <c r="I780" s="853"/>
      <c r="J780" s="853"/>
      <c r="K780" s="853"/>
      <c r="M780" s="853"/>
      <c r="N780" s="853"/>
      <c r="O780" s="853"/>
    </row>
    <row r="781" spans="2:15" x14ac:dyDescent="0.25">
      <c r="B781" s="859" t="s">
        <v>2000</v>
      </c>
      <c r="C781" s="864" t="s">
        <v>2001</v>
      </c>
      <c r="D781" s="861" t="s">
        <v>727</v>
      </c>
      <c r="E781" s="865">
        <v>225108</v>
      </c>
      <c r="F781" s="866"/>
      <c r="G781" s="853"/>
      <c r="H781" s="853"/>
      <c r="I781" s="853"/>
      <c r="J781" s="853"/>
      <c r="K781" s="853"/>
      <c r="M781" s="853"/>
      <c r="N781" s="853"/>
      <c r="O781" s="853"/>
    </row>
    <row r="782" spans="2:15" x14ac:dyDescent="0.25">
      <c r="B782" s="859" t="s">
        <v>2002</v>
      </c>
      <c r="C782" s="864" t="s">
        <v>2003</v>
      </c>
      <c r="D782" s="861" t="s">
        <v>727</v>
      </c>
      <c r="E782" s="865">
        <v>341823</v>
      </c>
      <c r="F782" s="866"/>
      <c r="G782" s="853"/>
      <c r="H782" s="853"/>
      <c r="I782" s="853"/>
      <c r="J782" s="853"/>
      <c r="K782" s="853"/>
      <c r="M782" s="853"/>
      <c r="N782" s="853"/>
      <c r="O782" s="853"/>
    </row>
    <row r="783" spans="2:15" x14ac:dyDescent="0.25">
      <c r="B783" s="859" t="s">
        <v>2004</v>
      </c>
      <c r="C783" s="864" t="s">
        <v>2005</v>
      </c>
      <c r="D783" s="861" t="s">
        <v>727</v>
      </c>
      <c r="E783" s="865">
        <v>75549</v>
      </c>
      <c r="F783" s="866"/>
      <c r="G783" s="853"/>
      <c r="H783" s="853"/>
      <c r="I783" s="853"/>
      <c r="J783" s="853"/>
      <c r="K783" s="853"/>
      <c r="M783" s="853"/>
      <c r="N783" s="853"/>
      <c r="O783" s="853"/>
    </row>
    <row r="784" spans="2:15" ht="47.25" x14ac:dyDescent="0.25">
      <c r="B784" s="859" t="s">
        <v>2006</v>
      </c>
      <c r="C784" s="864" t="s">
        <v>2007</v>
      </c>
      <c r="D784" s="861" t="s">
        <v>727</v>
      </c>
      <c r="E784" s="865">
        <v>486554</v>
      </c>
      <c r="F784" s="866"/>
      <c r="G784" s="853"/>
      <c r="H784" s="853"/>
      <c r="I784" s="853"/>
      <c r="J784" s="853"/>
      <c r="K784" s="853"/>
      <c r="M784" s="853"/>
      <c r="N784" s="853"/>
      <c r="O784" s="853"/>
    </row>
    <row r="785" spans="2:15" ht="47.25" x14ac:dyDescent="0.25">
      <c r="B785" s="859" t="s">
        <v>2008</v>
      </c>
      <c r="C785" s="864" t="s">
        <v>2009</v>
      </c>
      <c r="D785" s="861" t="s">
        <v>727</v>
      </c>
      <c r="E785" s="865">
        <v>481566</v>
      </c>
      <c r="F785" s="866"/>
      <c r="G785" s="853"/>
      <c r="H785" s="853"/>
      <c r="I785" s="853"/>
      <c r="J785" s="853"/>
      <c r="K785" s="853"/>
      <c r="M785" s="853"/>
      <c r="N785" s="853"/>
      <c r="O785" s="853"/>
    </row>
    <row r="786" spans="2:15" ht="47.25" x14ac:dyDescent="0.25">
      <c r="B786" s="859" t="s">
        <v>2010</v>
      </c>
      <c r="C786" s="864" t="s">
        <v>2011</v>
      </c>
      <c r="D786" s="861" t="s">
        <v>727</v>
      </c>
      <c r="E786" s="865">
        <v>657458</v>
      </c>
      <c r="F786" s="866"/>
      <c r="G786" s="853"/>
      <c r="H786" s="853"/>
      <c r="I786" s="853"/>
      <c r="J786" s="853"/>
      <c r="K786" s="853"/>
      <c r="M786" s="853"/>
      <c r="N786" s="853"/>
      <c r="O786" s="853"/>
    </row>
    <row r="787" spans="2:15" x14ac:dyDescent="0.25">
      <c r="B787" s="859" t="s">
        <v>2012</v>
      </c>
      <c r="C787" s="864" t="s">
        <v>2013</v>
      </c>
      <c r="D787" s="861" t="s">
        <v>727</v>
      </c>
      <c r="E787" s="865">
        <v>50440</v>
      </c>
      <c r="F787" s="866"/>
      <c r="G787" s="853"/>
      <c r="H787" s="853"/>
      <c r="I787" s="853"/>
      <c r="J787" s="853"/>
      <c r="K787" s="853"/>
      <c r="M787" s="853"/>
      <c r="N787" s="853"/>
      <c r="O787" s="853"/>
    </row>
    <row r="788" spans="2:15" x14ac:dyDescent="0.25">
      <c r="B788" s="859" t="s">
        <v>2014</v>
      </c>
      <c r="C788" s="864" t="s">
        <v>2015</v>
      </c>
      <c r="D788" s="861" t="s">
        <v>727</v>
      </c>
      <c r="E788" s="865">
        <v>77601</v>
      </c>
      <c r="F788" s="866"/>
      <c r="G788" s="853"/>
      <c r="H788" s="853"/>
      <c r="I788" s="853"/>
      <c r="J788" s="853"/>
      <c r="K788" s="853"/>
      <c r="M788" s="853"/>
      <c r="N788" s="853"/>
      <c r="O788" s="853"/>
    </row>
    <row r="789" spans="2:15" x14ac:dyDescent="0.25">
      <c r="B789" s="859" t="s">
        <v>2016</v>
      </c>
      <c r="C789" s="864" t="s">
        <v>2017</v>
      </c>
      <c r="D789" s="861" t="s">
        <v>727</v>
      </c>
      <c r="E789" s="865">
        <v>114628</v>
      </c>
      <c r="F789" s="866"/>
      <c r="G789" s="853"/>
      <c r="H789" s="853"/>
      <c r="I789" s="853"/>
      <c r="J789" s="853"/>
      <c r="K789" s="853"/>
      <c r="M789" s="853"/>
      <c r="N789" s="853"/>
      <c r="O789" s="853"/>
    </row>
    <row r="790" spans="2:15" x14ac:dyDescent="0.25">
      <c r="B790" s="859" t="s">
        <v>2018</v>
      </c>
      <c r="C790" s="864" t="s">
        <v>2019</v>
      </c>
      <c r="D790" s="861" t="s">
        <v>727</v>
      </c>
      <c r="E790" s="865">
        <v>155201</v>
      </c>
      <c r="F790" s="866"/>
      <c r="G790" s="853"/>
      <c r="H790" s="853"/>
      <c r="I790" s="853"/>
      <c r="J790" s="853"/>
      <c r="K790" s="853"/>
      <c r="M790" s="853"/>
      <c r="N790" s="853"/>
      <c r="O790" s="853"/>
    </row>
    <row r="791" spans="2:15" x14ac:dyDescent="0.25">
      <c r="B791" s="859" t="s">
        <v>2020</v>
      </c>
      <c r="C791" s="864" t="s">
        <v>2021</v>
      </c>
      <c r="D791" s="861" t="s">
        <v>727</v>
      </c>
      <c r="E791" s="865">
        <v>155201</v>
      </c>
      <c r="F791" s="866"/>
      <c r="G791" s="853"/>
      <c r="H791" s="853"/>
      <c r="I791" s="853"/>
      <c r="J791" s="853"/>
      <c r="K791" s="853"/>
      <c r="M791" s="853"/>
      <c r="N791" s="853"/>
      <c r="O791" s="853"/>
    </row>
    <row r="792" spans="2:15" ht="31.5" x14ac:dyDescent="0.25">
      <c r="B792" s="859" t="s">
        <v>2022</v>
      </c>
      <c r="C792" s="864" t="s">
        <v>2023</v>
      </c>
      <c r="D792" s="861" t="s">
        <v>727</v>
      </c>
      <c r="E792" s="865">
        <v>504404</v>
      </c>
      <c r="F792" s="866"/>
      <c r="G792" s="853"/>
      <c r="H792" s="853"/>
      <c r="I792" s="853"/>
      <c r="J792" s="853"/>
      <c r="K792" s="853"/>
      <c r="M792" s="853"/>
      <c r="N792" s="853"/>
      <c r="O792" s="853"/>
    </row>
    <row r="793" spans="2:15" x14ac:dyDescent="0.25">
      <c r="B793" s="859" t="s">
        <v>2024</v>
      </c>
      <c r="C793" s="864" t="s">
        <v>2025</v>
      </c>
      <c r="D793" s="861"/>
      <c r="E793" s="865">
        <v>194002</v>
      </c>
      <c r="F793" s="866"/>
      <c r="G793" s="853"/>
      <c r="H793" s="853"/>
      <c r="I793" s="853"/>
      <c r="J793" s="853"/>
      <c r="K793" s="853"/>
      <c r="M793" s="853"/>
      <c r="N793" s="853"/>
      <c r="O793" s="853"/>
    </row>
    <row r="794" spans="2:15" x14ac:dyDescent="0.25">
      <c r="B794" s="859" t="s">
        <v>2026</v>
      </c>
      <c r="C794" s="864" t="s">
        <v>2027</v>
      </c>
      <c r="D794" s="861" t="s">
        <v>727</v>
      </c>
      <c r="E794" s="865">
        <v>247158</v>
      </c>
      <c r="F794" s="866"/>
      <c r="G794" s="853"/>
      <c r="H794" s="853"/>
      <c r="I794" s="853"/>
      <c r="J794" s="853"/>
      <c r="K794" s="853"/>
      <c r="M794" s="853"/>
      <c r="N794" s="853"/>
      <c r="O794" s="853"/>
    </row>
    <row r="795" spans="2:15" x14ac:dyDescent="0.25">
      <c r="B795" s="859" t="s">
        <v>2028</v>
      </c>
      <c r="C795" s="864" t="s">
        <v>2029</v>
      </c>
      <c r="D795" s="861" t="s">
        <v>727</v>
      </c>
      <c r="E795" s="865">
        <v>18654</v>
      </c>
      <c r="F795" s="866"/>
      <c r="G795" s="853"/>
      <c r="H795" s="853"/>
      <c r="I795" s="853"/>
      <c r="J795" s="853"/>
      <c r="K795" s="853"/>
      <c r="M795" s="853"/>
      <c r="N795" s="853"/>
      <c r="O795" s="853"/>
    </row>
    <row r="796" spans="2:15" x14ac:dyDescent="0.25">
      <c r="B796" s="859" t="s">
        <v>2030</v>
      </c>
      <c r="C796" s="864" t="s">
        <v>2031</v>
      </c>
      <c r="D796" s="861" t="s">
        <v>727</v>
      </c>
      <c r="E796" s="865">
        <v>23465</v>
      </c>
      <c r="F796" s="866"/>
      <c r="G796" s="853"/>
      <c r="H796" s="853"/>
      <c r="I796" s="853"/>
      <c r="J796" s="853"/>
      <c r="K796" s="853"/>
      <c r="M796" s="853"/>
      <c r="N796" s="853"/>
      <c r="O796" s="853"/>
    </row>
    <row r="797" spans="2:15" x14ac:dyDescent="0.25">
      <c r="B797" s="859" t="s">
        <v>2032</v>
      </c>
      <c r="C797" s="864" t="s">
        <v>2033</v>
      </c>
      <c r="D797" s="861" t="s">
        <v>727</v>
      </c>
      <c r="E797" s="865">
        <v>213402</v>
      </c>
      <c r="F797" s="866"/>
      <c r="G797" s="853"/>
      <c r="H797" s="853"/>
      <c r="I797" s="853"/>
      <c r="J797" s="853"/>
      <c r="K797" s="853"/>
      <c r="M797" s="853"/>
      <c r="N797" s="853"/>
      <c r="O797" s="853"/>
    </row>
    <row r="798" spans="2:15" x14ac:dyDescent="0.25">
      <c r="B798" s="859" t="s">
        <v>2034</v>
      </c>
      <c r="C798" s="864" t="s">
        <v>2035</v>
      </c>
      <c r="D798" s="861" t="s">
        <v>727</v>
      </c>
      <c r="E798" s="865">
        <v>119087</v>
      </c>
      <c r="F798" s="866"/>
      <c r="G798" s="853"/>
      <c r="H798" s="853"/>
      <c r="I798" s="853"/>
      <c r="J798" s="853"/>
      <c r="K798" s="853"/>
      <c r="M798" s="853"/>
      <c r="N798" s="853"/>
      <c r="O798" s="853"/>
    </row>
    <row r="799" spans="2:15" x14ac:dyDescent="0.25">
      <c r="B799" s="859" t="s">
        <v>2036</v>
      </c>
      <c r="C799" s="864" t="s">
        <v>2037</v>
      </c>
      <c r="D799" s="861" t="s">
        <v>727</v>
      </c>
      <c r="E799" s="865">
        <v>122436</v>
      </c>
      <c r="F799" s="866"/>
      <c r="G799" s="853"/>
      <c r="H799" s="853"/>
      <c r="I799" s="853"/>
      <c r="J799" s="853"/>
      <c r="K799" s="853"/>
      <c r="M799" s="853"/>
      <c r="N799" s="853"/>
      <c r="O799" s="853"/>
    </row>
    <row r="800" spans="2:15" x14ac:dyDescent="0.25">
      <c r="B800" s="859" t="s">
        <v>2038</v>
      </c>
      <c r="C800" s="864" t="s">
        <v>2039</v>
      </c>
      <c r="D800" s="861" t="s">
        <v>727</v>
      </c>
      <c r="E800" s="865">
        <v>158484</v>
      </c>
      <c r="F800" s="866"/>
      <c r="G800" s="853"/>
      <c r="H800" s="853"/>
      <c r="I800" s="853"/>
      <c r="J800" s="853"/>
      <c r="K800" s="853"/>
      <c r="M800" s="853"/>
      <c r="N800" s="853"/>
      <c r="O800" s="853"/>
    </row>
    <row r="801" spans="2:15" x14ac:dyDescent="0.25">
      <c r="B801" s="859" t="s">
        <v>2040</v>
      </c>
      <c r="C801" s="864" t="s">
        <v>2041</v>
      </c>
      <c r="D801" s="861" t="s">
        <v>727</v>
      </c>
      <c r="E801" s="865">
        <v>214297</v>
      </c>
      <c r="F801" s="866"/>
      <c r="G801" s="853"/>
      <c r="H801" s="853"/>
      <c r="I801" s="853"/>
      <c r="J801" s="853"/>
      <c r="K801" s="853"/>
      <c r="M801" s="853"/>
      <c r="N801" s="853"/>
      <c r="O801" s="853"/>
    </row>
    <row r="802" spans="2:15" x14ac:dyDescent="0.25">
      <c r="B802" s="859" t="s">
        <v>2042</v>
      </c>
      <c r="C802" s="864" t="s">
        <v>2043</v>
      </c>
      <c r="D802" s="861" t="s">
        <v>727</v>
      </c>
      <c r="E802" s="865">
        <v>143561</v>
      </c>
      <c r="F802" s="866"/>
      <c r="G802" s="853"/>
      <c r="H802" s="853"/>
      <c r="I802" s="853"/>
      <c r="J802" s="853"/>
      <c r="K802" s="853"/>
      <c r="M802" s="853"/>
      <c r="N802" s="853"/>
      <c r="O802" s="853"/>
    </row>
    <row r="803" spans="2:15" x14ac:dyDescent="0.25">
      <c r="B803" s="859" t="s">
        <v>2044</v>
      </c>
      <c r="C803" s="864" t="s">
        <v>2045</v>
      </c>
      <c r="D803" s="861" t="s">
        <v>727</v>
      </c>
      <c r="E803" s="865">
        <v>147441</v>
      </c>
      <c r="F803" s="866"/>
      <c r="G803" s="853"/>
      <c r="H803" s="853"/>
      <c r="I803" s="853"/>
      <c r="J803" s="853"/>
      <c r="K803" s="853"/>
      <c r="M803" s="853"/>
      <c r="N803" s="853"/>
      <c r="O803" s="853"/>
    </row>
    <row r="804" spans="2:15" x14ac:dyDescent="0.25">
      <c r="B804" s="859" t="s">
        <v>2046</v>
      </c>
      <c r="C804" s="864" t="s">
        <v>2047</v>
      </c>
      <c r="D804" s="861" t="s">
        <v>727</v>
      </c>
      <c r="E804" s="865">
        <v>223117</v>
      </c>
      <c r="F804" s="866"/>
      <c r="G804" s="853"/>
      <c r="H804" s="853"/>
      <c r="I804" s="853"/>
      <c r="J804" s="853"/>
      <c r="K804" s="853"/>
      <c r="M804" s="853"/>
      <c r="N804" s="853"/>
      <c r="O804" s="853"/>
    </row>
    <row r="805" spans="2:15" x14ac:dyDescent="0.25">
      <c r="B805" s="859" t="s">
        <v>2048</v>
      </c>
      <c r="C805" s="864" t="s">
        <v>2049</v>
      </c>
      <c r="D805" s="861" t="s">
        <v>727</v>
      </c>
      <c r="E805" s="865">
        <v>72789</v>
      </c>
      <c r="F805" s="866"/>
      <c r="G805" s="853"/>
      <c r="H805" s="853"/>
      <c r="I805" s="853"/>
      <c r="J805" s="853"/>
      <c r="K805" s="853"/>
      <c r="M805" s="853"/>
      <c r="N805" s="853"/>
      <c r="O805" s="853"/>
    </row>
    <row r="806" spans="2:15" x14ac:dyDescent="0.25">
      <c r="B806" s="859" t="s">
        <v>2050</v>
      </c>
      <c r="C806" s="864" t="s">
        <v>2051</v>
      </c>
      <c r="D806" s="861" t="s">
        <v>727</v>
      </c>
      <c r="E806" s="865">
        <v>28045</v>
      </c>
      <c r="F806" s="866"/>
      <c r="G806" s="853"/>
      <c r="H806" s="853"/>
      <c r="I806" s="853"/>
      <c r="J806" s="853"/>
      <c r="K806" s="853"/>
      <c r="M806" s="853"/>
      <c r="N806" s="853"/>
      <c r="O806" s="853"/>
    </row>
    <row r="807" spans="2:15" x14ac:dyDescent="0.25">
      <c r="B807" s="859" t="s">
        <v>2052</v>
      </c>
      <c r="C807" s="864" t="s">
        <v>2053</v>
      </c>
      <c r="D807" s="861" t="s">
        <v>727</v>
      </c>
      <c r="E807" s="865">
        <v>72024</v>
      </c>
      <c r="F807" s="866"/>
      <c r="G807" s="853"/>
      <c r="H807" s="853"/>
      <c r="I807" s="853"/>
      <c r="J807" s="853"/>
      <c r="K807" s="853"/>
      <c r="M807" s="853"/>
      <c r="N807" s="853"/>
      <c r="O807" s="853"/>
    </row>
    <row r="808" spans="2:15" ht="47.25" x14ac:dyDescent="0.25">
      <c r="B808" s="859" t="s">
        <v>2054</v>
      </c>
      <c r="C808" s="864" t="s">
        <v>2055</v>
      </c>
      <c r="D808" s="861" t="s">
        <v>727</v>
      </c>
      <c r="E808" s="865">
        <v>125560</v>
      </c>
      <c r="F808" s="866"/>
      <c r="G808" s="853"/>
      <c r="H808" s="853"/>
      <c r="I808" s="853"/>
      <c r="J808" s="853"/>
      <c r="K808" s="853"/>
      <c r="M808" s="853"/>
      <c r="N808" s="853"/>
      <c r="O808" s="853"/>
    </row>
    <row r="809" spans="2:15" ht="47.25" x14ac:dyDescent="0.25">
      <c r="B809" s="859" t="s">
        <v>2056</v>
      </c>
      <c r="C809" s="864" t="s">
        <v>2057</v>
      </c>
      <c r="D809" s="861" t="s">
        <v>727</v>
      </c>
      <c r="E809" s="865">
        <v>135177</v>
      </c>
      <c r="F809" s="866"/>
      <c r="G809" s="853"/>
      <c r="H809" s="853"/>
      <c r="I809" s="853"/>
      <c r="J809" s="853"/>
      <c r="K809" s="853"/>
      <c r="M809" s="853"/>
      <c r="N809" s="853"/>
      <c r="O809" s="853"/>
    </row>
    <row r="810" spans="2:15" ht="47.25" x14ac:dyDescent="0.25">
      <c r="B810" s="859" t="s">
        <v>2058</v>
      </c>
      <c r="C810" s="864" t="s">
        <v>2059</v>
      </c>
      <c r="D810" s="861" t="s">
        <v>727</v>
      </c>
      <c r="E810" s="865">
        <v>150555</v>
      </c>
      <c r="F810" s="866"/>
      <c r="G810" s="853"/>
      <c r="H810" s="853"/>
      <c r="I810" s="853"/>
      <c r="J810" s="853"/>
      <c r="K810" s="853"/>
      <c r="M810" s="853"/>
      <c r="N810" s="853"/>
      <c r="O810" s="853"/>
    </row>
    <row r="811" spans="2:15" ht="31.5" x14ac:dyDescent="0.25">
      <c r="B811" s="859" t="s">
        <v>2060</v>
      </c>
      <c r="C811" s="864" t="s">
        <v>2061</v>
      </c>
      <c r="D811" s="861" t="s">
        <v>727</v>
      </c>
      <c r="E811" s="865">
        <v>50366</v>
      </c>
      <c r="F811" s="866"/>
      <c r="G811" s="853"/>
      <c r="H811" s="853"/>
      <c r="I811" s="853"/>
      <c r="J811" s="853"/>
      <c r="K811" s="853"/>
      <c r="M811" s="853"/>
      <c r="N811" s="853"/>
      <c r="O811" s="853"/>
    </row>
    <row r="812" spans="2:15" ht="31.5" x14ac:dyDescent="0.25">
      <c r="B812" s="859" t="s">
        <v>2062</v>
      </c>
      <c r="C812" s="864" t="s">
        <v>2063</v>
      </c>
      <c r="D812" s="861" t="s">
        <v>727</v>
      </c>
      <c r="E812" s="865">
        <v>83943</v>
      </c>
      <c r="F812" s="866"/>
      <c r="G812" s="853"/>
      <c r="H812" s="853"/>
      <c r="I812" s="853"/>
      <c r="J812" s="853"/>
      <c r="K812" s="853"/>
      <c r="M812" s="853"/>
      <c r="N812" s="853"/>
      <c r="O812" s="853"/>
    </row>
    <row r="813" spans="2:15" x14ac:dyDescent="0.25">
      <c r="B813" s="859" t="s">
        <v>2064</v>
      </c>
      <c r="C813" s="880" t="s">
        <v>2065</v>
      </c>
      <c r="D813" s="861"/>
      <c r="E813" s="862"/>
      <c r="F813" s="863"/>
      <c r="G813" s="853"/>
      <c r="H813" s="853"/>
      <c r="I813" s="853"/>
      <c r="J813" s="853"/>
      <c r="K813" s="853"/>
      <c r="M813" s="853"/>
      <c r="N813" s="853"/>
      <c r="O813" s="853"/>
    </row>
    <row r="814" spans="2:15" x14ac:dyDescent="0.25">
      <c r="B814" s="859" t="s">
        <v>2066</v>
      </c>
      <c r="C814" s="860" t="s">
        <v>2067</v>
      </c>
      <c r="D814" s="861"/>
      <c r="E814" s="862"/>
      <c r="F814" s="863"/>
      <c r="G814" s="853"/>
      <c r="H814" s="853"/>
      <c r="I814" s="853"/>
      <c r="J814" s="853"/>
      <c r="K814" s="853"/>
      <c r="M814" s="853"/>
      <c r="N814" s="853"/>
      <c r="O814" s="853"/>
    </row>
    <row r="815" spans="2:15" ht="18.75" x14ac:dyDescent="0.25">
      <c r="B815" s="859" t="s">
        <v>2068</v>
      </c>
      <c r="C815" s="864" t="s">
        <v>3125</v>
      </c>
      <c r="D815" s="861" t="s">
        <v>950</v>
      </c>
      <c r="E815" s="865">
        <v>1276</v>
      </c>
      <c r="F815" s="866"/>
      <c r="G815" s="853"/>
      <c r="H815" s="853"/>
      <c r="I815" s="853"/>
      <c r="J815" s="853"/>
      <c r="K815" s="853"/>
      <c r="M815" s="853"/>
      <c r="N815" s="853"/>
      <c r="O815" s="853"/>
    </row>
    <row r="816" spans="2:15" ht="18.75" x14ac:dyDescent="0.25">
      <c r="B816" s="859" t="s">
        <v>2070</v>
      </c>
      <c r="C816" s="864" t="s">
        <v>3126</v>
      </c>
      <c r="D816" s="861" t="s">
        <v>950</v>
      </c>
      <c r="E816" s="865">
        <v>1612</v>
      </c>
      <c r="F816" s="866"/>
      <c r="G816" s="853"/>
      <c r="H816" s="853"/>
      <c r="I816" s="853"/>
      <c r="J816" s="853"/>
      <c r="K816" s="853"/>
      <c r="M816" s="853"/>
      <c r="N816" s="853"/>
      <c r="O816" s="853"/>
    </row>
    <row r="817" spans="2:15" ht="18.75" x14ac:dyDescent="0.25">
      <c r="B817" s="859" t="s">
        <v>2072</v>
      </c>
      <c r="C817" s="864" t="s">
        <v>3127</v>
      </c>
      <c r="D817" s="861" t="s">
        <v>950</v>
      </c>
      <c r="E817" s="865">
        <v>2216</v>
      </c>
      <c r="F817" s="866"/>
      <c r="G817" s="853"/>
      <c r="H817" s="853"/>
      <c r="I817" s="853"/>
      <c r="J817" s="853"/>
      <c r="K817" s="853"/>
      <c r="M817" s="853"/>
      <c r="N817" s="853"/>
      <c r="O817" s="853"/>
    </row>
    <row r="818" spans="2:15" ht="18.75" x14ac:dyDescent="0.25">
      <c r="B818" s="859" t="s">
        <v>2074</v>
      </c>
      <c r="C818" s="864" t="s">
        <v>3128</v>
      </c>
      <c r="D818" s="861" t="s">
        <v>950</v>
      </c>
      <c r="E818" s="865">
        <v>3156</v>
      </c>
      <c r="F818" s="866"/>
      <c r="G818" s="853"/>
      <c r="H818" s="853"/>
      <c r="I818" s="853"/>
      <c r="J818" s="853"/>
      <c r="K818" s="853"/>
      <c r="M818" s="853"/>
      <c r="N818" s="853"/>
      <c r="O818" s="853"/>
    </row>
    <row r="819" spans="2:15" ht="18.75" x14ac:dyDescent="0.25">
      <c r="B819" s="859" t="s">
        <v>2076</v>
      </c>
      <c r="C819" s="864" t="s">
        <v>3129</v>
      </c>
      <c r="D819" s="861" t="s">
        <v>950</v>
      </c>
      <c r="E819" s="865">
        <v>1427</v>
      </c>
      <c r="F819" s="866"/>
      <c r="G819" s="853"/>
      <c r="H819" s="853"/>
      <c r="I819" s="853"/>
      <c r="J819" s="853"/>
      <c r="K819" s="853"/>
      <c r="M819" s="853"/>
      <c r="N819" s="853"/>
      <c r="O819" s="853"/>
    </row>
    <row r="820" spans="2:15" ht="18.75" x14ac:dyDescent="0.25">
      <c r="B820" s="859" t="s">
        <v>2078</v>
      </c>
      <c r="C820" s="864" t="s">
        <v>3130</v>
      </c>
      <c r="D820" s="861" t="s">
        <v>950</v>
      </c>
      <c r="E820" s="865">
        <v>1931</v>
      </c>
      <c r="F820" s="866"/>
      <c r="G820" s="853"/>
      <c r="H820" s="853"/>
      <c r="I820" s="853"/>
      <c r="J820" s="853"/>
      <c r="K820" s="853"/>
      <c r="M820" s="853"/>
      <c r="N820" s="853"/>
      <c r="O820" s="853"/>
    </row>
    <row r="821" spans="2:15" ht="18.75" x14ac:dyDescent="0.25">
      <c r="B821" s="859" t="s">
        <v>2080</v>
      </c>
      <c r="C821" s="864" t="s">
        <v>3131</v>
      </c>
      <c r="D821" s="861" t="s">
        <v>950</v>
      </c>
      <c r="E821" s="865">
        <v>2787</v>
      </c>
      <c r="F821" s="866"/>
      <c r="G821" s="853"/>
      <c r="H821" s="853"/>
      <c r="I821" s="853"/>
      <c r="J821" s="853"/>
      <c r="K821" s="853"/>
      <c r="M821" s="853"/>
      <c r="N821" s="853"/>
      <c r="O821" s="853"/>
    </row>
    <row r="822" spans="2:15" ht="18.75" x14ac:dyDescent="0.25">
      <c r="B822" s="859" t="s">
        <v>2082</v>
      </c>
      <c r="C822" s="864" t="s">
        <v>3132</v>
      </c>
      <c r="D822" s="861" t="s">
        <v>950</v>
      </c>
      <c r="E822" s="865">
        <v>4281</v>
      </c>
      <c r="F822" s="866"/>
      <c r="G822" s="853"/>
      <c r="H822" s="853"/>
      <c r="I822" s="853"/>
      <c r="J822" s="853"/>
      <c r="K822" s="853"/>
      <c r="M822" s="853"/>
      <c r="N822" s="853"/>
      <c r="O822" s="853"/>
    </row>
    <row r="823" spans="2:15" ht="18.75" x14ac:dyDescent="0.25">
      <c r="B823" s="859" t="s">
        <v>2084</v>
      </c>
      <c r="C823" s="864" t="s">
        <v>3133</v>
      </c>
      <c r="D823" s="861" t="s">
        <v>950</v>
      </c>
      <c r="E823" s="865">
        <v>1746</v>
      </c>
      <c r="F823" s="866"/>
      <c r="G823" s="853"/>
      <c r="H823" s="853"/>
      <c r="I823" s="853"/>
      <c r="J823" s="853"/>
      <c r="K823" s="853"/>
      <c r="M823" s="853"/>
      <c r="N823" s="853"/>
      <c r="O823" s="853"/>
    </row>
    <row r="824" spans="2:15" ht="18.75" x14ac:dyDescent="0.25">
      <c r="B824" s="859" t="s">
        <v>2086</v>
      </c>
      <c r="C824" s="864" t="s">
        <v>3134</v>
      </c>
      <c r="D824" s="861" t="s">
        <v>950</v>
      </c>
      <c r="E824" s="865">
        <v>2401</v>
      </c>
      <c r="F824" s="866"/>
      <c r="G824" s="853"/>
      <c r="H824" s="853"/>
      <c r="I824" s="853"/>
      <c r="J824" s="853"/>
      <c r="K824" s="853"/>
      <c r="M824" s="853"/>
      <c r="N824" s="853"/>
      <c r="O824" s="853"/>
    </row>
    <row r="825" spans="2:15" ht="18.75" x14ac:dyDescent="0.25">
      <c r="B825" s="859" t="s">
        <v>2088</v>
      </c>
      <c r="C825" s="864" t="s">
        <v>3135</v>
      </c>
      <c r="D825" s="861" t="s">
        <v>950</v>
      </c>
      <c r="E825" s="865">
        <v>3492</v>
      </c>
      <c r="F825" s="866"/>
      <c r="G825" s="853"/>
      <c r="H825" s="853"/>
      <c r="I825" s="853"/>
      <c r="J825" s="853"/>
      <c r="K825" s="853"/>
      <c r="M825" s="853"/>
      <c r="N825" s="853"/>
      <c r="O825" s="853"/>
    </row>
    <row r="826" spans="2:15" ht="18.75" x14ac:dyDescent="0.25">
      <c r="B826" s="859" t="s">
        <v>2090</v>
      </c>
      <c r="C826" s="864" t="s">
        <v>3136</v>
      </c>
      <c r="D826" s="861" t="s">
        <v>950</v>
      </c>
      <c r="E826" s="865">
        <v>5389</v>
      </c>
      <c r="F826" s="866"/>
      <c r="G826" s="853"/>
      <c r="H826" s="853"/>
      <c r="I826" s="853"/>
      <c r="J826" s="853"/>
      <c r="K826" s="853"/>
      <c r="M826" s="853"/>
      <c r="N826" s="853"/>
      <c r="O826" s="853"/>
    </row>
    <row r="827" spans="2:15" ht="18.75" x14ac:dyDescent="0.25">
      <c r="B827" s="859" t="s">
        <v>2092</v>
      </c>
      <c r="C827" s="864" t="s">
        <v>3137</v>
      </c>
      <c r="D827" s="861" t="s">
        <v>950</v>
      </c>
      <c r="E827" s="865">
        <v>7891</v>
      </c>
      <c r="F827" s="866"/>
      <c r="G827" s="853"/>
      <c r="H827" s="853"/>
      <c r="I827" s="853"/>
      <c r="J827" s="853"/>
      <c r="K827" s="853"/>
      <c r="M827" s="853"/>
      <c r="N827" s="853"/>
      <c r="O827" s="853"/>
    </row>
    <row r="828" spans="2:15" ht="18.75" x14ac:dyDescent="0.25">
      <c r="B828" s="859" t="s">
        <v>2094</v>
      </c>
      <c r="C828" s="864" t="s">
        <v>3138</v>
      </c>
      <c r="D828" s="861" t="s">
        <v>950</v>
      </c>
      <c r="E828" s="865">
        <v>2183</v>
      </c>
      <c r="F828" s="866"/>
      <c r="G828" s="853"/>
      <c r="H828" s="853"/>
      <c r="I828" s="853"/>
      <c r="J828" s="853"/>
      <c r="K828" s="853"/>
      <c r="M828" s="853"/>
      <c r="N828" s="853"/>
      <c r="O828" s="853"/>
    </row>
    <row r="829" spans="2:15" ht="18.75" x14ac:dyDescent="0.25">
      <c r="B829" s="859" t="s">
        <v>2096</v>
      </c>
      <c r="C829" s="864" t="s">
        <v>3139</v>
      </c>
      <c r="D829" s="861" t="s">
        <v>950</v>
      </c>
      <c r="E829" s="865">
        <v>3039</v>
      </c>
      <c r="F829" s="866"/>
      <c r="G829" s="853"/>
      <c r="H829" s="853"/>
      <c r="I829" s="853"/>
      <c r="J829" s="853"/>
      <c r="K829" s="853"/>
      <c r="M829" s="853"/>
      <c r="N829" s="853"/>
      <c r="O829" s="853"/>
    </row>
    <row r="830" spans="2:15" ht="18.75" x14ac:dyDescent="0.25">
      <c r="B830" s="859" t="s">
        <v>2098</v>
      </c>
      <c r="C830" s="864" t="s">
        <v>3140</v>
      </c>
      <c r="D830" s="861" t="s">
        <v>950</v>
      </c>
      <c r="E830" s="865">
        <v>4449</v>
      </c>
      <c r="F830" s="866"/>
      <c r="G830" s="853"/>
      <c r="H830" s="853"/>
      <c r="I830" s="853"/>
      <c r="J830" s="853"/>
      <c r="K830" s="853"/>
      <c r="M830" s="853"/>
      <c r="N830" s="853"/>
      <c r="O830" s="853"/>
    </row>
    <row r="831" spans="2:15" ht="18.75" x14ac:dyDescent="0.25">
      <c r="B831" s="859" t="s">
        <v>2100</v>
      </c>
      <c r="C831" s="864" t="s">
        <v>3141</v>
      </c>
      <c r="D831" s="861" t="s">
        <v>950</v>
      </c>
      <c r="E831" s="865">
        <v>6749</v>
      </c>
      <c r="F831" s="866"/>
      <c r="G831" s="853"/>
      <c r="H831" s="853"/>
      <c r="I831" s="853"/>
      <c r="J831" s="853"/>
      <c r="K831" s="853"/>
      <c r="M831" s="853"/>
      <c r="N831" s="853"/>
      <c r="O831" s="853"/>
    </row>
    <row r="832" spans="2:15" ht="31.5" x14ac:dyDescent="0.25">
      <c r="B832" s="859" t="s">
        <v>2102</v>
      </c>
      <c r="C832" s="860" t="s">
        <v>2103</v>
      </c>
      <c r="D832" s="861"/>
      <c r="E832" s="862"/>
      <c r="F832" s="863"/>
      <c r="G832" s="853"/>
      <c r="H832" s="853"/>
      <c r="I832" s="853"/>
      <c r="J832" s="853"/>
      <c r="K832" s="853"/>
      <c r="M832" s="853"/>
      <c r="N832" s="853"/>
      <c r="O832" s="853"/>
    </row>
    <row r="833" spans="2:15" x14ac:dyDescent="0.25">
      <c r="B833" s="859" t="s">
        <v>2104</v>
      </c>
      <c r="C833" s="864" t="s">
        <v>2105</v>
      </c>
      <c r="D833" s="861" t="s">
        <v>727</v>
      </c>
      <c r="E833" s="865">
        <v>29640</v>
      </c>
      <c r="F833" s="866"/>
      <c r="G833" s="853"/>
      <c r="H833" s="853"/>
      <c r="I833" s="853"/>
      <c r="J833" s="853"/>
      <c r="K833" s="853"/>
      <c r="M833" s="853"/>
      <c r="N833" s="853"/>
      <c r="O833" s="853"/>
    </row>
    <row r="834" spans="2:15" ht="31.5" x14ac:dyDescent="0.25">
      <c r="B834" s="859" t="s">
        <v>2106</v>
      </c>
      <c r="C834" s="864" t="s">
        <v>2107</v>
      </c>
      <c r="D834" s="861" t="s">
        <v>727</v>
      </c>
      <c r="E834" s="865">
        <v>9396</v>
      </c>
      <c r="F834" s="866"/>
      <c r="G834" s="853"/>
      <c r="H834" s="853"/>
      <c r="I834" s="853"/>
      <c r="J834" s="853"/>
      <c r="K834" s="853"/>
      <c r="M834" s="853"/>
      <c r="N834" s="853"/>
      <c r="O834" s="853"/>
    </row>
    <row r="835" spans="2:15" x14ac:dyDescent="0.25">
      <c r="B835" s="859" t="s">
        <v>2108</v>
      </c>
      <c r="C835" s="860" t="s">
        <v>2109</v>
      </c>
      <c r="D835" s="861"/>
      <c r="E835" s="862"/>
      <c r="F835" s="863"/>
      <c r="G835" s="853"/>
      <c r="H835" s="853"/>
      <c r="I835" s="853"/>
      <c r="J835" s="853"/>
      <c r="K835" s="853"/>
      <c r="M835" s="853"/>
      <c r="N835" s="853"/>
      <c r="O835" s="853"/>
    </row>
    <row r="836" spans="2:15" x14ac:dyDescent="0.25">
      <c r="B836" s="859" t="s">
        <v>2110</v>
      </c>
      <c r="C836" s="864" t="s">
        <v>2105</v>
      </c>
      <c r="D836" s="861" t="s">
        <v>727</v>
      </c>
      <c r="E836" s="865">
        <v>42126</v>
      </c>
      <c r="F836" s="866"/>
      <c r="G836" s="853"/>
      <c r="H836" s="853"/>
      <c r="I836" s="853"/>
      <c r="J836" s="853"/>
      <c r="K836" s="853"/>
      <c r="M836" s="853"/>
      <c r="N836" s="853"/>
      <c r="O836" s="853"/>
    </row>
    <row r="837" spans="2:15" ht="31.5" x14ac:dyDescent="0.25">
      <c r="B837" s="859" t="s">
        <v>2111</v>
      </c>
      <c r="C837" s="864" t="s">
        <v>2107</v>
      </c>
      <c r="D837" s="861" t="s">
        <v>727</v>
      </c>
      <c r="E837" s="865">
        <v>9396</v>
      </c>
      <c r="F837" s="866"/>
      <c r="G837" s="853"/>
      <c r="H837" s="853"/>
      <c r="I837" s="853"/>
      <c r="J837" s="853"/>
      <c r="K837" s="853"/>
      <c r="M837" s="853"/>
      <c r="N837" s="853"/>
      <c r="O837" s="853"/>
    </row>
    <row r="838" spans="2:15" ht="31.5" x14ac:dyDescent="0.25">
      <c r="B838" s="859" t="s">
        <v>2112</v>
      </c>
      <c r="C838" s="860" t="s">
        <v>2113</v>
      </c>
      <c r="D838" s="861"/>
      <c r="E838" s="862"/>
      <c r="F838" s="863"/>
      <c r="G838" s="853"/>
      <c r="H838" s="853"/>
      <c r="I838" s="853"/>
      <c r="J838" s="853"/>
      <c r="K838" s="853"/>
      <c r="M838" s="853"/>
      <c r="N838" s="853"/>
      <c r="O838" s="853"/>
    </row>
    <row r="839" spans="2:15" x14ac:dyDescent="0.25">
      <c r="B839" s="859" t="s">
        <v>2114</v>
      </c>
      <c r="C839" s="864" t="s">
        <v>2105</v>
      </c>
      <c r="D839" s="861" t="s">
        <v>727</v>
      </c>
      <c r="E839" s="865">
        <v>39608</v>
      </c>
      <c r="F839" s="866"/>
      <c r="G839" s="853"/>
      <c r="H839" s="853"/>
      <c r="I839" s="853"/>
      <c r="J839" s="853"/>
      <c r="K839" s="853"/>
      <c r="M839" s="853"/>
      <c r="N839" s="853"/>
      <c r="O839" s="853"/>
    </row>
    <row r="840" spans="2:15" ht="31.5" x14ac:dyDescent="0.25">
      <c r="B840" s="859" t="s">
        <v>2115</v>
      </c>
      <c r="C840" s="864" t="s">
        <v>2107</v>
      </c>
      <c r="D840" s="861" t="s">
        <v>727</v>
      </c>
      <c r="E840" s="865">
        <v>9396</v>
      </c>
      <c r="F840" s="866"/>
      <c r="G840" s="853"/>
      <c r="H840" s="853"/>
      <c r="I840" s="853"/>
      <c r="J840" s="853"/>
      <c r="K840" s="853"/>
      <c r="M840" s="853"/>
      <c r="N840" s="853"/>
      <c r="O840" s="853"/>
    </row>
    <row r="841" spans="2:15" x14ac:dyDescent="0.25">
      <c r="B841" s="859" t="s">
        <v>2116</v>
      </c>
      <c r="C841" s="860" t="s">
        <v>2117</v>
      </c>
      <c r="D841" s="861"/>
      <c r="E841" s="862"/>
      <c r="F841" s="863"/>
      <c r="G841" s="853"/>
      <c r="H841" s="853"/>
      <c r="I841" s="853"/>
      <c r="J841" s="853"/>
      <c r="K841" s="853"/>
      <c r="M841" s="853"/>
      <c r="N841" s="853"/>
      <c r="O841" s="853"/>
    </row>
    <row r="842" spans="2:15" ht="31.5" x14ac:dyDescent="0.25">
      <c r="B842" s="859" t="s">
        <v>2118</v>
      </c>
      <c r="C842" s="864" t="s">
        <v>2119</v>
      </c>
      <c r="D842" s="861" t="s">
        <v>727</v>
      </c>
      <c r="E842" s="865">
        <v>44303</v>
      </c>
      <c r="F842" s="866"/>
      <c r="G842" s="853"/>
      <c r="H842" s="853"/>
      <c r="I842" s="853"/>
      <c r="J842" s="853"/>
      <c r="K842" s="853"/>
      <c r="M842" s="853"/>
      <c r="N842" s="853"/>
      <c r="O842" s="853"/>
    </row>
    <row r="843" spans="2:15" ht="31.5" x14ac:dyDescent="0.25">
      <c r="B843" s="859" t="s">
        <v>2120</v>
      </c>
      <c r="C843" s="864" t="s">
        <v>2121</v>
      </c>
      <c r="D843" s="861" t="s">
        <v>727</v>
      </c>
      <c r="E843" s="865">
        <v>51243</v>
      </c>
      <c r="F843" s="866"/>
      <c r="G843" s="853"/>
      <c r="H843" s="853"/>
      <c r="I843" s="853"/>
      <c r="J843" s="853"/>
      <c r="K843" s="853"/>
      <c r="M843" s="853"/>
      <c r="N843" s="853"/>
      <c r="O843" s="853"/>
    </row>
    <row r="844" spans="2:15" x14ac:dyDescent="0.25">
      <c r="B844" s="859" t="s">
        <v>2122</v>
      </c>
      <c r="C844" s="864" t="s">
        <v>2123</v>
      </c>
      <c r="D844" s="861" t="s">
        <v>727</v>
      </c>
      <c r="E844" s="865">
        <v>48967</v>
      </c>
      <c r="F844" s="866"/>
      <c r="G844" s="853"/>
      <c r="H844" s="853"/>
      <c r="I844" s="853"/>
      <c r="J844" s="853"/>
      <c r="K844" s="853"/>
      <c r="M844" s="853"/>
      <c r="N844" s="853"/>
      <c r="O844" s="853"/>
    </row>
    <row r="845" spans="2:15" x14ac:dyDescent="0.25">
      <c r="B845" s="859" t="s">
        <v>2124</v>
      </c>
      <c r="C845" s="864" t="s">
        <v>2125</v>
      </c>
      <c r="D845" s="861" t="s">
        <v>727</v>
      </c>
      <c r="E845" s="865">
        <v>45396</v>
      </c>
      <c r="F845" s="866"/>
      <c r="G845" s="853"/>
      <c r="H845" s="853"/>
      <c r="I845" s="853"/>
      <c r="J845" s="853"/>
      <c r="K845" s="853"/>
      <c r="M845" s="853"/>
      <c r="N845" s="853"/>
      <c r="O845" s="853"/>
    </row>
    <row r="846" spans="2:15" x14ac:dyDescent="0.25">
      <c r="B846" s="859" t="s">
        <v>2126</v>
      </c>
      <c r="C846" s="860" t="s">
        <v>1597</v>
      </c>
      <c r="D846" s="861"/>
      <c r="E846" s="862"/>
      <c r="F846" s="863"/>
      <c r="G846" s="853"/>
      <c r="H846" s="853"/>
      <c r="I846" s="853"/>
      <c r="J846" s="853"/>
      <c r="K846" s="853"/>
      <c r="M846" s="853"/>
      <c r="N846" s="853"/>
      <c r="O846" s="853"/>
    </row>
    <row r="847" spans="2:15" x14ac:dyDescent="0.25">
      <c r="B847" s="859" t="s">
        <v>2127</v>
      </c>
      <c r="C847" s="864" t="s">
        <v>2128</v>
      </c>
      <c r="D847" s="861" t="s">
        <v>727</v>
      </c>
      <c r="E847" s="865">
        <v>14270</v>
      </c>
      <c r="F847" s="866"/>
      <c r="G847" s="853"/>
      <c r="H847" s="853"/>
      <c r="I847" s="853"/>
      <c r="J847" s="853"/>
      <c r="K847" s="853"/>
      <c r="M847" s="853"/>
      <c r="N847" s="853"/>
      <c r="O847" s="853"/>
    </row>
    <row r="848" spans="2:15" x14ac:dyDescent="0.25">
      <c r="B848" s="859" t="s">
        <v>2129</v>
      </c>
      <c r="C848" s="864" t="s">
        <v>2130</v>
      </c>
      <c r="D848" s="861" t="s">
        <v>727</v>
      </c>
      <c r="E848" s="865">
        <v>16852</v>
      </c>
      <c r="F848" s="866"/>
      <c r="G848" s="853"/>
      <c r="H848" s="853"/>
      <c r="I848" s="853"/>
      <c r="J848" s="853"/>
      <c r="K848" s="853"/>
      <c r="M848" s="853"/>
      <c r="N848" s="853"/>
      <c r="O848" s="853"/>
    </row>
    <row r="849" spans="2:15" x14ac:dyDescent="0.25">
      <c r="B849" s="859" t="s">
        <v>2131</v>
      </c>
      <c r="C849" s="864" t="s">
        <v>2132</v>
      </c>
      <c r="D849" s="861" t="s">
        <v>727</v>
      </c>
      <c r="E849" s="865">
        <v>8662</v>
      </c>
      <c r="F849" s="866"/>
      <c r="G849" s="853"/>
      <c r="H849" s="853"/>
      <c r="I849" s="853"/>
      <c r="J849" s="853"/>
      <c r="K849" s="853"/>
      <c r="M849" s="853"/>
      <c r="N849" s="853"/>
      <c r="O849" s="853"/>
    </row>
    <row r="850" spans="2:15" ht="31.5" x14ac:dyDescent="0.25">
      <c r="B850" s="859" t="s">
        <v>2133</v>
      </c>
      <c r="C850" s="864" t="s">
        <v>2134</v>
      </c>
      <c r="D850" s="861" t="s">
        <v>727</v>
      </c>
      <c r="E850" s="865">
        <v>15949</v>
      </c>
      <c r="F850" s="866"/>
      <c r="G850" s="853"/>
      <c r="H850" s="853"/>
      <c r="I850" s="853"/>
      <c r="J850" s="853"/>
      <c r="K850" s="853"/>
      <c r="M850" s="853"/>
      <c r="N850" s="853"/>
      <c r="O850" s="853"/>
    </row>
    <row r="851" spans="2:15" x14ac:dyDescent="0.25">
      <c r="B851" s="859" t="s">
        <v>2135</v>
      </c>
      <c r="C851" s="864" t="s">
        <v>2136</v>
      </c>
      <c r="D851" s="861" t="s">
        <v>727</v>
      </c>
      <c r="E851" s="865">
        <v>16852</v>
      </c>
      <c r="F851" s="866"/>
      <c r="G851" s="853"/>
      <c r="H851" s="853"/>
      <c r="I851" s="853"/>
      <c r="J851" s="853"/>
      <c r="K851" s="853"/>
      <c r="M851" s="853"/>
      <c r="N851" s="853"/>
      <c r="O851" s="853"/>
    </row>
    <row r="852" spans="2:15" x14ac:dyDescent="0.25">
      <c r="B852" s="859" t="s">
        <v>2137</v>
      </c>
      <c r="C852" s="864" t="s">
        <v>2138</v>
      </c>
      <c r="D852" s="861" t="s">
        <v>950</v>
      </c>
      <c r="E852" s="865">
        <v>2292</v>
      </c>
      <c r="F852" s="866"/>
      <c r="G852" s="853"/>
      <c r="H852" s="853"/>
      <c r="I852" s="853"/>
      <c r="J852" s="853"/>
      <c r="K852" s="853"/>
      <c r="M852" s="853"/>
      <c r="N852" s="853"/>
      <c r="O852" s="853"/>
    </row>
    <row r="853" spans="2:15" x14ac:dyDescent="0.25">
      <c r="B853" s="859" t="s">
        <v>2139</v>
      </c>
      <c r="C853" s="864" t="s">
        <v>2140</v>
      </c>
      <c r="D853" s="861" t="s">
        <v>950</v>
      </c>
      <c r="E853" s="865">
        <v>19970</v>
      </c>
      <c r="F853" s="866"/>
      <c r="G853" s="853"/>
      <c r="H853" s="853"/>
      <c r="I853" s="853"/>
      <c r="J853" s="853"/>
      <c r="K853" s="853"/>
      <c r="M853" s="853"/>
      <c r="N853" s="853"/>
      <c r="O853" s="853"/>
    </row>
    <row r="854" spans="2:15" x14ac:dyDescent="0.25">
      <c r="B854" s="859" t="s">
        <v>2141</v>
      </c>
      <c r="C854" s="864" t="s">
        <v>2142</v>
      </c>
      <c r="D854" s="861" t="s">
        <v>950</v>
      </c>
      <c r="E854" s="865">
        <v>15949</v>
      </c>
      <c r="F854" s="866"/>
      <c r="G854" s="853"/>
      <c r="H854" s="853"/>
      <c r="I854" s="853"/>
      <c r="J854" s="853"/>
      <c r="K854" s="853"/>
      <c r="M854" s="853"/>
      <c r="N854" s="853"/>
      <c r="O854" s="853"/>
    </row>
    <row r="855" spans="2:15" x14ac:dyDescent="0.25">
      <c r="B855" s="859" t="s">
        <v>2143</v>
      </c>
      <c r="C855" s="864" t="s">
        <v>2144</v>
      </c>
      <c r="D855" s="861" t="s">
        <v>950</v>
      </c>
      <c r="E855" s="865">
        <v>19307</v>
      </c>
      <c r="F855" s="866"/>
      <c r="G855" s="853"/>
      <c r="H855" s="853"/>
      <c r="I855" s="853"/>
      <c r="J855" s="853"/>
      <c r="K855" s="853"/>
      <c r="M855" s="853"/>
      <c r="N855" s="853"/>
      <c r="O855" s="853"/>
    </row>
    <row r="856" spans="2:15" x14ac:dyDescent="0.25">
      <c r="B856" s="859" t="s">
        <v>2145</v>
      </c>
      <c r="C856" s="864" t="s">
        <v>2146</v>
      </c>
      <c r="D856" s="861" t="s">
        <v>950</v>
      </c>
      <c r="E856" s="865">
        <v>20566</v>
      </c>
      <c r="F856" s="866"/>
      <c r="G856" s="853"/>
      <c r="H856" s="853"/>
      <c r="I856" s="853"/>
      <c r="J856" s="853"/>
      <c r="K856" s="853"/>
      <c r="M856" s="853"/>
      <c r="N856" s="853"/>
      <c r="O856" s="853"/>
    </row>
    <row r="857" spans="2:15" x14ac:dyDescent="0.25">
      <c r="B857" s="859" t="s">
        <v>2147</v>
      </c>
      <c r="C857" s="864" t="s">
        <v>2148</v>
      </c>
      <c r="D857" s="861" t="s">
        <v>950</v>
      </c>
      <c r="E857" s="865">
        <v>14143</v>
      </c>
      <c r="F857" s="866"/>
      <c r="G857" s="853"/>
      <c r="H857" s="853"/>
      <c r="I857" s="853"/>
      <c r="J857" s="853"/>
      <c r="K857" s="853"/>
      <c r="M857" s="853"/>
      <c r="N857" s="853"/>
      <c r="O857" s="853"/>
    </row>
    <row r="858" spans="2:15" x14ac:dyDescent="0.25">
      <c r="B858" s="859" t="s">
        <v>2149</v>
      </c>
      <c r="C858" s="880" t="s">
        <v>2150</v>
      </c>
      <c r="D858" s="861"/>
      <c r="E858" s="862"/>
      <c r="F858" s="863"/>
      <c r="G858" s="853"/>
      <c r="H858" s="853"/>
      <c r="I858" s="853"/>
      <c r="J858" s="853"/>
      <c r="K858" s="853"/>
      <c r="M858" s="853"/>
      <c r="N858" s="853"/>
      <c r="O858" s="853"/>
    </row>
    <row r="859" spans="2:15" x14ac:dyDescent="0.25">
      <c r="B859" s="859" t="s">
        <v>2151</v>
      </c>
      <c r="C859" s="860" t="s">
        <v>2152</v>
      </c>
      <c r="D859" s="861"/>
      <c r="E859" s="862"/>
      <c r="F859" s="863"/>
      <c r="G859" s="853"/>
      <c r="H859" s="853"/>
      <c r="I859" s="853"/>
      <c r="J859" s="853"/>
      <c r="K859" s="853"/>
      <c r="M859" s="853"/>
      <c r="N859" s="853"/>
      <c r="O859" s="853"/>
    </row>
    <row r="860" spans="2:15" x14ac:dyDescent="0.25">
      <c r="B860" s="859" t="s">
        <v>2153</v>
      </c>
      <c r="C860" s="864" t="s">
        <v>2154</v>
      </c>
      <c r="D860" s="861" t="s">
        <v>727</v>
      </c>
      <c r="E860" s="865">
        <v>7857</v>
      </c>
      <c r="F860" s="866"/>
      <c r="G860" s="853"/>
      <c r="H860" s="853"/>
      <c r="I860" s="853"/>
      <c r="J860" s="853"/>
      <c r="K860" s="853"/>
      <c r="M860" s="853"/>
      <c r="N860" s="853"/>
      <c r="O860" s="853"/>
    </row>
    <row r="861" spans="2:15" x14ac:dyDescent="0.25">
      <c r="B861" s="859" t="s">
        <v>2155</v>
      </c>
      <c r="C861" s="864" t="s">
        <v>2156</v>
      </c>
      <c r="D861" s="861" t="s">
        <v>727</v>
      </c>
      <c r="E861" s="865">
        <v>10913</v>
      </c>
      <c r="F861" s="866"/>
      <c r="G861" s="853"/>
      <c r="H861" s="853"/>
      <c r="I861" s="853"/>
      <c r="J861" s="853"/>
      <c r="K861" s="853"/>
      <c r="M861" s="853"/>
      <c r="N861" s="853"/>
      <c r="O861" s="853"/>
    </row>
    <row r="862" spans="2:15" ht="31.5" x14ac:dyDescent="0.25">
      <c r="B862" s="859" t="s">
        <v>2157</v>
      </c>
      <c r="C862" s="864" t="s">
        <v>2158</v>
      </c>
      <c r="D862" s="861" t="s">
        <v>727</v>
      </c>
      <c r="E862" s="862">
        <v>336</v>
      </c>
      <c r="F862" s="863"/>
      <c r="G862" s="853"/>
      <c r="H862" s="853"/>
      <c r="I862" s="853"/>
      <c r="J862" s="853"/>
      <c r="K862" s="853"/>
      <c r="M862" s="853"/>
      <c r="N862" s="853"/>
      <c r="O862" s="853"/>
    </row>
    <row r="863" spans="2:15" x14ac:dyDescent="0.25">
      <c r="B863" s="859" t="s">
        <v>2159</v>
      </c>
      <c r="C863" s="860" t="s">
        <v>2160</v>
      </c>
      <c r="D863" s="861"/>
      <c r="E863" s="862"/>
      <c r="F863" s="863"/>
      <c r="G863" s="853"/>
      <c r="H863" s="853"/>
      <c r="I863" s="853"/>
      <c r="J863" s="853"/>
      <c r="K863" s="853"/>
      <c r="M863" s="853"/>
      <c r="N863" s="853"/>
      <c r="O863" s="853"/>
    </row>
    <row r="864" spans="2:15" x14ac:dyDescent="0.25">
      <c r="B864" s="859" t="s">
        <v>2161</v>
      </c>
      <c r="C864" s="864" t="s">
        <v>2162</v>
      </c>
      <c r="D864" s="861" t="s">
        <v>727</v>
      </c>
      <c r="E864" s="865">
        <v>4244</v>
      </c>
      <c r="F864" s="866"/>
      <c r="G864" s="853"/>
      <c r="H864" s="853"/>
      <c r="I864" s="853"/>
      <c r="J864" s="853"/>
      <c r="K864" s="853"/>
      <c r="M864" s="853"/>
      <c r="N864" s="853"/>
      <c r="O864" s="853"/>
    </row>
    <row r="865" spans="2:15" x14ac:dyDescent="0.25">
      <c r="B865" s="859" t="s">
        <v>2163</v>
      </c>
      <c r="C865" s="864" t="s">
        <v>2164</v>
      </c>
      <c r="D865" s="861" t="s">
        <v>727</v>
      </c>
      <c r="E865" s="865">
        <v>5613</v>
      </c>
      <c r="F865" s="866"/>
      <c r="G865" s="853"/>
      <c r="H865" s="853"/>
      <c r="I865" s="853"/>
      <c r="J865" s="853"/>
      <c r="K865" s="853"/>
      <c r="M865" s="853"/>
      <c r="N865" s="853"/>
      <c r="O865" s="853"/>
    </row>
    <row r="866" spans="2:15" x14ac:dyDescent="0.25">
      <c r="B866" s="859" t="s">
        <v>2165</v>
      </c>
      <c r="C866" s="864" t="s">
        <v>2166</v>
      </c>
      <c r="D866" s="861" t="s">
        <v>727</v>
      </c>
      <c r="E866" s="865">
        <v>5613</v>
      </c>
      <c r="F866" s="866"/>
      <c r="G866" s="853"/>
      <c r="H866" s="853"/>
      <c r="I866" s="853"/>
      <c r="J866" s="853"/>
      <c r="K866" s="853"/>
      <c r="M866" s="853"/>
      <c r="N866" s="853"/>
      <c r="O866" s="853"/>
    </row>
    <row r="867" spans="2:15" x14ac:dyDescent="0.25">
      <c r="B867" s="859" t="s">
        <v>2167</v>
      </c>
      <c r="C867" s="864" t="s">
        <v>2168</v>
      </c>
      <c r="D867" s="861" t="s">
        <v>727</v>
      </c>
      <c r="E867" s="865">
        <v>15783</v>
      </c>
      <c r="F867" s="866"/>
      <c r="G867" s="853"/>
      <c r="H867" s="853"/>
      <c r="I867" s="853"/>
      <c r="J867" s="853"/>
      <c r="K867" s="853"/>
      <c r="M867" s="853"/>
      <c r="N867" s="853"/>
      <c r="O867" s="853"/>
    </row>
    <row r="868" spans="2:15" x14ac:dyDescent="0.25">
      <c r="B868" s="859" t="s">
        <v>2169</v>
      </c>
      <c r="C868" s="864" t="s">
        <v>2170</v>
      </c>
      <c r="D868" s="861" t="s">
        <v>727</v>
      </c>
      <c r="E868" s="865">
        <v>17152</v>
      </c>
      <c r="F868" s="866"/>
      <c r="G868" s="853"/>
      <c r="H868" s="853"/>
      <c r="I868" s="853"/>
      <c r="J868" s="853"/>
      <c r="K868" s="853"/>
      <c r="M868" s="853"/>
      <c r="N868" s="853"/>
      <c r="O868" s="853"/>
    </row>
    <row r="869" spans="2:15" x14ac:dyDescent="0.25">
      <c r="B869" s="859" t="s">
        <v>2171</v>
      </c>
      <c r="C869" s="864" t="s">
        <v>2172</v>
      </c>
      <c r="D869" s="861" t="s">
        <v>727</v>
      </c>
      <c r="E869" s="865">
        <v>17152</v>
      </c>
      <c r="F869" s="866"/>
      <c r="G869" s="853"/>
      <c r="H869" s="853"/>
      <c r="I869" s="853"/>
      <c r="J869" s="853"/>
      <c r="K869" s="853"/>
      <c r="M869" s="853"/>
      <c r="N869" s="853"/>
      <c r="O869" s="853"/>
    </row>
    <row r="870" spans="2:15" x14ac:dyDescent="0.25">
      <c r="B870" s="859" t="s">
        <v>2173</v>
      </c>
      <c r="C870" s="864" t="s">
        <v>2174</v>
      </c>
      <c r="D870" s="861" t="s">
        <v>727</v>
      </c>
      <c r="E870" s="865">
        <v>11907</v>
      </c>
      <c r="F870" s="866"/>
      <c r="G870" s="853"/>
      <c r="H870" s="853"/>
      <c r="I870" s="853"/>
      <c r="J870" s="853"/>
      <c r="K870" s="853"/>
      <c r="M870" s="853"/>
      <c r="N870" s="853"/>
      <c r="O870" s="853"/>
    </row>
    <row r="871" spans="2:15" x14ac:dyDescent="0.25">
      <c r="B871" s="859" t="s">
        <v>2175</v>
      </c>
      <c r="C871" s="864" t="s">
        <v>2176</v>
      </c>
      <c r="D871" s="861" t="s">
        <v>727</v>
      </c>
      <c r="E871" s="865">
        <v>11362</v>
      </c>
      <c r="F871" s="866"/>
      <c r="G871" s="853"/>
      <c r="H871" s="853"/>
      <c r="I871" s="853"/>
      <c r="J871" s="853"/>
      <c r="K871" s="853"/>
      <c r="M871" s="853"/>
      <c r="N871" s="853"/>
      <c r="O871" s="853"/>
    </row>
    <row r="872" spans="2:15" x14ac:dyDescent="0.25">
      <c r="B872" s="859" t="s">
        <v>2177</v>
      </c>
      <c r="C872" s="864" t="s">
        <v>2178</v>
      </c>
      <c r="D872" s="861" t="s">
        <v>727</v>
      </c>
      <c r="E872" s="865">
        <v>60469</v>
      </c>
      <c r="F872" s="866"/>
      <c r="G872" s="853"/>
      <c r="H872" s="853"/>
      <c r="I872" s="853"/>
      <c r="J872" s="853"/>
      <c r="K872" s="853"/>
      <c r="M872" s="853"/>
      <c r="N872" s="853"/>
      <c r="O872" s="853"/>
    </row>
    <row r="873" spans="2:15" x14ac:dyDescent="0.25">
      <c r="B873" s="859" t="s">
        <v>2179</v>
      </c>
      <c r="C873" s="864" t="s">
        <v>2180</v>
      </c>
      <c r="D873" s="861" t="s">
        <v>727</v>
      </c>
      <c r="E873" s="865">
        <v>5674</v>
      </c>
      <c r="F873" s="866"/>
      <c r="G873" s="853"/>
      <c r="H873" s="853"/>
      <c r="I873" s="853"/>
      <c r="J873" s="853"/>
      <c r="K873" s="853"/>
      <c r="M873" s="853"/>
      <c r="N873" s="853"/>
      <c r="O873" s="853"/>
    </row>
    <row r="874" spans="2:15" x14ac:dyDescent="0.25">
      <c r="B874" s="859" t="s">
        <v>2181</v>
      </c>
      <c r="C874" s="864" t="s">
        <v>2182</v>
      </c>
      <c r="D874" s="861" t="s">
        <v>727</v>
      </c>
      <c r="E874" s="865">
        <v>27757</v>
      </c>
      <c r="F874" s="866"/>
      <c r="G874" s="853"/>
      <c r="H874" s="853"/>
      <c r="I874" s="853"/>
      <c r="J874" s="853"/>
      <c r="K874" s="853"/>
      <c r="M874" s="853"/>
      <c r="N874" s="853"/>
      <c r="O874" s="853"/>
    </row>
    <row r="875" spans="2:15" x14ac:dyDescent="0.25">
      <c r="B875" s="859" t="s">
        <v>2183</v>
      </c>
      <c r="C875" s="880" t="s">
        <v>2184</v>
      </c>
      <c r="D875" s="861"/>
      <c r="E875" s="862"/>
      <c r="F875" s="863"/>
      <c r="G875" s="853"/>
      <c r="H875" s="853"/>
      <c r="I875" s="853"/>
      <c r="J875" s="853"/>
      <c r="K875" s="853"/>
      <c r="M875" s="853"/>
      <c r="N875" s="853"/>
      <c r="O875" s="853"/>
    </row>
    <row r="876" spans="2:15" x14ac:dyDescent="0.25">
      <c r="B876" s="859" t="s">
        <v>2185</v>
      </c>
      <c r="C876" s="860" t="s">
        <v>2186</v>
      </c>
      <c r="D876" s="861"/>
      <c r="E876" s="862"/>
      <c r="F876" s="863"/>
      <c r="G876" s="853"/>
      <c r="H876" s="853"/>
      <c r="I876" s="853"/>
      <c r="J876" s="853"/>
      <c r="K876" s="853"/>
      <c r="M876" s="853"/>
      <c r="N876" s="853"/>
      <c r="O876" s="853"/>
    </row>
    <row r="877" spans="2:15" x14ac:dyDescent="0.25">
      <c r="B877" s="859" t="s">
        <v>2187</v>
      </c>
      <c r="C877" s="864" t="s">
        <v>2188</v>
      </c>
      <c r="D877" s="861" t="s">
        <v>727</v>
      </c>
      <c r="E877" s="862">
        <v>970</v>
      </c>
      <c r="F877" s="866"/>
      <c r="G877" s="853"/>
      <c r="H877" s="853"/>
      <c r="I877" s="853"/>
      <c r="J877" s="853"/>
      <c r="K877" s="853"/>
      <c r="M877" s="853"/>
      <c r="N877" s="853"/>
      <c r="O877" s="853"/>
    </row>
    <row r="878" spans="2:15" x14ac:dyDescent="0.25">
      <c r="B878" s="859" t="s">
        <v>2189</v>
      </c>
      <c r="C878" s="864" t="s">
        <v>2190</v>
      </c>
      <c r="D878" s="861" t="s">
        <v>727</v>
      </c>
      <c r="E878" s="862">
        <v>757</v>
      </c>
      <c r="F878" s="863"/>
      <c r="G878" s="853"/>
      <c r="H878" s="853"/>
      <c r="I878" s="853"/>
      <c r="J878" s="853"/>
      <c r="K878" s="853"/>
      <c r="M878" s="853"/>
      <c r="N878" s="853"/>
      <c r="O878" s="853"/>
    </row>
    <row r="879" spans="2:15" x14ac:dyDescent="0.25">
      <c r="B879" s="859" t="s">
        <v>2191</v>
      </c>
      <c r="C879" s="864" t="s">
        <v>2192</v>
      </c>
      <c r="D879" s="861" t="s">
        <v>727</v>
      </c>
      <c r="E879" s="865">
        <v>22683</v>
      </c>
      <c r="F879" s="866"/>
      <c r="G879" s="853"/>
      <c r="H879" s="853"/>
      <c r="I879" s="853"/>
      <c r="J879" s="853"/>
      <c r="K879" s="853"/>
      <c r="M879" s="853"/>
      <c r="N879" s="853"/>
      <c r="O879" s="853"/>
    </row>
    <row r="880" spans="2:15" ht="31.5" x14ac:dyDescent="0.25">
      <c r="B880" s="859" t="s">
        <v>2193</v>
      </c>
      <c r="C880" s="864" t="s">
        <v>2194</v>
      </c>
      <c r="D880" s="861" t="s">
        <v>727</v>
      </c>
      <c r="E880" s="865">
        <v>34249</v>
      </c>
      <c r="F880" s="866"/>
      <c r="G880" s="853"/>
      <c r="H880" s="853"/>
      <c r="I880" s="853"/>
      <c r="J880" s="853"/>
      <c r="K880" s="853"/>
      <c r="M880" s="853"/>
      <c r="N880" s="853"/>
      <c r="O880" s="853"/>
    </row>
    <row r="881" spans="2:15" x14ac:dyDescent="0.25">
      <c r="B881" s="859" t="s">
        <v>2195</v>
      </c>
      <c r="C881" s="864" t="s">
        <v>2196</v>
      </c>
      <c r="D881" s="861" t="s">
        <v>727</v>
      </c>
      <c r="E881" s="865">
        <v>8320</v>
      </c>
      <c r="F881" s="866"/>
      <c r="G881" s="853"/>
      <c r="H881" s="853"/>
      <c r="I881" s="853"/>
      <c r="J881" s="853"/>
      <c r="K881" s="853"/>
      <c r="M881" s="853"/>
      <c r="N881" s="853"/>
      <c r="O881" s="853"/>
    </row>
    <row r="882" spans="2:15" x14ac:dyDescent="0.25">
      <c r="B882" s="859" t="s">
        <v>2197</v>
      </c>
      <c r="C882" s="864" t="s">
        <v>2198</v>
      </c>
      <c r="D882" s="861" t="s">
        <v>727</v>
      </c>
      <c r="E882" s="865">
        <v>346218</v>
      </c>
      <c r="F882" s="866"/>
      <c r="G882" s="853"/>
      <c r="H882" s="853"/>
      <c r="I882" s="853"/>
      <c r="J882" s="853"/>
      <c r="K882" s="853"/>
      <c r="M882" s="853"/>
      <c r="N882" s="853"/>
      <c r="O882" s="853"/>
    </row>
    <row r="883" spans="2:15" x14ac:dyDescent="0.25">
      <c r="B883" s="859" t="s">
        <v>2199</v>
      </c>
      <c r="C883" s="864" t="s">
        <v>2200</v>
      </c>
      <c r="D883" s="861" t="s">
        <v>727</v>
      </c>
      <c r="E883" s="865">
        <v>161948</v>
      </c>
      <c r="F883" s="866"/>
      <c r="G883" s="853"/>
      <c r="H883" s="853"/>
      <c r="I883" s="853"/>
      <c r="J883" s="853"/>
      <c r="K883" s="853"/>
      <c r="M883" s="853"/>
      <c r="N883" s="853"/>
      <c r="O883" s="853"/>
    </row>
    <row r="884" spans="2:15" x14ac:dyDescent="0.25">
      <c r="B884" s="859" t="s">
        <v>2201</v>
      </c>
      <c r="C884" s="864" t="s">
        <v>2202</v>
      </c>
      <c r="D884" s="861" t="s">
        <v>727</v>
      </c>
      <c r="E884" s="865">
        <v>95485</v>
      </c>
      <c r="F884" s="866"/>
      <c r="G884" s="853"/>
      <c r="H884" s="853"/>
      <c r="I884" s="853"/>
      <c r="J884" s="853"/>
      <c r="K884" s="853"/>
      <c r="M884" s="853"/>
      <c r="N884" s="853"/>
      <c r="O884" s="853"/>
    </row>
    <row r="885" spans="2:15" x14ac:dyDescent="0.25">
      <c r="B885" s="859" t="s">
        <v>2203</v>
      </c>
      <c r="C885" s="864" t="s">
        <v>2204</v>
      </c>
      <c r="D885" s="861" t="s">
        <v>727</v>
      </c>
      <c r="E885" s="865">
        <v>2328</v>
      </c>
      <c r="F885" s="866"/>
      <c r="G885" s="853"/>
      <c r="H885" s="853"/>
      <c r="I885" s="853"/>
      <c r="J885" s="853"/>
      <c r="K885" s="853"/>
      <c r="M885" s="853"/>
      <c r="N885" s="853"/>
      <c r="O885" s="853"/>
    </row>
    <row r="886" spans="2:15" x14ac:dyDescent="0.25">
      <c r="B886" s="859" t="s">
        <v>2205</v>
      </c>
      <c r="C886" s="864" t="s">
        <v>2206</v>
      </c>
      <c r="D886" s="861" t="s">
        <v>727</v>
      </c>
      <c r="E886" s="865">
        <v>1421</v>
      </c>
      <c r="F886" s="866"/>
      <c r="G886" s="853"/>
      <c r="H886" s="853"/>
      <c r="I886" s="853"/>
      <c r="J886" s="853"/>
      <c r="K886" s="853"/>
      <c r="M886" s="853"/>
      <c r="N886" s="853"/>
      <c r="O886" s="853"/>
    </row>
    <row r="887" spans="2:15" x14ac:dyDescent="0.25">
      <c r="B887" s="859" t="s">
        <v>2207</v>
      </c>
      <c r="C887" s="864" t="s">
        <v>2208</v>
      </c>
      <c r="D887" s="861" t="s">
        <v>727</v>
      </c>
      <c r="E887" s="865">
        <v>11192</v>
      </c>
      <c r="F887" s="866"/>
      <c r="G887" s="853"/>
      <c r="H887" s="853"/>
      <c r="I887" s="853"/>
      <c r="J887" s="853"/>
      <c r="K887" s="853"/>
      <c r="M887" s="853"/>
      <c r="N887" s="853"/>
      <c r="O887" s="853"/>
    </row>
    <row r="888" spans="2:15" x14ac:dyDescent="0.25">
      <c r="B888" s="859" t="s">
        <v>2209</v>
      </c>
      <c r="C888" s="864" t="s">
        <v>2210</v>
      </c>
      <c r="D888" s="861" t="s">
        <v>727</v>
      </c>
      <c r="E888" s="865">
        <v>13356</v>
      </c>
      <c r="F888" s="866"/>
      <c r="G888" s="853"/>
      <c r="H888" s="853"/>
      <c r="I888" s="853"/>
      <c r="J888" s="853"/>
      <c r="K888" s="853"/>
      <c r="M888" s="853"/>
      <c r="N888" s="853"/>
      <c r="O888" s="853"/>
    </row>
    <row r="889" spans="2:15" x14ac:dyDescent="0.25">
      <c r="B889" s="859" t="s">
        <v>2211</v>
      </c>
      <c r="C889" s="864" t="s">
        <v>2212</v>
      </c>
      <c r="D889" s="861" t="s">
        <v>727</v>
      </c>
      <c r="E889" s="865">
        <v>19042</v>
      </c>
      <c r="F889" s="866"/>
      <c r="G889" s="853"/>
      <c r="H889" s="853"/>
      <c r="I889" s="853"/>
      <c r="J889" s="853"/>
      <c r="K889" s="853"/>
      <c r="M889" s="853"/>
      <c r="N889" s="853"/>
      <c r="O889" s="853"/>
    </row>
    <row r="890" spans="2:15" x14ac:dyDescent="0.25">
      <c r="B890" s="859" t="s">
        <v>2213</v>
      </c>
      <c r="C890" s="864" t="s">
        <v>2214</v>
      </c>
      <c r="D890" s="861" t="s">
        <v>727</v>
      </c>
      <c r="E890" s="865">
        <v>24623</v>
      </c>
      <c r="F890" s="866"/>
      <c r="G890" s="853"/>
      <c r="H890" s="853"/>
      <c r="I890" s="853"/>
      <c r="J890" s="853"/>
      <c r="K890" s="853"/>
      <c r="M890" s="853"/>
      <c r="N890" s="853"/>
      <c r="O890" s="853"/>
    </row>
    <row r="891" spans="2:15" x14ac:dyDescent="0.25">
      <c r="B891" s="859" t="s">
        <v>2215</v>
      </c>
      <c r="C891" s="864" t="s">
        <v>2216</v>
      </c>
      <c r="D891" s="861" t="s">
        <v>727</v>
      </c>
      <c r="E891" s="865">
        <v>14652</v>
      </c>
      <c r="F891" s="866"/>
      <c r="G891" s="853"/>
      <c r="H891" s="853"/>
      <c r="I891" s="853"/>
      <c r="J891" s="853"/>
      <c r="K891" s="853"/>
      <c r="M891" s="853"/>
      <c r="N891" s="853"/>
      <c r="O891" s="853"/>
    </row>
    <row r="892" spans="2:15" x14ac:dyDescent="0.25">
      <c r="B892" s="859" t="s">
        <v>2217</v>
      </c>
      <c r="C892" s="864" t="s">
        <v>2218</v>
      </c>
      <c r="D892" s="861" t="s">
        <v>727</v>
      </c>
      <c r="E892" s="865">
        <v>12685</v>
      </c>
      <c r="F892" s="866"/>
      <c r="G892" s="853"/>
      <c r="H892" s="853"/>
      <c r="I892" s="853"/>
      <c r="J892" s="853"/>
      <c r="K892" s="853"/>
      <c r="M892" s="853"/>
      <c r="N892" s="853"/>
      <c r="O892" s="853"/>
    </row>
    <row r="893" spans="2:15" x14ac:dyDescent="0.25">
      <c r="B893" s="859" t="s">
        <v>2219</v>
      </c>
      <c r="C893" s="864" t="s">
        <v>2220</v>
      </c>
      <c r="D893" s="861" t="s">
        <v>727</v>
      </c>
      <c r="E893" s="865">
        <v>23280</v>
      </c>
      <c r="F893" s="866"/>
      <c r="G893" s="853"/>
      <c r="H893" s="853"/>
      <c r="I893" s="853"/>
      <c r="J893" s="853"/>
      <c r="K893" s="853"/>
      <c r="M893" s="853"/>
      <c r="N893" s="853"/>
      <c r="O893" s="853"/>
    </row>
    <row r="894" spans="2:15" x14ac:dyDescent="0.25">
      <c r="B894" s="859" t="s">
        <v>2221</v>
      </c>
      <c r="C894" s="864" t="s">
        <v>2222</v>
      </c>
      <c r="D894" s="861" t="s">
        <v>727</v>
      </c>
      <c r="E894" s="865">
        <v>2328</v>
      </c>
      <c r="F894" s="866"/>
      <c r="G894" s="853"/>
      <c r="H894" s="853"/>
      <c r="I894" s="853"/>
      <c r="J894" s="853"/>
      <c r="K894" s="853"/>
      <c r="M894" s="853"/>
      <c r="N894" s="853"/>
      <c r="O894" s="853"/>
    </row>
    <row r="895" spans="2:15" x14ac:dyDescent="0.25">
      <c r="B895" s="859" t="s">
        <v>2223</v>
      </c>
      <c r="C895" s="864" t="s">
        <v>2224</v>
      </c>
      <c r="D895" s="861" t="s">
        <v>727</v>
      </c>
      <c r="E895" s="865">
        <v>2444</v>
      </c>
      <c r="F895" s="866"/>
      <c r="G895" s="853"/>
      <c r="H895" s="853"/>
      <c r="I895" s="853"/>
      <c r="J895" s="853"/>
      <c r="K895" s="853"/>
      <c r="M895" s="853"/>
      <c r="N895" s="853"/>
      <c r="O895" s="853"/>
    </row>
    <row r="896" spans="2:15" x14ac:dyDescent="0.25">
      <c r="B896" s="859" t="s">
        <v>2225</v>
      </c>
      <c r="C896" s="864" t="s">
        <v>2226</v>
      </c>
      <c r="D896" s="861" t="s">
        <v>727</v>
      </c>
      <c r="E896" s="865">
        <v>3904</v>
      </c>
      <c r="F896" s="866"/>
      <c r="G896" s="853"/>
      <c r="H896" s="853"/>
      <c r="I896" s="853"/>
      <c r="J896" s="853"/>
      <c r="K896" s="853"/>
      <c r="M896" s="853"/>
      <c r="N896" s="853"/>
      <c r="O896" s="853"/>
    </row>
    <row r="897" spans="2:15" x14ac:dyDescent="0.25">
      <c r="B897" s="859" t="s">
        <v>2227</v>
      </c>
      <c r="C897" s="864" t="s">
        <v>2228</v>
      </c>
      <c r="D897" s="861" t="s">
        <v>727</v>
      </c>
      <c r="E897" s="865">
        <v>8536</v>
      </c>
      <c r="F897" s="866"/>
      <c r="G897" s="853"/>
      <c r="H897" s="853"/>
      <c r="I897" s="853"/>
      <c r="J897" s="853"/>
      <c r="K897" s="853"/>
      <c r="M897" s="853"/>
      <c r="N897" s="853"/>
      <c r="O897" s="853"/>
    </row>
    <row r="898" spans="2:15" x14ac:dyDescent="0.25">
      <c r="B898" s="859" t="s">
        <v>2229</v>
      </c>
      <c r="C898" s="864" t="s">
        <v>2230</v>
      </c>
      <c r="D898" s="861" t="s">
        <v>727</v>
      </c>
      <c r="E898" s="865">
        <v>2728</v>
      </c>
      <c r="F898" s="866"/>
      <c r="G898" s="853"/>
      <c r="H898" s="853"/>
      <c r="I898" s="853"/>
      <c r="J898" s="853"/>
      <c r="K898" s="853"/>
      <c r="M898" s="853"/>
      <c r="N898" s="853"/>
      <c r="O898" s="853"/>
    </row>
    <row r="899" spans="2:15" x14ac:dyDescent="0.25">
      <c r="B899" s="859" t="s">
        <v>2231</v>
      </c>
      <c r="C899" s="864" t="s">
        <v>2232</v>
      </c>
      <c r="D899" s="861" t="s">
        <v>727</v>
      </c>
      <c r="E899" s="865">
        <v>86853</v>
      </c>
      <c r="F899" s="866"/>
      <c r="G899" s="853"/>
      <c r="H899" s="853"/>
      <c r="I899" s="853"/>
      <c r="J899" s="853"/>
      <c r="K899" s="853"/>
      <c r="M899" s="853"/>
      <c r="N899" s="853"/>
      <c r="O899" s="853"/>
    </row>
    <row r="900" spans="2:15" ht="31.5" x14ac:dyDescent="0.25">
      <c r="B900" s="859" t="s">
        <v>2233</v>
      </c>
      <c r="C900" s="864" t="s">
        <v>2234</v>
      </c>
      <c r="D900" s="861" t="s">
        <v>727</v>
      </c>
      <c r="E900" s="865">
        <v>78556</v>
      </c>
      <c r="F900" s="866"/>
      <c r="G900" s="853"/>
      <c r="H900" s="853"/>
      <c r="I900" s="853"/>
      <c r="J900" s="853"/>
      <c r="K900" s="853"/>
      <c r="M900" s="853"/>
      <c r="N900" s="853"/>
      <c r="O900" s="853"/>
    </row>
    <row r="901" spans="2:15" x14ac:dyDescent="0.25">
      <c r="B901" s="859" t="s">
        <v>2235</v>
      </c>
      <c r="C901" s="864" t="s">
        <v>2236</v>
      </c>
      <c r="D901" s="861" t="s">
        <v>727</v>
      </c>
      <c r="E901" s="865">
        <v>68721</v>
      </c>
      <c r="F901" s="866"/>
      <c r="G901" s="853"/>
      <c r="H901" s="853"/>
      <c r="I901" s="853"/>
      <c r="J901" s="853"/>
      <c r="K901" s="853"/>
      <c r="M901" s="853"/>
      <c r="N901" s="853"/>
      <c r="O901" s="853"/>
    </row>
    <row r="902" spans="2:15" x14ac:dyDescent="0.25">
      <c r="B902" s="859" t="s">
        <v>2237</v>
      </c>
      <c r="C902" s="864" t="s">
        <v>2238</v>
      </c>
      <c r="D902" s="861" t="s">
        <v>727</v>
      </c>
      <c r="E902" s="865">
        <v>37189</v>
      </c>
      <c r="F902" s="866"/>
      <c r="G902" s="853"/>
      <c r="H902" s="853"/>
      <c r="I902" s="853"/>
      <c r="J902" s="853"/>
      <c r="K902" s="853"/>
      <c r="M902" s="853"/>
      <c r="N902" s="853"/>
      <c r="O902" s="853"/>
    </row>
    <row r="903" spans="2:15" x14ac:dyDescent="0.25">
      <c r="B903" s="859" t="s">
        <v>2239</v>
      </c>
      <c r="C903" s="864" t="s">
        <v>2240</v>
      </c>
      <c r="D903" s="861" t="s">
        <v>727</v>
      </c>
      <c r="E903" s="865">
        <v>37530</v>
      </c>
      <c r="F903" s="866"/>
      <c r="G903" s="853"/>
      <c r="H903" s="853"/>
      <c r="I903" s="853"/>
      <c r="J903" s="853"/>
      <c r="K903" s="853"/>
      <c r="M903" s="853"/>
      <c r="N903" s="853"/>
      <c r="O903" s="853"/>
    </row>
    <row r="904" spans="2:15" x14ac:dyDescent="0.25">
      <c r="B904" s="859" t="s">
        <v>2241</v>
      </c>
      <c r="C904" s="864" t="s">
        <v>2242</v>
      </c>
      <c r="D904" s="861" t="s">
        <v>727</v>
      </c>
      <c r="E904" s="865">
        <v>48481</v>
      </c>
      <c r="F904" s="866"/>
      <c r="G904" s="853"/>
      <c r="H904" s="853"/>
      <c r="I904" s="853"/>
      <c r="J904" s="853"/>
      <c r="K904" s="853"/>
      <c r="M904" s="853"/>
      <c r="N904" s="853"/>
      <c r="O904" s="853"/>
    </row>
    <row r="905" spans="2:15" x14ac:dyDescent="0.25">
      <c r="B905" s="859" t="s">
        <v>2243</v>
      </c>
      <c r="C905" s="864" t="s">
        <v>2244</v>
      </c>
      <c r="D905" s="861" t="s">
        <v>727</v>
      </c>
      <c r="E905" s="865">
        <v>16730</v>
      </c>
      <c r="F905" s="866"/>
      <c r="G905" s="853"/>
      <c r="H905" s="853"/>
      <c r="I905" s="853"/>
      <c r="J905" s="853"/>
      <c r="K905" s="853"/>
      <c r="M905" s="853"/>
      <c r="N905" s="853"/>
      <c r="O905" s="853"/>
    </row>
    <row r="906" spans="2:15" x14ac:dyDescent="0.25">
      <c r="B906" s="859" t="s">
        <v>2245</v>
      </c>
      <c r="C906" s="864" t="s">
        <v>2246</v>
      </c>
      <c r="D906" s="861" t="s">
        <v>727</v>
      </c>
      <c r="E906" s="865">
        <v>19490</v>
      </c>
      <c r="F906" s="866"/>
      <c r="G906" s="853"/>
      <c r="H906" s="853"/>
      <c r="I906" s="853"/>
      <c r="J906" s="853"/>
      <c r="K906" s="853"/>
      <c r="M906" s="853"/>
      <c r="N906" s="853"/>
      <c r="O906" s="853"/>
    </row>
    <row r="907" spans="2:15" x14ac:dyDescent="0.25">
      <c r="B907" s="859" t="s">
        <v>2247</v>
      </c>
      <c r="C907" s="864" t="s">
        <v>2248</v>
      </c>
      <c r="D907" s="861" t="s">
        <v>727</v>
      </c>
      <c r="E907" s="865">
        <v>15222</v>
      </c>
      <c r="F907" s="866"/>
      <c r="G907" s="853"/>
      <c r="H907" s="853"/>
      <c r="I907" s="853"/>
      <c r="J907" s="853"/>
      <c r="K907" s="853"/>
      <c r="M907" s="853"/>
      <c r="N907" s="853"/>
      <c r="O907" s="853"/>
    </row>
    <row r="908" spans="2:15" x14ac:dyDescent="0.25">
      <c r="B908" s="859" t="s">
        <v>2249</v>
      </c>
      <c r="C908" s="864" t="s">
        <v>2250</v>
      </c>
      <c r="D908" s="861" t="s">
        <v>727</v>
      </c>
      <c r="E908" s="865">
        <v>77004</v>
      </c>
      <c r="F908" s="866"/>
      <c r="G908" s="853"/>
      <c r="H908" s="853"/>
      <c r="I908" s="853"/>
      <c r="J908" s="853"/>
      <c r="K908" s="853"/>
      <c r="M908" s="853"/>
      <c r="N908" s="853"/>
      <c r="O908" s="853"/>
    </row>
    <row r="909" spans="2:15" x14ac:dyDescent="0.25">
      <c r="B909" s="859" t="s">
        <v>2251</v>
      </c>
      <c r="C909" s="864" t="s">
        <v>2252</v>
      </c>
      <c r="D909" s="861" t="s">
        <v>727</v>
      </c>
      <c r="E909" s="865">
        <v>23280</v>
      </c>
      <c r="F909" s="866"/>
      <c r="G909" s="853"/>
      <c r="H909" s="853"/>
      <c r="I909" s="853"/>
      <c r="J909" s="853"/>
      <c r="K909" s="853"/>
      <c r="M909" s="853"/>
      <c r="N909" s="853"/>
      <c r="O909" s="853"/>
    </row>
    <row r="910" spans="2:15" x14ac:dyDescent="0.25">
      <c r="B910" s="859" t="s">
        <v>2253</v>
      </c>
      <c r="C910" s="864" t="s">
        <v>2254</v>
      </c>
      <c r="D910" s="861" t="s">
        <v>727</v>
      </c>
      <c r="E910" s="862">
        <v>791</v>
      </c>
      <c r="F910" s="863"/>
      <c r="G910" s="853"/>
      <c r="H910" s="853"/>
      <c r="I910" s="853"/>
      <c r="J910" s="853"/>
      <c r="K910" s="853"/>
      <c r="M910" s="853"/>
      <c r="N910" s="853"/>
      <c r="O910" s="853"/>
    </row>
    <row r="911" spans="2:15" x14ac:dyDescent="0.25">
      <c r="B911" s="859" t="s">
        <v>2255</v>
      </c>
      <c r="C911" s="864" t="s">
        <v>2256</v>
      </c>
      <c r="D911" s="861" t="s">
        <v>727</v>
      </c>
      <c r="E911" s="865">
        <v>2328</v>
      </c>
      <c r="F911" s="866"/>
      <c r="G911" s="853"/>
      <c r="H911" s="853"/>
      <c r="I911" s="853"/>
      <c r="J911" s="853"/>
      <c r="K911" s="853"/>
      <c r="M911" s="853"/>
      <c r="N911" s="853"/>
      <c r="O911" s="853"/>
    </row>
    <row r="912" spans="2:15" x14ac:dyDescent="0.25">
      <c r="B912" s="859"/>
      <c r="C912" s="864"/>
      <c r="D912" s="861"/>
      <c r="E912" s="862"/>
      <c r="F912" s="863"/>
      <c r="G912" s="853"/>
      <c r="H912" s="853"/>
      <c r="I912" s="853"/>
      <c r="J912" s="853"/>
      <c r="K912" s="853"/>
      <c r="M912" s="853"/>
      <c r="N912" s="853"/>
      <c r="O912" s="853"/>
    </row>
    <row r="913" spans="2:15" x14ac:dyDescent="0.25">
      <c r="B913" s="859"/>
      <c r="C913" s="871" t="s">
        <v>2257</v>
      </c>
      <c r="D913" s="872"/>
      <c r="E913" s="862"/>
      <c r="F913" s="863"/>
      <c r="G913" s="853"/>
      <c r="H913" s="853"/>
      <c r="I913" s="853"/>
      <c r="J913" s="853"/>
      <c r="K913" s="853"/>
      <c r="M913" s="853"/>
      <c r="N913" s="853"/>
      <c r="O913" s="853"/>
    </row>
    <row r="914" spans="2:15" ht="31.5" x14ac:dyDescent="0.25">
      <c r="B914" s="859" t="s">
        <v>2258</v>
      </c>
      <c r="C914" s="880" t="s">
        <v>2259</v>
      </c>
      <c r="D914" s="861"/>
      <c r="E914" s="862"/>
      <c r="F914" s="863"/>
      <c r="G914" s="853"/>
      <c r="H914" s="853"/>
      <c r="I914" s="853"/>
      <c r="J914" s="853"/>
      <c r="K914" s="853"/>
      <c r="M914" s="853"/>
      <c r="N914" s="853"/>
      <c r="O914" s="853"/>
    </row>
    <row r="915" spans="2:15" ht="47.25" x14ac:dyDescent="0.25">
      <c r="B915" s="859" t="s">
        <v>2260</v>
      </c>
      <c r="C915" s="860" t="s">
        <v>2261</v>
      </c>
      <c r="D915" s="861"/>
      <c r="E915" s="862"/>
      <c r="F915" s="863"/>
      <c r="G915" s="853"/>
      <c r="H915" s="853"/>
      <c r="I915" s="853"/>
      <c r="J915" s="853"/>
      <c r="K915" s="853"/>
      <c r="M915" s="853"/>
      <c r="N915" s="853"/>
      <c r="O915" s="853"/>
    </row>
    <row r="916" spans="2:15" x14ac:dyDescent="0.25">
      <c r="B916" s="859" t="s">
        <v>2262</v>
      </c>
      <c r="C916" s="864" t="s">
        <v>2263</v>
      </c>
      <c r="D916" s="861" t="s">
        <v>727</v>
      </c>
      <c r="E916" s="865">
        <v>100421</v>
      </c>
      <c r="F916" s="866"/>
      <c r="G916" s="853"/>
      <c r="H916" s="853"/>
      <c r="I916" s="853"/>
      <c r="J916" s="853"/>
      <c r="K916" s="853"/>
      <c r="M916" s="853"/>
      <c r="N916" s="853"/>
      <c r="O916" s="853"/>
    </row>
    <row r="917" spans="2:15" x14ac:dyDescent="0.25">
      <c r="B917" s="859" t="s">
        <v>2264</v>
      </c>
      <c r="C917" s="864" t="s">
        <v>2265</v>
      </c>
      <c r="D917" s="861" t="s">
        <v>727</v>
      </c>
      <c r="E917" s="865">
        <v>23318</v>
      </c>
      <c r="F917" s="863"/>
      <c r="G917" s="853"/>
      <c r="H917" s="853"/>
      <c r="I917" s="853"/>
      <c r="J917" s="853"/>
      <c r="K917" s="853"/>
      <c r="M917" s="853"/>
      <c r="N917" s="853"/>
      <c r="O917" s="853"/>
    </row>
    <row r="918" spans="2:15" x14ac:dyDescent="0.25">
      <c r="B918" s="859" t="s">
        <v>2266</v>
      </c>
      <c r="C918" s="864" t="s">
        <v>2267</v>
      </c>
      <c r="D918" s="861" t="s">
        <v>727</v>
      </c>
      <c r="E918" s="865">
        <v>131044</v>
      </c>
      <c r="F918" s="866"/>
      <c r="G918" s="853"/>
      <c r="H918" s="853"/>
      <c r="I918" s="853"/>
      <c r="J918" s="853"/>
      <c r="K918" s="853"/>
      <c r="M918" s="853"/>
      <c r="N918" s="853"/>
      <c r="O918" s="853"/>
    </row>
    <row r="919" spans="2:15" ht="31.5" x14ac:dyDescent="0.25">
      <c r="B919" s="859" t="s">
        <v>2268</v>
      </c>
      <c r="C919" s="864" t="s">
        <v>2269</v>
      </c>
      <c r="D919" s="861" t="s">
        <v>727</v>
      </c>
      <c r="E919" s="865">
        <v>135863</v>
      </c>
      <c r="F919" s="866"/>
      <c r="G919" s="853"/>
      <c r="H919" s="853"/>
      <c r="I919" s="853"/>
      <c r="J919" s="853"/>
      <c r="K919" s="853"/>
      <c r="M919" s="853"/>
      <c r="N919" s="853"/>
      <c r="O919" s="853"/>
    </row>
    <row r="920" spans="2:15" ht="31.5" x14ac:dyDescent="0.25">
      <c r="B920" s="859" t="s">
        <v>2270</v>
      </c>
      <c r="C920" s="864" t="s">
        <v>2271</v>
      </c>
      <c r="D920" s="861" t="s">
        <v>727</v>
      </c>
      <c r="E920" s="865">
        <v>147678</v>
      </c>
      <c r="F920" s="866"/>
      <c r="G920" s="853"/>
      <c r="H920" s="853"/>
      <c r="I920" s="853"/>
      <c r="J920" s="853"/>
      <c r="K920" s="853"/>
      <c r="M920" s="853"/>
      <c r="N920" s="853"/>
      <c r="O920" s="853"/>
    </row>
    <row r="921" spans="2:15" x14ac:dyDescent="0.25">
      <c r="B921" s="859" t="s">
        <v>2272</v>
      </c>
      <c r="C921" s="864" t="s">
        <v>2273</v>
      </c>
      <c r="D921" s="861" t="s">
        <v>727</v>
      </c>
      <c r="E921" s="865">
        <v>170995</v>
      </c>
      <c r="F921" s="863"/>
      <c r="G921" s="853"/>
      <c r="H921" s="853"/>
      <c r="I921" s="853"/>
      <c r="J921" s="853"/>
      <c r="K921" s="853"/>
      <c r="M921" s="853"/>
      <c r="N921" s="853"/>
      <c r="O921" s="853"/>
    </row>
    <row r="922" spans="2:15" x14ac:dyDescent="0.25">
      <c r="B922" s="859" t="s">
        <v>2274</v>
      </c>
      <c r="C922" s="864" t="s">
        <v>2275</v>
      </c>
      <c r="D922" s="861" t="s">
        <v>727</v>
      </c>
      <c r="E922" s="865">
        <v>163223</v>
      </c>
      <c r="F922" s="866"/>
      <c r="G922" s="853"/>
      <c r="H922" s="853"/>
      <c r="I922" s="853"/>
      <c r="J922" s="853"/>
      <c r="K922" s="853"/>
      <c r="M922" s="853"/>
      <c r="N922" s="853"/>
      <c r="O922" s="853"/>
    </row>
    <row r="923" spans="2:15" x14ac:dyDescent="0.25">
      <c r="B923" s="859" t="s">
        <v>2276</v>
      </c>
      <c r="C923" s="864" t="s">
        <v>2277</v>
      </c>
      <c r="D923" s="861" t="s">
        <v>727</v>
      </c>
      <c r="E923" s="865">
        <v>170995</v>
      </c>
      <c r="F923" s="863"/>
      <c r="G923" s="853"/>
      <c r="H923" s="853"/>
      <c r="I923" s="853"/>
      <c r="J923" s="853"/>
      <c r="K923" s="853"/>
      <c r="M923" s="853"/>
      <c r="N923" s="853"/>
      <c r="O923" s="853"/>
    </row>
    <row r="924" spans="2:15" x14ac:dyDescent="0.25">
      <c r="B924" s="859" t="s">
        <v>2278</v>
      </c>
      <c r="C924" s="864" t="s">
        <v>2279</v>
      </c>
      <c r="D924" s="861" t="s">
        <v>727</v>
      </c>
      <c r="E924" s="865">
        <v>3038457</v>
      </c>
      <c r="F924" s="866"/>
      <c r="G924" s="853"/>
      <c r="H924" s="853"/>
      <c r="I924" s="853"/>
      <c r="J924" s="853"/>
      <c r="K924" s="853"/>
      <c r="M924" s="853"/>
      <c r="N924" s="853"/>
      <c r="O924" s="853"/>
    </row>
    <row r="925" spans="2:15" x14ac:dyDescent="0.25">
      <c r="B925" s="859" t="s">
        <v>2280</v>
      </c>
      <c r="C925" s="860" t="s">
        <v>2281</v>
      </c>
      <c r="D925" s="861"/>
      <c r="E925" s="862"/>
      <c r="F925" s="863"/>
      <c r="G925" s="853"/>
      <c r="H925" s="853"/>
      <c r="I925" s="853"/>
      <c r="J925" s="853"/>
      <c r="K925" s="853"/>
      <c r="M925" s="853"/>
      <c r="N925" s="853"/>
      <c r="O925" s="853"/>
    </row>
    <row r="926" spans="2:15" x14ac:dyDescent="0.25">
      <c r="B926" s="859" t="s">
        <v>2282</v>
      </c>
      <c r="C926" s="864" t="s">
        <v>2283</v>
      </c>
      <c r="D926" s="861" t="s">
        <v>727</v>
      </c>
      <c r="E926" s="865">
        <v>113168</v>
      </c>
      <c r="F926" s="866"/>
      <c r="G926" s="853"/>
      <c r="H926" s="853"/>
      <c r="I926" s="853"/>
      <c r="J926" s="853"/>
      <c r="K926" s="853"/>
      <c r="M926" s="853"/>
      <c r="N926" s="853"/>
      <c r="O926" s="853"/>
    </row>
    <row r="927" spans="2:15" x14ac:dyDescent="0.25">
      <c r="B927" s="859" t="s">
        <v>2284</v>
      </c>
      <c r="C927" s="864" t="s">
        <v>2285</v>
      </c>
      <c r="D927" s="861" t="s">
        <v>727</v>
      </c>
      <c r="E927" s="865">
        <v>110642</v>
      </c>
      <c r="F927" s="866"/>
      <c r="G927" s="853"/>
      <c r="H927" s="853"/>
      <c r="I927" s="853"/>
      <c r="J927" s="853"/>
      <c r="K927" s="853"/>
      <c r="M927" s="853"/>
      <c r="N927" s="853"/>
      <c r="O927" s="853"/>
    </row>
    <row r="928" spans="2:15" ht="18.75" x14ac:dyDescent="0.25">
      <c r="B928" s="859" t="s">
        <v>2286</v>
      </c>
      <c r="C928" s="864" t="s">
        <v>3142</v>
      </c>
      <c r="D928" s="861" t="s">
        <v>727</v>
      </c>
      <c r="E928" s="865">
        <v>252101</v>
      </c>
      <c r="F928" s="866"/>
      <c r="G928" s="853"/>
      <c r="H928" s="853"/>
      <c r="I928" s="853"/>
      <c r="J928" s="853"/>
      <c r="K928" s="853"/>
      <c r="M928" s="853"/>
      <c r="N928" s="853"/>
      <c r="O928" s="853"/>
    </row>
    <row r="929" spans="2:15" x14ac:dyDescent="0.25">
      <c r="B929" s="859" t="s">
        <v>2288</v>
      </c>
      <c r="C929" s="864" t="s">
        <v>2289</v>
      </c>
      <c r="D929" s="861" t="s">
        <v>727</v>
      </c>
      <c r="E929" s="865">
        <v>907665</v>
      </c>
      <c r="F929" s="866"/>
      <c r="G929" s="853"/>
      <c r="H929" s="853"/>
      <c r="I929" s="853"/>
      <c r="J929" s="853"/>
      <c r="K929" s="853"/>
      <c r="M929" s="853"/>
      <c r="N929" s="853"/>
      <c r="O929" s="853"/>
    </row>
    <row r="930" spans="2:15" x14ac:dyDescent="0.25">
      <c r="B930" s="859" t="s">
        <v>2290</v>
      </c>
      <c r="C930" s="864" t="s">
        <v>2291</v>
      </c>
      <c r="D930" s="861" t="s">
        <v>727</v>
      </c>
      <c r="E930" s="865">
        <v>139905</v>
      </c>
      <c r="F930" s="866"/>
      <c r="G930" s="853"/>
      <c r="H930" s="853"/>
      <c r="I930" s="853"/>
      <c r="J930" s="853"/>
      <c r="K930" s="853"/>
      <c r="M930" s="853"/>
      <c r="N930" s="853"/>
      <c r="O930" s="853"/>
    </row>
    <row r="931" spans="2:15" x14ac:dyDescent="0.25">
      <c r="B931" s="859" t="s">
        <v>2292</v>
      </c>
      <c r="C931" s="864" t="s">
        <v>2293</v>
      </c>
      <c r="D931" s="861" t="s">
        <v>727</v>
      </c>
      <c r="E931" s="865">
        <v>194313</v>
      </c>
      <c r="F931" s="866"/>
      <c r="G931" s="853"/>
      <c r="H931" s="853"/>
      <c r="I931" s="853"/>
      <c r="J931" s="853"/>
      <c r="K931" s="853"/>
      <c r="M931" s="853"/>
      <c r="N931" s="853"/>
      <c r="O931" s="853"/>
    </row>
    <row r="932" spans="2:15" x14ac:dyDescent="0.25">
      <c r="B932" s="859" t="s">
        <v>2294</v>
      </c>
      <c r="C932" s="860" t="s">
        <v>2295</v>
      </c>
      <c r="D932" s="861"/>
      <c r="E932" s="862"/>
      <c r="F932" s="863"/>
      <c r="G932" s="853"/>
      <c r="H932" s="853"/>
      <c r="I932" s="853"/>
      <c r="J932" s="853"/>
      <c r="K932" s="853"/>
      <c r="M932" s="853"/>
      <c r="N932" s="853"/>
      <c r="O932" s="853"/>
    </row>
    <row r="933" spans="2:15" x14ac:dyDescent="0.25">
      <c r="B933" s="859" t="s">
        <v>2296</v>
      </c>
      <c r="C933" s="864" t="s">
        <v>2297</v>
      </c>
      <c r="D933" s="861" t="s">
        <v>727</v>
      </c>
      <c r="E933" s="865">
        <v>3109</v>
      </c>
      <c r="F933" s="866"/>
      <c r="G933" s="853"/>
      <c r="H933" s="853"/>
      <c r="I933" s="853"/>
      <c r="J933" s="853"/>
      <c r="K933" s="853"/>
      <c r="M933" s="853"/>
      <c r="N933" s="853"/>
      <c r="O933" s="853"/>
    </row>
    <row r="934" spans="2:15" x14ac:dyDescent="0.25">
      <c r="B934" s="859" t="s">
        <v>2298</v>
      </c>
      <c r="C934" s="864" t="s">
        <v>2299</v>
      </c>
      <c r="D934" s="861" t="s">
        <v>727</v>
      </c>
      <c r="E934" s="865">
        <v>54408</v>
      </c>
      <c r="F934" s="866"/>
      <c r="G934" s="853"/>
      <c r="H934" s="853"/>
      <c r="I934" s="853"/>
      <c r="J934" s="853"/>
      <c r="K934" s="853"/>
      <c r="M934" s="853"/>
      <c r="N934" s="853"/>
      <c r="O934" s="853"/>
    </row>
    <row r="935" spans="2:15" x14ac:dyDescent="0.25">
      <c r="B935" s="859" t="s">
        <v>2300</v>
      </c>
      <c r="C935" s="864" t="s">
        <v>2301</v>
      </c>
      <c r="D935" s="861" t="s">
        <v>727</v>
      </c>
      <c r="E935" s="865">
        <v>373080</v>
      </c>
      <c r="F935" s="866"/>
      <c r="G935" s="853"/>
      <c r="H935" s="853"/>
      <c r="I935" s="853"/>
      <c r="J935" s="853"/>
      <c r="K935" s="853"/>
      <c r="M935" s="853"/>
      <c r="N935" s="853"/>
      <c r="O935" s="853"/>
    </row>
    <row r="936" spans="2:15" x14ac:dyDescent="0.25">
      <c r="B936" s="859"/>
      <c r="C936" s="864"/>
      <c r="D936" s="861"/>
      <c r="E936" s="862"/>
      <c r="F936" s="863"/>
      <c r="G936" s="853"/>
      <c r="H936" s="853"/>
      <c r="I936" s="853"/>
      <c r="J936" s="853"/>
      <c r="K936" s="853"/>
      <c r="M936" s="853"/>
      <c r="N936" s="853"/>
      <c r="O936" s="853"/>
    </row>
    <row r="937" spans="2:15" x14ac:dyDescent="0.25">
      <c r="B937" s="859"/>
      <c r="C937" s="871" t="s">
        <v>2302</v>
      </c>
      <c r="D937" s="872"/>
      <c r="E937" s="862"/>
      <c r="F937" s="863"/>
      <c r="G937" s="853"/>
      <c r="H937" s="853"/>
      <c r="I937" s="853"/>
      <c r="J937" s="853"/>
      <c r="K937" s="853"/>
      <c r="M937" s="853"/>
      <c r="N937" s="853"/>
      <c r="O937" s="853"/>
    </row>
    <row r="938" spans="2:15" x14ac:dyDescent="0.25">
      <c r="B938" s="859" t="s">
        <v>2303</v>
      </c>
      <c r="C938" s="880" t="s">
        <v>2304</v>
      </c>
      <c r="D938" s="861"/>
      <c r="E938" s="862"/>
      <c r="F938" s="863"/>
      <c r="G938" s="853"/>
      <c r="H938" s="853"/>
      <c r="I938" s="853"/>
      <c r="J938" s="853"/>
      <c r="K938" s="853"/>
      <c r="M938" s="853"/>
      <c r="N938" s="853"/>
      <c r="O938" s="853"/>
    </row>
    <row r="939" spans="2:15" x14ac:dyDescent="0.25">
      <c r="B939" s="859" t="s">
        <v>2305</v>
      </c>
      <c r="C939" s="860" t="s">
        <v>1364</v>
      </c>
      <c r="D939" s="861"/>
      <c r="E939" s="862"/>
      <c r="F939" s="863"/>
      <c r="G939" s="853"/>
      <c r="H939" s="853"/>
      <c r="I939" s="853"/>
      <c r="J939" s="853"/>
      <c r="K939" s="853"/>
      <c r="M939" s="853"/>
      <c r="N939" s="853"/>
      <c r="O939" s="853"/>
    </row>
    <row r="940" spans="2:15" x14ac:dyDescent="0.25">
      <c r="B940" s="859" t="s">
        <v>2306</v>
      </c>
      <c r="C940" s="864" t="s">
        <v>2307</v>
      </c>
      <c r="D940" s="861" t="s">
        <v>1367</v>
      </c>
      <c r="E940" s="865">
        <v>45590</v>
      </c>
      <c r="F940" s="866"/>
      <c r="G940" s="853"/>
      <c r="H940" s="853"/>
      <c r="I940" s="853"/>
      <c r="J940" s="853"/>
      <c r="K940" s="853"/>
      <c r="M940" s="853"/>
      <c r="N940" s="853"/>
      <c r="O940" s="853"/>
    </row>
    <row r="941" spans="2:15" x14ac:dyDescent="0.25">
      <c r="B941" s="859" t="s">
        <v>2308</v>
      </c>
      <c r="C941" s="860" t="s">
        <v>2309</v>
      </c>
      <c r="D941" s="861"/>
      <c r="E941" s="862"/>
      <c r="F941" s="863"/>
      <c r="G941" s="853"/>
      <c r="H941" s="853"/>
      <c r="I941" s="853"/>
      <c r="J941" s="853"/>
      <c r="K941" s="853"/>
      <c r="M941" s="853"/>
      <c r="N941" s="853"/>
      <c r="O941" s="853"/>
    </row>
    <row r="942" spans="2:15" x14ac:dyDescent="0.25">
      <c r="B942" s="859" t="s">
        <v>2310</v>
      </c>
      <c r="C942" s="864" t="s">
        <v>2311</v>
      </c>
      <c r="D942" s="861" t="s">
        <v>950</v>
      </c>
      <c r="E942" s="865">
        <v>8643</v>
      </c>
      <c r="F942" s="866"/>
      <c r="G942" s="853"/>
      <c r="H942" s="853"/>
      <c r="I942" s="853"/>
      <c r="J942" s="853"/>
      <c r="K942" s="853"/>
      <c r="M942" s="853"/>
      <c r="N942" s="853"/>
      <c r="O942" s="853"/>
    </row>
    <row r="943" spans="2:15" ht="31.5" x14ac:dyDescent="0.25">
      <c r="B943" s="859" t="s">
        <v>2312</v>
      </c>
      <c r="C943" s="864" t="s">
        <v>2313</v>
      </c>
      <c r="D943" s="861" t="s">
        <v>950</v>
      </c>
      <c r="E943" s="865">
        <v>7648</v>
      </c>
      <c r="F943" s="866"/>
      <c r="G943" s="853"/>
      <c r="H943" s="853"/>
      <c r="I943" s="853"/>
      <c r="J943" s="853"/>
      <c r="K943" s="853"/>
      <c r="M943" s="853"/>
      <c r="N943" s="853"/>
      <c r="O943" s="853"/>
    </row>
    <row r="944" spans="2:15" ht="31.5" x14ac:dyDescent="0.25">
      <c r="B944" s="859" t="s">
        <v>2314</v>
      </c>
      <c r="C944" s="864" t="s">
        <v>2315</v>
      </c>
      <c r="D944" s="861" t="s">
        <v>950</v>
      </c>
      <c r="E944" s="865">
        <v>6063</v>
      </c>
      <c r="F944" s="866"/>
      <c r="G944" s="853"/>
      <c r="H944" s="853"/>
      <c r="I944" s="853"/>
      <c r="J944" s="853"/>
      <c r="K944" s="853"/>
      <c r="M944" s="853"/>
      <c r="N944" s="853"/>
      <c r="O944" s="853"/>
    </row>
    <row r="945" spans="2:15" x14ac:dyDescent="0.25">
      <c r="B945" s="859" t="s">
        <v>2316</v>
      </c>
      <c r="C945" s="864" t="s">
        <v>2317</v>
      </c>
      <c r="D945" s="861" t="s">
        <v>950</v>
      </c>
      <c r="E945" s="865">
        <v>2305</v>
      </c>
      <c r="F945" s="866"/>
      <c r="G945" s="853"/>
      <c r="H945" s="853"/>
      <c r="I945" s="853"/>
      <c r="J945" s="853"/>
      <c r="K945" s="853"/>
      <c r="M945" s="853"/>
      <c r="N945" s="853"/>
      <c r="O945" s="853"/>
    </row>
    <row r="946" spans="2:15" x14ac:dyDescent="0.25">
      <c r="B946" s="859" t="s">
        <v>2318</v>
      </c>
      <c r="C946" s="864" t="s">
        <v>2319</v>
      </c>
      <c r="D946" s="861" t="s">
        <v>950</v>
      </c>
      <c r="E946" s="865">
        <v>1865</v>
      </c>
      <c r="F946" s="866"/>
      <c r="G946" s="853"/>
      <c r="H946" s="853"/>
      <c r="I946" s="853"/>
      <c r="J946" s="853"/>
      <c r="K946" s="853"/>
      <c r="M946" s="853"/>
      <c r="N946" s="853"/>
      <c r="O946" s="853"/>
    </row>
    <row r="947" spans="2:15" x14ac:dyDescent="0.25">
      <c r="B947" s="859" t="s">
        <v>2320</v>
      </c>
      <c r="C947" s="864" t="s">
        <v>2321</v>
      </c>
      <c r="D947" s="861" t="s">
        <v>950</v>
      </c>
      <c r="E947" s="862">
        <v>808</v>
      </c>
      <c r="F947" s="863"/>
      <c r="G947" s="853"/>
      <c r="H947" s="853"/>
      <c r="I947" s="853"/>
      <c r="J947" s="853"/>
      <c r="K947" s="853"/>
      <c r="M947" s="853"/>
      <c r="N947" s="853"/>
      <c r="O947" s="853"/>
    </row>
    <row r="948" spans="2:15" x14ac:dyDescent="0.25">
      <c r="B948" s="859" t="s">
        <v>2322</v>
      </c>
      <c r="C948" s="864" t="s">
        <v>2323</v>
      </c>
      <c r="D948" s="861" t="s">
        <v>950</v>
      </c>
      <c r="E948" s="862">
        <v>622</v>
      </c>
      <c r="F948" s="863"/>
      <c r="G948" s="853"/>
      <c r="H948" s="853"/>
      <c r="I948" s="853"/>
      <c r="J948" s="853"/>
      <c r="K948" s="853"/>
      <c r="M948" s="853"/>
      <c r="N948" s="853"/>
      <c r="O948" s="853"/>
    </row>
    <row r="949" spans="2:15" x14ac:dyDescent="0.25">
      <c r="B949" s="859" t="s">
        <v>2324</v>
      </c>
      <c r="C949" s="864" t="s">
        <v>2325</v>
      </c>
      <c r="D949" s="861" t="s">
        <v>950</v>
      </c>
      <c r="E949" s="862">
        <v>480</v>
      </c>
      <c r="F949" s="863"/>
      <c r="G949" s="853"/>
      <c r="H949" s="853"/>
      <c r="I949" s="853"/>
      <c r="J949" s="853"/>
      <c r="K949" s="853"/>
      <c r="M949" s="853"/>
      <c r="N949" s="853"/>
      <c r="O949" s="853"/>
    </row>
    <row r="950" spans="2:15" x14ac:dyDescent="0.25">
      <c r="B950" s="859" t="s">
        <v>2326</v>
      </c>
      <c r="C950" s="864" t="s">
        <v>2327</v>
      </c>
      <c r="D950" s="861" t="s">
        <v>727</v>
      </c>
      <c r="E950" s="865">
        <v>122028</v>
      </c>
      <c r="F950" s="866"/>
      <c r="G950" s="853"/>
      <c r="H950" s="853"/>
      <c r="I950" s="853"/>
      <c r="J950" s="853"/>
      <c r="K950" s="853"/>
      <c r="M950" s="853"/>
      <c r="N950" s="853"/>
      <c r="O950" s="853"/>
    </row>
    <row r="951" spans="2:15" x14ac:dyDescent="0.25">
      <c r="B951" s="859" t="s">
        <v>2328</v>
      </c>
      <c r="C951" s="864" t="s">
        <v>2329</v>
      </c>
      <c r="D951" s="861" t="s">
        <v>727</v>
      </c>
      <c r="E951" s="865">
        <v>504283</v>
      </c>
      <c r="F951" s="866"/>
      <c r="G951" s="853"/>
      <c r="H951" s="853"/>
      <c r="I951" s="853"/>
      <c r="J951" s="853"/>
      <c r="K951" s="853"/>
      <c r="M951" s="853"/>
      <c r="N951" s="853"/>
      <c r="O951" s="853"/>
    </row>
    <row r="952" spans="2:15" x14ac:dyDescent="0.25">
      <c r="B952" s="859" t="s">
        <v>2330</v>
      </c>
      <c r="C952" s="864" t="s">
        <v>2331</v>
      </c>
      <c r="D952" s="861" t="s">
        <v>950</v>
      </c>
      <c r="E952" s="862">
        <v>378</v>
      </c>
      <c r="F952" s="863"/>
      <c r="G952" s="853"/>
      <c r="H952" s="853"/>
      <c r="I952" s="853"/>
      <c r="J952" s="853"/>
      <c r="K952" s="853"/>
      <c r="M952" s="853"/>
      <c r="N952" s="853"/>
      <c r="O952" s="853"/>
    </row>
    <row r="953" spans="2:15" x14ac:dyDescent="0.25">
      <c r="B953" s="859" t="s">
        <v>2332</v>
      </c>
      <c r="C953" s="860" t="s">
        <v>2333</v>
      </c>
      <c r="D953" s="861"/>
      <c r="E953" s="862"/>
      <c r="F953" s="863"/>
      <c r="G953" s="853"/>
      <c r="H953" s="853"/>
      <c r="I953" s="853"/>
      <c r="J953" s="853"/>
      <c r="K953" s="853"/>
      <c r="M953" s="853"/>
      <c r="N953" s="853"/>
      <c r="O953" s="853"/>
    </row>
    <row r="954" spans="2:15" ht="31.5" x14ac:dyDescent="0.25">
      <c r="B954" s="859" t="s">
        <v>2334</v>
      </c>
      <c r="C954" s="864" t="s">
        <v>2335</v>
      </c>
      <c r="D954" s="861" t="s">
        <v>727</v>
      </c>
      <c r="E954" s="865">
        <v>525421</v>
      </c>
      <c r="F954" s="866"/>
      <c r="G954" s="853"/>
      <c r="H954" s="853"/>
      <c r="I954" s="853"/>
      <c r="J954" s="853"/>
      <c r="K954" s="853"/>
      <c r="M954" s="853"/>
      <c r="N954" s="853"/>
      <c r="O954" s="853"/>
    </row>
    <row r="955" spans="2:15" x14ac:dyDescent="0.25">
      <c r="B955" s="859" t="s">
        <v>2336</v>
      </c>
      <c r="C955" s="864" t="s">
        <v>2337</v>
      </c>
      <c r="D955" s="861" t="s">
        <v>727</v>
      </c>
      <c r="E955" s="865">
        <v>295355</v>
      </c>
      <c r="F955" s="866"/>
      <c r="G955" s="853"/>
      <c r="H955" s="853"/>
      <c r="I955" s="853"/>
      <c r="J955" s="853"/>
      <c r="K955" s="853"/>
      <c r="M955" s="853"/>
      <c r="N955" s="853"/>
      <c r="O955" s="853"/>
    </row>
    <row r="956" spans="2:15" x14ac:dyDescent="0.25">
      <c r="B956" s="859" t="s">
        <v>2338</v>
      </c>
      <c r="C956" s="864" t="s">
        <v>2339</v>
      </c>
      <c r="D956" s="861" t="s">
        <v>727</v>
      </c>
      <c r="E956" s="865">
        <v>264265</v>
      </c>
      <c r="F956" s="866"/>
      <c r="G956" s="853"/>
      <c r="H956" s="853"/>
      <c r="I956" s="853"/>
      <c r="J956" s="853"/>
      <c r="K956" s="853"/>
      <c r="M956" s="853"/>
      <c r="N956" s="853"/>
      <c r="O956" s="853"/>
    </row>
    <row r="957" spans="2:15" x14ac:dyDescent="0.25">
      <c r="B957" s="859" t="s">
        <v>2340</v>
      </c>
      <c r="C957" s="864" t="s">
        <v>2341</v>
      </c>
      <c r="D957" s="861" t="s">
        <v>727</v>
      </c>
      <c r="E957" s="865">
        <v>69953</v>
      </c>
      <c r="F957" s="866"/>
      <c r="G957" s="853"/>
      <c r="H957" s="853"/>
      <c r="I957" s="853"/>
      <c r="J957" s="853"/>
      <c r="K957" s="853"/>
      <c r="M957" s="853"/>
      <c r="N957" s="853"/>
      <c r="O957" s="853"/>
    </row>
    <row r="958" spans="2:15" x14ac:dyDescent="0.25">
      <c r="B958" s="859" t="s">
        <v>2342</v>
      </c>
      <c r="C958" s="864" t="s">
        <v>2343</v>
      </c>
      <c r="D958" s="861" t="s">
        <v>727</v>
      </c>
      <c r="E958" s="865">
        <v>1399</v>
      </c>
      <c r="F958" s="866"/>
      <c r="G958" s="853"/>
      <c r="H958" s="853"/>
      <c r="I958" s="853"/>
      <c r="J958" s="853"/>
      <c r="K958" s="853"/>
      <c r="M958" s="853"/>
      <c r="N958" s="853"/>
      <c r="O958" s="853"/>
    </row>
    <row r="959" spans="2:15" x14ac:dyDescent="0.25">
      <c r="B959" s="859" t="s">
        <v>2344</v>
      </c>
      <c r="C959" s="864" t="s">
        <v>2345</v>
      </c>
      <c r="D959" s="861" t="s">
        <v>727</v>
      </c>
      <c r="E959" s="865">
        <v>46635</v>
      </c>
      <c r="F959" s="866"/>
      <c r="G959" s="853"/>
      <c r="H959" s="853"/>
      <c r="I959" s="853"/>
      <c r="J959" s="853"/>
      <c r="K959" s="853"/>
      <c r="M959" s="853"/>
      <c r="N959" s="853"/>
      <c r="O959" s="853"/>
    </row>
    <row r="960" spans="2:15" x14ac:dyDescent="0.25">
      <c r="B960" s="859" t="s">
        <v>2346</v>
      </c>
      <c r="C960" s="864" t="s">
        <v>2347</v>
      </c>
      <c r="D960" s="861" t="s">
        <v>727</v>
      </c>
      <c r="E960" s="865">
        <v>233175</v>
      </c>
      <c r="F960" s="866"/>
      <c r="G960" s="853"/>
      <c r="H960" s="853"/>
      <c r="I960" s="853"/>
      <c r="J960" s="853"/>
      <c r="K960" s="853"/>
      <c r="M960" s="853"/>
      <c r="N960" s="853"/>
      <c r="O960" s="853"/>
    </row>
    <row r="961" spans="2:15" x14ac:dyDescent="0.25">
      <c r="B961" s="859" t="s">
        <v>2348</v>
      </c>
      <c r="C961" s="864" t="s">
        <v>2349</v>
      </c>
      <c r="D961" s="861" t="s">
        <v>727</v>
      </c>
      <c r="E961" s="865">
        <v>10726</v>
      </c>
      <c r="F961" s="866"/>
      <c r="G961" s="853"/>
      <c r="H961" s="853"/>
      <c r="I961" s="853"/>
      <c r="J961" s="853"/>
      <c r="K961" s="853"/>
      <c r="M961" s="853"/>
      <c r="N961" s="853"/>
      <c r="O961" s="853"/>
    </row>
    <row r="962" spans="2:15" x14ac:dyDescent="0.25">
      <c r="B962" s="859"/>
      <c r="C962" s="864"/>
      <c r="D962" s="861"/>
      <c r="E962" s="862"/>
      <c r="F962" s="863"/>
      <c r="G962" s="853"/>
      <c r="H962" s="853"/>
      <c r="I962" s="853"/>
      <c r="J962" s="853"/>
      <c r="K962" s="853"/>
      <c r="M962" s="853"/>
      <c r="N962" s="853"/>
      <c r="O962" s="853"/>
    </row>
    <row r="963" spans="2:15" x14ac:dyDescent="0.25">
      <c r="B963" s="859"/>
      <c r="C963" s="871" t="s">
        <v>2350</v>
      </c>
      <c r="D963" s="872"/>
      <c r="E963" s="862"/>
      <c r="F963" s="863"/>
      <c r="G963" s="853"/>
      <c r="H963" s="853"/>
      <c r="I963" s="853"/>
      <c r="J963" s="853"/>
      <c r="K963" s="853"/>
      <c r="M963" s="853"/>
      <c r="N963" s="853"/>
      <c r="O963" s="853"/>
    </row>
    <row r="964" spans="2:15" x14ac:dyDescent="0.25">
      <c r="B964" s="859">
        <v>13</v>
      </c>
      <c r="C964" s="880" t="s">
        <v>2351</v>
      </c>
      <c r="D964" s="861"/>
      <c r="E964" s="862"/>
      <c r="F964" s="863"/>
      <c r="G964" s="853"/>
      <c r="H964" s="853"/>
      <c r="I964" s="853"/>
      <c r="J964" s="853"/>
      <c r="K964" s="853"/>
      <c r="M964" s="853"/>
      <c r="N964" s="853"/>
      <c r="O964" s="853"/>
    </row>
    <row r="965" spans="2:15" x14ac:dyDescent="0.25">
      <c r="B965" s="859" t="s">
        <v>2352</v>
      </c>
      <c r="C965" s="860" t="s">
        <v>2353</v>
      </c>
      <c r="D965" s="861"/>
      <c r="E965" s="862"/>
      <c r="F965" s="863"/>
      <c r="G965" s="853"/>
      <c r="H965" s="853"/>
      <c r="I965" s="853"/>
      <c r="J965" s="853"/>
      <c r="K965" s="853"/>
      <c r="M965" s="853"/>
      <c r="N965" s="853"/>
      <c r="O965" s="853"/>
    </row>
    <row r="966" spans="2:15" x14ac:dyDescent="0.25">
      <c r="B966" s="859" t="s">
        <v>2354</v>
      </c>
      <c r="C966" s="864" t="s">
        <v>2355</v>
      </c>
      <c r="D966" s="861" t="s">
        <v>727</v>
      </c>
      <c r="E966" s="865">
        <v>234033</v>
      </c>
      <c r="F966" s="866"/>
      <c r="G966" s="853"/>
      <c r="H966" s="853"/>
      <c r="I966" s="853"/>
      <c r="J966" s="853"/>
      <c r="K966" s="853"/>
      <c r="M966" s="853"/>
      <c r="N966" s="853"/>
      <c r="O966" s="853"/>
    </row>
    <row r="967" spans="2:15" x14ac:dyDescent="0.25">
      <c r="B967" s="859" t="s">
        <v>2356</v>
      </c>
      <c r="C967" s="864" t="s">
        <v>2357</v>
      </c>
      <c r="D967" s="861" t="s">
        <v>727</v>
      </c>
      <c r="E967" s="865">
        <v>309750</v>
      </c>
      <c r="F967" s="866"/>
      <c r="G967" s="853"/>
      <c r="H967" s="853"/>
      <c r="I967" s="853"/>
      <c r="J967" s="853"/>
      <c r="K967" s="853"/>
      <c r="M967" s="853"/>
      <c r="N967" s="853"/>
      <c r="O967" s="853"/>
    </row>
    <row r="968" spans="2:15" x14ac:dyDescent="0.25">
      <c r="B968" s="859" t="s">
        <v>2358</v>
      </c>
      <c r="C968" s="864" t="s">
        <v>2359</v>
      </c>
      <c r="D968" s="861" t="s">
        <v>727</v>
      </c>
      <c r="E968" s="865">
        <v>385466</v>
      </c>
      <c r="F968" s="866"/>
      <c r="G968" s="853"/>
      <c r="H968" s="853"/>
      <c r="I968" s="853"/>
      <c r="J968" s="853"/>
      <c r="K968" s="853"/>
      <c r="M968" s="853"/>
      <c r="N968" s="853"/>
      <c r="O968" s="853"/>
    </row>
    <row r="969" spans="2:15" x14ac:dyDescent="0.25">
      <c r="B969" s="859" t="s">
        <v>2360</v>
      </c>
      <c r="C969" s="860" t="s">
        <v>2361</v>
      </c>
      <c r="D969" s="861"/>
      <c r="E969" s="862"/>
      <c r="F969" s="863"/>
      <c r="G969" s="853"/>
      <c r="H969" s="853"/>
      <c r="I969" s="853"/>
      <c r="J969" s="853"/>
      <c r="K969" s="853"/>
      <c r="M969" s="853"/>
      <c r="N969" s="853"/>
      <c r="O969" s="853"/>
    </row>
    <row r="970" spans="2:15" x14ac:dyDescent="0.25">
      <c r="B970" s="859" t="s">
        <v>2362</v>
      </c>
      <c r="C970" s="864" t="s">
        <v>2363</v>
      </c>
      <c r="D970" s="861" t="s">
        <v>727</v>
      </c>
      <c r="E970" s="865">
        <v>419715</v>
      </c>
      <c r="F970" s="866"/>
      <c r="G970" s="853"/>
      <c r="H970" s="853"/>
      <c r="I970" s="853"/>
      <c r="J970" s="853"/>
      <c r="K970" s="853"/>
      <c r="M970" s="853"/>
      <c r="N970" s="853"/>
      <c r="O970" s="853"/>
    </row>
    <row r="971" spans="2:15" x14ac:dyDescent="0.25">
      <c r="B971" s="859" t="s">
        <v>2364</v>
      </c>
      <c r="C971" s="864" t="s">
        <v>2365</v>
      </c>
      <c r="D971" s="861" t="s">
        <v>727</v>
      </c>
      <c r="E971" s="865">
        <v>520447</v>
      </c>
      <c r="F971" s="866"/>
      <c r="G971" s="853"/>
      <c r="H971" s="853"/>
      <c r="I971" s="853"/>
      <c r="J971" s="853"/>
      <c r="K971" s="853"/>
      <c r="M971" s="853"/>
      <c r="N971" s="853"/>
      <c r="O971" s="853"/>
    </row>
    <row r="972" spans="2:15" x14ac:dyDescent="0.25">
      <c r="B972" s="859" t="s">
        <v>2366</v>
      </c>
      <c r="C972" s="864" t="s">
        <v>2367</v>
      </c>
      <c r="D972" s="861" t="s">
        <v>727</v>
      </c>
      <c r="E972" s="865">
        <v>721910</v>
      </c>
      <c r="F972" s="866"/>
      <c r="G972" s="853"/>
      <c r="H972" s="853"/>
      <c r="I972" s="853"/>
      <c r="J972" s="853"/>
      <c r="K972" s="853"/>
      <c r="M972" s="853"/>
      <c r="N972" s="853"/>
      <c r="O972" s="853"/>
    </row>
    <row r="973" spans="2:15" x14ac:dyDescent="0.25">
      <c r="B973" s="859" t="s">
        <v>2368</v>
      </c>
      <c r="C973" s="864" t="s">
        <v>2369</v>
      </c>
      <c r="D973" s="861" t="s">
        <v>727</v>
      </c>
      <c r="E973" s="865">
        <v>856219</v>
      </c>
      <c r="F973" s="866"/>
      <c r="G973" s="853"/>
      <c r="H973" s="853"/>
      <c r="I973" s="853"/>
      <c r="J973" s="853"/>
      <c r="K973" s="853"/>
      <c r="M973" s="853"/>
      <c r="N973" s="853"/>
      <c r="O973" s="853"/>
    </row>
    <row r="974" spans="2:15" x14ac:dyDescent="0.25">
      <c r="B974" s="859"/>
      <c r="C974" s="864"/>
      <c r="D974" s="861"/>
      <c r="E974" s="862"/>
      <c r="F974" s="863"/>
      <c r="G974" s="853"/>
      <c r="H974" s="853"/>
      <c r="I974" s="853"/>
      <c r="J974" s="853"/>
      <c r="K974" s="853"/>
      <c r="M974" s="853"/>
      <c r="N974" s="853"/>
      <c r="O974" s="853"/>
    </row>
    <row r="975" spans="2:15" x14ac:dyDescent="0.25">
      <c r="B975" s="859"/>
      <c r="C975" s="871" t="s">
        <v>2370</v>
      </c>
      <c r="D975" s="872"/>
      <c r="E975" s="862"/>
      <c r="F975" s="863"/>
      <c r="G975" s="853"/>
      <c r="H975" s="853"/>
      <c r="I975" s="853"/>
      <c r="J975" s="853"/>
      <c r="K975" s="853"/>
      <c r="M975" s="853"/>
      <c r="N975" s="853"/>
      <c r="O975" s="853"/>
    </row>
    <row r="976" spans="2:15" x14ac:dyDescent="0.25">
      <c r="B976" s="859" t="s">
        <v>2371</v>
      </c>
      <c r="C976" s="880" t="s">
        <v>2372</v>
      </c>
      <c r="D976" s="861"/>
      <c r="E976" s="862"/>
      <c r="F976" s="863"/>
      <c r="G976" s="853"/>
      <c r="H976" s="853"/>
      <c r="I976" s="853"/>
      <c r="J976" s="853"/>
      <c r="K976" s="853"/>
      <c r="M976" s="853"/>
      <c r="N976" s="853"/>
      <c r="O976" s="853"/>
    </row>
    <row r="977" spans="2:15" x14ac:dyDescent="0.25">
      <c r="B977" s="859" t="s">
        <v>2373</v>
      </c>
      <c r="C977" s="860" t="s">
        <v>2374</v>
      </c>
      <c r="D977" s="861"/>
      <c r="E977" s="862"/>
      <c r="F977" s="863"/>
      <c r="G977" s="853"/>
      <c r="H977" s="853"/>
      <c r="I977" s="853"/>
      <c r="J977" s="853"/>
      <c r="K977" s="853"/>
      <c r="M977" s="853"/>
      <c r="N977" s="853"/>
      <c r="O977" s="853"/>
    </row>
    <row r="978" spans="2:15" x14ac:dyDescent="0.25">
      <c r="B978" s="859" t="s">
        <v>2375</v>
      </c>
      <c r="C978" s="864" t="s">
        <v>2376</v>
      </c>
      <c r="D978" s="861" t="s">
        <v>861</v>
      </c>
      <c r="E978" s="865">
        <v>10819</v>
      </c>
      <c r="F978" s="866"/>
      <c r="G978" s="853"/>
      <c r="H978" s="853"/>
      <c r="I978" s="853"/>
      <c r="J978" s="853"/>
      <c r="K978" s="853"/>
      <c r="M978" s="853"/>
      <c r="N978" s="853"/>
      <c r="O978" s="853"/>
    </row>
    <row r="979" spans="2:15" x14ac:dyDescent="0.25">
      <c r="B979" s="859" t="s">
        <v>2377</v>
      </c>
      <c r="C979" s="864" t="s">
        <v>2378</v>
      </c>
      <c r="D979" s="861" t="s">
        <v>950</v>
      </c>
      <c r="E979" s="865">
        <v>2164</v>
      </c>
      <c r="F979" s="866"/>
      <c r="G979" s="853"/>
      <c r="H979" s="853"/>
      <c r="I979" s="853"/>
      <c r="J979" s="853"/>
      <c r="K979" s="853"/>
      <c r="M979" s="853"/>
      <c r="N979" s="853"/>
      <c r="O979" s="853"/>
    </row>
    <row r="980" spans="2:15" x14ac:dyDescent="0.25">
      <c r="B980" s="859" t="s">
        <v>2379</v>
      </c>
      <c r="C980" s="864" t="s">
        <v>2380</v>
      </c>
      <c r="D980" s="861" t="s">
        <v>950</v>
      </c>
      <c r="E980" s="865">
        <v>2434</v>
      </c>
      <c r="F980" s="866"/>
      <c r="G980" s="853"/>
      <c r="H980" s="853"/>
      <c r="I980" s="853"/>
      <c r="J980" s="853"/>
      <c r="K980" s="853"/>
      <c r="M980" s="853"/>
      <c r="N980" s="853"/>
      <c r="O980" s="853"/>
    </row>
    <row r="981" spans="2:15" x14ac:dyDescent="0.25">
      <c r="B981" s="859" t="s">
        <v>2381</v>
      </c>
      <c r="C981" s="860" t="s">
        <v>2382</v>
      </c>
      <c r="D981" s="861"/>
      <c r="E981" s="862"/>
      <c r="F981" s="863"/>
      <c r="G981" s="853"/>
      <c r="H981" s="853"/>
      <c r="I981" s="853"/>
      <c r="J981" s="853"/>
      <c r="K981" s="853"/>
      <c r="M981" s="853"/>
      <c r="N981" s="853"/>
      <c r="O981" s="853"/>
    </row>
    <row r="982" spans="2:15" ht="31.5" x14ac:dyDescent="0.25">
      <c r="B982" s="859" t="s">
        <v>2383</v>
      </c>
      <c r="C982" s="864" t="s">
        <v>2384</v>
      </c>
      <c r="D982" s="861" t="s">
        <v>861</v>
      </c>
      <c r="E982" s="865">
        <v>17852</v>
      </c>
      <c r="F982" s="866"/>
      <c r="G982" s="853"/>
      <c r="H982" s="853"/>
      <c r="I982" s="853"/>
      <c r="J982" s="853"/>
      <c r="K982" s="853"/>
      <c r="M982" s="853"/>
      <c r="N982" s="853"/>
      <c r="O982" s="853"/>
    </row>
    <row r="983" spans="2:15" x14ac:dyDescent="0.25">
      <c r="B983" s="859" t="s">
        <v>2385</v>
      </c>
      <c r="C983" s="864" t="s">
        <v>2386</v>
      </c>
      <c r="D983" s="861" t="s">
        <v>861</v>
      </c>
      <c r="E983" s="865">
        <v>16409</v>
      </c>
      <c r="F983" s="866"/>
      <c r="G983" s="853"/>
      <c r="H983" s="853"/>
      <c r="I983" s="853"/>
      <c r="J983" s="853"/>
      <c r="K983" s="853"/>
      <c r="M983" s="853"/>
      <c r="N983" s="853"/>
      <c r="O983" s="853"/>
    </row>
    <row r="984" spans="2:15" ht="31.5" x14ac:dyDescent="0.25">
      <c r="B984" s="859" t="s">
        <v>2387</v>
      </c>
      <c r="C984" s="864" t="s">
        <v>2388</v>
      </c>
      <c r="D984" s="861" t="s">
        <v>861</v>
      </c>
      <c r="E984" s="865">
        <v>24343</v>
      </c>
      <c r="F984" s="866"/>
      <c r="G984" s="853"/>
      <c r="H984" s="853"/>
      <c r="I984" s="853"/>
      <c r="J984" s="853"/>
      <c r="K984" s="853"/>
      <c r="M984" s="853"/>
      <c r="N984" s="853"/>
      <c r="O984" s="853"/>
    </row>
    <row r="985" spans="2:15" x14ac:dyDescent="0.25">
      <c r="B985" s="859" t="s">
        <v>2389</v>
      </c>
      <c r="C985" s="864" t="s">
        <v>2390</v>
      </c>
      <c r="D985" s="861" t="s">
        <v>861</v>
      </c>
      <c r="E985" s="865">
        <v>19835</v>
      </c>
      <c r="F985" s="866"/>
      <c r="G985" s="853"/>
      <c r="H985" s="853"/>
      <c r="I985" s="853"/>
      <c r="J985" s="853"/>
      <c r="K985" s="853"/>
      <c r="M985" s="853"/>
      <c r="N985" s="853"/>
      <c r="O985" s="853"/>
    </row>
    <row r="986" spans="2:15" x14ac:dyDescent="0.25">
      <c r="B986" s="859" t="s">
        <v>2391</v>
      </c>
      <c r="C986" s="864" t="s">
        <v>2392</v>
      </c>
      <c r="D986" s="861" t="s">
        <v>861</v>
      </c>
      <c r="E986" s="865">
        <v>45261</v>
      </c>
      <c r="F986" s="866"/>
      <c r="G986" s="853"/>
      <c r="H986" s="853"/>
      <c r="I986" s="853"/>
      <c r="J986" s="853"/>
      <c r="K986" s="853"/>
      <c r="M986" s="853"/>
      <c r="N986" s="853"/>
      <c r="O986" s="853"/>
    </row>
    <row r="987" spans="2:15" x14ac:dyDescent="0.25">
      <c r="B987" s="859" t="s">
        <v>2393</v>
      </c>
      <c r="C987" s="864" t="s">
        <v>2394</v>
      </c>
      <c r="D987" s="861" t="s">
        <v>950</v>
      </c>
      <c r="E987" s="865">
        <v>2885</v>
      </c>
      <c r="F987" s="866"/>
      <c r="G987" s="853"/>
      <c r="H987" s="853"/>
      <c r="I987" s="853"/>
      <c r="J987" s="853"/>
      <c r="K987" s="853"/>
      <c r="M987" s="853"/>
      <c r="N987" s="853"/>
      <c r="O987" s="853"/>
    </row>
    <row r="988" spans="2:15" x14ac:dyDescent="0.25">
      <c r="B988" s="859" t="s">
        <v>2395</v>
      </c>
      <c r="C988" s="864" t="s">
        <v>2378</v>
      </c>
      <c r="D988" s="861" t="s">
        <v>950</v>
      </c>
      <c r="E988" s="865">
        <v>3065</v>
      </c>
      <c r="F988" s="866"/>
      <c r="G988" s="853"/>
      <c r="H988" s="853"/>
      <c r="I988" s="853"/>
      <c r="J988" s="853"/>
      <c r="K988" s="853"/>
      <c r="M988" s="853"/>
      <c r="N988" s="853"/>
      <c r="O988" s="853"/>
    </row>
    <row r="989" spans="2:15" x14ac:dyDescent="0.25">
      <c r="B989" s="859" t="s">
        <v>2396</v>
      </c>
      <c r="C989" s="864" t="s">
        <v>2380</v>
      </c>
      <c r="D989" s="861" t="s">
        <v>950</v>
      </c>
      <c r="E989" s="865">
        <v>3606</v>
      </c>
      <c r="F989" s="866"/>
      <c r="G989" s="853"/>
      <c r="H989" s="853"/>
      <c r="I989" s="853"/>
      <c r="J989" s="853"/>
      <c r="K989" s="853"/>
      <c r="M989" s="853"/>
      <c r="N989" s="853"/>
      <c r="O989" s="853"/>
    </row>
    <row r="990" spans="2:15" x14ac:dyDescent="0.25">
      <c r="B990" s="859" t="s">
        <v>2397</v>
      </c>
      <c r="C990" s="860" t="s">
        <v>2398</v>
      </c>
      <c r="D990" s="861"/>
      <c r="E990" s="862"/>
      <c r="F990" s="863"/>
      <c r="G990" s="853"/>
      <c r="H990" s="853"/>
      <c r="I990" s="853"/>
      <c r="J990" s="853"/>
      <c r="K990" s="853"/>
      <c r="M990" s="853"/>
      <c r="N990" s="853"/>
      <c r="O990" s="853"/>
    </row>
    <row r="991" spans="2:15" x14ac:dyDescent="0.25">
      <c r="B991" s="859" t="s">
        <v>2399</v>
      </c>
      <c r="C991" s="864" t="s">
        <v>2400</v>
      </c>
      <c r="D991" s="861" t="s">
        <v>861</v>
      </c>
      <c r="E991" s="865">
        <v>21458</v>
      </c>
      <c r="F991" s="866"/>
      <c r="G991" s="853"/>
      <c r="H991" s="853"/>
      <c r="I991" s="853"/>
      <c r="J991" s="853"/>
      <c r="K991" s="853"/>
      <c r="M991" s="853"/>
      <c r="N991" s="853"/>
      <c r="O991" s="853"/>
    </row>
    <row r="992" spans="2:15" x14ac:dyDescent="0.25">
      <c r="B992" s="859" t="s">
        <v>2401</v>
      </c>
      <c r="C992" s="864" t="s">
        <v>2402</v>
      </c>
      <c r="D992" s="861" t="s">
        <v>861</v>
      </c>
      <c r="E992" s="865">
        <v>18483</v>
      </c>
      <c r="F992" s="866"/>
      <c r="G992" s="853"/>
      <c r="H992" s="853"/>
      <c r="I992" s="853"/>
      <c r="J992" s="853"/>
      <c r="K992" s="853"/>
      <c r="M992" s="853"/>
      <c r="N992" s="853"/>
      <c r="O992" s="853"/>
    </row>
    <row r="993" spans="2:15" ht="31.5" x14ac:dyDescent="0.25">
      <c r="B993" s="859" t="s">
        <v>2403</v>
      </c>
      <c r="C993" s="864" t="s">
        <v>2404</v>
      </c>
      <c r="D993" s="861" t="s">
        <v>950</v>
      </c>
      <c r="E993" s="865">
        <v>22721</v>
      </c>
      <c r="F993" s="866"/>
      <c r="G993" s="853"/>
      <c r="H993" s="853"/>
      <c r="I993" s="853"/>
      <c r="J993" s="853"/>
      <c r="K993" s="853"/>
      <c r="M993" s="853"/>
      <c r="N993" s="853"/>
      <c r="O993" s="853"/>
    </row>
    <row r="994" spans="2:15" x14ac:dyDescent="0.25">
      <c r="B994" s="859" t="s">
        <v>2405</v>
      </c>
      <c r="C994" s="864" t="s">
        <v>2378</v>
      </c>
      <c r="D994" s="861" t="s">
        <v>950</v>
      </c>
      <c r="E994" s="865">
        <v>3065</v>
      </c>
      <c r="F994" s="866"/>
      <c r="G994" s="853"/>
      <c r="H994" s="853"/>
      <c r="I994" s="853"/>
      <c r="J994" s="853"/>
      <c r="K994" s="853"/>
      <c r="M994" s="853"/>
      <c r="N994" s="853"/>
      <c r="O994" s="853"/>
    </row>
    <row r="995" spans="2:15" x14ac:dyDescent="0.25">
      <c r="B995" s="859" t="s">
        <v>2406</v>
      </c>
      <c r="C995" s="864" t="s">
        <v>2380</v>
      </c>
      <c r="D995" s="861" t="s">
        <v>950</v>
      </c>
      <c r="E995" s="865">
        <v>3606</v>
      </c>
      <c r="F995" s="866"/>
      <c r="G995" s="853"/>
      <c r="H995" s="853"/>
      <c r="I995" s="853"/>
      <c r="J995" s="853"/>
      <c r="K995" s="853"/>
      <c r="M995" s="853"/>
      <c r="N995" s="853"/>
      <c r="O995" s="853"/>
    </row>
    <row r="996" spans="2:15" x14ac:dyDescent="0.25">
      <c r="B996" s="859" t="s">
        <v>2407</v>
      </c>
      <c r="C996" s="860" t="s">
        <v>2408</v>
      </c>
      <c r="D996" s="861"/>
      <c r="E996" s="862"/>
      <c r="F996" s="863"/>
      <c r="G996" s="853"/>
      <c r="H996" s="853"/>
      <c r="I996" s="853"/>
      <c r="J996" s="853"/>
      <c r="K996" s="853"/>
      <c r="M996" s="853"/>
      <c r="N996" s="853"/>
      <c r="O996" s="853"/>
    </row>
    <row r="997" spans="2:15" x14ac:dyDescent="0.25">
      <c r="B997" s="859" t="s">
        <v>2409</v>
      </c>
      <c r="C997" s="864" t="s">
        <v>2410</v>
      </c>
      <c r="D997" s="861" t="s">
        <v>861</v>
      </c>
      <c r="E997" s="865">
        <v>39932</v>
      </c>
      <c r="F997" s="866"/>
      <c r="G997" s="853"/>
      <c r="H997" s="853"/>
      <c r="I997" s="853"/>
      <c r="J997" s="853"/>
      <c r="K997" s="853"/>
      <c r="M997" s="853"/>
      <c r="N997" s="853"/>
      <c r="O997" s="853"/>
    </row>
    <row r="998" spans="2:15" x14ac:dyDescent="0.25">
      <c r="B998" s="859" t="s">
        <v>2411</v>
      </c>
      <c r="C998" s="864" t="s">
        <v>2412</v>
      </c>
      <c r="D998" s="861" t="s">
        <v>861</v>
      </c>
      <c r="E998" s="865">
        <v>36375</v>
      </c>
      <c r="F998" s="866"/>
      <c r="G998" s="853"/>
      <c r="H998" s="853"/>
      <c r="I998" s="853"/>
      <c r="J998" s="853"/>
      <c r="K998" s="853"/>
      <c r="M998" s="853"/>
      <c r="N998" s="853"/>
      <c r="O998" s="853"/>
    </row>
    <row r="999" spans="2:15" x14ac:dyDescent="0.25">
      <c r="B999" s="859" t="s">
        <v>2413</v>
      </c>
      <c r="C999" s="864" t="s">
        <v>2414</v>
      </c>
      <c r="D999" s="861" t="s">
        <v>950</v>
      </c>
      <c r="E999" s="865">
        <v>9234</v>
      </c>
      <c r="F999" s="866"/>
      <c r="G999" s="853"/>
      <c r="H999" s="853"/>
      <c r="I999" s="853"/>
      <c r="J999" s="853"/>
      <c r="K999" s="853"/>
      <c r="M999" s="853"/>
      <c r="N999" s="853"/>
      <c r="O999" s="853"/>
    </row>
    <row r="1000" spans="2:15" x14ac:dyDescent="0.25">
      <c r="B1000" s="859" t="s">
        <v>2415</v>
      </c>
      <c r="C1000" s="860" t="s">
        <v>2416</v>
      </c>
      <c r="D1000" s="861"/>
      <c r="E1000" s="862"/>
      <c r="F1000" s="863"/>
      <c r="G1000" s="853"/>
      <c r="H1000" s="853"/>
      <c r="I1000" s="853"/>
      <c r="J1000" s="853"/>
      <c r="K1000" s="853"/>
      <c r="M1000" s="853"/>
      <c r="N1000" s="853"/>
      <c r="O1000" s="853"/>
    </row>
    <row r="1001" spans="2:15" x14ac:dyDescent="0.25">
      <c r="B1001" s="859" t="s">
        <v>2417</v>
      </c>
      <c r="C1001" s="864" t="s">
        <v>2418</v>
      </c>
      <c r="D1001" s="861" t="s">
        <v>861</v>
      </c>
      <c r="E1001" s="865">
        <v>6311</v>
      </c>
      <c r="F1001" s="866"/>
      <c r="G1001" s="853"/>
      <c r="H1001" s="853"/>
      <c r="I1001" s="853"/>
      <c r="J1001" s="853"/>
      <c r="K1001" s="853"/>
      <c r="M1001" s="853"/>
      <c r="N1001" s="853"/>
      <c r="O1001" s="853"/>
    </row>
    <row r="1002" spans="2:15" x14ac:dyDescent="0.25">
      <c r="B1002" s="859" t="s">
        <v>2419</v>
      </c>
      <c r="C1002" s="860" t="s">
        <v>2420</v>
      </c>
      <c r="D1002" s="861"/>
      <c r="E1002" s="862"/>
      <c r="F1002" s="863"/>
      <c r="G1002" s="853"/>
      <c r="H1002" s="853"/>
      <c r="I1002" s="853"/>
      <c r="J1002" s="853"/>
      <c r="K1002" s="853"/>
      <c r="M1002" s="853"/>
      <c r="N1002" s="853"/>
      <c r="O1002" s="853"/>
    </row>
    <row r="1003" spans="2:15" x14ac:dyDescent="0.25">
      <c r="B1003" s="859" t="s">
        <v>2421</v>
      </c>
      <c r="C1003" s="864" t="s">
        <v>2422</v>
      </c>
      <c r="D1003" s="861" t="s">
        <v>861</v>
      </c>
      <c r="E1003" s="865">
        <v>17311</v>
      </c>
      <c r="F1003" s="866"/>
      <c r="G1003" s="853"/>
      <c r="H1003" s="853"/>
      <c r="I1003" s="853"/>
      <c r="J1003" s="853"/>
      <c r="K1003" s="853"/>
      <c r="M1003" s="853"/>
      <c r="N1003" s="853"/>
      <c r="O1003" s="853"/>
    </row>
    <row r="1004" spans="2:15" x14ac:dyDescent="0.25">
      <c r="B1004" s="859" t="s">
        <v>2423</v>
      </c>
      <c r="C1004" s="860" t="s">
        <v>2424</v>
      </c>
      <c r="D1004" s="861"/>
      <c r="E1004" s="862"/>
      <c r="F1004" s="863"/>
      <c r="G1004" s="853"/>
      <c r="H1004" s="853"/>
      <c r="I1004" s="853"/>
      <c r="J1004" s="853"/>
      <c r="K1004" s="853"/>
      <c r="M1004" s="853"/>
      <c r="N1004" s="853"/>
      <c r="O1004" s="853"/>
    </row>
    <row r="1005" spans="2:15" x14ac:dyDescent="0.25">
      <c r="B1005" s="859" t="s">
        <v>2425</v>
      </c>
      <c r="C1005" s="864" t="s">
        <v>2418</v>
      </c>
      <c r="D1005" s="861" t="s">
        <v>861</v>
      </c>
      <c r="E1005" s="865">
        <v>84796</v>
      </c>
      <c r="F1005" s="866"/>
      <c r="G1005" s="853"/>
      <c r="H1005" s="853"/>
      <c r="I1005" s="853"/>
      <c r="J1005" s="853"/>
      <c r="K1005" s="853"/>
      <c r="M1005" s="853"/>
      <c r="N1005" s="853"/>
      <c r="O1005" s="853"/>
    </row>
    <row r="1006" spans="2:15" x14ac:dyDescent="0.25">
      <c r="B1006" s="859" t="s">
        <v>2426</v>
      </c>
      <c r="C1006" s="880" t="s">
        <v>2427</v>
      </c>
      <c r="D1006" s="861"/>
      <c r="E1006" s="862"/>
      <c r="F1006" s="863"/>
      <c r="G1006" s="853"/>
      <c r="H1006" s="853"/>
      <c r="I1006" s="853"/>
      <c r="J1006" s="853"/>
      <c r="K1006" s="853"/>
      <c r="M1006" s="853"/>
      <c r="N1006" s="853"/>
      <c r="O1006" s="853"/>
    </row>
    <row r="1007" spans="2:15" x14ac:dyDescent="0.25">
      <c r="B1007" s="859" t="s">
        <v>2428</v>
      </c>
      <c r="C1007" s="860" t="s">
        <v>2382</v>
      </c>
      <c r="D1007" s="861"/>
      <c r="E1007" s="862"/>
      <c r="F1007" s="863"/>
      <c r="G1007" s="853"/>
      <c r="H1007" s="853"/>
      <c r="I1007" s="853"/>
      <c r="J1007" s="853"/>
      <c r="K1007" s="853"/>
      <c r="M1007" s="853"/>
      <c r="N1007" s="853"/>
      <c r="O1007" s="853"/>
    </row>
    <row r="1008" spans="2:15" x14ac:dyDescent="0.25">
      <c r="B1008" s="859" t="s">
        <v>2429</v>
      </c>
      <c r="C1008" s="864" t="s">
        <v>2430</v>
      </c>
      <c r="D1008" s="861" t="s">
        <v>861</v>
      </c>
      <c r="E1008" s="865">
        <v>6311</v>
      </c>
      <c r="F1008" s="866"/>
      <c r="G1008" s="853"/>
      <c r="H1008" s="853"/>
      <c r="I1008" s="853"/>
      <c r="J1008" s="853"/>
      <c r="K1008" s="853"/>
      <c r="M1008" s="853"/>
      <c r="N1008" s="853"/>
      <c r="O1008" s="853"/>
    </row>
    <row r="1009" spans="2:15" x14ac:dyDescent="0.25">
      <c r="B1009" s="859" t="s">
        <v>2431</v>
      </c>
      <c r="C1009" s="864" t="s">
        <v>2432</v>
      </c>
      <c r="D1009" s="861" t="s">
        <v>861</v>
      </c>
      <c r="E1009" s="865">
        <v>9918</v>
      </c>
      <c r="F1009" s="866"/>
      <c r="G1009" s="853"/>
      <c r="H1009" s="853"/>
      <c r="I1009" s="853"/>
      <c r="J1009" s="853"/>
      <c r="K1009" s="853"/>
      <c r="M1009" s="853"/>
      <c r="N1009" s="853"/>
      <c r="O1009" s="853"/>
    </row>
    <row r="1010" spans="2:15" x14ac:dyDescent="0.25">
      <c r="B1010" s="859" t="s">
        <v>2433</v>
      </c>
      <c r="C1010" s="864" t="s">
        <v>2434</v>
      </c>
      <c r="D1010" s="861" t="s">
        <v>861</v>
      </c>
      <c r="E1010" s="865">
        <v>17131</v>
      </c>
      <c r="F1010" s="866"/>
      <c r="G1010" s="853"/>
      <c r="H1010" s="853"/>
      <c r="I1010" s="853"/>
      <c r="J1010" s="853"/>
      <c r="K1010" s="853"/>
      <c r="M1010" s="853"/>
      <c r="N1010" s="853"/>
      <c r="O1010" s="853"/>
    </row>
    <row r="1011" spans="2:15" x14ac:dyDescent="0.25">
      <c r="B1011" s="859" t="s">
        <v>2435</v>
      </c>
      <c r="C1011" s="860" t="s">
        <v>2408</v>
      </c>
      <c r="D1011" s="861"/>
      <c r="E1011" s="862"/>
      <c r="F1011" s="863"/>
      <c r="G1011" s="853"/>
      <c r="H1011" s="853"/>
      <c r="I1011" s="853"/>
      <c r="J1011" s="853"/>
      <c r="K1011" s="853"/>
      <c r="M1011" s="853"/>
      <c r="N1011" s="853"/>
      <c r="O1011" s="853"/>
    </row>
    <row r="1012" spans="2:15" x14ac:dyDescent="0.25">
      <c r="B1012" s="859" t="s">
        <v>2436</v>
      </c>
      <c r="C1012" s="864" t="s">
        <v>2437</v>
      </c>
      <c r="D1012" s="861" t="s">
        <v>861</v>
      </c>
      <c r="E1012" s="865">
        <v>46884</v>
      </c>
      <c r="F1012" s="866"/>
      <c r="G1012" s="853"/>
      <c r="H1012" s="853"/>
      <c r="I1012" s="853"/>
      <c r="J1012" s="853"/>
      <c r="K1012" s="853"/>
      <c r="M1012" s="853"/>
      <c r="N1012" s="853"/>
      <c r="O1012" s="853"/>
    </row>
    <row r="1013" spans="2:15" x14ac:dyDescent="0.25">
      <c r="B1013" s="859" t="s">
        <v>2438</v>
      </c>
      <c r="C1013" s="860" t="s">
        <v>2439</v>
      </c>
      <c r="D1013" s="861"/>
      <c r="E1013" s="862"/>
      <c r="F1013" s="863"/>
      <c r="G1013" s="853"/>
      <c r="H1013" s="853"/>
      <c r="I1013" s="853"/>
      <c r="J1013" s="853"/>
      <c r="K1013" s="853"/>
      <c r="M1013" s="853"/>
      <c r="N1013" s="853"/>
      <c r="O1013" s="853"/>
    </row>
    <row r="1014" spans="2:15" x14ac:dyDescent="0.25">
      <c r="B1014" s="859" t="s">
        <v>2440</v>
      </c>
      <c r="C1014" s="864" t="s">
        <v>2441</v>
      </c>
      <c r="D1014" s="861" t="s">
        <v>861</v>
      </c>
      <c r="E1014" s="865">
        <v>160331</v>
      </c>
      <c r="F1014" s="866"/>
      <c r="G1014" s="853"/>
      <c r="H1014" s="853"/>
      <c r="I1014" s="853"/>
      <c r="J1014" s="853"/>
      <c r="K1014" s="853"/>
      <c r="M1014" s="853"/>
      <c r="N1014" s="853"/>
      <c r="O1014" s="853"/>
    </row>
    <row r="1015" spans="2:15" x14ac:dyDescent="0.25">
      <c r="B1015" s="859" t="s">
        <v>2442</v>
      </c>
      <c r="C1015" s="880" t="s">
        <v>941</v>
      </c>
      <c r="D1015" s="861"/>
      <c r="E1015" s="862"/>
      <c r="F1015" s="863"/>
      <c r="G1015" s="853"/>
      <c r="H1015" s="853"/>
      <c r="I1015" s="853"/>
      <c r="J1015" s="853"/>
      <c r="K1015" s="853"/>
      <c r="M1015" s="853"/>
      <c r="N1015" s="853"/>
      <c r="O1015" s="853"/>
    </row>
    <row r="1016" spans="2:15" x14ac:dyDescent="0.25">
      <c r="B1016" s="859" t="s">
        <v>2443</v>
      </c>
      <c r="C1016" s="864" t="s">
        <v>2444</v>
      </c>
      <c r="D1016" s="861" t="s">
        <v>727</v>
      </c>
      <c r="E1016" s="865">
        <v>2344</v>
      </c>
      <c r="F1016" s="866"/>
      <c r="G1016" s="853"/>
      <c r="H1016" s="853"/>
      <c r="I1016" s="853"/>
      <c r="J1016" s="853"/>
      <c r="K1016" s="853"/>
      <c r="M1016" s="853"/>
      <c r="N1016" s="853"/>
      <c r="O1016" s="853"/>
    </row>
    <row r="1017" spans="2:15" x14ac:dyDescent="0.25">
      <c r="B1017" s="859" t="s">
        <v>2445</v>
      </c>
      <c r="C1017" s="864" t="s">
        <v>2446</v>
      </c>
      <c r="D1017" s="861" t="s">
        <v>861</v>
      </c>
      <c r="E1017" s="865">
        <v>44900</v>
      </c>
      <c r="F1017" s="866"/>
      <c r="G1017" s="853"/>
      <c r="H1017" s="853"/>
      <c r="I1017" s="853"/>
      <c r="J1017" s="853"/>
      <c r="K1017" s="853"/>
      <c r="M1017" s="853"/>
      <c r="N1017" s="853"/>
      <c r="O1017" s="853"/>
    </row>
    <row r="1018" spans="2:15" x14ac:dyDescent="0.25">
      <c r="B1018" s="859" t="s">
        <v>2447</v>
      </c>
      <c r="C1018" s="864" t="s">
        <v>2448</v>
      </c>
      <c r="D1018" s="861" t="s">
        <v>950</v>
      </c>
      <c r="E1018" s="865">
        <v>8836</v>
      </c>
      <c r="F1018" s="866"/>
      <c r="G1018" s="853"/>
      <c r="H1018" s="853"/>
      <c r="I1018" s="853"/>
      <c r="J1018" s="853"/>
      <c r="K1018" s="853"/>
      <c r="M1018" s="853"/>
      <c r="N1018" s="853"/>
      <c r="O1018" s="853"/>
    </row>
    <row r="1019" spans="2:15" x14ac:dyDescent="0.25">
      <c r="B1019" s="859" t="s">
        <v>2449</v>
      </c>
      <c r="C1019" s="864" t="s">
        <v>2450</v>
      </c>
      <c r="D1019" s="861" t="s">
        <v>950</v>
      </c>
      <c r="E1019" s="865">
        <v>15327</v>
      </c>
      <c r="F1019" s="866"/>
      <c r="G1019" s="853"/>
      <c r="H1019" s="853"/>
      <c r="I1019" s="853"/>
      <c r="J1019" s="853"/>
      <c r="K1019" s="853"/>
      <c r="M1019" s="853"/>
      <c r="N1019" s="853"/>
      <c r="O1019" s="853"/>
    </row>
    <row r="1020" spans="2:15" x14ac:dyDescent="0.25">
      <c r="B1020" s="859" t="s">
        <v>2451</v>
      </c>
      <c r="C1020" s="864" t="s">
        <v>2452</v>
      </c>
      <c r="D1020" s="861" t="s">
        <v>950</v>
      </c>
      <c r="E1020" s="865">
        <v>12713</v>
      </c>
      <c r="F1020" s="866"/>
      <c r="G1020" s="853"/>
      <c r="H1020" s="853"/>
      <c r="I1020" s="853"/>
      <c r="J1020" s="853"/>
      <c r="K1020" s="853"/>
      <c r="M1020" s="853"/>
      <c r="N1020" s="853"/>
      <c r="O1020" s="853"/>
    </row>
    <row r="1021" spans="2:15" x14ac:dyDescent="0.25">
      <c r="B1021" s="859"/>
      <c r="C1021" s="864"/>
      <c r="D1021" s="861"/>
      <c r="E1021" s="862"/>
      <c r="F1021" s="863"/>
      <c r="G1021" s="853"/>
      <c r="H1021" s="853"/>
      <c r="I1021" s="853"/>
      <c r="J1021" s="853"/>
      <c r="K1021" s="853"/>
      <c r="M1021" s="853"/>
      <c r="N1021" s="853"/>
      <c r="O1021" s="853"/>
    </row>
    <row r="1022" spans="2:15" x14ac:dyDescent="0.25">
      <c r="B1022" s="859"/>
      <c r="C1022" s="871" t="s">
        <v>2453</v>
      </c>
      <c r="D1022" s="872"/>
      <c r="E1022" s="862"/>
      <c r="F1022" s="863"/>
      <c r="G1022" s="853"/>
      <c r="H1022" s="853"/>
      <c r="I1022" s="853"/>
      <c r="J1022" s="853"/>
      <c r="K1022" s="853"/>
      <c r="M1022" s="853"/>
      <c r="N1022" s="853"/>
      <c r="O1022" s="853"/>
    </row>
    <row r="1023" spans="2:15" x14ac:dyDescent="0.25">
      <c r="B1023" s="859" t="s">
        <v>2454</v>
      </c>
      <c r="C1023" s="880" t="s">
        <v>2455</v>
      </c>
      <c r="D1023" s="861"/>
      <c r="E1023" s="862"/>
      <c r="F1023" s="863"/>
      <c r="G1023" s="853"/>
      <c r="H1023" s="853"/>
      <c r="I1023" s="853"/>
      <c r="J1023" s="853"/>
      <c r="K1023" s="853"/>
      <c r="M1023" s="853"/>
      <c r="N1023" s="853"/>
      <c r="O1023" s="853"/>
    </row>
    <row r="1024" spans="2:15" x14ac:dyDescent="0.25">
      <c r="B1024" s="859" t="s">
        <v>2456</v>
      </c>
      <c r="C1024" s="864" t="s">
        <v>2457</v>
      </c>
      <c r="D1024" s="861" t="s">
        <v>861</v>
      </c>
      <c r="E1024" s="865">
        <v>6311</v>
      </c>
      <c r="F1024" s="866"/>
      <c r="G1024" s="853"/>
      <c r="H1024" s="853"/>
      <c r="I1024" s="853"/>
      <c r="J1024" s="853"/>
      <c r="K1024" s="853"/>
      <c r="M1024" s="853"/>
      <c r="N1024" s="853"/>
      <c r="O1024" s="853"/>
    </row>
    <row r="1025" spans="2:15" x14ac:dyDescent="0.25">
      <c r="B1025" s="859" t="s">
        <v>2458</v>
      </c>
      <c r="C1025" s="864" t="s">
        <v>2459</v>
      </c>
      <c r="D1025" s="861" t="s">
        <v>950</v>
      </c>
      <c r="E1025" s="865">
        <v>1352</v>
      </c>
      <c r="F1025" s="866"/>
      <c r="G1025" s="853"/>
      <c r="H1025" s="853"/>
      <c r="I1025" s="853"/>
      <c r="J1025" s="853"/>
      <c r="K1025" s="853"/>
      <c r="M1025" s="853"/>
      <c r="N1025" s="853"/>
      <c r="O1025" s="853"/>
    </row>
    <row r="1026" spans="2:15" x14ac:dyDescent="0.25">
      <c r="B1026" s="859" t="s">
        <v>2460</v>
      </c>
      <c r="C1026" s="864" t="s">
        <v>2461</v>
      </c>
      <c r="D1026" s="861" t="s">
        <v>950</v>
      </c>
      <c r="E1026" s="865">
        <v>3606</v>
      </c>
      <c r="F1026" s="866"/>
      <c r="G1026" s="853"/>
      <c r="H1026" s="853"/>
      <c r="I1026" s="853"/>
      <c r="J1026" s="853"/>
      <c r="K1026" s="853"/>
      <c r="M1026" s="853"/>
      <c r="N1026" s="853"/>
      <c r="O1026" s="853"/>
    </row>
    <row r="1027" spans="2:15" x14ac:dyDescent="0.25">
      <c r="B1027" s="859" t="s">
        <v>2462</v>
      </c>
      <c r="C1027" s="880" t="s">
        <v>2463</v>
      </c>
      <c r="D1027" s="861"/>
      <c r="E1027" s="862"/>
      <c r="F1027" s="863"/>
      <c r="G1027" s="853"/>
      <c r="H1027" s="853"/>
      <c r="I1027" s="853"/>
      <c r="J1027" s="853"/>
      <c r="K1027" s="853"/>
      <c r="M1027" s="853"/>
      <c r="N1027" s="853"/>
      <c r="O1027" s="853"/>
    </row>
    <row r="1028" spans="2:15" x14ac:dyDescent="0.25">
      <c r="B1028" s="859" t="s">
        <v>2464</v>
      </c>
      <c r="C1028" s="864" t="s">
        <v>2465</v>
      </c>
      <c r="D1028" s="861" t="s">
        <v>861</v>
      </c>
      <c r="E1028" s="865">
        <v>4508</v>
      </c>
      <c r="F1028" s="866"/>
      <c r="G1028" s="853"/>
      <c r="H1028" s="853"/>
      <c r="I1028" s="853"/>
      <c r="J1028" s="853"/>
      <c r="K1028" s="853"/>
      <c r="M1028" s="853"/>
      <c r="N1028" s="853"/>
      <c r="O1028" s="853"/>
    </row>
    <row r="1029" spans="2:15" x14ac:dyDescent="0.25">
      <c r="B1029" s="859" t="s">
        <v>2466</v>
      </c>
      <c r="C1029" s="864" t="s">
        <v>2467</v>
      </c>
      <c r="D1029" s="861" t="s">
        <v>861</v>
      </c>
      <c r="E1029" s="865">
        <v>10639</v>
      </c>
      <c r="F1029" s="866"/>
      <c r="G1029" s="853"/>
      <c r="H1029" s="853"/>
      <c r="I1029" s="853"/>
      <c r="J1029" s="853"/>
      <c r="K1029" s="853"/>
      <c r="M1029" s="853"/>
      <c r="N1029" s="853"/>
      <c r="O1029" s="853"/>
    </row>
    <row r="1030" spans="2:15" x14ac:dyDescent="0.25">
      <c r="B1030" s="859" t="s">
        <v>2468</v>
      </c>
      <c r="C1030" s="864" t="s">
        <v>2469</v>
      </c>
      <c r="D1030" s="861" t="s">
        <v>861</v>
      </c>
      <c r="E1030" s="865">
        <v>15508</v>
      </c>
      <c r="F1030" s="866"/>
      <c r="G1030" s="853"/>
      <c r="H1030" s="853"/>
      <c r="I1030" s="853"/>
      <c r="J1030" s="853"/>
      <c r="K1030" s="853"/>
      <c r="M1030" s="853"/>
      <c r="N1030" s="853"/>
      <c r="O1030" s="853"/>
    </row>
    <row r="1031" spans="2:15" x14ac:dyDescent="0.25">
      <c r="B1031" s="859" t="s">
        <v>2470</v>
      </c>
      <c r="C1031" s="864" t="s">
        <v>2471</v>
      </c>
      <c r="D1031" s="861" t="s">
        <v>950</v>
      </c>
      <c r="E1031" s="865">
        <v>3235</v>
      </c>
      <c r="F1031" s="866"/>
      <c r="G1031" s="853"/>
      <c r="H1031" s="853"/>
      <c r="I1031" s="853"/>
      <c r="J1031" s="853"/>
      <c r="K1031" s="853"/>
      <c r="M1031" s="853"/>
      <c r="N1031" s="853"/>
      <c r="O1031" s="853"/>
    </row>
    <row r="1032" spans="2:15" x14ac:dyDescent="0.25">
      <c r="B1032" s="859"/>
      <c r="C1032" s="864"/>
      <c r="D1032" s="861"/>
      <c r="E1032" s="862"/>
      <c r="F1032" s="863"/>
      <c r="G1032" s="853"/>
      <c r="H1032" s="853"/>
      <c r="I1032" s="853"/>
      <c r="J1032" s="853"/>
      <c r="K1032" s="853"/>
      <c r="M1032" s="853"/>
      <c r="N1032" s="853"/>
      <c r="O1032" s="853"/>
    </row>
    <row r="1033" spans="2:15" x14ac:dyDescent="0.25">
      <c r="B1033" s="859"/>
      <c r="C1033" s="871" t="s">
        <v>2472</v>
      </c>
      <c r="D1033" s="872"/>
      <c r="E1033" s="862"/>
      <c r="F1033" s="863"/>
      <c r="G1033" s="853"/>
      <c r="H1033" s="853"/>
      <c r="I1033" s="853"/>
      <c r="J1033" s="853"/>
      <c r="K1033" s="853"/>
      <c r="M1033" s="853"/>
      <c r="N1033" s="853"/>
      <c r="O1033" s="853"/>
    </row>
    <row r="1034" spans="2:15" x14ac:dyDescent="0.25">
      <c r="B1034" s="859" t="s">
        <v>2473</v>
      </c>
      <c r="C1034" s="880" t="s">
        <v>2474</v>
      </c>
      <c r="D1034" s="861"/>
      <c r="E1034" s="862"/>
      <c r="F1034" s="863"/>
      <c r="G1034" s="853"/>
      <c r="H1034" s="853"/>
      <c r="I1034" s="853"/>
      <c r="J1034" s="853"/>
      <c r="K1034" s="853"/>
      <c r="M1034" s="853"/>
      <c r="N1034" s="853"/>
      <c r="O1034" s="853"/>
    </row>
    <row r="1035" spans="2:15" x14ac:dyDescent="0.25">
      <c r="B1035" s="859" t="s">
        <v>2475</v>
      </c>
      <c r="C1035" s="860" t="s">
        <v>2476</v>
      </c>
      <c r="D1035" s="861"/>
      <c r="E1035" s="862"/>
      <c r="F1035" s="863"/>
      <c r="G1035" s="853"/>
      <c r="H1035" s="853"/>
      <c r="I1035" s="853"/>
      <c r="J1035" s="853"/>
      <c r="K1035" s="853"/>
      <c r="M1035" s="853"/>
      <c r="N1035" s="853"/>
      <c r="O1035" s="853"/>
    </row>
    <row r="1036" spans="2:15" ht="47.25" x14ac:dyDescent="0.25">
      <c r="B1036" s="859" t="s">
        <v>2477</v>
      </c>
      <c r="C1036" s="864" t="s">
        <v>2478</v>
      </c>
      <c r="D1036" s="861" t="s">
        <v>861</v>
      </c>
      <c r="E1036" s="865">
        <v>45682</v>
      </c>
      <c r="F1036" s="866"/>
      <c r="G1036" s="853"/>
      <c r="H1036" s="853"/>
      <c r="I1036" s="853"/>
      <c r="J1036" s="853"/>
      <c r="K1036" s="853"/>
      <c r="M1036" s="853"/>
      <c r="N1036" s="853"/>
      <c r="O1036" s="853"/>
    </row>
    <row r="1037" spans="2:15" ht="47.25" x14ac:dyDescent="0.25">
      <c r="B1037" s="859" t="s">
        <v>2479</v>
      </c>
      <c r="C1037" s="864" t="s">
        <v>2480</v>
      </c>
      <c r="D1037" s="861" t="s">
        <v>861</v>
      </c>
      <c r="E1037" s="865">
        <v>42075</v>
      </c>
      <c r="F1037" s="866"/>
      <c r="G1037" s="853"/>
      <c r="H1037" s="853"/>
      <c r="I1037" s="853"/>
      <c r="J1037" s="853"/>
      <c r="K1037" s="853"/>
      <c r="M1037" s="853"/>
      <c r="N1037" s="853"/>
      <c r="O1037" s="853"/>
    </row>
    <row r="1038" spans="2:15" ht="47.25" x14ac:dyDescent="0.25">
      <c r="B1038" s="859" t="s">
        <v>2481</v>
      </c>
      <c r="C1038" s="864" t="s">
        <v>2482</v>
      </c>
      <c r="D1038" s="861" t="s">
        <v>861</v>
      </c>
      <c r="E1038" s="865">
        <v>48086</v>
      </c>
      <c r="F1038" s="866"/>
      <c r="G1038" s="853"/>
      <c r="H1038" s="853"/>
      <c r="I1038" s="853"/>
      <c r="J1038" s="853"/>
      <c r="K1038" s="853"/>
      <c r="M1038" s="853"/>
      <c r="N1038" s="853"/>
      <c r="O1038" s="853"/>
    </row>
    <row r="1039" spans="2:15" x14ac:dyDescent="0.25">
      <c r="B1039" s="859" t="s">
        <v>2483</v>
      </c>
      <c r="C1039" s="864" t="s">
        <v>2484</v>
      </c>
      <c r="D1039" s="861" t="s">
        <v>861</v>
      </c>
      <c r="E1039" s="865">
        <v>12021</v>
      </c>
      <c r="F1039" s="866"/>
      <c r="G1039" s="853"/>
      <c r="H1039" s="853"/>
      <c r="I1039" s="853"/>
      <c r="J1039" s="853"/>
      <c r="K1039" s="853"/>
      <c r="M1039" s="853"/>
      <c r="N1039" s="853"/>
      <c r="O1039" s="853"/>
    </row>
    <row r="1040" spans="2:15" x14ac:dyDescent="0.25">
      <c r="B1040" s="859" t="s">
        <v>2485</v>
      </c>
      <c r="C1040" s="860" t="s">
        <v>2486</v>
      </c>
      <c r="D1040" s="861"/>
      <c r="E1040" s="862"/>
      <c r="F1040" s="863"/>
      <c r="G1040" s="853"/>
      <c r="H1040" s="853"/>
      <c r="I1040" s="853"/>
      <c r="J1040" s="853"/>
      <c r="K1040" s="853"/>
      <c r="M1040" s="853"/>
      <c r="N1040" s="853"/>
      <c r="O1040" s="853"/>
    </row>
    <row r="1041" spans="2:15" ht="31.5" x14ac:dyDescent="0.25">
      <c r="B1041" s="859" t="s">
        <v>2487</v>
      </c>
      <c r="C1041" s="864" t="s">
        <v>2488</v>
      </c>
      <c r="D1041" s="861" t="s">
        <v>861</v>
      </c>
      <c r="E1041" s="865">
        <v>45081</v>
      </c>
      <c r="F1041" s="866"/>
      <c r="G1041" s="853"/>
      <c r="H1041" s="853"/>
      <c r="I1041" s="853"/>
      <c r="J1041" s="853"/>
      <c r="K1041" s="853"/>
      <c r="M1041" s="853"/>
      <c r="N1041" s="853"/>
      <c r="O1041" s="853"/>
    </row>
    <row r="1042" spans="2:15" ht="31.5" x14ac:dyDescent="0.25">
      <c r="B1042" s="859" t="s">
        <v>2489</v>
      </c>
      <c r="C1042" s="864" t="s">
        <v>2490</v>
      </c>
      <c r="D1042" s="861" t="s">
        <v>861</v>
      </c>
      <c r="E1042" s="865">
        <v>46884</v>
      </c>
      <c r="F1042" s="866"/>
      <c r="G1042" s="853"/>
      <c r="H1042" s="853"/>
      <c r="I1042" s="853"/>
      <c r="J1042" s="853"/>
      <c r="K1042" s="853"/>
      <c r="M1042" s="853"/>
      <c r="N1042" s="853"/>
      <c r="O1042" s="853"/>
    </row>
    <row r="1043" spans="2:15" ht="31.5" x14ac:dyDescent="0.25">
      <c r="B1043" s="859" t="s">
        <v>2491</v>
      </c>
      <c r="C1043" s="864" t="s">
        <v>2492</v>
      </c>
      <c r="D1043" s="861" t="s">
        <v>861</v>
      </c>
      <c r="E1043" s="865">
        <v>54097</v>
      </c>
      <c r="F1043" s="866"/>
      <c r="G1043" s="853"/>
      <c r="H1043" s="853"/>
      <c r="I1043" s="853"/>
      <c r="J1043" s="853"/>
      <c r="K1043" s="853"/>
      <c r="M1043" s="853"/>
      <c r="N1043" s="853"/>
      <c r="O1043" s="853"/>
    </row>
    <row r="1044" spans="2:15" x14ac:dyDescent="0.25">
      <c r="B1044" s="859" t="s">
        <v>2493</v>
      </c>
      <c r="C1044" s="860" t="s">
        <v>2494</v>
      </c>
      <c r="D1044" s="861"/>
      <c r="E1044" s="862"/>
      <c r="F1044" s="863"/>
      <c r="G1044" s="853"/>
      <c r="H1044" s="853"/>
      <c r="I1044" s="853"/>
      <c r="J1044" s="853"/>
      <c r="K1044" s="853"/>
      <c r="M1044" s="853"/>
      <c r="N1044" s="853"/>
      <c r="O1044" s="853"/>
    </row>
    <row r="1045" spans="2:15" ht="31.5" x14ac:dyDescent="0.25">
      <c r="B1045" s="859" t="s">
        <v>2495</v>
      </c>
      <c r="C1045" s="864" t="s">
        <v>2496</v>
      </c>
      <c r="D1045" s="861" t="s">
        <v>861</v>
      </c>
      <c r="E1045" s="865">
        <v>24589</v>
      </c>
      <c r="F1045" s="866"/>
      <c r="G1045" s="853"/>
      <c r="H1045" s="853"/>
      <c r="I1045" s="853"/>
      <c r="J1045" s="853"/>
      <c r="K1045" s="853"/>
      <c r="M1045" s="853"/>
      <c r="N1045" s="853"/>
      <c r="O1045" s="853"/>
    </row>
    <row r="1046" spans="2:15" x14ac:dyDescent="0.25">
      <c r="B1046" s="859" t="s">
        <v>2497</v>
      </c>
      <c r="C1046" s="864" t="s">
        <v>2498</v>
      </c>
      <c r="D1046" s="861" t="s">
        <v>861</v>
      </c>
      <c r="E1046" s="865">
        <v>37567</v>
      </c>
      <c r="F1046" s="866"/>
      <c r="G1046" s="853"/>
      <c r="H1046" s="853"/>
      <c r="I1046" s="853"/>
      <c r="J1046" s="853"/>
      <c r="K1046" s="853"/>
      <c r="M1046" s="853"/>
      <c r="N1046" s="853"/>
      <c r="O1046" s="853"/>
    </row>
    <row r="1047" spans="2:15" ht="31.5" x14ac:dyDescent="0.25">
      <c r="B1047" s="859" t="s">
        <v>2499</v>
      </c>
      <c r="C1047" s="864" t="s">
        <v>2500</v>
      </c>
      <c r="D1047" s="861" t="s">
        <v>861</v>
      </c>
      <c r="E1047" s="865">
        <v>15327</v>
      </c>
      <c r="F1047" s="866"/>
      <c r="G1047" s="853"/>
      <c r="H1047" s="853"/>
      <c r="I1047" s="853"/>
      <c r="J1047" s="853"/>
      <c r="K1047" s="853"/>
      <c r="M1047" s="853"/>
      <c r="N1047" s="853"/>
      <c r="O1047" s="853"/>
    </row>
    <row r="1048" spans="2:15" x14ac:dyDescent="0.25">
      <c r="B1048" s="859" t="s">
        <v>2501</v>
      </c>
      <c r="C1048" s="860" t="s">
        <v>2502</v>
      </c>
      <c r="D1048" s="861"/>
      <c r="E1048" s="862"/>
      <c r="F1048" s="863"/>
      <c r="G1048" s="853"/>
      <c r="H1048" s="853"/>
      <c r="I1048" s="853"/>
      <c r="J1048" s="853"/>
      <c r="K1048" s="853"/>
      <c r="M1048" s="853"/>
      <c r="N1048" s="853"/>
      <c r="O1048" s="853"/>
    </row>
    <row r="1049" spans="2:15" x14ac:dyDescent="0.25">
      <c r="B1049" s="859" t="s">
        <v>2503</v>
      </c>
      <c r="C1049" s="864" t="s">
        <v>2504</v>
      </c>
      <c r="D1049" s="861" t="s">
        <v>861</v>
      </c>
      <c r="E1049" s="865">
        <v>27048</v>
      </c>
      <c r="F1049" s="866"/>
      <c r="G1049" s="853"/>
      <c r="H1049" s="853"/>
      <c r="I1049" s="853"/>
      <c r="J1049" s="853"/>
      <c r="K1049" s="853"/>
      <c r="M1049" s="853"/>
      <c r="N1049" s="853"/>
      <c r="O1049" s="853"/>
    </row>
    <row r="1050" spans="2:15" x14ac:dyDescent="0.25">
      <c r="B1050" s="859" t="s">
        <v>2505</v>
      </c>
      <c r="C1050" s="864" t="s">
        <v>2506</v>
      </c>
      <c r="D1050" s="861" t="s">
        <v>861</v>
      </c>
      <c r="E1050" s="865">
        <v>31556</v>
      </c>
      <c r="F1050" s="866"/>
      <c r="G1050" s="853"/>
      <c r="H1050" s="853"/>
      <c r="I1050" s="853"/>
      <c r="J1050" s="853"/>
      <c r="K1050" s="853"/>
      <c r="M1050" s="853"/>
      <c r="N1050" s="853"/>
      <c r="O1050" s="853"/>
    </row>
    <row r="1051" spans="2:15" x14ac:dyDescent="0.25">
      <c r="B1051" s="859" t="s">
        <v>2507</v>
      </c>
      <c r="C1051" s="864" t="s">
        <v>2508</v>
      </c>
      <c r="D1051" s="861" t="s">
        <v>861</v>
      </c>
      <c r="E1051" s="865">
        <v>22540</v>
      </c>
      <c r="F1051" s="866"/>
      <c r="G1051" s="853"/>
      <c r="H1051" s="853"/>
      <c r="I1051" s="853"/>
      <c r="J1051" s="853"/>
      <c r="K1051" s="853"/>
      <c r="M1051" s="853"/>
      <c r="N1051" s="853"/>
      <c r="O1051" s="853"/>
    </row>
    <row r="1052" spans="2:15" x14ac:dyDescent="0.25">
      <c r="B1052" s="859" t="s">
        <v>2509</v>
      </c>
      <c r="C1052" s="864" t="s">
        <v>2510</v>
      </c>
      <c r="D1052" s="861" t="s">
        <v>861</v>
      </c>
      <c r="E1052" s="865">
        <v>37868</v>
      </c>
      <c r="F1052" s="866"/>
      <c r="G1052" s="853"/>
      <c r="H1052" s="853"/>
      <c r="I1052" s="853"/>
      <c r="J1052" s="853"/>
      <c r="K1052" s="853"/>
      <c r="M1052" s="853"/>
      <c r="N1052" s="853"/>
      <c r="O1052" s="853"/>
    </row>
    <row r="1053" spans="2:15" x14ac:dyDescent="0.25">
      <c r="B1053" s="859" t="s">
        <v>2511</v>
      </c>
      <c r="C1053" s="860" t="s">
        <v>2512</v>
      </c>
      <c r="D1053" s="861"/>
      <c r="E1053" s="862"/>
      <c r="F1053" s="863"/>
      <c r="G1053" s="853"/>
      <c r="H1053" s="853"/>
      <c r="I1053" s="853"/>
      <c r="J1053" s="853"/>
      <c r="K1053" s="853"/>
      <c r="M1053" s="853"/>
      <c r="N1053" s="853"/>
      <c r="O1053" s="853"/>
    </row>
    <row r="1054" spans="2:15" ht="31.5" x14ac:dyDescent="0.25">
      <c r="B1054" s="859" t="s">
        <v>2513</v>
      </c>
      <c r="C1054" s="864" t="s">
        <v>2514</v>
      </c>
      <c r="D1054" s="861" t="s">
        <v>861</v>
      </c>
      <c r="E1054" s="865">
        <v>22540</v>
      </c>
      <c r="F1054" s="866"/>
      <c r="G1054" s="853"/>
      <c r="H1054" s="853"/>
      <c r="I1054" s="853"/>
      <c r="J1054" s="853"/>
      <c r="K1054" s="853"/>
      <c r="M1054" s="853"/>
      <c r="N1054" s="853"/>
      <c r="O1054" s="853"/>
    </row>
    <row r="1055" spans="2:15" x14ac:dyDescent="0.25">
      <c r="B1055" s="859" t="s">
        <v>2515</v>
      </c>
      <c r="C1055" s="860" t="s">
        <v>2516</v>
      </c>
      <c r="D1055" s="861"/>
      <c r="E1055" s="862"/>
      <c r="F1055" s="863"/>
      <c r="G1055" s="853"/>
      <c r="H1055" s="853"/>
      <c r="I1055" s="853"/>
      <c r="J1055" s="853"/>
      <c r="K1055" s="853"/>
      <c r="M1055" s="853"/>
      <c r="N1055" s="853"/>
      <c r="O1055" s="853"/>
    </row>
    <row r="1056" spans="2:15" x14ac:dyDescent="0.25">
      <c r="B1056" s="859" t="s">
        <v>2517</v>
      </c>
      <c r="C1056" s="864" t="s">
        <v>2518</v>
      </c>
      <c r="D1056" s="861" t="s">
        <v>861</v>
      </c>
      <c r="E1056" s="865">
        <v>17100</v>
      </c>
      <c r="F1056" s="866"/>
      <c r="G1056" s="853"/>
      <c r="H1056" s="853"/>
      <c r="I1056" s="853"/>
      <c r="J1056" s="853"/>
      <c r="K1056" s="853"/>
      <c r="M1056" s="853"/>
      <c r="N1056" s="853"/>
      <c r="O1056" s="853"/>
    </row>
    <row r="1057" spans="2:15" x14ac:dyDescent="0.25">
      <c r="B1057" s="859" t="s">
        <v>2519</v>
      </c>
      <c r="C1057" s="864" t="s">
        <v>2520</v>
      </c>
      <c r="D1057" s="861" t="s">
        <v>861</v>
      </c>
      <c r="E1057" s="865">
        <v>5441</v>
      </c>
      <c r="F1057" s="866"/>
      <c r="G1057" s="853"/>
      <c r="H1057" s="853"/>
      <c r="I1057" s="853"/>
      <c r="J1057" s="853"/>
      <c r="K1057" s="853"/>
      <c r="M1057" s="853"/>
      <c r="N1057" s="853"/>
      <c r="O1057" s="853"/>
    </row>
    <row r="1058" spans="2:15" x14ac:dyDescent="0.25">
      <c r="B1058" s="859" t="s">
        <v>2521</v>
      </c>
      <c r="C1058" s="864" t="s">
        <v>2522</v>
      </c>
      <c r="D1058" s="861" t="s">
        <v>861</v>
      </c>
      <c r="E1058" s="865">
        <v>38863</v>
      </c>
      <c r="F1058" s="866"/>
      <c r="G1058" s="853"/>
      <c r="H1058" s="853"/>
      <c r="I1058" s="853"/>
      <c r="J1058" s="853"/>
      <c r="K1058" s="853"/>
      <c r="M1058" s="853"/>
      <c r="N1058" s="853"/>
      <c r="O1058" s="853"/>
    </row>
    <row r="1059" spans="2:15" x14ac:dyDescent="0.25">
      <c r="B1059" s="859" t="s">
        <v>2523</v>
      </c>
      <c r="C1059" s="880" t="s">
        <v>2524</v>
      </c>
      <c r="D1059" s="861"/>
      <c r="E1059" s="862"/>
      <c r="F1059" s="863"/>
      <c r="G1059" s="853"/>
      <c r="H1059" s="853"/>
      <c r="I1059" s="853"/>
      <c r="J1059" s="853"/>
      <c r="K1059" s="853"/>
      <c r="M1059" s="853"/>
      <c r="N1059" s="853"/>
      <c r="O1059" s="853"/>
    </row>
    <row r="1060" spans="2:15" x14ac:dyDescent="0.25">
      <c r="B1060" s="859" t="s">
        <v>2525</v>
      </c>
      <c r="C1060" s="864" t="s">
        <v>2526</v>
      </c>
      <c r="D1060" s="861" t="s">
        <v>727</v>
      </c>
      <c r="E1060" s="865">
        <v>15545</v>
      </c>
      <c r="F1060" s="866"/>
      <c r="G1060" s="853"/>
      <c r="H1060" s="853"/>
      <c r="I1060" s="853"/>
      <c r="J1060" s="853"/>
      <c r="K1060" s="853"/>
      <c r="M1060" s="853"/>
      <c r="N1060" s="853"/>
      <c r="O1060" s="853"/>
    </row>
    <row r="1061" spans="2:15" ht="18.75" x14ac:dyDescent="0.25">
      <c r="B1061" s="859" t="s">
        <v>2527</v>
      </c>
      <c r="C1061" s="864" t="s">
        <v>3143</v>
      </c>
      <c r="D1061" s="861" t="s">
        <v>727</v>
      </c>
      <c r="E1061" s="865">
        <v>23318</v>
      </c>
      <c r="F1061" s="866"/>
      <c r="G1061" s="853"/>
      <c r="H1061" s="853"/>
      <c r="I1061" s="853"/>
      <c r="J1061" s="853"/>
      <c r="K1061" s="853"/>
      <c r="M1061" s="853"/>
      <c r="N1061" s="853"/>
      <c r="O1061" s="853"/>
    </row>
    <row r="1062" spans="2:15" ht="18.75" x14ac:dyDescent="0.25">
      <c r="B1062" s="859" t="s">
        <v>2529</v>
      </c>
      <c r="C1062" s="864" t="s">
        <v>3144</v>
      </c>
      <c r="D1062" s="861" t="s">
        <v>727</v>
      </c>
      <c r="E1062" s="865">
        <v>46635</v>
      </c>
      <c r="F1062" s="866"/>
      <c r="G1062" s="853"/>
      <c r="H1062" s="853"/>
      <c r="I1062" s="853"/>
      <c r="J1062" s="853"/>
      <c r="K1062" s="853"/>
      <c r="M1062" s="853"/>
      <c r="N1062" s="853"/>
      <c r="O1062" s="853"/>
    </row>
    <row r="1063" spans="2:15" x14ac:dyDescent="0.25">
      <c r="B1063" s="859" t="s">
        <v>2531</v>
      </c>
      <c r="C1063" s="864" t="s">
        <v>2532</v>
      </c>
      <c r="D1063" s="861" t="s">
        <v>727</v>
      </c>
      <c r="E1063" s="865">
        <v>69953</v>
      </c>
      <c r="F1063" s="866"/>
      <c r="G1063" s="853"/>
      <c r="H1063" s="853"/>
      <c r="I1063" s="853"/>
      <c r="J1063" s="853"/>
      <c r="K1063" s="853"/>
      <c r="M1063" s="853"/>
      <c r="N1063" s="853"/>
      <c r="O1063" s="853"/>
    </row>
    <row r="1064" spans="2:15" x14ac:dyDescent="0.25">
      <c r="B1064" s="859" t="s">
        <v>2533</v>
      </c>
      <c r="C1064" s="864" t="s">
        <v>2534</v>
      </c>
      <c r="D1064" s="861" t="s">
        <v>727</v>
      </c>
      <c r="E1064" s="865">
        <v>93270</v>
      </c>
      <c r="F1064" s="866"/>
      <c r="G1064" s="853"/>
      <c r="H1064" s="853"/>
      <c r="I1064" s="853"/>
      <c r="J1064" s="853"/>
      <c r="K1064" s="853"/>
      <c r="M1064" s="853"/>
      <c r="N1064" s="853"/>
      <c r="O1064" s="853"/>
    </row>
    <row r="1065" spans="2:15" x14ac:dyDescent="0.25">
      <c r="B1065" s="859" t="s">
        <v>2535</v>
      </c>
      <c r="C1065" s="880" t="s">
        <v>2536</v>
      </c>
      <c r="D1065" s="861"/>
      <c r="E1065" s="862"/>
      <c r="F1065" s="863"/>
      <c r="G1065" s="853"/>
      <c r="H1065" s="853"/>
      <c r="I1065" s="853"/>
      <c r="J1065" s="853"/>
      <c r="K1065" s="853"/>
      <c r="M1065" s="853"/>
      <c r="N1065" s="853"/>
      <c r="O1065" s="853"/>
    </row>
    <row r="1066" spans="2:15" x14ac:dyDescent="0.25">
      <c r="B1066" s="859" t="s">
        <v>2537</v>
      </c>
      <c r="C1066" s="860" t="s">
        <v>2538</v>
      </c>
      <c r="D1066" s="861"/>
      <c r="E1066" s="862"/>
      <c r="F1066" s="863"/>
      <c r="G1066" s="853"/>
      <c r="H1066" s="853"/>
      <c r="I1066" s="853"/>
      <c r="J1066" s="853"/>
      <c r="K1066" s="853"/>
      <c r="M1066" s="853"/>
      <c r="N1066" s="853"/>
      <c r="O1066" s="853"/>
    </row>
    <row r="1067" spans="2:15" x14ac:dyDescent="0.25">
      <c r="B1067" s="859" t="s">
        <v>2539</v>
      </c>
      <c r="C1067" s="864" t="s">
        <v>2540</v>
      </c>
      <c r="D1067" s="861" t="s">
        <v>861</v>
      </c>
      <c r="E1067" s="865">
        <v>321104</v>
      </c>
      <c r="F1067" s="866"/>
      <c r="G1067" s="853"/>
      <c r="H1067" s="853"/>
      <c r="I1067" s="853"/>
      <c r="J1067" s="853"/>
      <c r="K1067" s="853"/>
      <c r="M1067" s="853"/>
      <c r="N1067" s="853"/>
      <c r="O1067" s="853"/>
    </row>
    <row r="1068" spans="2:15" x14ac:dyDescent="0.25">
      <c r="B1068" s="859" t="s">
        <v>2541</v>
      </c>
      <c r="C1068" s="864" t="s">
        <v>2542</v>
      </c>
      <c r="D1068" s="861" t="s">
        <v>861</v>
      </c>
      <c r="E1068" s="865">
        <v>221113</v>
      </c>
      <c r="F1068" s="866"/>
      <c r="G1068" s="853"/>
      <c r="H1068" s="853"/>
      <c r="I1068" s="853"/>
      <c r="J1068" s="853"/>
      <c r="K1068" s="853"/>
      <c r="M1068" s="853"/>
      <c r="N1068" s="853"/>
      <c r="O1068" s="853"/>
    </row>
    <row r="1069" spans="2:15" x14ac:dyDescent="0.25">
      <c r="B1069" s="859" t="s">
        <v>2543</v>
      </c>
      <c r="C1069" s="860" t="s">
        <v>1149</v>
      </c>
      <c r="D1069" s="861"/>
      <c r="E1069" s="862"/>
      <c r="F1069" s="863"/>
      <c r="G1069" s="853"/>
      <c r="H1069" s="853"/>
      <c r="I1069" s="853"/>
      <c r="J1069" s="853"/>
      <c r="K1069" s="853"/>
      <c r="M1069" s="853"/>
      <c r="N1069" s="853"/>
      <c r="O1069" s="853"/>
    </row>
    <row r="1070" spans="2:15" x14ac:dyDescent="0.25">
      <c r="B1070" s="859" t="s">
        <v>2544</v>
      </c>
      <c r="C1070" s="864" t="s">
        <v>2540</v>
      </c>
      <c r="D1070" s="861" t="s">
        <v>861</v>
      </c>
      <c r="E1070" s="865">
        <v>201377</v>
      </c>
      <c r="F1070" s="866"/>
      <c r="G1070" s="853"/>
      <c r="H1070" s="853"/>
      <c r="I1070" s="853"/>
      <c r="J1070" s="853"/>
      <c r="K1070" s="853"/>
      <c r="M1070" s="853"/>
      <c r="N1070" s="853"/>
      <c r="O1070" s="853"/>
    </row>
    <row r="1071" spans="2:15" x14ac:dyDescent="0.25">
      <c r="B1071" s="859" t="s">
        <v>2545</v>
      </c>
      <c r="C1071" s="864" t="s">
        <v>2542</v>
      </c>
      <c r="D1071" s="861" t="s">
        <v>861</v>
      </c>
      <c r="E1071" s="865">
        <v>135004</v>
      </c>
      <c r="F1071" s="866"/>
      <c r="G1071" s="853"/>
      <c r="H1071" s="853"/>
      <c r="I1071" s="853"/>
      <c r="J1071" s="853"/>
      <c r="K1071" s="853"/>
      <c r="M1071" s="853"/>
      <c r="N1071" s="853"/>
      <c r="O1071" s="853"/>
    </row>
    <row r="1072" spans="2:15" x14ac:dyDescent="0.25">
      <c r="B1072" s="859" t="s">
        <v>2546</v>
      </c>
      <c r="C1072" s="864" t="s">
        <v>2547</v>
      </c>
      <c r="D1072" s="861" t="s">
        <v>861</v>
      </c>
      <c r="E1072" s="865">
        <v>67502</v>
      </c>
      <c r="F1072" s="866"/>
      <c r="G1072" s="853"/>
      <c r="H1072" s="853"/>
      <c r="I1072" s="853"/>
      <c r="J1072" s="853"/>
      <c r="K1072" s="853"/>
      <c r="M1072" s="853"/>
      <c r="N1072" s="853"/>
      <c r="O1072" s="853"/>
    </row>
    <row r="1073" spans="2:15" x14ac:dyDescent="0.25">
      <c r="B1073" s="859" t="s">
        <v>2548</v>
      </c>
      <c r="C1073" s="864" t="s">
        <v>2549</v>
      </c>
      <c r="D1073" s="861" t="s">
        <v>861</v>
      </c>
      <c r="E1073" s="865">
        <v>173576</v>
      </c>
      <c r="F1073" s="866"/>
      <c r="G1073" s="853"/>
      <c r="H1073" s="853"/>
      <c r="I1073" s="853"/>
      <c r="J1073" s="853"/>
      <c r="K1073" s="853"/>
      <c r="M1073" s="853"/>
      <c r="N1073" s="853"/>
      <c r="O1073" s="853"/>
    </row>
    <row r="1074" spans="2:15" x14ac:dyDescent="0.25">
      <c r="B1074" s="859" t="s">
        <v>2550</v>
      </c>
      <c r="C1074" s="864" t="s">
        <v>2551</v>
      </c>
      <c r="D1074" s="861" t="s">
        <v>861</v>
      </c>
      <c r="E1074" s="865">
        <v>60002</v>
      </c>
      <c r="F1074" s="866"/>
      <c r="G1074" s="853"/>
      <c r="H1074" s="853"/>
      <c r="I1074" s="853"/>
      <c r="J1074" s="853"/>
      <c r="K1074" s="853"/>
      <c r="M1074" s="853"/>
      <c r="N1074" s="853"/>
      <c r="O1074" s="853"/>
    </row>
    <row r="1075" spans="2:15" x14ac:dyDescent="0.25">
      <c r="B1075" s="859" t="s">
        <v>2552</v>
      </c>
      <c r="C1075" s="864" t="s">
        <v>2553</v>
      </c>
      <c r="D1075" s="861" t="s">
        <v>861</v>
      </c>
      <c r="E1075" s="865">
        <v>176790</v>
      </c>
      <c r="F1075" s="866"/>
      <c r="G1075" s="853"/>
      <c r="H1075" s="853"/>
      <c r="I1075" s="853"/>
      <c r="J1075" s="853"/>
      <c r="K1075" s="853"/>
      <c r="M1075" s="853"/>
      <c r="N1075" s="853"/>
      <c r="O1075" s="853"/>
    </row>
    <row r="1076" spans="2:15" ht="31.5" x14ac:dyDescent="0.25">
      <c r="B1076" s="859" t="s">
        <v>2554</v>
      </c>
      <c r="C1076" s="860" t="s">
        <v>2555</v>
      </c>
      <c r="D1076" s="861"/>
      <c r="E1076" s="862"/>
      <c r="F1076" s="863"/>
      <c r="G1076" s="853"/>
      <c r="H1076" s="853"/>
      <c r="I1076" s="853"/>
      <c r="J1076" s="853"/>
      <c r="K1076" s="853"/>
      <c r="M1076" s="853"/>
      <c r="N1076" s="853"/>
      <c r="O1076" s="853"/>
    </row>
    <row r="1077" spans="2:15" x14ac:dyDescent="0.25">
      <c r="B1077" s="859" t="s">
        <v>2556</v>
      </c>
      <c r="C1077" s="864" t="s">
        <v>2540</v>
      </c>
      <c r="D1077" s="861"/>
      <c r="E1077" s="862"/>
      <c r="F1077" s="863"/>
      <c r="G1077" s="853"/>
      <c r="H1077" s="853"/>
      <c r="I1077" s="853"/>
      <c r="J1077" s="853"/>
      <c r="K1077" s="853"/>
      <c r="M1077" s="853"/>
      <c r="N1077" s="853"/>
      <c r="O1077" s="853"/>
    </row>
    <row r="1078" spans="2:15" x14ac:dyDescent="0.25">
      <c r="B1078" s="859" t="s">
        <v>2557</v>
      </c>
      <c r="C1078" s="889" t="s">
        <v>2558</v>
      </c>
      <c r="D1078" s="861" t="s">
        <v>727</v>
      </c>
      <c r="E1078" s="865">
        <v>569086</v>
      </c>
      <c r="F1078" s="863"/>
      <c r="G1078" s="853"/>
      <c r="H1078" s="853"/>
      <c r="I1078" s="853"/>
      <c r="J1078" s="853"/>
      <c r="K1078" s="853"/>
      <c r="M1078" s="853"/>
      <c r="N1078" s="853"/>
      <c r="O1078" s="853"/>
    </row>
    <row r="1079" spans="2:15" x14ac:dyDescent="0.25">
      <c r="B1079" s="859" t="s">
        <v>2559</v>
      </c>
      <c r="C1079" s="889" t="s">
        <v>2560</v>
      </c>
      <c r="D1079" s="861" t="s">
        <v>727</v>
      </c>
      <c r="E1079" s="865">
        <v>581056</v>
      </c>
      <c r="F1079" s="863"/>
      <c r="G1079" s="853"/>
      <c r="H1079" s="853"/>
      <c r="I1079" s="853"/>
      <c r="J1079" s="853"/>
      <c r="K1079" s="853"/>
      <c r="M1079" s="853"/>
      <c r="N1079" s="853"/>
      <c r="O1079" s="853"/>
    </row>
    <row r="1080" spans="2:15" x14ac:dyDescent="0.25">
      <c r="B1080" s="859" t="s">
        <v>2561</v>
      </c>
      <c r="C1080" s="889" t="s">
        <v>2562</v>
      </c>
      <c r="D1080" s="861" t="s">
        <v>727</v>
      </c>
      <c r="E1080" s="865">
        <v>593026</v>
      </c>
      <c r="F1080" s="863"/>
      <c r="G1080" s="853"/>
      <c r="H1080" s="853"/>
      <c r="I1080" s="853"/>
      <c r="J1080" s="853"/>
      <c r="K1080" s="853"/>
      <c r="M1080" s="853"/>
      <c r="N1080" s="853"/>
      <c r="O1080" s="853"/>
    </row>
    <row r="1081" spans="2:15" ht="31.5" x14ac:dyDescent="0.25">
      <c r="B1081" s="859" t="s">
        <v>2563</v>
      </c>
      <c r="C1081" s="864" t="s">
        <v>2564</v>
      </c>
      <c r="D1081" s="861"/>
      <c r="E1081" s="862"/>
      <c r="F1081" s="863"/>
      <c r="G1081" s="853"/>
      <c r="H1081" s="853"/>
      <c r="I1081" s="853"/>
      <c r="J1081" s="853"/>
      <c r="K1081" s="853"/>
      <c r="M1081" s="853"/>
      <c r="N1081" s="853"/>
      <c r="O1081" s="853"/>
    </row>
    <row r="1082" spans="2:15" x14ac:dyDescent="0.25">
      <c r="B1082" s="859" t="s">
        <v>2565</v>
      </c>
      <c r="C1082" s="889" t="s">
        <v>2566</v>
      </c>
      <c r="D1082" s="861" t="s">
        <v>727</v>
      </c>
      <c r="E1082" s="865">
        <v>558325</v>
      </c>
      <c r="F1082" s="863"/>
      <c r="G1082" s="853"/>
      <c r="H1082" s="853"/>
      <c r="I1082" s="853"/>
      <c r="J1082" s="853"/>
      <c r="K1082" s="853"/>
      <c r="M1082" s="853"/>
      <c r="N1082" s="853"/>
      <c r="O1082" s="853"/>
    </row>
    <row r="1083" spans="2:15" x14ac:dyDescent="0.25">
      <c r="B1083" s="859" t="s">
        <v>2567</v>
      </c>
      <c r="C1083" s="889" t="s">
        <v>2568</v>
      </c>
      <c r="D1083" s="861" t="s">
        <v>727</v>
      </c>
      <c r="E1083" s="865">
        <v>576273</v>
      </c>
      <c r="F1083" s="863"/>
      <c r="G1083" s="853"/>
      <c r="H1083" s="853"/>
      <c r="I1083" s="853"/>
      <c r="J1083" s="853"/>
      <c r="K1083" s="853"/>
      <c r="M1083" s="853"/>
      <c r="N1083" s="853"/>
      <c r="O1083" s="853"/>
    </row>
    <row r="1084" spans="2:15" x14ac:dyDescent="0.25">
      <c r="B1084" s="859" t="s">
        <v>2569</v>
      </c>
      <c r="C1084" s="889" t="s">
        <v>2570</v>
      </c>
      <c r="D1084" s="861" t="s">
        <v>727</v>
      </c>
      <c r="E1084" s="865">
        <v>588232</v>
      </c>
      <c r="F1084" s="863"/>
      <c r="G1084" s="853"/>
      <c r="H1084" s="853"/>
      <c r="I1084" s="853"/>
      <c r="J1084" s="853"/>
      <c r="K1084" s="853"/>
      <c r="M1084" s="853"/>
      <c r="N1084" s="853"/>
      <c r="O1084" s="853"/>
    </row>
    <row r="1085" spans="2:15" ht="31.5" x14ac:dyDescent="0.25">
      <c r="B1085" s="859" t="s">
        <v>2571</v>
      </c>
      <c r="C1085" s="860" t="s">
        <v>2572</v>
      </c>
      <c r="D1085" s="861"/>
      <c r="E1085" s="862"/>
      <c r="F1085" s="863"/>
      <c r="G1085" s="853"/>
      <c r="H1085" s="853"/>
      <c r="I1085" s="853"/>
      <c r="J1085" s="853"/>
      <c r="K1085" s="853"/>
      <c r="M1085" s="853"/>
      <c r="N1085" s="853"/>
      <c r="O1085" s="853"/>
    </row>
    <row r="1086" spans="2:15" x14ac:dyDescent="0.25">
      <c r="B1086" s="859" t="s">
        <v>2573</v>
      </c>
      <c r="C1086" s="864" t="s">
        <v>2540</v>
      </c>
      <c r="D1086" s="861"/>
      <c r="E1086" s="862"/>
      <c r="F1086" s="863"/>
      <c r="G1086" s="853"/>
      <c r="H1086" s="853"/>
      <c r="I1086" s="853"/>
      <c r="J1086" s="853"/>
      <c r="K1086" s="853"/>
      <c r="M1086" s="853"/>
      <c r="N1086" s="853"/>
      <c r="O1086" s="853"/>
    </row>
    <row r="1087" spans="2:15" x14ac:dyDescent="0.25">
      <c r="B1087" s="859" t="s">
        <v>2574</v>
      </c>
      <c r="C1087" s="889" t="s">
        <v>2575</v>
      </c>
      <c r="D1087" s="861" t="s">
        <v>727</v>
      </c>
      <c r="E1087" s="865">
        <v>349483</v>
      </c>
      <c r="F1087" s="863"/>
      <c r="G1087" s="853"/>
      <c r="H1087" s="853"/>
      <c r="I1087" s="853"/>
      <c r="J1087" s="853"/>
      <c r="K1087" s="853"/>
      <c r="M1087" s="853"/>
      <c r="N1087" s="853"/>
      <c r="O1087" s="853"/>
    </row>
    <row r="1088" spans="2:15" x14ac:dyDescent="0.25">
      <c r="B1088" s="859" t="s">
        <v>2576</v>
      </c>
      <c r="C1088" s="889" t="s">
        <v>2577</v>
      </c>
      <c r="D1088" s="861" t="s">
        <v>727</v>
      </c>
      <c r="E1088" s="865">
        <v>358452</v>
      </c>
      <c r="F1088" s="863"/>
      <c r="G1088" s="853"/>
      <c r="H1088" s="853"/>
      <c r="I1088" s="853"/>
      <c r="J1088" s="853"/>
      <c r="K1088" s="853"/>
      <c r="M1088" s="853"/>
      <c r="N1088" s="853"/>
      <c r="O1088" s="853"/>
    </row>
    <row r="1089" spans="2:15" x14ac:dyDescent="0.25">
      <c r="B1089" s="859" t="s">
        <v>2578</v>
      </c>
      <c r="C1089" s="889" t="s">
        <v>2579</v>
      </c>
      <c r="D1089" s="861" t="s">
        <v>727</v>
      </c>
      <c r="E1089" s="865">
        <v>375210</v>
      </c>
      <c r="F1089" s="863"/>
      <c r="G1089" s="853"/>
      <c r="H1089" s="853"/>
      <c r="I1089" s="853"/>
      <c r="J1089" s="853"/>
      <c r="K1089" s="853"/>
      <c r="M1089" s="853"/>
      <c r="N1089" s="853"/>
      <c r="O1089" s="853"/>
    </row>
    <row r="1090" spans="2:15" x14ac:dyDescent="0.25">
      <c r="B1090" s="859" t="s">
        <v>2580</v>
      </c>
      <c r="C1090" s="889" t="s">
        <v>2581</v>
      </c>
      <c r="D1090" s="861" t="s">
        <v>727</v>
      </c>
      <c r="E1090" s="865">
        <v>382993</v>
      </c>
      <c r="F1090" s="863"/>
      <c r="G1090" s="853"/>
      <c r="H1090" s="853"/>
      <c r="I1090" s="853"/>
      <c r="J1090" s="853"/>
      <c r="K1090" s="853"/>
      <c r="M1090" s="853"/>
      <c r="N1090" s="853"/>
      <c r="O1090" s="853"/>
    </row>
    <row r="1091" spans="2:15" x14ac:dyDescent="0.25">
      <c r="B1091" s="859" t="s">
        <v>2582</v>
      </c>
      <c r="C1091" s="889" t="s">
        <v>1168</v>
      </c>
      <c r="D1091" s="861" t="s">
        <v>727</v>
      </c>
      <c r="E1091" s="865">
        <v>390179</v>
      </c>
      <c r="F1091" s="863"/>
      <c r="G1091" s="853"/>
      <c r="H1091" s="853"/>
      <c r="I1091" s="853"/>
      <c r="J1091" s="853"/>
      <c r="K1091" s="853"/>
      <c r="M1091" s="853"/>
      <c r="N1091" s="853"/>
      <c r="O1091" s="853"/>
    </row>
    <row r="1092" spans="2:15" x14ac:dyDescent="0.25">
      <c r="B1092" s="859" t="s">
        <v>2583</v>
      </c>
      <c r="C1092" s="860" t="s">
        <v>1176</v>
      </c>
      <c r="D1092" s="861"/>
      <c r="E1092" s="862"/>
      <c r="F1092" s="863"/>
      <c r="G1092" s="853"/>
      <c r="H1092" s="853"/>
      <c r="I1092" s="853"/>
      <c r="J1092" s="853"/>
      <c r="K1092" s="853"/>
      <c r="M1092" s="853"/>
      <c r="N1092" s="853"/>
      <c r="O1092" s="853"/>
    </row>
    <row r="1093" spans="2:15" x14ac:dyDescent="0.25">
      <c r="B1093" s="859" t="s">
        <v>2584</v>
      </c>
      <c r="C1093" s="864" t="s">
        <v>2585</v>
      </c>
      <c r="D1093" s="861" t="s">
        <v>861</v>
      </c>
      <c r="E1093" s="865">
        <v>128639</v>
      </c>
      <c r="F1093" s="866"/>
      <c r="G1093" s="853"/>
      <c r="H1093" s="853"/>
      <c r="I1093" s="853"/>
      <c r="J1093" s="853"/>
      <c r="K1093" s="853"/>
      <c r="M1093" s="853"/>
      <c r="N1093" s="853"/>
      <c r="O1093" s="853"/>
    </row>
    <row r="1094" spans="2:15" x14ac:dyDescent="0.25">
      <c r="B1094" s="859" t="s">
        <v>2586</v>
      </c>
      <c r="C1094" s="864" t="s">
        <v>1180</v>
      </c>
      <c r="D1094" s="861" t="s">
        <v>727</v>
      </c>
      <c r="E1094" s="865">
        <v>346435</v>
      </c>
      <c r="F1094" s="866"/>
      <c r="G1094" s="853"/>
      <c r="H1094" s="853"/>
      <c r="I1094" s="853"/>
      <c r="J1094" s="853"/>
      <c r="K1094" s="853"/>
      <c r="M1094" s="853"/>
      <c r="N1094" s="853"/>
      <c r="O1094" s="853"/>
    </row>
    <row r="1095" spans="2:15" x14ac:dyDescent="0.25">
      <c r="B1095" s="859"/>
      <c r="C1095" s="864"/>
      <c r="D1095" s="861"/>
      <c r="E1095" s="862"/>
      <c r="F1095" s="863"/>
      <c r="G1095" s="853"/>
      <c r="H1095" s="853"/>
      <c r="I1095" s="853"/>
      <c r="J1095" s="853"/>
      <c r="K1095" s="853"/>
      <c r="M1095" s="853"/>
      <c r="N1095" s="853"/>
      <c r="O1095" s="853"/>
    </row>
    <row r="1096" spans="2:15" x14ac:dyDescent="0.25">
      <c r="B1096" s="859"/>
      <c r="C1096" s="871" t="s">
        <v>2587</v>
      </c>
      <c r="D1096" s="872"/>
      <c r="E1096" s="862"/>
      <c r="F1096" s="863"/>
      <c r="G1096" s="853"/>
      <c r="H1096" s="853"/>
      <c r="I1096" s="853"/>
      <c r="J1096" s="853"/>
      <c r="K1096" s="853"/>
      <c r="M1096" s="853"/>
      <c r="N1096" s="853"/>
      <c r="O1096" s="853"/>
    </row>
    <row r="1097" spans="2:15" x14ac:dyDescent="0.25">
      <c r="B1097" s="859" t="s">
        <v>2588</v>
      </c>
      <c r="C1097" s="880" t="s">
        <v>2589</v>
      </c>
      <c r="D1097" s="861"/>
      <c r="E1097" s="862"/>
      <c r="F1097" s="863"/>
      <c r="G1097" s="853"/>
      <c r="H1097" s="853"/>
      <c r="I1097" s="853"/>
      <c r="J1097" s="853"/>
      <c r="K1097" s="853"/>
      <c r="M1097" s="853"/>
      <c r="N1097" s="853"/>
      <c r="O1097" s="853"/>
    </row>
    <row r="1098" spans="2:15" x14ac:dyDescent="0.25">
      <c r="B1098" s="859" t="s">
        <v>2590</v>
      </c>
      <c r="C1098" s="864" t="s">
        <v>2591</v>
      </c>
      <c r="D1098" s="861" t="s">
        <v>861</v>
      </c>
      <c r="E1098" s="865">
        <v>7664</v>
      </c>
      <c r="F1098" s="866"/>
      <c r="G1098" s="853"/>
      <c r="H1098" s="853"/>
      <c r="I1098" s="853"/>
      <c r="J1098" s="853"/>
      <c r="K1098" s="853"/>
      <c r="M1098" s="853"/>
      <c r="N1098" s="853"/>
      <c r="O1098" s="853"/>
    </row>
    <row r="1099" spans="2:15" x14ac:dyDescent="0.25">
      <c r="B1099" s="859" t="s">
        <v>2592</v>
      </c>
      <c r="C1099" s="864" t="s">
        <v>2593</v>
      </c>
      <c r="D1099" s="861" t="s">
        <v>861</v>
      </c>
      <c r="E1099" s="865">
        <v>9918</v>
      </c>
      <c r="F1099" s="866"/>
      <c r="G1099" s="853"/>
      <c r="H1099" s="853"/>
      <c r="I1099" s="853"/>
      <c r="J1099" s="853"/>
      <c r="K1099" s="853"/>
      <c r="M1099" s="853"/>
      <c r="N1099" s="853"/>
      <c r="O1099" s="853"/>
    </row>
    <row r="1100" spans="2:15" x14ac:dyDescent="0.25">
      <c r="B1100" s="859" t="s">
        <v>2594</v>
      </c>
      <c r="C1100" s="864" t="s">
        <v>2595</v>
      </c>
      <c r="D1100" s="861" t="s">
        <v>861</v>
      </c>
      <c r="E1100" s="865">
        <v>10369</v>
      </c>
      <c r="F1100" s="866"/>
      <c r="G1100" s="853"/>
      <c r="H1100" s="853"/>
      <c r="I1100" s="853"/>
      <c r="J1100" s="853"/>
      <c r="K1100" s="853"/>
      <c r="M1100" s="853"/>
      <c r="N1100" s="853"/>
      <c r="O1100" s="853"/>
    </row>
    <row r="1101" spans="2:15" ht="31.5" x14ac:dyDescent="0.25">
      <c r="B1101" s="859" t="s">
        <v>2596</v>
      </c>
      <c r="C1101" s="864" t="s">
        <v>2597</v>
      </c>
      <c r="D1101" s="861" t="s">
        <v>861</v>
      </c>
      <c r="E1101" s="865">
        <v>10098</v>
      </c>
      <c r="F1101" s="866"/>
      <c r="G1101" s="853"/>
      <c r="H1101" s="853"/>
      <c r="I1101" s="853"/>
      <c r="J1101" s="853"/>
      <c r="K1101" s="853"/>
      <c r="M1101" s="853"/>
      <c r="N1101" s="853"/>
      <c r="O1101" s="853"/>
    </row>
    <row r="1102" spans="2:15" ht="31.5" x14ac:dyDescent="0.25">
      <c r="B1102" s="859" t="s">
        <v>2598</v>
      </c>
      <c r="C1102" s="864" t="s">
        <v>2599</v>
      </c>
      <c r="D1102" s="861" t="s">
        <v>861</v>
      </c>
      <c r="E1102" s="865">
        <v>11270</v>
      </c>
      <c r="F1102" s="866"/>
      <c r="G1102" s="853"/>
      <c r="H1102" s="853"/>
      <c r="I1102" s="853"/>
      <c r="J1102" s="853"/>
      <c r="K1102" s="853"/>
      <c r="M1102" s="853"/>
      <c r="N1102" s="853"/>
      <c r="O1102" s="853"/>
    </row>
    <row r="1103" spans="2:15" ht="31.5" x14ac:dyDescent="0.25">
      <c r="B1103" s="859" t="s">
        <v>2600</v>
      </c>
      <c r="C1103" s="864" t="s">
        <v>2601</v>
      </c>
      <c r="D1103" s="861" t="s">
        <v>861</v>
      </c>
      <c r="E1103" s="865">
        <v>12623</v>
      </c>
      <c r="F1103" s="866"/>
      <c r="G1103" s="853"/>
      <c r="H1103" s="853"/>
      <c r="I1103" s="853"/>
      <c r="J1103" s="853"/>
      <c r="K1103" s="853"/>
      <c r="M1103" s="853"/>
      <c r="N1103" s="853"/>
      <c r="O1103" s="853"/>
    </row>
    <row r="1104" spans="2:15" ht="31.5" x14ac:dyDescent="0.25">
      <c r="B1104" s="859" t="s">
        <v>2602</v>
      </c>
      <c r="C1104" s="864" t="s">
        <v>2603</v>
      </c>
      <c r="D1104" s="861" t="s">
        <v>861</v>
      </c>
      <c r="E1104" s="865">
        <v>16229</v>
      </c>
      <c r="F1104" s="866"/>
      <c r="G1104" s="853"/>
      <c r="H1104" s="853"/>
      <c r="I1104" s="853"/>
      <c r="J1104" s="853"/>
      <c r="K1104" s="853"/>
      <c r="M1104" s="853"/>
      <c r="N1104" s="853"/>
      <c r="O1104" s="853"/>
    </row>
    <row r="1105" spans="2:15" ht="31.5" x14ac:dyDescent="0.25">
      <c r="B1105" s="859" t="s">
        <v>2604</v>
      </c>
      <c r="C1105" s="864" t="s">
        <v>2605</v>
      </c>
      <c r="D1105" s="861" t="s">
        <v>861</v>
      </c>
      <c r="E1105" s="865">
        <v>18934</v>
      </c>
      <c r="F1105" s="866"/>
      <c r="G1105" s="853"/>
      <c r="H1105" s="853"/>
      <c r="I1105" s="853"/>
      <c r="J1105" s="853"/>
      <c r="K1105" s="853"/>
      <c r="M1105" s="853"/>
      <c r="N1105" s="853"/>
      <c r="O1105" s="853"/>
    </row>
    <row r="1106" spans="2:15" ht="31.5" x14ac:dyDescent="0.25">
      <c r="B1106" s="859" t="s">
        <v>2606</v>
      </c>
      <c r="C1106" s="864" t="s">
        <v>2607</v>
      </c>
      <c r="D1106" s="861" t="s">
        <v>861</v>
      </c>
      <c r="E1106" s="865">
        <v>21639</v>
      </c>
      <c r="F1106" s="866"/>
      <c r="G1106" s="853"/>
      <c r="H1106" s="853"/>
      <c r="I1106" s="853"/>
      <c r="J1106" s="853"/>
      <c r="K1106" s="853"/>
      <c r="M1106" s="853"/>
      <c r="N1106" s="853"/>
      <c r="O1106" s="853"/>
    </row>
    <row r="1107" spans="2:15" x14ac:dyDescent="0.25">
      <c r="B1107" s="859" t="s">
        <v>2608</v>
      </c>
      <c r="C1107" s="864" t="s">
        <v>2609</v>
      </c>
      <c r="D1107" s="861" t="s">
        <v>950</v>
      </c>
      <c r="E1107" s="862">
        <v>270</v>
      </c>
      <c r="F1107" s="863"/>
      <c r="G1107" s="853"/>
      <c r="H1107" s="853"/>
      <c r="I1107" s="853"/>
      <c r="J1107" s="853"/>
      <c r="K1107" s="853"/>
      <c r="M1107" s="853"/>
      <c r="N1107" s="853"/>
      <c r="O1107" s="853"/>
    </row>
    <row r="1108" spans="2:15" x14ac:dyDescent="0.25">
      <c r="B1108" s="859" t="s">
        <v>2610</v>
      </c>
      <c r="C1108" s="864" t="s">
        <v>2611</v>
      </c>
      <c r="D1108" s="861" t="s">
        <v>950</v>
      </c>
      <c r="E1108" s="862">
        <v>180</v>
      </c>
      <c r="F1108" s="863"/>
      <c r="G1108" s="853"/>
      <c r="H1108" s="853"/>
      <c r="I1108" s="853"/>
      <c r="J1108" s="853"/>
      <c r="K1108" s="853"/>
      <c r="M1108" s="853"/>
      <c r="N1108" s="853"/>
      <c r="O1108" s="853"/>
    </row>
    <row r="1109" spans="2:15" x14ac:dyDescent="0.25">
      <c r="B1109" s="859" t="s">
        <v>2612</v>
      </c>
      <c r="C1109" s="864" t="s">
        <v>2613</v>
      </c>
      <c r="D1109" s="861" t="s">
        <v>861</v>
      </c>
      <c r="E1109" s="865">
        <v>3116</v>
      </c>
      <c r="F1109" s="866"/>
      <c r="G1109" s="853"/>
      <c r="H1109" s="853"/>
      <c r="I1109" s="853"/>
      <c r="J1109" s="853"/>
      <c r="K1109" s="853"/>
      <c r="M1109" s="853"/>
      <c r="N1109" s="853"/>
      <c r="O1109" s="853"/>
    </row>
    <row r="1110" spans="2:15" ht="31.5" x14ac:dyDescent="0.25">
      <c r="B1110" s="859" t="s">
        <v>2614</v>
      </c>
      <c r="C1110" s="880" t="s">
        <v>2615</v>
      </c>
      <c r="D1110" s="861"/>
      <c r="E1110" s="862"/>
      <c r="F1110" s="863"/>
      <c r="G1110" s="853"/>
      <c r="H1110" s="853"/>
      <c r="I1110" s="853"/>
      <c r="J1110" s="853"/>
      <c r="K1110" s="853"/>
      <c r="M1110" s="853"/>
      <c r="N1110" s="853"/>
      <c r="O1110" s="853"/>
    </row>
    <row r="1111" spans="2:15" x14ac:dyDescent="0.25">
      <c r="B1111" s="859" t="s">
        <v>2616</v>
      </c>
      <c r="C1111" s="864" t="s">
        <v>2617</v>
      </c>
      <c r="D1111" s="861" t="s">
        <v>861</v>
      </c>
      <c r="E1111" s="865">
        <v>15327</v>
      </c>
      <c r="F1111" s="866"/>
      <c r="G1111" s="853"/>
      <c r="H1111" s="853"/>
      <c r="I1111" s="853"/>
      <c r="J1111" s="853"/>
      <c r="K1111" s="853"/>
      <c r="M1111" s="853"/>
      <c r="N1111" s="853"/>
      <c r="O1111" s="853"/>
    </row>
    <row r="1112" spans="2:15" x14ac:dyDescent="0.25">
      <c r="B1112" s="859" t="s">
        <v>2618</v>
      </c>
      <c r="C1112" s="864" t="s">
        <v>2619</v>
      </c>
      <c r="D1112" s="861" t="s">
        <v>861</v>
      </c>
      <c r="E1112" s="865">
        <v>14426</v>
      </c>
      <c r="F1112" s="866"/>
      <c r="G1112" s="853"/>
      <c r="H1112" s="853"/>
      <c r="I1112" s="853"/>
      <c r="J1112" s="853"/>
      <c r="K1112" s="853"/>
      <c r="M1112" s="853"/>
      <c r="N1112" s="853"/>
      <c r="O1112" s="853"/>
    </row>
    <row r="1113" spans="2:15" x14ac:dyDescent="0.25">
      <c r="B1113" s="859" t="s">
        <v>2620</v>
      </c>
      <c r="C1113" s="864" t="s">
        <v>2621</v>
      </c>
      <c r="D1113" s="861" t="s">
        <v>861</v>
      </c>
      <c r="E1113" s="865">
        <v>31556</v>
      </c>
      <c r="F1113" s="866"/>
      <c r="G1113" s="853"/>
      <c r="H1113" s="853"/>
      <c r="I1113" s="853"/>
      <c r="J1113" s="853"/>
      <c r="K1113" s="853"/>
      <c r="M1113" s="853"/>
      <c r="N1113" s="853"/>
      <c r="O1113" s="853"/>
    </row>
    <row r="1114" spans="2:15" x14ac:dyDescent="0.25">
      <c r="B1114" s="859" t="s">
        <v>2622</v>
      </c>
      <c r="C1114" s="864" t="s">
        <v>2623</v>
      </c>
      <c r="D1114" s="861" t="s">
        <v>861</v>
      </c>
      <c r="E1114" s="865">
        <v>46884</v>
      </c>
      <c r="F1114" s="866"/>
      <c r="G1114" s="853"/>
      <c r="H1114" s="853"/>
      <c r="I1114" s="853"/>
      <c r="J1114" s="853"/>
      <c r="K1114" s="853"/>
      <c r="M1114" s="853"/>
      <c r="N1114" s="853"/>
      <c r="O1114" s="853"/>
    </row>
    <row r="1115" spans="2:15" x14ac:dyDescent="0.25">
      <c r="B1115" s="859" t="s">
        <v>2624</v>
      </c>
      <c r="C1115" s="864" t="s">
        <v>2625</v>
      </c>
      <c r="D1115" s="861" t="s">
        <v>861</v>
      </c>
      <c r="E1115" s="865">
        <v>17491</v>
      </c>
      <c r="F1115" s="866"/>
      <c r="G1115" s="853"/>
      <c r="H1115" s="853"/>
      <c r="I1115" s="853"/>
      <c r="J1115" s="853"/>
      <c r="K1115" s="853"/>
      <c r="M1115" s="853"/>
      <c r="N1115" s="853"/>
      <c r="O1115" s="853"/>
    </row>
    <row r="1116" spans="2:15" x14ac:dyDescent="0.25">
      <c r="B1116" s="859" t="s">
        <v>2626</v>
      </c>
      <c r="C1116" s="864" t="s">
        <v>2627</v>
      </c>
      <c r="D1116" s="861" t="s">
        <v>861</v>
      </c>
      <c r="E1116" s="865">
        <v>16229</v>
      </c>
      <c r="F1116" s="866"/>
      <c r="G1116" s="853"/>
      <c r="H1116" s="853"/>
      <c r="I1116" s="853"/>
      <c r="J1116" s="853"/>
      <c r="K1116" s="853"/>
      <c r="M1116" s="853"/>
      <c r="N1116" s="853"/>
      <c r="O1116" s="853"/>
    </row>
    <row r="1117" spans="2:15" x14ac:dyDescent="0.25">
      <c r="B1117" s="859" t="s">
        <v>2628</v>
      </c>
      <c r="C1117" s="864" t="s">
        <v>2629</v>
      </c>
      <c r="D1117" s="861" t="s">
        <v>861</v>
      </c>
      <c r="E1117" s="865">
        <v>17131</v>
      </c>
      <c r="F1117" s="866"/>
      <c r="G1117" s="853"/>
      <c r="H1117" s="853"/>
      <c r="I1117" s="853"/>
      <c r="J1117" s="853"/>
      <c r="K1117" s="853"/>
      <c r="M1117" s="853"/>
      <c r="N1117" s="853"/>
      <c r="O1117" s="853"/>
    </row>
    <row r="1118" spans="2:15" x14ac:dyDescent="0.25">
      <c r="B1118" s="859" t="s">
        <v>2630</v>
      </c>
      <c r="C1118" s="864" t="s">
        <v>2631</v>
      </c>
      <c r="D1118" s="861" t="s">
        <v>950</v>
      </c>
      <c r="E1118" s="865">
        <v>6311</v>
      </c>
      <c r="F1118" s="866"/>
      <c r="G1118" s="853"/>
      <c r="H1118" s="853"/>
      <c r="I1118" s="853"/>
      <c r="J1118" s="853"/>
      <c r="K1118" s="853"/>
      <c r="M1118" s="853"/>
      <c r="N1118" s="853"/>
      <c r="O1118" s="853"/>
    </row>
    <row r="1119" spans="2:15" x14ac:dyDescent="0.25">
      <c r="B1119" s="859" t="s">
        <v>2632</v>
      </c>
      <c r="C1119" s="880" t="s">
        <v>941</v>
      </c>
      <c r="D1119" s="861"/>
      <c r="E1119" s="862"/>
      <c r="F1119" s="863"/>
      <c r="G1119" s="853"/>
      <c r="H1119" s="853"/>
      <c r="I1119" s="853"/>
      <c r="J1119" s="853"/>
      <c r="K1119" s="853"/>
      <c r="M1119" s="853"/>
      <c r="N1119" s="853"/>
      <c r="O1119" s="853"/>
    </row>
    <row r="1120" spans="2:15" x14ac:dyDescent="0.25">
      <c r="B1120" s="859" t="s">
        <v>2633</v>
      </c>
      <c r="C1120" s="864" t="s">
        <v>2634</v>
      </c>
      <c r="D1120" s="861" t="s">
        <v>861</v>
      </c>
      <c r="E1120" s="865">
        <v>40572</v>
      </c>
      <c r="F1120" s="866"/>
      <c r="G1120" s="853"/>
      <c r="H1120" s="853"/>
      <c r="I1120" s="853"/>
      <c r="J1120" s="853"/>
      <c r="K1120" s="853"/>
      <c r="M1120" s="853"/>
      <c r="N1120" s="853"/>
      <c r="O1120" s="853"/>
    </row>
    <row r="1121" spans="2:15" x14ac:dyDescent="0.25">
      <c r="B1121" s="859" t="s">
        <v>2635</v>
      </c>
      <c r="C1121" s="864" t="s">
        <v>2636</v>
      </c>
      <c r="D1121" s="861" t="s">
        <v>727</v>
      </c>
      <c r="E1121" s="865">
        <v>13145</v>
      </c>
      <c r="F1121" s="866"/>
      <c r="G1121" s="853"/>
      <c r="H1121" s="853"/>
      <c r="I1121" s="853"/>
      <c r="J1121" s="853"/>
      <c r="K1121" s="853"/>
      <c r="M1121" s="853"/>
      <c r="N1121" s="853"/>
      <c r="O1121" s="853"/>
    </row>
    <row r="1122" spans="2:15" x14ac:dyDescent="0.25">
      <c r="B1122" s="859"/>
      <c r="C1122" s="864"/>
      <c r="D1122" s="861"/>
      <c r="E1122" s="862"/>
      <c r="F1122" s="863"/>
      <c r="G1122" s="853"/>
      <c r="H1122" s="853"/>
      <c r="I1122" s="853"/>
      <c r="J1122" s="853"/>
      <c r="K1122" s="853"/>
      <c r="M1122" s="853"/>
      <c r="N1122" s="853"/>
      <c r="O1122" s="853"/>
    </row>
    <row r="1123" spans="2:15" x14ac:dyDescent="0.25">
      <c r="B1123" s="859"/>
      <c r="C1123" s="871" t="s">
        <v>2637</v>
      </c>
      <c r="D1123" s="872"/>
      <c r="E1123" s="862"/>
      <c r="F1123" s="863"/>
      <c r="G1123" s="853"/>
      <c r="H1123" s="853"/>
      <c r="I1123" s="853"/>
      <c r="J1123" s="853"/>
      <c r="K1123" s="853"/>
      <c r="M1123" s="853"/>
      <c r="N1123" s="853"/>
      <c r="O1123" s="853"/>
    </row>
    <row r="1124" spans="2:15" x14ac:dyDescent="0.25">
      <c r="B1124" s="859" t="s">
        <v>2638</v>
      </c>
      <c r="C1124" s="880" t="s">
        <v>2639</v>
      </c>
      <c r="D1124" s="861"/>
      <c r="E1124" s="862"/>
      <c r="F1124" s="863"/>
      <c r="G1124" s="853"/>
      <c r="H1124" s="853"/>
      <c r="I1124" s="853"/>
      <c r="J1124" s="853"/>
      <c r="K1124" s="853"/>
      <c r="M1124" s="853"/>
      <c r="N1124" s="853"/>
      <c r="O1124" s="853"/>
    </row>
    <row r="1125" spans="2:15" x14ac:dyDescent="0.25">
      <c r="B1125" s="859" t="s">
        <v>2640</v>
      </c>
      <c r="C1125" s="860" t="s">
        <v>2641</v>
      </c>
      <c r="D1125" s="861"/>
      <c r="E1125" s="862"/>
      <c r="F1125" s="863"/>
      <c r="G1125" s="853"/>
      <c r="H1125" s="853"/>
      <c r="I1125" s="853"/>
      <c r="J1125" s="853"/>
      <c r="K1125" s="853"/>
      <c r="M1125" s="853"/>
      <c r="N1125" s="853"/>
      <c r="O1125" s="853"/>
    </row>
    <row r="1126" spans="2:15" x14ac:dyDescent="0.25">
      <c r="B1126" s="859" t="s">
        <v>2642</v>
      </c>
      <c r="C1126" s="864" t="s">
        <v>2643</v>
      </c>
      <c r="D1126" s="861" t="s">
        <v>861</v>
      </c>
      <c r="E1126" s="862">
        <v>235</v>
      </c>
      <c r="F1126" s="863"/>
      <c r="G1126" s="853"/>
      <c r="H1126" s="853"/>
      <c r="I1126" s="853"/>
      <c r="J1126" s="853"/>
      <c r="K1126" s="853"/>
      <c r="M1126" s="853"/>
      <c r="N1126" s="853"/>
      <c r="O1126" s="853"/>
    </row>
    <row r="1127" spans="2:15" x14ac:dyDescent="0.25">
      <c r="B1127" s="859" t="s">
        <v>2644</v>
      </c>
      <c r="C1127" s="864" t="s">
        <v>2645</v>
      </c>
      <c r="D1127" s="861" t="s">
        <v>861</v>
      </c>
      <c r="E1127" s="862">
        <v>141</v>
      </c>
      <c r="F1127" s="863"/>
      <c r="G1127" s="853"/>
      <c r="H1127" s="853"/>
      <c r="I1127" s="853"/>
      <c r="J1127" s="853"/>
      <c r="K1127" s="853"/>
      <c r="M1127" s="853"/>
      <c r="N1127" s="853"/>
      <c r="O1127" s="853"/>
    </row>
    <row r="1128" spans="2:15" x14ac:dyDescent="0.25">
      <c r="B1128" s="859" t="s">
        <v>2646</v>
      </c>
      <c r="C1128" s="864" t="s">
        <v>2647</v>
      </c>
      <c r="D1128" s="861" t="s">
        <v>861</v>
      </c>
      <c r="E1128" s="862">
        <v>242</v>
      </c>
      <c r="F1128" s="863"/>
      <c r="G1128" s="853"/>
      <c r="H1128" s="853"/>
      <c r="I1128" s="853"/>
      <c r="J1128" s="853"/>
      <c r="K1128" s="853"/>
      <c r="M1128" s="853"/>
      <c r="N1128" s="853"/>
      <c r="O1128" s="853"/>
    </row>
    <row r="1129" spans="2:15" x14ac:dyDescent="0.25">
      <c r="B1129" s="859" t="s">
        <v>2648</v>
      </c>
      <c r="C1129" s="864" t="s">
        <v>2649</v>
      </c>
      <c r="D1129" s="861" t="s">
        <v>861</v>
      </c>
      <c r="E1129" s="862">
        <v>141</v>
      </c>
      <c r="F1129" s="863"/>
      <c r="G1129" s="853"/>
      <c r="H1129" s="853"/>
      <c r="I1129" s="853"/>
      <c r="J1129" s="853"/>
      <c r="K1129" s="853"/>
      <c r="M1129" s="853"/>
      <c r="N1129" s="853"/>
      <c r="O1129" s="853"/>
    </row>
    <row r="1130" spans="2:15" x14ac:dyDescent="0.25">
      <c r="B1130" s="859" t="s">
        <v>2650</v>
      </c>
      <c r="C1130" s="864" t="s">
        <v>2651</v>
      </c>
      <c r="D1130" s="861" t="s">
        <v>861</v>
      </c>
      <c r="E1130" s="862">
        <v>161</v>
      </c>
      <c r="F1130" s="863"/>
      <c r="G1130" s="853"/>
      <c r="H1130" s="853"/>
      <c r="I1130" s="853"/>
      <c r="J1130" s="853"/>
      <c r="K1130" s="853"/>
      <c r="M1130" s="853"/>
      <c r="N1130" s="853"/>
      <c r="O1130" s="853"/>
    </row>
    <row r="1131" spans="2:15" x14ac:dyDescent="0.25">
      <c r="B1131" s="859" t="s">
        <v>2652</v>
      </c>
      <c r="C1131" s="860" t="s">
        <v>2653</v>
      </c>
      <c r="D1131" s="861"/>
      <c r="E1131" s="862"/>
      <c r="F1131" s="863"/>
      <c r="G1131" s="853"/>
      <c r="H1131" s="853"/>
      <c r="I1131" s="853"/>
      <c r="J1131" s="853"/>
      <c r="K1131" s="853"/>
      <c r="M1131" s="853"/>
      <c r="N1131" s="853"/>
      <c r="O1131" s="853"/>
    </row>
    <row r="1132" spans="2:15" ht="31.5" x14ac:dyDescent="0.25">
      <c r="B1132" s="859" t="s">
        <v>2654</v>
      </c>
      <c r="C1132" s="864" t="s">
        <v>2655</v>
      </c>
      <c r="D1132" s="861" t="s">
        <v>861</v>
      </c>
      <c r="E1132" s="865">
        <v>2885</v>
      </c>
      <c r="F1132" s="866"/>
      <c r="G1132" s="853"/>
      <c r="H1132" s="853"/>
      <c r="I1132" s="853"/>
      <c r="J1132" s="853"/>
      <c r="K1132" s="853"/>
      <c r="M1132" s="853"/>
      <c r="N1132" s="853"/>
      <c r="O1132" s="853"/>
    </row>
    <row r="1133" spans="2:15" ht="31.5" x14ac:dyDescent="0.25">
      <c r="B1133" s="859" t="s">
        <v>2656</v>
      </c>
      <c r="C1133" s="864" t="s">
        <v>2657</v>
      </c>
      <c r="D1133" s="861" t="s">
        <v>861</v>
      </c>
      <c r="E1133" s="865">
        <v>1848</v>
      </c>
      <c r="F1133" s="866"/>
      <c r="G1133" s="853"/>
      <c r="H1133" s="853"/>
      <c r="I1133" s="853"/>
      <c r="J1133" s="853"/>
      <c r="K1133" s="853"/>
      <c r="M1133" s="853"/>
      <c r="N1133" s="853"/>
      <c r="O1133" s="853"/>
    </row>
    <row r="1134" spans="2:15" x14ac:dyDescent="0.25">
      <c r="B1134" s="859" t="s">
        <v>2658</v>
      </c>
      <c r="C1134" s="864" t="s">
        <v>2659</v>
      </c>
      <c r="D1134" s="861" t="s">
        <v>861</v>
      </c>
      <c r="E1134" s="865">
        <v>1685</v>
      </c>
      <c r="F1134" s="866"/>
      <c r="G1134" s="853"/>
      <c r="H1134" s="853"/>
      <c r="I1134" s="853"/>
      <c r="J1134" s="853"/>
      <c r="K1134" s="853"/>
      <c r="M1134" s="853"/>
      <c r="N1134" s="853"/>
      <c r="O1134" s="853"/>
    </row>
    <row r="1135" spans="2:15" ht="31.5" x14ac:dyDescent="0.25">
      <c r="B1135" s="859" t="s">
        <v>2660</v>
      </c>
      <c r="C1135" s="864" t="s">
        <v>2661</v>
      </c>
      <c r="D1135" s="861" t="s">
        <v>861</v>
      </c>
      <c r="E1135" s="865">
        <v>4647</v>
      </c>
      <c r="F1135" s="866"/>
      <c r="G1135" s="853"/>
      <c r="H1135" s="853"/>
      <c r="I1135" s="853"/>
      <c r="J1135" s="853"/>
      <c r="K1135" s="853"/>
      <c r="M1135" s="853"/>
      <c r="N1135" s="853"/>
      <c r="O1135" s="853"/>
    </row>
    <row r="1136" spans="2:15" x14ac:dyDescent="0.25">
      <c r="B1136" s="859" t="s">
        <v>2662</v>
      </c>
      <c r="C1136" s="860" t="s">
        <v>2663</v>
      </c>
      <c r="D1136" s="861"/>
      <c r="E1136" s="862"/>
      <c r="F1136" s="863"/>
      <c r="G1136" s="853"/>
      <c r="H1136" s="853"/>
      <c r="I1136" s="853"/>
      <c r="J1136" s="853"/>
      <c r="K1136" s="853"/>
      <c r="M1136" s="853"/>
      <c r="N1136" s="853"/>
      <c r="O1136" s="853"/>
    </row>
    <row r="1137" spans="2:15" x14ac:dyDescent="0.25">
      <c r="B1137" s="859" t="s">
        <v>2664</v>
      </c>
      <c r="C1137" s="864" t="s">
        <v>2665</v>
      </c>
      <c r="D1137" s="861" t="s">
        <v>861</v>
      </c>
      <c r="E1137" s="865">
        <v>1685</v>
      </c>
      <c r="F1137" s="866"/>
      <c r="G1137" s="853"/>
      <c r="H1137" s="853"/>
      <c r="I1137" s="853"/>
      <c r="J1137" s="853"/>
      <c r="K1137" s="853"/>
      <c r="M1137" s="853"/>
      <c r="N1137" s="853"/>
      <c r="O1137" s="853"/>
    </row>
    <row r="1138" spans="2:15" ht="31.5" x14ac:dyDescent="0.25">
      <c r="B1138" s="859" t="s">
        <v>2666</v>
      </c>
      <c r="C1138" s="864" t="s">
        <v>2667</v>
      </c>
      <c r="D1138" s="861" t="s">
        <v>861</v>
      </c>
      <c r="E1138" s="862">
        <v>985</v>
      </c>
      <c r="F1138" s="866"/>
      <c r="G1138" s="853"/>
      <c r="H1138" s="853"/>
      <c r="I1138" s="853"/>
      <c r="J1138" s="853"/>
      <c r="K1138" s="853"/>
      <c r="M1138" s="853"/>
      <c r="N1138" s="853"/>
      <c r="O1138" s="853"/>
    </row>
    <row r="1139" spans="2:15" x14ac:dyDescent="0.25">
      <c r="B1139" s="859" t="s">
        <v>2668</v>
      </c>
      <c r="C1139" s="880" t="s">
        <v>2669</v>
      </c>
      <c r="D1139" s="861"/>
      <c r="E1139" s="862"/>
      <c r="F1139" s="863"/>
      <c r="G1139" s="853"/>
      <c r="H1139" s="853"/>
      <c r="I1139" s="853"/>
      <c r="J1139" s="853"/>
      <c r="K1139" s="853"/>
      <c r="M1139" s="853"/>
      <c r="N1139" s="853"/>
      <c r="O1139" s="853"/>
    </row>
    <row r="1140" spans="2:15" x14ac:dyDescent="0.25">
      <c r="B1140" s="859" t="s">
        <v>2670</v>
      </c>
      <c r="C1140" s="860" t="s">
        <v>2671</v>
      </c>
      <c r="D1140" s="861"/>
      <c r="E1140" s="862"/>
      <c r="F1140" s="863"/>
      <c r="G1140" s="853"/>
      <c r="H1140" s="853"/>
      <c r="I1140" s="853"/>
      <c r="J1140" s="853"/>
      <c r="K1140" s="853"/>
      <c r="M1140" s="853"/>
      <c r="N1140" s="853"/>
      <c r="O1140" s="853"/>
    </row>
    <row r="1141" spans="2:15" x14ac:dyDescent="0.25">
      <c r="B1141" s="859" t="s">
        <v>2672</v>
      </c>
      <c r="C1141" s="864" t="s">
        <v>2673</v>
      </c>
      <c r="D1141" s="861" t="s">
        <v>861</v>
      </c>
      <c r="E1141" s="865">
        <v>1127</v>
      </c>
      <c r="F1141" s="866"/>
      <c r="G1141" s="853"/>
      <c r="H1141" s="853"/>
      <c r="I1141" s="853"/>
      <c r="J1141" s="853"/>
      <c r="K1141" s="853"/>
      <c r="M1141" s="853"/>
      <c r="N1141" s="853"/>
      <c r="O1141" s="853"/>
    </row>
    <row r="1142" spans="2:15" x14ac:dyDescent="0.25">
      <c r="B1142" s="859" t="s">
        <v>2674</v>
      </c>
      <c r="C1142" s="860" t="s">
        <v>2675</v>
      </c>
      <c r="D1142" s="861"/>
      <c r="E1142" s="862"/>
      <c r="F1142" s="863"/>
      <c r="G1142" s="853"/>
      <c r="H1142" s="853"/>
      <c r="I1142" s="853"/>
      <c r="J1142" s="853"/>
      <c r="K1142" s="853"/>
      <c r="M1142" s="853"/>
      <c r="N1142" s="853"/>
      <c r="O1142" s="853"/>
    </row>
    <row r="1143" spans="2:15" x14ac:dyDescent="0.25">
      <c r="B1143" s="859" t="s">
        <v>2676</v>
      </c>
      <c r="C1143" s="864" t="s">
        <v>2677</v>
      </c>
      <c r="D1143" s="861" t="s">
        <v>861</v>
      </c>
      <c r="E1143" s="865">
        <v>1387</v>
      </c>
      <c r="F1143" s="866"/>
      <c r="G1143" s="853"/>
      <c r="H1143" s="853"/>
      <c r="I1143" s="853"/>
      <c r="J1143" s="853"/>
      <c r="K1143" s="853"/>
      <c r="M1143" s="853"/>
      <c r="N1143" s="853"/>
      <c r="O1143" s="853"/>
    </row>
    <row r="1144" spans="2:15" x14ac:dyDescent="0.25">
      <c r="B1144" s="859" t="s">
        <v>2678</v>
      </c>
      <c r="C1144" s="864" t="s">
        <v>2679</v>
      </c>
      <c r="D1144" s="861" t="s">
        <v>861</v>
      </c>
      <c r="E1144" s="865">
        <v>1550</v>
      </c>
      <c r="F1144" s="866"/>
      <c r="G1144" s="853"/>
      <c r="H1144" s="853"/>
      <c r="I1144" s="853"/>
      <c r="J1144" s="853"/>
      <c r="K1144" s="853"/>
      <c r="M1144" s="853"/>
      <c r="N1144" s="853"/>
      <c r="O1144" s="853"/>
    </row>
    <row r="1145" spans="2:15" x14ac:dyDescent="0.25">
      <c r="B1145" s="859" t="s">
        <v>2680</v>
      </c>
      <c r="C1145" s="864" t="s">
        <v>2681</v>
      </c>
      <c r="D1145" s="861" t="s">
        <v>861</v>
      </c>
      <c r="E1145" s="862">
        <v>750</v>
      </c>
      <c r="F1145" s="863"/>
      <c r="G1145" s="853"/>
      <c r="H1145" s="853"/>
      <c r="I1145" s="853"/>
      <c r="J1145" s="853"/>
      <c r="K1145" s="853"/>
      <c r="M1145" s="853"/>
      <c r="N1145" s="853"/>
      <c r="O1145" s="853"/>
    </row>
    <row r="1146" spans="2:15" x14ac:dyDescent="0.25">
      <c r="B1146" s="859" t="s">
        <v>2682</v>
      </c>
      <c r="C1146" s="864" t="s">
        <v>2683</v>
      </c>
      <c r="D1146" s="861" t="s">
        <v>861</v>
      </c>
      <c r="E1146" s="862">
        <v>827</v>
      </c>
      <c r="F1146" s="863"/>
      <c r="G1146" s="853"/>
      <c r="H1146" s="853"/>
      <c r="I1146" s="853"/>
      <c r="J1146" s="853"/>
      <c r="K1146" s="853"/>
      <c r="M1146" s="853"/>
      <c r="N1146" s="853"/>
      <c r="O1146" s="853"/>
    </row>
    <row r="1147" spans="2:15" x14ac:dyDescent="0.25">
      <c r="B1147" s="859" t="s">
        <v>2684</v>
      </c>
      <c r="C1147" s="864" t="s">
        <v>2681</v>
      </c>
      <c r="D1147" s="861" t="s">
        <v>861</v>
      </c>
      <c r="E1147" s="862">
        <v>980</v>
      </c>
      <c r="F1147" s="866"/>
      <c r="G1147" s="853"/>
      <c r="H1147" s="853"/>
      <c r="I1147" s="853"/>
      <c r="J1147" s="853"/>
      <c r="K1147" s="853"/>
      <c r="M1147" s="853"/>
      <c r="N1147" s="853"/>
      <c r="O1147" s="853"/>
    </row>
    <row r="1148" spans="2:15" x14ac:dyDescent="0.25">
      <c r="B1148" s="859" t="s">
        <v>2685</v>
      </c>
      <c r="C1148" s="864" t="s">
        <v>2683</v>
      </c>
      <c r="D1148" s="861" t="s">
        <v>861</v>
      </c>
      <c r="E1148" s="865">
        <v>1052</v>
      </c>
      <c r="F1148" s="866"/>
      <c r="G1148" s="853"/>
      <c r="H1148" s="853"/>
      <c r="I1148" s="853"/>
      <c r="J1148" s="853"/>
      <c r="K1148" s="853"/>
      <c r="M1148" s="853"/>
      <c r="N1148" s="853"/>
      <c r="O1148" s="853"/>
    </row>
    <row r="1149" spans="2:15" x14ac:dyDescent="0.25">
      <c r="B1149" s="859" t="s">
        <v>2686</v>
      </c>
      <c r="C1149" s="860" t="s">
        <v>2687</v>
      </c>
      <c r="D1149" s="861"/>
      <c r="E1149" s="862"/>
      <c r="F1149" s="863"/>
      <c r="G1149" s="853"/>
      <c r="H1149" s="853"/>
      <c r="I1149" s="853"/>
      <c r="J1149" s="853"/>
      <c r="K1149" s="853"/>
      <c r="M1149" s="853"/>
      <c r="N1149" s="853"/>
      <c r="O1149" s="853"/>
    </row>
    <row r="1150" spans="2:15" ht="31.5" x14ac:dyDescent="0.25">
      <c r="B1150" s="859" t="s">
        <v>2688</v>
      </c>
      <c r="C1150" s="864" t="s">
        <v>2689</v>
      </c>
      <c r="D1150" s="861" t="s">
        <v>861</v>
      </c>
      <c r="E1150" s="865">
        <v>13058</v>
      </c>
      <c r="F1150" s="866"/>
      <c r="G1150" s="853"/>
      <c r="H1150" s="853"/>
      <c r="I1150" s="853"/>
      <c r="J1150" s="853"/>
      <c r="K1150" s="853"/>
      <c r="M1150" s="853"/>
      <c r="N1150" s="853"/>
      <c r="O1150" s="853"/>
    </row>
    <row r="1151" spans="2:15" ht="31.5" x14ac:dyDescent="0.25">
      <c r="B1151" s="859" t="s">
        <v>2690</v>
      </c>
      <c r="C1151" s="864" t="s">
        <v>2691</v>
      </c>
      <c r="D1151" s="861" t="s">
        <v>861</v>
      </c>
      <c r="E1151" s="865">
        <v>3838</v>
      </c>
      <c r="F1151" s="866"/>
      <c r="G1151" s="853"/>
      <c r="H1151" s="853"/>
      <c r="I1151" s="853"/>
      <c r="J1151" s="853"/>
      <c r="K1151" s="853"/>
      <c r="M1151" s="853"/>
      <c r="N1151" s="853"/>
      <c r="O1151" s="853"/>
    </row>
    <row r="1152" spans="2:15" ht="31.5" x14ac:dyDescent="0.25">
      <c r="B1152" s="859" t="s">
        <v>2692</v>
      </c>
      <c r="C1152" s="864" t="s">
        <v>2693</v>
      </c>
      <c r="D1152" s="861" t="s">
        <v>861</v>
      </c>
      <c r="E1152" s="865">
        <v>2096</v>
      </c>
      <c r="F1152" s="866"/>
      <c r="G1152" s="853"/>
      <c r="H1152" s="853"/>
      <c r="I1152" s="853"/>
      <c r="J1152" s="853"/>
      <c r="K1152" s="853"/>
      <c r="M1152" s="853"/>
      <c r="N1152" s="853"/>
      <c r="O1152" s="853"/>
    </row>
    <row r="1153" spans="2:15" x14ac:dyDescent="0.25">
      <c r="B1153" s="859" t="s">
        <v>2694</v>
      </c>
      <c r="C1153" s="860" t="s">
        <v>2695</v>
      </c>
      <c r="D1153" s="861"/>
      <c r="E1153" s="862"/>
      <c r="F1153" s="863"/>
      <c r="G1153" s="853"/>
      <c r="H1153" s="853"/>
      <c r="I1153" s="853"/>
      <c r="J1153" s="853"/>
      <c r="K1153" s="853"/>
      <c r="M1153" s="853"/>
      <c r="N1153" s="853"/>
      <c r="O1153" s="853"/>
    </row>
    <row r="1154" spans="2:15" x14ac:dyDescent="0.25">
      <c r="B1154" s="859" t="s">
        <v>2696</v>
      </c>
      <c r="C1154" s="864" t="s">
        <v>2697</v>
      </c>
      <c r="D1154" s="861" t="s">
        <v>861</v>
      </c>
      <c r="E1154" s="865">
        <v>1318</v>
      </c>
      <c r="F1154" s="866"/>
      <c r="G1154" s="853"/>
      <c r="H1154" s="853"/>
      <c r="I1154" s="853"/>
      <c r="J1154" s="853"/>
      <c r="K1154" s="853"/>
      <c r="M1154" s="853"/>
      <c r="N1154" s="853"/>
      <c r="O1154" s="853"/>
    </row>
    <row r="1155" spans="2:15" x14ac:dyDescent="0.25">
      <c r="B1155" s="859" t="s">
        <v>2698</v>
      </c>
      <c r="C1155" s="864" t="s">
        <v>2699</v>
      </c>
      <c r="D1155" s="861" t="s">
        <v>861</v>
      </c>
      <c r="E1155" s="865">
        <v>1512</v>
      </c>
      <c r="F1155" s="866"/>
      <c r="G1155" s="853"/>
      <c r="H1155" s="853"/>
      <c r="I1155" s="853"/>
      <c r="J1155" s="853"/>
      <c r="K1155" s="853"/>
      <c r="M1155" s="853"/>
      <c r="N1155" s="853"/>
      <c r="O1155" s="853"/>
    </row>
    <row r="1156" spans="2:15" x14ac:dyDescent="0.25">
      <c r="B1156" s="859" t="s">
        <v>2700</v>
      </c>
      <c r="C1156" s="860" t="s">
        <v>2701</v>
      </c>
      <c r="D1156" s="861"/>
      <c r="E1156" s="862"/>
      <c r="F1156" s="863"/>
      <c r="G1156" s="853"/>
      <c r="H1156" s="853"/>
      <c r="I1156" s="853"/>
      <c r="J1156" s="853"/>
      <c r="K1156" s="853"/>
      <c r="M1156" s="853"/>
      <c r="N1156" s="853"/>
      <c r="O1156" s="853"/>
    </row>
    <row r="1157" spans="2:15" x14ac:dyDescent="0.25">
      <c r="B1157" s="859" t="s">
        <v>2702</v>
      </c>
      <c r="C1157" s="864" t="s">
        <v>2703</v>
      </c>
      <c r="D1157" s="861" t="s">
        <v>861</v>
      </c>
      <c r="E1157" s="865">
        <v>4115</v>
      </c>
      <c r="F1157" s="866"/>
      <c r="G1157" s="853"/>
      <c r="H1157" s="853"/>
      <c r="I1157" s="853"/>
      <c r="J1157" s="853"/>
      <c r="K1157" s="853"/>
      <c r="M1157" s="853"/>
      <c r="N1157" s="853"/>
      <c r="O1157" s="853"/>
    </row>
    <row r="1158" spans="2:15" ht="31.5" x14ac:dyDescent="0.25">
      <c r="B1158" s="859" t="s">
        <v>2704</v>
      </c>
      <c r="C1158" s="864" t="s">
        <v>2705</v>
      </c>
      <c r="D1158" s="861" t="s">
        <v>861</v>
      </c>
      <c r="E1158" s="865">
        <v>34917</v>
      </c>
      <c r="F1158" s="866"/>
      <c r="G1158" s="853"/>
      <c r="H1158" s="853"/>
      <c r="I1158" s="853"/>
      <c r="J1158" s="853"/>
      <c r="K1158" s="853"/>
      <c r="M1158" s="853"/>
      <c r="N1158" s="853"/>
      <c r="O1158" s="853"/>
    </row>
    <row r="1159" spans="2:15" x14ac:dyDescent="0.25">
      <c r="B1159" s="859" t="s">
        <v>2706</v>
      </c>
      <c r="C1159" s="880" t="s">
        <v>2707</v>
      </c>
      <c r="D1159" s="861"/>
      <c r="E1159" s="862"/>
      <c r="F1159" s="863"/>
      <c r="G1159" s="853"/>
      <c r="H1159" s="853"/>
      <c r="I1159" s="853"/>
      <c r="J1159" s="853"/>
      <c r="K1159" s="853"/>
      <c r="M1159" s="853"/>
      <c r="N1159" s="853"/>
      <c r="O1159" s="853"/>
    </row>
    <row r="1160" spans="2:15" x14ac:dyDescent="0.25">
      <c r="B1160" s="859" t="s">
        <v>2708</v>
      </c>
      <c r="C1160" s="860" t="s">
        <v>2709</v>
      </c>
      <c r="D1160" s="861"/>
      <c r="E1160" s="862"/>
      <c r="F1160" s="863"/>
      <c r="G1160" s="853"/>
      <c r="H1160" s="853"/>
      <c r="I1160" s="853"/>
      <c r="J1160" s="853"/>
      <c r="K1160" s="853"/>
      <c r="M1160" s="853"/>
      <c r="N1160" s="853"/>
      <c r="O1160" s="853"/>
    </row>
    <row r="1161" spans="2:15" ht="31.5" x14ac:dyDescent="0.25">
      <c r="B1161" s="859" t="s">
        <v>2710</v>
      </c>
      <c r="C1161" s="864" t="s">
        <v>2711</v>
      </c>
      <c r="D1161" s="861" t="s">
        <v>861</v>
      </c>
      <c r="E1161" s="862">
        <v>518</v>
      </c>
      <c r="F1161" s="863"/>
      <c r="G1161" s="853"/>
      <c r="H1161" s="853"/>
      <c r="I1161" s="853"/>
      <c r="J1161" s="853"/>
      <c r="K1161" s="853"/>
      <c r="M1161" s="853"/>
      <c r="N1161" s="853"/>
      <c r="O1161" s="853"/>
    </row>
    <row r="1162" spans="2:15" x14ac:dyDescent="0.25">
      <c r="B1162" s="859" t="s">
        <v>2712</v>
      </c>
      <c r="C1162" s="864" t="s">
        <v>2713</v>
      </c>
      <c r="D1162" s="861" t="s">
        <v>861</v>
      </c>
      <c r="E1162" s="862">
        <v>741</v>
      </c>
      <c r="F1162" s="863"/>
      <c r="G1162" s="853"/>
      <c r="H1162" s="853"/>
      <c r="I1162" s="853"/>
      <c r="J1162" s="853"/>
      <c r="K1162" s="853"/>
      <c r="M1162" s="853"/>
      <c r="N1162" s="853"/>
      <c r="O1162" s="853"/>
    </row>
    <row r="1163" spans="2:15" x14ac:dyDescent="0.25">
      <c r="B1163" s="859" t="s">
        <v>2714</v>
      </c>
      <c r="C1163" s="860" t="s">
        <v>2675</v>
      </c>
      <c r="D1163" s="861"/>
      <c r="E1163" s="862"/>
      <c r="F1163" s="863"/>
      <c r="G1163" s="853"/>
      <c r="H1163" s="853"/>
      <c r="I1163" s="853"/>
      <c r="J1163" s="853"/>
      <c r="K1163" s="853"/>
      <c r="M1163" s="853"/>
      <c r="N1163" s="853"/>
      <c r="O1163" s="853"/>
    </row>
    <row r="1164" spans="2:15" x14ac:dyDescent="0.25">
      <c r="B1164" s="859" t="s">
        <v>2715</v>
      </c>
      <c r="C1164" s="864" t="s">
        <v>2681</v>
      </c>
      <c r="D1164" s="861" t="s">
        <v>861</v>
      </c>
      <c r="E1164" s="865">
        <v>1346</v>
      </c>
      <c r="F1164" s="866"/>
      <c r="G1164" s="853"/>
      <c r="H1164" s="853"/>
      <c r="I1164" s="853"/>
      <c r="J1164" s="853"/>
      <c r="K1164" s="853"/>
      <c r="M1164" s="853"/>
      <c r="N1164" s="853"/>
      <c r="O1164" s="853"/>
    </row>
    <row r="1165" spans="2:15" x14ac:dyDescent="0.25">
      <c r="B1165" s="859" t="s">
        <v>2716</v>
      </c>
      <c r="C1165" s="864" t="s">
        <v>2683</v>
      </c>
      <c r="D1165" s="861" t="s">
        <v>861</v>
      </c>
      <c r="E1165" s="865">
        <v>1543</v>
      </c>
      <c r="F1165" s="866"/>
      <c r="G1165" s="853"/>
      <c r="H1165" s="853"/>
      <c r="I1165" s="853"/>
      <c r="J1165" s="853"/>
      <c r="K1165" s="853"/>
      <c r="M1165" s="853"/>
      <c r="N1165" s="853"/>
      <c r="O1165" s="853"/>
    </row>
    <row r="1166" spans="2:15" x14ac:dyDescent="0.25">
      <c r="B1166" s="859" t="s">
        <v>2717</v>
      </c>
      <c r="C1166" s="864" t="s">
        <v>2718</v>
      </c>
      <c r="D1166" s="861" t="s">
        <v>861</v>
      </c>
      <c r="E1166" s="865">
        <v>1842</v>
      </c>
      <c r="F1166" s="866"/>
      <c r="G1166" s="853"/>
      <c r="H1166" s="853"/>
      <c r="I1166" s="853"/>
      <c r="J1166" s="853"/>
      <c r="K1166" s="853"/>
      <c r="M1166" s="853"/>
      <c r="N1166" s="853"/>
      <c r="O1166" s="853"/>
    </row>
    <row r="1167" spans="2:15" x14ac:dyDescent="0.25">
      <c r="B1167" s="859" t="s">
        <v>2719</v>
      </c>
      <c r="C1167" s="860" t="s">
        <v>2695</v>
      </c>
      <c r="D1167" s="861"/>
      <c r="E1167" s="862"/>
      <c r="F1167" s="863"/>
      <c r="G1167" s="853"/>
      <c r="H1167" s="853"/>
      <c r="I1167" s="853"/>
      <c r="J1167" s="853"/>
      <c r="K1167" s="853"/>
      <c r="M1167" s="853"/>
      <c r="N1167" s="853"/>
      <c r="O1167" s="853"/>
    </row>
    <row r="1168" spans="2:15" x14ac:dyDescent="0.25">
      <c r="B1168" s="859" t="s">
        <v>2720</v>
      </c>
      <c r="C1168" s="864" t="s">
        <v>2721</v>
      </c>
      <c r="D1168" s="861" t="s">
        <v>861</v>
      </c>
      <c r="E1168" s="865">
        <v>1217</v>
      </c>
      <c r="F1168" s="866"/>
      <c r="G1168" s="853"/>
      <c r="H1168" s="853"/>
      <c r="I1168" s="853"/>
      <c r="J1168" s="853"/>
      <c r="K1168" s="853"/>
      <c r="M1168" s="853"/>
      <c r="N1168" s="853"/>
      <c r="O1168" s="853"/>
    </row>
    <row r="1169" spans="2:15" x14ac:dyDescent="0.25">
      <c r="B1169" s="859" t="s">
        <v>2722</v>
      </c>
      <c r="C1169" s="864" t="s">
        <v>2699</v>
      </c>
      <c r="D1169" s="861" t="s">
        <v>861</v>
      </c>
      <c r="E1169" s="865">
        <v>1283</v>
      </c>
      <c r="F1169" s="866"/>
      <c r="G1169" s="853"/>
      <c r="H1169" s="853"/>
      <c r="I1169" s="853"/>
      <c r="J1169" s="853"/>
      <c r="K1169" s="853"/>
      <c r="M1169" s="853"/>
      <c r="N1169" s="853"/>
      <c r="O1169" s="853"/>
    </row>
    <row r="1170" spans="2:15" x14ac:dyDescent="0.25">
      <c r="B1170" s="859" t="s">
        <v>2723</v>
      </c>
      <c r="C1170" s="864" t="s">
        <v>2724</v>
      </c>
      <c r="D1170" s="861" t="s">
        <v>861</v>
      </c>
      <c r="E1170" s="865">
        <v>1414</v>
      </c>
      <c r="F1170" s="866"/>
      <c r="G1170" s="853"/>
      <c r="H1170" s="853"/>
      <c r="I1170" s="853"/>
      <c r="J1170" s="853"/>
      <c r="K1170" s="853"/>
      <c r="M1170" s="853"/>
      <c r="N1170" s="853"/>
      <c r="O1170" s="853"/>
    </row>
    <row r="1171" spans="2:15" x14ac:dyDescent="0.25">
      <c r="B1171" s="859" t="s">
        <v>2725</v>
      </c>
      <c r="C1171" s="864" t="s">
        <v>2681</v>
      </c>
      <c r="D1171" s="861" t="s">
        <v>861</v>
      </c>
      <c r="E1171" s="865">
        <v>1633</v>
      </c>
      <c r="F1171" s="866"/>
      <c r="G1171" s="853"/>
      <c r="H1171" s="853"/>
      <c r="I1171" s="853"/>
      <c r="J1171" s="853"/>
      <c r="K1171" s="853"/>
      <c r="M1171" s="853"/>
      <c r="N1171" s="853"/>
      <c r="O1171" s="853"/>
    </row>
    <row r="1172" spans="2:15" x14ac:dyDescent="0.25">
      <c r="B1172" s="859" t="s">
        <v>2726</v>
      </c>
      <c r="C1172" s="864" t="s">
        <v>2683</v>
      </c>
      <c r="D1172" s="861" t="s">
        <v>861</v>
      </c>
      <c r="E1172" s="865">
        <v>1917</v>
      </c>
      <c r="F1172" s="866"/>
      <c r="G1172" s="853"/>
      <c r="H1172" s="853"/>
      <c r="I1172" s="853"/>
      <c r="J1172" s="853"/>
      <c r="K1172" s="853"/>
      <c r="M1172" s="853"/>
      <c r="N1172" s="853"/>
      <c r="O1172" s="853"/>
    </row>
    <row r="1173" spans="2:15" x14ac:dyDescent="0.25">
      <c r="B1173" s="859" t="s">
        <v>2727</v>
      </c>
      <c r="C1173" s="860" t="s">
        <v>2728</v>
      </c>
      <c r="D1173" s="861"/>
      <c r="E1173" s="862"/>
      <c r="F1173" s="863"/>
      <c r="G1173" s="853"/>
      <c r="H1173" s="853"/>
      <c r="I1173" s="853"/>
      <c r="J1173" s="853"/>
      <c r="K1173" s="853"/>
      <c r="M1173" s="853"/>
      <c r="N1173" s="853"/>
      <c r="O1173" s="853"/>
    </row>
    <row r="1174" spans="2:15" x14ac:dyDescent="0.25">
      <c r="B1174" s="859" t="s">
        <v>2729</v>
      </c>
      <c r="C1174" s="864" t="s">
        <v>2730</v>
      </c>
      <c r="D1174" s="861" t="s">
        <v>861</v>
      </c>
      <c r="E1174" s="865">
        <v>1042</v>
      </c>
      <c r="F1174" s="866"/>
      <c r="G1174" s="853"/>
      <c r="H1174" s="853"/>
      <c r="I1174" s="853"/>
      <c r="J1174" s="853"/>
      <c r="K1174" s="853"/>
      <c r="M1174" s="853"/>
      <c r="N1174" s="853"/>
      <c r="O1174" s="853"/>
    </row>
    <row r="1175" spans="2:15" x14ac:dyDescent="0.25">
      <c r="B1175" s="859" t="s">
        <v>2731</v>
      </c>
      <c r="C1175" s="864" t="s">
        <v>2732</v>
      </c>
      <c r="D1175" s="861" t="s">
        <v>861</v>
      </c>
      <c r="E1175" s="865">
        <v>1121</v>
      </c>
      <c r="F1175" s="866"/>
      <c r="G1175" s="853"/>
      <c r="H1175" s="853"/>
      <c r="I1175" s="853"/>
      <c r="J1175" s="853"/>
      <c r="K1175" s="853"/>
      <c r="M1175" s="853"/>
      <c r="N1175" s="853"/>
      <c r="O1175" s="853"/>
    </row>
    <row r="1176" spans="2:15" x14ac:dyDescent="0.25">
      <c r="B1176" s="859" t="s">
        <v>2733</v>
      </c>
      <c r="C1176" s="864" t="s">
        <v>2734</v>
      </c>
      <c r="D1176" s="861" t="s">
        <v>861</v>
      </c>
      <c r="E1176" s="865">
        <v>1161</v>
      </c>
      <c r="F1176" s="866"/>
      <c r="G1176" s="853"/>
      <c r="H1176" s="853"/>
      <c r="I1176" s="853"/>
      <c r="J1176" s="853"/>
      <c r="K1176" s="853"/>
      <c r="M1176" s="853"/>
      <c r="N1176" s="853"/>
      <c r="O1176" s="853"/>
    </row>
    <row r="1177" spans="2:15" x14ac:dyDescent="0.25">
      <c r="B1177" s="859" t="s">
        <v>2735</v>
      </c>
      <c r="C1177" s="864" t="s">
        <v>2736</v>
      </c>
      <c r="D1177" s="861" t="s">
        <v>861</v>
      </c>
      <c r="E1177" s="865">
        <v>1109</v>
      </c>
      <c r="F1177" s="866"/>
      <c r="G1177" s="853"/>
      <c r="H1177" s="853"/>
      <c r="I1177" s="853"/>
      <c r="J1177" s="853"/>
      <c r="K1177" s="853"/>
      <c r="M1177" s="853"/>
      <c r="N1177" s="853"/>
      <c r="O1177" s="853"/>
    </row>
    <row r="1178" spans="2:15" x14ac:dyDescent="0.25">
      <c r="B1178" s="859" t="s">
        <v>2737</v>
      </c>
      <c r="C1178" s="860" t="s">
        <v>2738</v>
      </c>
      <c r="D1178" s="861"/>
      <c r="E1178" s="862"/>
      <c r="F1178" s="863"/>
      <c r="G1178" s="853"/>
      <c r="H1178" s="853"/>
      <c r="I1178" s="853"/>
      <c r="J1178" s="853"/>
      <c r="K1178" s="853"/>
      <c r="M1178" s="853"/>
      <c r="N1178" s="853"/>
      <c r="O1178" s="853"/>
    </row>
    <row r="1179" spans="2:15" x14ac:dyDescent="0.25">
      <c r="B1179" s="859" t="s">
        <v>2739</v>
      </c>
      <c r="C1179" s="864" t="s">
        <v>2740</v>
      </c>
      <c r="D1179" s="861" t="s">
        <v>861</v>
      </c>
      <c r="E1179" s="865">
        <v>1588</v>
      </c>
      <c r="F1179" s="866"/>
      <c r="G1179" s="853"/>
      <c r="H1179" s="853"/>
      <c r="I1179" s="853"/>
      <c r="J1179" s="853"/>
      <c r="K1179" s="853"/>
      <c r="M1179" s="853"/>
      <c r="N1179" s="853"/>
      <c r="O1179" s="853"/>
    </row>
    <row r="1180" spans="2:15" x14ac:dyDescent="0.25">
      <c r="B1180" s="859" t="s">
        <v>2741</v>
      </c>
      <c r="C1180" s="864" t="s">
        <v>2742</v>
      </c>
      <c r="D1180" s="861" t="s">
        <v>861</v>
      </c>
      <c r="E1180" s="865">
        <v>1625</v>
      </c>
      <c r="F1180" s="866"/>
      <c r="G1180" s="853"/>
      <c r="H1180" s="853"/>
      <c r="I1180" s="853"/>
      <c r="J1180" s="853"/>
      <c r="K1180" s="853"/>
      <c r="M1180" s="853"/>
      <c r="N1180" s="853"/>
      <c r="O1180" s="853"/>
    </row>
    <row r="1181" spans="2:15" x14ac:dyDescent="0.25">
      <c r="B1181" s="859" t="s">
        <v>2743</v>
      </c>
      <c r="C1181" s="864" t="s">
        <v>2744</v>
      </c>
      <c r="D1181" s="861" t="s">
        <v>861</v>
      </c>
      <c r="E1181" s="865">
        <v>1670</v>
      </c>
      <c r="F1181" s="866"/>
      <c r="G1181" s="853"/>
      <c r="H1181" s="853"/>
      <c r="I1181" s="853"/>
      <c r="J1181" s="853"/>
      <c r="K1181" s="853"/>
      <c r="M1181" s="853"/>
      <c r="N1181" s="853"/>
      <c r="O1181" s="853"/>
    </row>
    <row r="1182" spans="2:15" x14ac:dyDescent="0.25">
      <c r="B1182" s="859" t="s">
        <v>2745</v>
      </c>
      <c r="C1182" s="880" t="s">
        <v>2746</v>
      </c>
      <c r="D1182" s="861"/>
      <c r="E1182" s="862"/>
      <c r="F1182" s="863"/>
      <c r="G1182" s="853"/>
      <c r="H1182" s="853"/>
      <c r="I1182" s="853"/>
      <c r="J1182" s="853"/>
      <c r="K1182" s="853"/>
      <c r="M1182" s="853"/>
      <c r="N1182" s="853"/>
      <c r="O1182" s="853"/>
    </row>
    <row r="1183" spans="2:15" x14ac:dyDescent="0.25">
      <c r="B1183" s="859" t="s">
        <v>2747</v>
      </c>
      <c r="C1183" s="860" t="s">
        <v>2748</v>
      </c>
      <c r="D1183" s="861"/>
      <c r="E1183" s="862"/>
      <c r="F1183" s="863"/>
      <c r="G1183" s="853"/>
      <c r="H1183" s="853"/>
      <c r="I1183" s="853"/>
      <c r="J1183" s="853"/>
      <c r="K1183" s="853"/>
      <c r="M1183" s="853"/>
      <c r="N1183" s="853"/>
      <c r="O1183" s="853"/>
    </row>
    <row r="1184" spans="2:15" ht="31.5" x14ac:dyDescent="0.25">
      <c r="B1184" s="859" t="s">
        <v>2749</v>
      </c>
      <c r="C1184" s="864" t="s">
        <v>2711</v>
      </c>
      <c r="D1184" s="861" t="s">
        <v>861</v>
      </c>
      <c r="E1184" s="862">
        <v>518</v>
      </c>
      <c r="F1184" s="863"/>
      <c r="G1184" s="853"/>
      <c r="H1184" s="853"/>
      <c r="I1184" s="853"/>
      <c r="J1184" s="853"/>
      <c r="K1184" s="853"/>
      <c r="M1184" s="853"/>
      <c r="N1184" s="853"/>
      <c r="O1184" s="853"/>
    </row>
    <row r="1185" spans="2:15" x14ac:dyDescent="0.25">
      <c r="B1185" s="859" t="s">
        <v>2750</v>
      </c>
      <c r="C1185" s="864" t="s">
        <v>2713</v>
      </c>
      <c r="D1185" s="861" t="s">
        <v>861</v>
      </c>
      <c r="E1185" s="862">
        <v>741</v>
      </c>
      <c r="F1185" s="863"/>
      <c r="G1185" s="853"/>
      <c r="H1185" s="853"/>
      <c r="I1185" s="853"/>
      <c r="J1185" s="853"/>
      <c r="K1185" s="853"/>
      <c r="M1185" s="853"/>
      <c r="N1185" s="853"/>
      <c r="O1185" s="853"/>
    </row>
    <row r="1186" spans="2:15" x14ac:dyDescent="0.25">
      <c r="B1186" s="859" t="s">
        <v>2751</v>
      </c>
      <c r="C1186" s="860" t="s">
        <v>2752</v>
      </c>
      <c r="D1186" s="861"/>
      <c r="E1186" s="862"/>
      <c r="F1186" s="863"/>
      <c r="G1186" s="853"/>
      <c r="H1186" s="853"/>
      <c r="I1186" s="853"/>
      <c r="J1186" s="853"/>
      <c r="K1186" s="853"/>
      <c r="M1186" s="853"/>
      <c r="N1186" s="853"/>
      <c r="O1186" s="853"/>
    </row>
    <row r="1187" spans="2:15" x14ac:dyDescent="0.25">
      <c r="B1187" s="859" t="s">
        <v>2753</v>
      </c>
      <c r="C1187" s="864" t="s">
        <v>2754</v>
      </c>
      <c r="D1187" s="861" t="s">
        <v>861</v>
      </c>
      <c r="E1187" s="865">
        <v>1999</v>
      </c>
      <c r="F1187" s="866"/>
      <c r="G1187" s="853"/>
      <c r="H1187" s="853"/>
      <c r="I1187" s="853"/>
      <c r="J1187" s="853"/>
      <c r="K1187" s="853"/>
      <c r="M1187" s="853"/>
      <c r="N1187" s="853"/>
      <c r="O1187" s="853"/>
    </row>
    <row r="1188" spans="2:15" ht="31.5" x14ac:dyDescent="0.25">
      <c r="B1188" s="859" t="s">
        <v>2755</v>
      </c>
      <c r="C1188" s="864" t="s">
        <v>2756</v>
      </c>
      <c r="D1188" s="861" t="s">
        <v>861</v>
      </c>
      <c r="E1188" s="865">
        <v>1702</v>
      </c>
      <c r="F1188" s="866"/>
      <c r="G1188" s="853"/>
      <c r="H1188" s="853"/>
      <c r="I1188" s="853"/>
      <c r="J1188" s="853"/>
      <c r="K1188" s="853"/>
      <c r="M1188" s="853"/>
      <c r="N1188" s="853"/>
      <c r="O1188" s="853"/>
    </row>
    <row r="1189" spans="2:15" x14ac:dyDescent="0.25">
      <c r="B1189" s="859" t="s">
        <v>2757</v>
      </c>
      <c r="C1189" s="860" t="s">
        <v>2758</v>
      </c>
      <c r="D1189" s="861"/>
      <c r="E1189" s="862"/>
      <c r="F1189" s="863"/>
      <c r="G1189" s="853"/>
      <c r="H1189" s="853"/>
      <c r="I1189" s="853"/>
      <c r="J1189" s="853"/>
      <c r="K1189" s="853"/>
      <c r="M1189" s="853"/>
      <c r="N1189" s="853"/>
      <c r="O1189" s="853"/>
    </row>
    <row r="1190" spans="2:15" ht="31.5" x14ac:dyDescent="0.25">
      <c r="B1190" s="859" t="s">
        <v>2759</v>
      </c>
      <c r="C1190" s="864" t="s">
        <v>2760</v>
      </c>
      <c r="D1190" s="861" t="s">
        <v>861</v>
      </c>
      <c r="E1190" s="865">
        <v>3391</v>
      </c>
      <c r="F1190" s="866"/>
      <c r="G1190" s="853"/>
      <c r="H1190" s="853"/>
      <c r="I1190" s="853"/>
      <c r="J1190" s="853"/>
      <c r="K1190" s="853"/>
      <c r="M1190" s="853"/>
      <c r="N1190" s="853"/>
      <c r="O1190" s="853"/>
    </row>
    <row r="1191" spans="2:15" x14ac:dyDescent="0.25">
      <c r="B1191" s="859" t="s">
        <v>2761</v>
      </c>
      <c r="C1191" s="864" t="s">
        <v>2762</v>
      </c>
      <c r="D1191" s="861" t="s">
        <v>861</v>
      </c>
      <c r="E1191" s="865">
        <v>6975</v>
      </c>
      <c r="F1191" s="866"/>
      <c r="G1191" s="853"/>
      <c r="H1191" s="853"/>
      <c r="I1191" s="853"/>
      <c r="J1191" s="853"/>
      <c r="K1191" s="853"/>
      <c r="M1191" s="853"/>
      <c r="N1191" s="853"/>
      <c r="O1191" s="853"/>
    </row>
    <row r="1192" spans="2:15" x14ac:dyDescent="0.25">
      <c r="B1192" s="859" t="s">
        <v>2763</v>
      </c>
      <c r="C1192" s="860" t="s">
        <v>2764</v>
      </c>
      <c r="D1192" s="861"/>
      <c r="E1192" s="862"/>
      <c r="F1192" s="863"/>
      <c r="G1192" s="853"/>
      <c r="H1192" s="853"/>
      <c r="I1192" s="853"/>
      <c r="J1192" s="853"/>
      <c r="K1192" s="853"/>
      <c r="M1192" s="853"/>
      <c r="N1192" s="853"/>
      <c r="O1192" s="853"/>
    </row>
    <row r="1193" spans="2:15" ht="31.5" x14ac:dyDescent="0.25">
      <c r="B1193" s="859" t="s">
        <v>2765</v>
      </c>
      <c r="C1193" s="864" t="s">
        <v>2766</v>
      </c>
      <c r="D1193" s="861" t="s">
        <v>861</v>
      </c>
      <c r="E1193" s="865">
        <v>7068</v>
      </c>
      <c r="F1193" s="866"/>
      <c r="G1193" s="853"/>
      <c r="H1193" s="853"/>
      <c r="I1193" s="853"/>
      <c r="J1193" s="853"/>
      <c r="K1193" s="853"/>
      <c r="M1193" s="853"/>
      <c r="N1193" s="853"/>
      <c r="O1193" s="853"/>
    </row>
    <row r="1194" spans="2:15" ht="31.5" x14ac:dyDescent="0.25">
      <c r="B1194" s="859" t="s">
        <v>2767</v>
      </c>
      <c r="C1194" s="864" t="s">
        <v>2768</v>
      </c>
      <c r="D1194" s="861" t="s">
        <v>861</v>
      </c>
      <c r="E1194" s="865">
        <v>2085</v>
      </c>
      <c r="F1194" s="866"/>
      <c r="G1194" s="853"/>
      <c r="H1194" s="853"/>
      <c r="I1194" s="853"/>
      <c r="J1194" s="853"/>
      <c r="K1194" s="853"/>
      <c r="M1194" s="853"/>
      <c r="N1194" s="853"/>
      <c r="O1194" s="853"/>
    </row>
    <row r="1195" spans="2:15" ht="31.5" x14ac:dyDescent="0.25">
      <c r="B1195" s="859" t="s">
        <v>2769</v>
      </c>
      <c r="C1195" s="864" t="s">
        <v>2770</v>
      </c>
      <c r="D1195" s="861" t="s">
        <v>861</v>
      </c>
      <c r="E1195" s="865">
        <v>2178</v>
      </c>
      <c r="F1195" s="866"/>
      <c r="G1195" s="853"/>
      <c r="H1195" s="853"/>
      <c r="I1195" s="853"/>
      <c r="J1195" s="853"/>
      <c r="K1195" s="853"/>
      <c r="M1195" s="853"/>
      <c r="N1195" s="853"/>
      <c r="O1195" s="853"/>
    </row>
    <row r="1196" spans="2:15" ht="31.5" x14ac:dyDescent="0.25">
      <c r="B1196" s="859" t="s">
        <v>2771</v>
      </c>
      <c r="C1196" s="864" t="s">
        <v>2772</v>
      </c>
      <c r="D1196" s="861" t="s">
        <v>861</v>
      </c>
      <c r="E1196" s="865">
        <v>2614</v>
      </c>
      <c r="F1196" s="866"/>
      <c r="G1196" s="853"/>
      <c r="H1196" s="853"/>
      <c r="I1196" s="853"/>
      <c r="J1196" s="853"/>
      <c r="K1196" s="853"/>
      <c r="M1196" s="853"/>
      <c r="N1196" s="853"/>
      <c r="O1196" s="853"/>
    </row>
    <row r="1197" spans="2:15" x14ac:dyDescent="0.25">
      <c r="B1197" s="859" t="s">
        <v>2773</v>
      </c>
      <c r="C1197" s="864" t="s">
        <v>2774</v>
      </c>
      <c r="D1197" s="861" t="s">
        <v>861</v>
      </c>
      <c r="E1197" s="865">
        <v>2103</v>
      </c>
      <c r="F1197" s="866"/>
      <c r="G1197" s="853"/>
      <c r="H1197" s="853"/>
      <c r="I1197" s="853"/>
      <c r="J1197" s="853"/>
      <c r="K1197" s="853"/>
      <c r="M1197" s="853"/>
      <c r="N1197" s="853"/>
      <c r="O1197" s="853"/>
    </row>
    <row r="1198" spans="2:15" x14ac:dyDescent="0.25">
      <c r="B1198" s="859" t="s">
        <v>2775</v>
      </c>
      <c r="C1198" s="864" t="s">
        <v>2776</v>
      </c>
      <c r="D1198" s="861" t="s">
        <v>861</v>
      </c>
      <c r="E1198" s="865">
        <v>2350</v>
      </c>
      <c r="F1198" s="866"/>
      <c r="G1198" s="853"/>
      <c r="H1198" s="853"/>
      <c r="I1198" s="853"/>
      <c r="J1198" s="853"/>
      <c r="K1198" s="853"/>
      <c r="M1198" s="853"/>
      <c r="N1198" s="853"/>
      <c r="O1198" s="853"/>
    </row>
    <row r="1199" spans="2:15" ht="31.5" x14ac:dyDescent="0.25">
      <c r="B1199" s="859" t="s">
        <v>2777</v>
      </c>
      <c r="C1199" s="864" t="s">
        <v>2778</v>
      </c>
      <c r="D1199" s="861" t="s">
        <v>861</v>
      </c>
      <c r="E1199" s="865">
        <v>2573</v>
      </c>
      <c r="F1199" s="866"/>
      <c r="G1199" s="853"/>
      <c r="H1199" s="853"/>
      <c r="I1199" s="853"/>
      <c r="J1199" s="853"/>
      <c r="K1199" s="853"/>
      <c r="M1199" s="853"/>
      <c r="N1199" s="853"/>
      <c r="O1199" s="853"/>
    </row>
    <row r="1200" spans="2:15" ht="31.5" x14ac:dyDescent="0.25">
      <c r="B1200" s="859" t="s">
        <v>2779</v>
      </c>
      <c r="C1200" s="880" t="s">
        <v>2780</v>
      </c>
      <c r="D1200" s="861"/>
      <c r="E1200" s="862"/>
      <c r="F1200" s="863"/>
      <c r="G1200" s="853"/>
      <c r="H1200" s="853"/>
      <c r="I1200" s="853"/>
      <c r="J1200" s="853"/>
      <c r="K1200" s="853"/>
      <c r="M1200" s="853"/>
      <c r="N1200" s="853"/>
      <c r="O1200" s="853"/>
    </row>
    <row r="1201" spans="2:15" x14ac:dyDescent="0.25">
      <c r="B1201" s="859" t="s">
        <v>2781</v>
      </c>
      <c r="C1201" s="860" t="s">
        <v>2782</v>
      </c>
      <c r="D1201" s="861"/>
      <c r="E1201" s="862"/>
      <c r="F1201" s="863"/>
      <c r="G1201" s="853"/>
      <c r="H1201" s="853"/>
      <c r="I1201" s="853"/>
      <c r="J1201" s="853"/>
      <c r="K1201" s="853"/>
      <c r="M1201" s="853"/>
      <c r="N1201" s="853"/>
      <c r="O1201" s="853"/>
    </row>
    <row r="1202" spans="2:15" ht="31.5" x14ac:dyDescent="0.25">
      <c r="B1202" s="859" t="s">
        <v>2783</v>
      </c>
      <c r="C1202" s="864" t="s">
        <v>2784</v>
      </c>
      <c r="D1202" s="861" t="s">
        <v>861</v>
      </c>
      <c r="E1202" s="865">
        <v>4732</v>
      </c>
      <c r="F1202" s="866"/>
      <c r="G1202" s="853"/>
      <c r="H1202" s="853"/>
      <c r="I1202" s="853"/>
      <c r="J1202" s="853"/>
      <c r="K1202" s="853"/>
      <c r="M1202" s="853"/>
      <c r="N1202" s="853"/>
      <c r="O1202" s="853"/>
    </row>
    <row r="1203" spans="2:15" ht="31.5" x14ac:dyDescent="0.25">
      <c r="B1203" s="859" t="s">
        <v>2785</v>
      </c>
      <c r="C1203" s="864" t="s">
        <v>2786</v>
      </c>
      <c r="D1203" s="861" t="s">
        <v>861</v>
      </c>
      <c r="E1203" s="865">
        <v>4110</v>
      </c>
      <c r="F1203" s="866"/>
      <c r="G1203" s="853"/>
      <c r="H1203" s="853"/>
      <c r="I1203" s="853"/>
      <c r="J1203" s="853"/>
      <c r="K1203" s="853"/>
      <c r="M1203" s="853"/>
      <c r="N1203" s="853"/>
      <c r="O1203" s="853"/>
    </row>
    <row r="1204" spans="2:15" ht="31.5" x14ac:dyDescent="0.25">
      <c r="B1204" s="859" t="s">
        <v>2787</v>
      </c>
      <c r="C1204" s="864" t="s">
        <v>2788</v>
      </c>
      <c r="D1204" s="861" t="s">
        <v>861</v>
      </c>
      <c r="E1204" s="865">
        <v>3565</v>
      </c>
      <c r="F1204" s="866"/>
      <c r="G1204" s="853"/>
      <c r="H1204" s="853"/>
      <c r="I1204" s="853"/>
      <c r="J1204" s="853"/>
      <c r="K1204" s="853"/>
      <c r="M1204" s="853"/>
      <c r="N1204" s="853"/>
      <c r="O1204" s="853"/>
    </row>
    <row r="1205" spans="2:15" x14ac:dyDescent="0.25">
      <c r="B1205" s="859" t="s">
        <v>2789</v>
      </c>
      <c r="C1205" s="860" t="s">
        <v>2790</v>
      </c>
      <c r="D1205" s="861"/>
      <c r="E1205" s="862"/>
      <c r="F1205" s="863"/>
      <c r="G1205" s="853"/>
      <c r="H1205" s="853"/>
      <c r="I1205" s="853"/>
      <c r="J1205" s="853"/>
      <c r="K1205" s="853"/>
      <c r="M1205" s="853"/>
      <c r="N1205" s="853"/>
      <c r="O1205" s="853"/>
    </row>
    <row r="1206" spans="2:15" x14ac:dyDescent="0.25">
      <c r="B1206" s="859" t="s">
        <v>2791</v>
      </c>
      <c r="C1206" s="864" t="s">
        <v>2792</v>
      </c>
      <c r="D1206" s="861" t="s">
        <v>861</v>
      </c>
      <c r="E1206" s="865">
        <v>1459</v>
      </c>
      <c r="F1206" s="866"/>
      <c r="G1206" s="853"/>
      <c r="H1206" s="853"/>
      <c r="I1206" s="853"/>
      <c r="J1206" s="853"/>
      <c r="K1206" s="853"/>
      <c r="M1206" s="853"/>
      <c r="N1206" s="853"/>
      <c r="O1206" s="853"/>
    </row>
    <row r="1207" spans="2:15" x14ac:dyDescent="0.25">
      <c r="B1207" s="859" t="s">
        <v>2793</v>
      </c>
      <c r="C1207" s="864" t="s">
        <v>2794</v>
      </c>
      <c r="D1207" s="861" t="s">
        <v>861</v>
      </c>
      <c r="E1207" s="865">
        <v>2183</v>
      </c>
      <c r="F1207" s="866"/>
      <c r="G1207" s="853"/>
      <c r="H1207" s="853"/>
      <c r="I1207" s="853"/>
      <c r="J1207" s="853"/>
      <c r="K1207" s="853"/>
      <c r="M1207" s="853"/>
      <c r="N1207" s="853"/>
      <c r="O1207" s="853"/>
    </row>
    <row r="1208" spans="2:15" x14ac:dyDescent="0.25">
      <c r="B1208" s="859" t="s">
        <v>2795</v>
      </c>
      <c r="C1208" s="860" t="s">
        <v>2796</v>
      </c>
      <c r="D1208" s="861"/>
      <c r="E1208" s="862"/>
      <c r="F1208" s="863"/>
      <c r="G1208" s="853"/>
      <c r="H1208" s="853"/>
      <c r="I1208" s="853"/>
      <c r="J1208" s="853"/>
      <c r="K1208" s="853"/>
      <c r="M1208" s="853"/>
      <c r="N1208" s="853"/>
      <c r="O1208" s="853"/>
    </row>
    <row r="1209" spans="2:15" x14ac:dyDescent="0.25">
      <c r="B1209" s="859" t="s">
        <v>2797</v>
      </c>
      <c r="C1209" s="864" t="s">
        <v>2798</v>
      </c>
      <c r="D1209" s="861" t="s">
        <v>861</v>
      </c>
      <c r="E1209" s="865">
        <v>1833</v>
      </c>
      <c r="F1209" s="866"/>
      <c r="G1209" s="853"/>
      <c r="H1209" s="853"/>
      <c r="I1209" s="853"/>
      <c r="J1209" s="853"/>
      <c r="K1209" s="853"/>
      <c r="M1209" s="853"/>
      <c r="N1209" s="853"/>
      <c r="O1209" s="853"/>
    </row>
    <row r="1210" spans="2:15" x14ac:dyDescent="0.25">
      <c r="B1210" s="859" t="s">
        <v>2799</v>
      </c>
      <c r="C1210" s="864" t="s">
        <v>2800</v>
      </c>
      <c r="D1210" s="861" t="s">
        <v>861</v>
      </c>
      <c r="E1210" s="865">
        <v>1466</v>
      </c>
      <c r="F1210" s="866"/>
      <c r="G1210" s="853"/>
      <c r="H1210" s="853"/>
      <c r="I1210" s="853"/>
      <c r="J1210" s="853"/>
      <c r="K1210" s="853"/>
      <c r="M1210" s="853"/>
      <c r="N1210" s="853"/>
      <c r="O1210" s="853"/>
    </row>
    <row r="1211" spans="2:15" x14ac:dyDescent="0.25">
      <c r="B1211" s="859" t="s">
        <v>2801</v>
      </c>
      <c r="C1211" s="860" t="s">
        <v>2802</v>
      </c>
      <c r="D1211" s="861"/>
      <c r="E1211" s="862"/>
      <c r="F1211" s="863"/>
      <c r="G1211" s="853"/>
      <c r="H1211" s="853"/>
      <c r="I1211" s="853"/>
      <c r="J1211" s="853"/>
      <c r="K1211" s="853"/>
      <c r="M1211" s="853"/>
      <c r="N1211" s="853"/>
      <c r="O1211" s="853"/>
    </row>
    <row r="1212" spans="2:15" x14ac:dyDescent="0.25">
      <c r="B1212" s="859" t="s">
        <v>2803</v>
      </c>
      <c r="C1212" s="864" t="s">
        <v>2804</v>
      </c>
      <c r="D1212" s="861" t="s">
        <v>861</v>
      </c>
      <c r="E1212" s="865">
        <v>1289</v>
      </c>
      <c r="F1212" s="866"/>
      <c r="G1212" s="853"/>
      <c r="H1212" s="853"/>
      <c r="I1212" s="853"/>
      <c r="J1212" s="853"/>
      <c r="K1212" s="853"/>
      <c r="M1212" s="853"/>
      <c r="N1212" s="853"/>
      <c r="O1212" s="853"/>
    </row>
    <row r="1213" spans="2:15" x14ac:dyDescent="0.25">
      <c r="B1213" s="859" t="s">
        <v>2805</v>
      </c>
      <c r="C1213" s="864" t="s">
        <v>2806</v>
      </c>
      <c r="D1213" s="861" t="s">
        <v>861</v>
      </c>
      <c r="E1213" s="865">
        <v>1673</v>
      </c>
      <c r="F1213" s="866"/>
      <c r="G1213" s="853"/>
      <c r="H1213" s="853"/>
      <c r="I1213" s="853"/>
      <c r="J1213" s="853"/>
      <c r="K1213" s="853"/>
      <c r="M1213" s="853"/>
      <c r="N1213" s="853"/>
      <c r="O1213" s="853"/>
    </row>
    <row r="1214" spans="2:15" x14ac:dyDescent="0.25">
      <c r="B1214" s="859" t="s">
        <v>2807</v>
      </c>
      <c r="C1214" s="864" t="s">
        <v>2808</v>
      </c>
      <c r="D1214" s="861" t="s">
        <v>861</v>
      </c>
      <c r="E1214" s="865">
        <v>1724</v>
      </c>
      <c r="F1214" s="866"/>
      <c r="G1214" s="853"/>
      <c r="H1214" s="853"/>
      <c r="I1214" s="853"/>
      <c r="J1214" s="853"/>
      <c r="K1214" s="853"/>
      <c r="M1214" s="853"/>
      <c r="N1214" s="853"/>
      <c r="O1214" s="853"/>
    </row>
    <row r="1215" spans="2:15" x14ac:dyDescent="0.25">
      <c r="B1215" s="859" t="s">
        <v>2809</v>
      </c>
      <c r="C1215" s="864" t="s">
        <v>2810</v>
      </c>
      <c r="D1215" s="861" t="s">
        <v>861</v>
      </c>
      <c r="E1215" s="865">
        <v>1497</v>
      </c>
      <c r="F1215" s="866"/>
      <c r="G1215" s="853"/>
      <c r="H1215" s="853"/>
      <c r="I1215" s="853"/>
      <c r="J1215" s="853"/>
      <c r="K1215" s="853"/>
      <c r="M1215" s="853"/>
      <c r="N1215" s="853"/>
      <c r="O1215" s="853"/>
    </row>
    <row r="1216" spans="2:15" x14ac:dyDescent="0.25">
      <c r="B1216" s="859" t="s">
        <v>2811</v>
      </c>
      <c r="C1216" s="864" t="s">
        <v>2812</v>
      </c>
      <c r="D1216" s="861" t="s">
        <v>861</v>
      </c>
      <c r="E1216" s="865">
        <v>3056</v>
      </c>
      <c r="F1216" s="866"/>
      <c r="G1216" s="853"/>
      <c r="H1216" s="853"/>
      <c r="I1216" s="853"/>
      <c r="J1216" s="853"/>
      <c r="K1216" s="853"/>
      <c r="M1216" s="853"/>
      <c r="N1216" s="853"/>
      <c r="O1216" s="853"/>
    </row>
    <row r="1217" spans="2:15" x14ac:dyDescent="0.25">
      <c r="B1217" s="859" t="s">
        <v>2813</v>
      </c>
      <c r="C1217" s="864" t="s">
        <v>2814</v>
      </c>
      <c r="D1217" s="861" t="s">
        <v>861</v>
      </c>
      <c r="E1217" s="865">
        <v>3144</v>
      </c>
      <c r="F1217" s="866"/>
      <c r="G1217" s="853"/>
      <c r="H1217" s="853"/>
      <c r="I1217" s="853"/>
      <c r="J1217" s="853"/>
      <c r="K1217" s="853"/>
      <c r="M1217" s="853"/>
      <c r="N1217" s="853"/>
      <c r="O1217" s="853"/>
    </row>
    <row r="1218" spans="2:15" x14ac:dyDescent="0.25">
      <c r="B1218" s="859" t="s">
        <v>2815</v>
      </c>
      <c r="C1218" s="860" t="s">
        <v>2816</v>
      </c>
      <c r="D1218" s="861"/>
      <c r="E1218" s="862"/>
      <c r="F1218" s="863"/>
      <c r="G1218" s="853"/>
      <c r="H1218" s="853"/>
      <c r="I1218" s="853"/>
      <c r="J1218" s="853"/>
      <c r="K1218" s="853"/>
      <c r="M1218" s="853"/>
      <c r="N1218" s="853"/>
      <c r="O1218" s="853"/>
    </row>
    <row r="1219" spans="2:15" x14ac:dyDescent="0.25">
      <c r="B1219" s="859" t="s">
        <v>2817</v>
      </c>
      <c r="C1219" s="864" t="s">
        <v>2818</v>
      </c>
      <c r="D1219" s="861" t="s">
        <v>861</v>
      </c>
      <c r="E1219" s="865">
        <v>1740</v>
      </c>
      <c r="F1219" s="866"/>
      <c r="G1219" s="853"/>
      <c r="H1219" s="853"/>
      <c r="I1219" s="853"/>
      <c r="J1219" s="853"/>
      <c r="K1219" s="853"/>
      <c r="M1219" s="853"/>
      <c r="N1219" s="853"/>
      <c r="O1219" s="853"/>
    </row>
    <row r="1220" spans="2:15" ht="31.5" x14ac:dyDescent="0.25">
      <c r="B1220" s="859" t="s">
        <v>2819</v>
      </c>
      <c r="C1220" s="864" t="s">
        <v>2820</v>
      </c>
      <c r="D1220" s="861" t="s">
        <v>861</v>
      </c>
      <c r="E1220" s="865">
        <v>3140</v>
      </c>
      <c r="F1220" s="866"/>
      <c r="G1220" s="853"/>
      <c r="H1220" s="853"/>
      <c r="I1220" s="853"/>
      <c r="J1220" s="853"/>
      <c r="K1220" s="853"/>
      <c r="M1220" s="853"/>
      <c r="N1220" s="853"/>
      <c r="O1220" s="853"/>
    </row>
    <row r="1221" spans="2:15" x14ac:dyDescent="0.25">
      <c r="B1221" s="859" t="s">
        <v>2821</v>
      </c>
      <c r="C1221" s="880" t="s">
        <v>2822</v>
      </c>
      <c r="D1221" s="861"/>
      <c r="E1221" s="862"/>
      <c r="F1221" s="863"/>
      <c r="G1221" s="853"/>
      <c r="H1221" s="853"/>
      <c r="I1221" s="853"/>
      <c r="J1221" s="853"/>
      <c r="K1221" s="853"/>
      <c r="M1221" s="853"/>
      <c r="N1221" s="853"/>
      <c r="O1221" s="853"/>
    </row>
    <row r="1222" spans="2:15" ht="31.5" x14ac:dyDescent="0.25">
      <c r="B1222" s="859" t="s">
        <v>2823</v>
      </c>
      <c r="C1222" s="864" t="s">
        <v>2824</v>
      </c>
      <c r="D1222" s="861" t="s">
        <v>861</v>
      </c>
      <c r="E1222" s="865">
        <v>3155</v>
      </c>
      <c r="F1222" s="866"/>
      <c r="G1222" s="853"/>
      <c r="H1222" s="853"/>
      <c r="I1222" s="853"/>
      <c r="J1222" s="853"/>
      <c r="K1222" s="853"/>
      <c r="M1222" s="853"/>
      <c r="N1222" s="853"/>
      <c r="O1222" s="853"/>
    </row>
    <row r="1223" spans="2:15" x14ac:dyDescent="0.25">
      <c r="B1223" s="859" t="s">
        <v>2825</v>
      </c>
      <c r="C1223" s="864" t="s">
        <v>2826</v>
      </c>
      <c r="D1223" s="861" t="s">
        <v>861</v>
      </c>
      <c r="E1223" s="865">
        <v>2488</v>
      </c>
      <c r="F1223" s="866"/>
      <c r="G1223" s="853"/>
      <c r="H1223" s="853"/>
      <c r="I1223" s="853"/>
      <c r="J1223" s="853"/>
      <c r="K1223" s="853"/>
      <c r="M1223" s="853"/>
      <c r="N1223" s="853"/>
      <c r="O1223" s="853"/>
    </row>
    <row r="1224" spans="2:15" x14ac:dyDescent="0.25">
      <c r="B1224" s="859" t="s">
        <v>2827</v>
      </c>
      <c r="C1224" s="864" t="s">
        <v>2828</v>
      </c>
      <c r="D1224" s="861" t="s">
        <v>861</v>
      </c>
      <c r="E1224" s="865">
        <v>2066</v>
      </c>
      <c r="F1224" s="866"/>
      <c r="G1224" s="853"/>
      <c r="H1224" s="853"/>
      <c r="I1224" s="853"/>
      <c r="J1224" s="853"/>
      <c r="K1224" s="853"/>
      <c r="M1224" s="853"/>
      <c r="N1224" s="853"/>
      <c r="O1224" s="853"/>
    </row>
    <row r="1225" spans="2:15" x14ac:dyDescent="0.25">
      <c r="B1225" s="859" t="s">
        <v>2829</v>
      </c>
      <c r="C1225" s="864" t="s">
        <v>2830</v>
      </c>
      <c r="D1225" s="861" t="s">
        <v>861</v>
      </c>
      <c r="E1225" s="865">
        <v>6265</v>
      </c>
      <c r="F1225" s="866"/>
      <c r="G1225" s="853"/>
      <c r="H1225" s="853"/>
      <c r="I1225" s="853"/>
      <c r="J1225" s="853"/>
      <c r="K1225" s="853"/>
      <c r="M1225" s="853"/>
      <c r="N1225" s="853"/>
      <c r="O1225" s="853"/>
    </row>
    <row r="1226" spans="2:15" x14ac:dyDescent="0.25">
      <c r="B1226" s="859" t="s">
        <v>2831</v>
      </c>
      <c r="C1226" s="864" t="s">
        <v>2832</v>
      </c>
      <c r="D1226" s="861" t="s">
        <v>861</v>
      </c>
      <c r="E1226" s="865">
        <v>3768</v>
      </c>
      <c r="F1226" s="866"/>
      <c r="G1226" s="853"/>
      <c r="H1226" s="853"/>
      <c r="I1226" s="853"/>
      <c r="J1226" s="853"/>
      <c r="K1226" s="853"/>
      <c r="M1226" s="853"/>
      <c r="N1226" s="853"/>
      <c r="O1226" s="853"/>
    </row>
    <row r="1227" spans="2:15" x14ac:dyDescent="0.25">
      <c r="B1227" s="859" t="s">
        <v>2833</v>
      </c>
      <c r="C1227" s="864" t="s">
        <v>2834</v>
      </c>
      <c r="D1227" s="861" t="s">
        <v>861</v>
      </c>
      <c r="E1227" s="865">
        <v>1077</v>
      </c>
      <c r="F1227" s="866"/>
      <c r="G1227" s="853"/>
      <c r="H1227" s="853"/>
      <c r="I1227" s="853"/>
      <c r="J1227" s="853"/>
      <c r="K1227" s="853"/>
      <c r="M1227" s="853"/>
      <c r="N1227" s="853"/>
      <c r="O1227" s="853"/>
    </row>
    <row r="1228" spans="2:15" x14ac:dyDescent="0.25">
      <c r="B1228" s="859" t="s">
        <v>2835</v>
      </c>
      <c r="C1228" s="864" t="s">
        <v>2836</v>
      </c>
      <c r="D1228" s="861" t="s">
        <v>861</v>
      </c>
      <c r="E1228" s="865">
        <v>1077</v>
      </c>
      <c r="F1228" s="866"/>
      <c r="G1228" s="853"/>
      <c r="H1228" s="853"/>
      <c r="I1228" s="853"/>
      <c r="J1228" s="853"/>
      <c r="K1228" s="853"/>
      <c r="M1228" s="853"/>
      <c r="N1228" s="853"/>
      <c r="O1228" s="853"/>
    </row>
    <row r="1229" spans="2:15" ht="31.5" x14ac:dyDescent="0.25">
      <c r="B1229" s="859" t="s">
        <v>2837</v>
      </c>
      <c r="C1229" s="864" t="s">
        <v>2838</v>
      </c>
      <c r="D1229" s="861" t="s">
        <v>861</v>
      </c>
      <c r="E1229" s="865">
        <v>1676</v>
      </c>
      <c r="F1229" s="866"/>
      <c r="G1229" s="853"/>
      <c r="H1229" s="853"/>
      <c r="I1229" s="853"/>
      <c r="J1229" s="853"/>
      <c r="K1229" s="853"/>
      <c r="M1229" s="853"/>
      <c r="N1229" s="853"/>
      <c r="O1229" s="853"/>
    </row>
    <row r="1230" spans="2:15" ht="31.5" x14ac:dyDescent="0.25">
      <c r="B1230" s="859" t="s">
        <v>2839</v>
      </c>
      <c r="C1230" s="864" t="s">
        <v>2840</v>
      </c>
      <c r="D1230" s="861" t="s">
        <v>861</v>
      </c>
      <c r="E1230" s="865">
        <v>2127</v>
      </c>
      <c r="F1230" s="866"/>
      <c r="G1230" s="853"/>
      <c r="H1230" s="853"/>
      <c r="I1230" s="853"/>
      <c r="J1230" s="853"/>
      <c r="K1230" s="853"/>
      <c r="M1230" s="853"/>
      <c r="N1230" s="853"/>
      <c r="O1230" s="853"/>
    </row>
    <row r="1231" spans="2:15" x14ac:dyDescent="0.25">
      <c r="B1231" s="859" t="s">
        <v>2841</v>
      </c>
      <c r="C1231" s="864" t="s">
        <v>2842</v>
      </c>
      <c r="D1231" s="861" t="s">
        <v>861</v>
      </c>
      <c r="E1231" s="865">
        <v>8157</v>
      </c>
      <c r="F1231" s="866"/>
      <c r="G1231" s="853"/>
      <c r="H1231" s="853"/>
      <c r="I1231" s="853"/>
      <c r="J1231" s="853"/>
      <c r="K1231" s="853"/>
      <c r="M1231" s="853"/>
      <c r="N1231" s="853"/>
      <c r="O1231" s="853"/>
    </row>
    <row r="1232" spans="2:15" x14ac:dyDescent="0.25">
      <c r="B1232" s="859" t="s">
        <v>2843</v>
      </c>
      <c r="C1232" s="864" t="s">
        <v>2844</v>
      </c>
      <c r="D1232" s="861" t="s">
        <v>861</v>
      </c>
      <c r="E1232" s="865">
        <v>1827</v>
      </c>
      <c r="F1232" s="866"/>
      <c r="G1232" s="853"/>
      <c r="H1232" s="853"/>
      <c r="I1232" s="853"/>
      <c r="J1232" s="853"/>
      <c r="K1232" s="853"/>
      <c r="M1232" s="853"/>
      <c r="N1232" s="853"/>
      <c r="O1232" s="853"/>
    </row>
    <row r="1233" spans="2:15" ht="31.5" x14ac:dyDescent="0.25">
      <c r="B1233" s="859" t="s">
        <v>2845</v>
      </c>
      <c r="C1233" s="864" t="s">
        <v>2846</v>
      </c>
      <c r="D1233" s="861" t="s">
        <v>861</v>
      </c>
      <c r="E1233" s="865">
        <v>3320</v>
      </c>
      <c r="F1233" s="866"/>
      <c r="G1233" s="853"/>
      <c r="H1233" s="853"/>
      <c r="I1233" s="853"/>
      <c r="J1233" s="853"/>
      <c r="K1233" s="853"/>
      <c r="M1233" s="853"/>
      <c r="N1233" s="853"/>
      <c r="O1233" s="853"/>
    </row>
    <row r="1234" spans="2:15" x14ac:dyDescent="0.25">
      <c r="B1234" s="859" t="s">
        <v>2847</v>
      </c>
      <c r="C1234" s="864" t="s">
        <v>2848</v>
      </c>
      <c r="D1234" s="861" t="s">
        <v>861</v>
      </c>
      <c r="E1234" s="865">
        <v>5228</v>
      </c>
      <c r="F1234" s="866"/>
      <c r="G1234" s="853"/>
      <c r="H1234" s="853"/>
      <c r="I1234" s="853"/>
      <c r="J1234" s="853"/>
      <c r="K1234" s="853"/>
      <c r="M1234" s="853"/>
      <c r="N1234" s="853"/>
      <c r="O1234" s="853"/>
    </row>
    <row r="1235" spans="2:15" x14ac:dyDescent="0.25">
      <c r="B1235" s="859"/>
      <c r="C1235" s="864"/>
      <c r="D1235" s="861"/>
      <c r="E1235" s="862"/>
      <c r="F1235" s="863"/>
      <c r="G1235" s="853"/>
      <c r="H1235" s="853"/>
      <c r="I1235" s="853"/>
      <c r="J1235" s="853"/>
      <c r="K1235" s="853"/>
      <c r="M1235" s="853"/>
      <c r="N1235" s="853"/>
      <c r="O1235" s="853"/>
    </row>
    <row r="1236" spans="2:15" x14ac:dyDescent="0.25">
      <c r="B1236" s="859"/>
      <c r="C1236" s="871" t="s">
        <v>2849</v>
      </c>
      <c r="D1236" s="872"/>
      <c r="E1236" s="862"/>
      <c r="F1236" s="863"/>
      <c r="G1236" s="853"/>
      <c r="H1236" s="853"/>
      <c r="I1236" s="853"/>
      <c r="J1236" s="853"/>
      <c r="K1236" s="853"/>
      <c r="M1236" s="853"/>
      <c r="N1236" s="853"/>
      <c r="O1236" s="853"/>
    </row>
    <row r="1237" spans="2:15" x14ac:dyDescent="0.25">
      <c r="B1237" s="859" t="s">
        <v>2850</v>
      </c>
      <c r="C1237" s="880" t="s">
        <v>2851</v>
      </c>
      <c r="D1237" s="861"/>
      <c r="E1237" s="862"/>
      <c r="F1237" s="863"/>
      <c r="G1237" s="853"/>
      <c r="H1237" s="853"/>
      <c r="I1237" s="853"/>
      <c r="J1237" s="853"/>
      <c r="K1237" s="853"/>
      <c r="M1237" s="853"/>
      <c r="N1237" s="853"/>
      <c r="O1237" s="853"/>
    </row>
    <row r="1238" spans="2:15" x14ac:dyDescent="0.25">
      <c r="B1238" s="859" t="s">
        <v>2852</v>
      </c>
      <c r="C1238" s="860" t="s">
        <v>2853</v>
      </c>
      <c r="D1238" s="861"/>
      <c r="E1238" s="862"/>
      <c r="F1238" s="863"/>
      <c r="G1238" s="853"/>
      <c r="H1238" s="853"/>
      <c r="I1238" s="853"/>
      <c r="J1238" s="853"/>
      <c r="K1238" s="853"/>
      <c r="M1238" s="853"/>
      <c r="N1238" s="853"/>
      <c r="O1238" s="853"/>
    </row>
    <row r="1239" spans="2:15" ht="31.5" x14ac:dyDescent="0.25">
      <c r="B1239" s="859" t="s">
        <v>2854</v>
      </c>
      <c r="C1239" s="864" t="s">
        <v>2855</v>
      </c>
      <c r="D1239" s="861" t="s">
        <v>3003</v>
      </c>
      <c r="E1239" s="865">
        <v>259959</v>
      </c>
      <c r="F1239" s="866"/>
      <c r="G1239" s="853"/>
      <c r="H1239" s="853"/>
      <c r="I1239" s="853"/>
      <c r="J1239" s="853"/>
      <c r="K1239" s="853"/>
      <c r="M1239" s="853"/>
      <c r="N1239" s="853"/>
      <c r="O1239" s="853"/>
    </row>
    <row r="1240" spans="2:15" ht="18.75" x14ac:dyDescent="0.25">
      <c r="B1240" s="859" t="s">
        <v>2856</v>
      </c>
      <c r="C1240" s="864" t="s">
        <v>2857</v>
      </c>
      <c r="D1240" s="861" t="s">
        <v>3003</v>
      </c>
      <c r="E1240" s="865">
        <v>290325</v>
      </c>
      <c r="F1240" s="866"/>
      <c r="G1240" s="853"/>
      <c r="H1240" s="853"/>
      <c r="I1240" s="853"/>
      <c r="J1240" s="853"/>
      <c r="K1240" s="853"/>
      <c r="M1240" s="853"/>
      <c r="N1240" s="853"/>
      <c r="O1240" s="853"/>
    </row>
    <row r="1241" spans="2:15" ht="31.5" x14ac:dyDescent="0.25">
      <c r="B1241" s="859" t="s">
        <v>2858</v>
      </c>
      <c r="C1241" s="864" t="s">
        <v>2859</v>
      </c>
      <c r="D1241" s="861" t="s">
        <v>3003</v>
      </c>
      <c r="E1241" s="865">
        <v>4148</v>
      </c>
      <c r="F1241" s="866"/>
      <c r="G1241" s="853"/>
      <c r="H1241" s="853"/>
      <c r="I1241" s="853"/>
      <c r="J1241" s="853"/>
      <c r="K1241" s="853"/>
      <c r="M1241" s="853"/>
      <c r="N1241" s="853"/>
      <c r="O1241" s="853"/>
    </row>
    <row r="1242" spans="2:15" x14ac:dyDescent="0.25">
      <c r="B1242" s="859" t="s">
        <v>2860</v>
      </c>
      <c r="C1242" s="860" t="s">
        <v>2861</v>
      </c>
      <c r="D1242" s="861"/>
      <c r="E1242" s="862"/>
      <c r="F1242" s="863"/>
      <c r="G1242" s="853"/>
      <c r="H1242" s="853"/>
      <c r="I1242" s="853"/>
      <c r="J1242" s="853"/>
      <c r="K1242" s="853"/>
      <c r="M1242" s="853"/>
      <c r="N1242" s="853"/>
      <c r="O1242" s="853"/>
    </row>
    <row r="1243" spans="2:15" ht="18.75" x14ac:dyDescent="0.25">
      <c r="B1243" s="859" t="s">
        <v>2862</v>
      </c>
      <c r="C1243" s="864" t="s">
        <v>2863</v>
      </c>
      <c r="D1243" s="861" t="s">
        <v>3003</v>
      </c>
      <c r="E1243" s="865">
        <v>759881</v>
      </c>
      <c r="F1243" s="866"/>
      <c r="G1243" s="853"/>
      <c r="H1243" s="853"/>
      <c r="I1243" s="853"/>
      <c r="J1243" s="853"/>
      <c r="K1243" s="853"/>
      <c r="M1243" s="853"/>
      <c r="N1243" s="853"/>
      <c r="O1243" s="853"/>
    </row>
    <row r="1244" spans="2:15" ht="18.75" x14ac:dyDescent="0.25">
      <c r="B1244" s="859" t="s">
        <v>2864</v>
      </c>
      <c r="C1244" s="864" t="s">
        <v>2865</v>
      </c>
      <c r="D1244" s="861" t="s">
        <v>3003</v>
      </c>
      <c r="E1244" s="865">
        <v>359944</v>
      </c>
      <c r="F1244" s="866"/>
      <c r="G1244" s="853"/>
      <c r="H1244" s="853"/>
      <c r="I1244" s="853"/>
      <c r="J1244" s="853"/>
      <c r="K1244" s="853"/>
      <c r="M1244" s="853"/>
      <c r="N1244" s="853"/>
      <c r="O1244" s="853"/>
    </row>
    <row r="1245" spans="2:15" x14ac:dyDescent="0.25">
      <c r="B1245" s="859" t="s">
        <v>2866</v>
      </c>
      <c r="C1245" s="864" t="s">
        <v>2867</v>
      </c>
      <c r="D1245" s="861" t="s">
        <v>904</v>
      </c>
      <c r="E1245" s="865">
        <v>3499</v>
      </c>
      <c r="F1245" s="866"/>
      <c r="G1245" s="853"/>
      <c r="H1245" s="853"/>
      <c r="I1245" s="853"/>
      <c r="J1245" s="853"/>
      <c r="K1245" s="853"/>
      <c r="M1245" s="853"/>
      <c r="N1245" s="853"/>
      <c r="O1245" s="853"/>
    </row>
    <row r="1246" spans="2:15" x14ac:dyDescent="0.25">
      <c r="B1246" s="859" t="s">
        <v>2868</v>
      </c>
      <c r="C1246" s="880" t="s">
        <v>2869</v>
      </c>
      <c r="D1246" s="861"/>
      <c r="E1246" s="862"/>
      <c r="F1246" s="863"/>
      <c r="G1246" s="853"/>
      <c r="H1246" s="853"/>
      <c r="I1246" s="853"/>
      <c r="J1246" s="853"/>
      <c r="K1246" s="853"/>
      <c r="M1246" s="853"/>
      <c r="N1246" s="853"/>
      <c r="O1246" s="853"/>
    </row>
    <row r="1247" spans="2:15" x14ac:dyDescent="0.25">
      <c r="B1247" s="859" t="s">
        <v>2870</v>
      </c>
      <c r="C1247" s="860" t="s">
        <v>2871</v>
      </c>
      <c r="D1247" s="861"/>
      <c r="E1247" s="862"/>
      <c r="F1247" s="863"/>
      <c r="G1247" s="853"/>
      <c r="H1247" s="853"/>
      <c r="I1247" s="853"/>
      <c r="J1247" s="853"/>
      <c r="K1247" s="853"/>
      <c r="M1247" s="853"/>
      <c r="N1247" s="853"/>
      <c r="O1247" s="853"/>
    </row>
    <row r="1248" spans="2:15" x14ac:dyDescent="0.25">
      <c r="B1248" s="859" t="s">
        <v>2872</v>
      </c>
      <c r="C1248" s="864" t="s">
        <v>2873</v>
      </c>
      <c r="D1248" s="861" t="s">
        <v>904</v>
      </c>
      <c r="E1248" s="865">
        <v>2335</v>
      </c>
      <c r="F1248" s="866"/>
      <c r="G1248" s="853"/>
      <c r="H1248" s="853"/>
      <c r="I1248" s="853"/>
      <c r="J1248" s="853"/>
      <c r="K1248" s="853"/>
      <c r="M1248" s="853"/>
      <c r="N1248" s="853"/>
      <c r="O1248" s="853"/>
    </row>
    <row r="1249" spans="2:15" x14ac:dyDescent="0.25">
      <c r="B1249" s="859" t="s">
        <v>2874</v>
      </c>
      <c r="C1249" s="864" t="s">
        <v>2875</v>
      </c>
      <c r="D1249" s="861" t="s">
        <v>904</v>
      </c>
      <c r="E1249" s="865">
        <v>1808</v>
      </c>
      <c r="F1249" s="866"/>
      <c r="G1249" s="853"/>
      <c r="H1249" s="853"/>
      <c r="I1249" s="853"/>
      <c r="J1249" s="853"/>
      <c r="K1249" s="853"/>
      <c r="M1249" s="853"/>
      <c r="N1249" s="853"/>
      <c r="O1249" s="853"/>
    </row>
    <row r="1250" spans="2:15" x14ac:dyDescent="0.25">
      <c r="B1250" s="859" t="s">
        <v>2876</v>
      </c>
      <c r="C1250" s="864" t="s">
        <v>2877</v>
      </c>
      <c r="D1250" s="861" t="s">
        <v>904</v>
      </c>
      <c r="E1250" s="865">
        <v>1950</v>
      </c>
      <c r="F1250" s="866"/>
      <c r="G1250" s="853"/>
      <c r="H1250" s="853"/>
      <c r="I1250" s="853"/>
      <c r="J1250" s="853"/>
      <c r="K1250" s="853"/>
      <c r="M1250" s="853"/>
      <c r="N1250" s="853"/>
      <c r="O1250" s="853"/>
    </row>
    <row r="1251" spans="2:15" x14ac:dyDescent="0.25">
      <c r="B1251" s="859"/>
      <c r="C1251" s="864"/>
      <c r="D1251" s="861"/>
      <c r="E1251" s="862"/>
      <c r="F1251" s="863"/>
      <c r="G1251" s="853"/>
      <c r="H1251" s="853"/>
      <c r="I1251" s="853"/>
      <c r="J1251" s="853"/>
      <c r="K1251" s="853"/>
      <c r="M1251" s="853"/>
      <c r="N1251" s="853"/>
      <c r="O1251" s="853"/>
    </row>
    <row r="1252" spans="2:15" x14ac:dyDescent="0.25">
      <c r="B1252" s="859"/>
      <c r="C1252" s="871" t="s">
        <v>2878</v>
      </c>
      <c r="D1252" s="872"/>
      <c r="E1252" s="862"/>
      <c r="F1252" s="863"/>
      <c r="G1252" s="853"/>
      <c r="H1252" s="853"/>
      <c r="I1252" s="853"/>
      <c r="J1252" s="853"/>
      <c r="K1252" s="853"/>
      <c r="M1252" s="853"/>
      <c r="N1252" s="853"/>
      <c r="O1252" s="853"/>
    </row>
    <row r="1253" spans="2:15" x14ac:dyDescent="0.25">
      <c r="B1253" s="859" t="s">
        <v>2879</v>
      </c>
      <c r="C1253" s="880" t="s">
        <v>2880</v>
      </c>
      <c r="D1253" s="861"/>
      <c r="E1253" s="862"/>
      <c r="F1253" s="863"/>
      <c r="G1253" s="853"/>
      <c r="H1253" s="853"/>
      <c r="I1253" s="853"/>
      <c r="J1253" s="853"/>
      <c r="K1253" s="853"/>
      <c r="M1253" s="853"/>
      <c r="N1253" s="853"/>
      <c r="O1253" s="853"/>
    </row>
    <row r="1254" spans="2:15" x14ac:dyDescent="0.25">
      <c r="B1254" s="859" t="s">
        <v>2881</v>
      </c>
      <c r="C1254" s="860" t="s">
        <v>2882</v>
      </c>
      <c r="D1254" s="861"/>
      <c r="E1254" s="862"/>
      <c r="F1254" s="863"/>
      <c r="G1254" s="853"/>
      <c r="H1254" s="853"/>
      <c r="I1254" s="853"/>
      <c r="J1254" s="853"/>
      <c r="K1254" s="853"/>
      <c r="M1254" s="853"/>
      <c r="N1254" s="853"/>
      <c r="O1254" s="853"/>
    </row>
    <row r="1255" spans="2:15" ht="31.5" x14ac:dyDescent="0.25">
      <c r="B1255" s="859" t="s">
        <v>2883</v>
      </c>
      <c r="C1255" s="864" t="s">
        <v>2884</v>
      </c>
      <c r="D1255" s="861" t="s">
        <v>861</v>
      </c>
      <c r="E1255" s="865">
        <v>4399</v>
      </c>
      <c r="F1255" s="866"/>
      <c r="G1255" s="853"/>
      <c r="H1255" s="853"/>
      <c r="I1255" s="853"/>
      <c r="J1255" s="853"/>
      <c r="K1255" s="853"/>
      <c r="M1255" s="853"/>
      <c r="N1255" s="853"/>
      <c r="O1255" s="853"/>
    </row>
    <row r="1256" spans="2:15" ht="31.5" x14ac:dyDescent="0.25">
      <c r="B1256" s="859" t="s">
        <v>2885</v>
      </c>
      <c r="C1256" s="864" t="s">
        <v>2886</v>
      </c>
      <c r="D1256" s="861" t="s">
        <v>861</v>
      </c>
      <c r="E1256" s="865">
        <v>6599</v>
      </c>
      <c r="F1256" s="866"/>
      <c r="G1256" s="853"/>
      <c r="H1256" s="853"/>
      <c r="I1256" s="853"/>
      <c r="J1256" s="853"/>
      <c r="K1256" s="853"/>
      <c r="M1256" s="853"/>
      <c r="N1256" s="853"/>
      <c r="O1256" s="853"/>
    </row>
    <row r="1257" spans="2:15" x14ac:dyDescent="0.25">
      <c r="B1257" s="859" t="s">
        <v>2887</v>
      </c>
      <c r="C1257" s="864" t="s">
        <v>2888</v>
      </c>
      <c r="D1257" s="861" t="s">
        <v>861</v>
      </c>
      <c r="E1257" s="865">
        <v>6399</v>
      </c>
      <c r="F1257" s="866"/>
      <c r="G1257" s="853"/>
      <c r="H1257" s="853"/>
      <c r="I1257" s="853"/>
      <c r="J1257" s="853"/>
      <c r="K1257" s="853"/>
      <c r="M1257" s="853"/>
      <c r="N1257" s="853"/>
      <c r="O1257" s="853"/>
    </row>
    <row r="1258" spans="2:15" x14ac:dyDescent="0.25">
      <c r="B1258" s="859" t="s">
        <v>2889</v>
      </c>
      <c r="C1258" s="864" t="s">
        <v>2890</v>
      </c>
      <c r="D1258" s="861" t="s">
        <v>861</v>
      </c>
      <c r="E1258" s="865">
        <v>18997</v>
      </c>
      <c r="F1258" s="866"/>
      <c r="G1258" s="853"/>
      <c r="H1258" s="853"/>
      <c r="I1258" s="853"/>
      <c r="J1258" s="853"/>
      <c r="K1258" s="853"/>
      <c r="M1258" s="853"/>
      <c r="N1258" s="853"/>
      <c r="O1258" s="853"/>
    </row>
    <row r="1259" spans="2:15" x14ac:dyDescent="0.25">
      <c r="B1259" s="859" t="s">
        <v>2891</v>
      </c>
      <c r="C1259" s="864" t="s">
        <v>2892</v>
      </c>
      <c r="D1259" s="861" t="s">
        <v>861</v>
      </c>
      <c r="E1259" s="865">
        <v>6999</v>
      </c>
      <c r="F1259" s="866"/>
      <c r="G1259" s="853"/>
      <c r="H1259" s="853"/>
      <c r="I1259" s="853"/>
      <c r="J1259" s="853"/>
      <c r="K1259" s="853"/>
      <c r="M1259" s="853"/>
      <c r="N1259" s="853"/>
      <c r="O1259" s="853"/>
    </row>
    <row r="1260" spans="2:15" ht="31.5" x14ac:dyDescent="0.25">
      <c r="B1260" s="859" t="s">
        <v>2893</v>
      </c>
      <c r="C1260" s="864" t="s">
        <v>2894</v>
      </c>
      <c r="D1260" s="861" t="s">
        <v>861</v>
      </c>
      <c r="E1260" s="865">
        <v>14795</v>
      </c>
      <c r="F1260" s="866"/>
      <c r="G1260" s="853"/>
      <c r="H1260" s="853"/>
      <c r="I1260" s="853"/>
      <c r="J1260" s="853"/>
      <c r="K1260" s="853"/>
      <c r="M1260" s="853"/>
      <c r="N1260" s="853"/>
      <c r="O1260" s="853"/>
    </row>
    <row r="1261" spans="2:15" ht="31.5" x14ac:dyDescent="0.25">
      <c r="B1261" s="859" t="s">
        <v>2895</v>
      </c>
      <c r="C1261" s="864" t="s">
        <v>2896</v>
      </c>
      <c r="D1261" s="861" t="s">
        <v>861</v>
      </c>
      <c r="E1261" s="865">
        <v>17325</v>
      </c>
      <c r="F1261" s="866"/>
      <c r="G1261" s="853"/>
      <c r="H1261" s="853"/>
      <c r="I1261" s="853"/>
      <c r="J1261" s="853"/>
      <c r="K1261" s="853"/>
      <c r="M1261" s="853"/>
      <c r="N1261" s="853"/>
      <c r="O1261" s="853"/>
    </row>
    <row r="1262" spans="2:15" x14ac:dyDescent="0.25">
      <c r="B1262" s="859" t="s">
        <v>2897</v>
      </c>
      <c r="C1262" s="864" t="s">
        <v>2898</v>
      </c>
      <c r="D1262" s="861" t="s">
        <v>950</v>
      </c>
      <c r="E1262" s="865">
        <v>4770</v>
      </c>
      <c r="F1262" s="866"/>
      <c r="G1262" s="853"/>
      <c r="H1262" s="853"/>
      <c r="I1262" s="853"/>
      <c r="J1262" s="853"/>
      <c r="K1262" s="853"/>
      <c r="M1262" s="853"/>
      <c r="N1262" s="853"/>
      <c r="O1262" s="853"/>
    </row>
    <row r="1263" spans="2:15" x14ac:dyDescent="0.25">
      <c r="B1263" s="859" t="s">
        <v>2899</v>
      </c>
      <c r="C1263" s="864" t="s">
        <v>2900</v>
      </c>
      <c r="D1263" s="861" t="s">
        <v>950</v>
      </c>
      <c r="E1263" s="865">
        <v>5621</v>
      </c>
      <c r="F1263" s="866"/>
      <c r="G1263" s="853"/>
      <c r="H1263" s="853"/>
      <c r="I1263" s="853"/>
      <c r="J1263" s="853"/>
      <c r="K1263" s="853"/>
      <c r="M1263" s="853"/>
      <c r="N1263" s="853"/>
      <c r="O1263" s="853"/>
    </row>
    <row r="1264" spans="2:15" x14ac:dyDescent="0.25">
      <c r="B1264" s="859" t="s">
        <v>2901</v>
      </c>
      <c r="C1264" s="860" t="s">
        <v>2902</v>
      </c>
      <c r="D1264" s="861"/>
      <c r="E1264" s="862"/>
      <c r="F1264" s="863"/>
      <c r="G1264" s="853"/>
      <c r="H1264" s="853"/>
      <c r="I1264" s="853"/>
      <c r="J1264" s="853"/>
      <c r="K1264" s="853"/>
      <c r="M1264" s="853"/>
      <c r="N1264" s="853"/>
      <c r="O1264" s="853"/>
    </row>
    <row r="1265" spans="2:15" x14ac:dyDescent="0.25">
      <c r="B1265" s="859" t="s">
        <v>2903</v>
      </c>
      <c r="C1265" s="864" t="s">
        <v>2904</v>
      </c>
      <c r="D1265" s="861"/>
      <c r="E1265" s="862"/>
      <c r="F1265" s="863"/>
      <c r="G1265" s="853"/>
      <c r="H1265" s="853"/>
      <c r="I1265" s="853"/>
      <c r="J1265" s="853"/>
      <c r="K1265" s="853"/>
      <c r="M1265" s="853"/>
      <c r="N1265" s="853"/>
      <c r="O1265" s="853"/>
    </row>
    <row r="1266" spans="2:15" x14ac:dyDescent="0.25">
      <c r="B1266" s="859" t="s">
        <v>2905</v>
      </c>
      <c r="C1266" s="889" t="s">
        <v>2906</v>
      </c>
      <c r="D1266" s="861" t="s">
        <v>861</v>
      </c>
      <c r="E1266" s="865">
        <v>6081</v>
      </c>
      <c r="F1266" s="866"/>
      <c r="G1266" s="853"/>
      <c r="H1266" s="853"/>
      <c r="I1266" s="853"/>
      <c r="J1266" s="853"/>
      <c r="K1266" s="853"/>
      <c r="M1266" s="853"/>
      <c r="N1266" s="853"/>
      <c r="O1266" s="853"/>
    </row>
    <row r="1267" spans="2:15" x14ac:dyDescent="0.25">
      <c r="B1267" s="859" t="s">
        <v>2907</v>
      </c>
      <c r="C1267" s="889" t="s">
        <v>2908</v>
      </c>
      <c r="D1267" s="861" t="s">
        <v>861</v>
      </c>
      <c r="E1267" s="865">
        <v>8391</v>
      </c>
      <c r="F1267" s="866"/>
      <c r="G1267" s="853"/>
      <c r="H1267" s="853"/>
      <c r="I1267" s="853"/>
      <c r="J1267" s="853"/>
      <c r="K1267" s="853"/>
      <c r="M1267" s="853"/>
      <c r="N1267" s="853"/>
      <c r="O1267" s="853"/>
    </row>
    <row r="1268" spans="2:15" x14ac:dyDescent="0.25">
      <c r="B1268" s="859" t="s">
        <v>2909</v>
      </c>
      <c r="C1268" s="889" t="s">
        <v>2910</v>
      </c>
      <c r="D1268" s="861" t="s">
        <v>861</v>
      </c>
      <c r="E1268" s="865">
        <v>9375</v>
      </c>
      <c r="F1268" s="866"/>
      <c r="G1268" s="853"/>
      <c r="H1268" s="853"/>
      <c r="I1268" s="853"/>
      <c r="J1268" s="853"/>
      <c r="K1268" s="853"/>
      <c r="M1268" s="853"/>
      <c r="N1268" s="853"/>
      <c r="O1268" s="853"/>
    </row>
    <row r="1269" spans="2:15" x14ac:dyDescent="0.25">
      <c r="B1269" s="859" t="s">
        <v>2911</v>
      </c>
      <c r="C1269" s="864" t="s">
        <v>2912</v>
      </c>
      <c r="D1269" s="861"/>
      <c r="E1269" s="862"/>
      <c r="F1269" s="863"/>
      <c r="G1269" s="853"/>
      <c r="H1269" s="853"/>
      <c r="I1269" s="853"/>
      <c r="J1269" s="853"/>
      <c r="K1269" s="853"/>
      <c r="M1269" s="853"/>
      <c r="N1269" s="853"/>
      <c r="O1269" s="853"/>
    </row>
    <row r="1270" spans="2:15" x14ac:dyDescent="0.25">
      <c r="B1270" s="859" t="s">
        <v>2913</v>
      </c>
      <c r="C1270" s="889" t="s">
        <v>2906</v>
      </c>
      <c r="D1270" s="861" t="s">
        <v>861</v>
      </c>
      <c r="E1270" s="865">
        <v>13410</v>
      </c>
      <c r="F1270" s="866"/>
      <c r="G1270" s="853"/>
      <c r="H1270" s="853"/>
      <c r="I1270" s="853"/>
      <c r="J1270" s="853"/>
      <c r="K1270" s="853"/>
      <c r="M1270" s="853"/>
      <c r="N1270" s="853"/>
      <c r="O1270" s="853"/>
    </row>
    <row r="1271" spans="2:15" x14ac:dyDescent="0.25">
      <c r="B1271" s="859" t="s">
        <v>2914</v>
      </c>
      <c r="C1271" s="889" t="s">
        <v>2908</v>
      </c>
      <c r="D1271" s="861" t="s">
        <v>861</v>
      </c>
      <c r="E1271" s="865">
        <v>14563</v>
      </c>
      <c r="F1271" s="866"/>
      <c r="G1271" s="853"/>
      <c r="H1271" s="853"/>
      <c r="I1271" s="853"/>
      <c r="J1271" s="853"/>
      <c r="K1271" s="853"/>
      <c r="M1271" s="853"/>
      <c r="N1271" s="853"/>
      <c r="O1271" s="853"/>
    </row>
    <row r="1272" spans="2:15" x14ac:dyDescent="0.25">
      <c r="B1272" s="859" t="s">
        <v>2915</v>
      </c>
      <c r="C1272" s="889" t="s">
        <v>2916</v>
      </c>
      <c r="D1272" s="861" t="s">
        <v>861</v>
      </c>
      <c r="E1272" s="865">
        <v>17171</v>
      </c>
      <c r="F1272" s="866"/>
      <c r="G1272" s="853"/>
      <c r="H1272" s="853"/>
      <c r="I1272" s="853"/>
      <c r="J1272" s="853"/>
      <c r="K1272" s="853"/>
      <c r="M1272" s="853"/>
      <c r="N1272" s="853"/>
      <c r="O1272" s="853"/>
    </row>
    <row r="1273" spans="2:15" x14ac:dyDescent="0.25">
      <c r="B1273" s="859" t="s">
        <v>2917</v>
      </c>
      <c r="C1273" s="889" t="s">
        <v>2910</v>
      </c>
      <c r="D1273" s="861" t="s">
        <v>861</v>
      </c>
      <c r="E1273" s="865">
        <v>16423</v>
      </c>
      <c r="F1273" s="866"/>
      <c r="G1273" s="853"/>
      <c r="H1273" s="853"/>
      <c r="I1273" s="853"/>
      <c r="J1273" s="853"/>
      <c r="K1273" s="853"/>
      <c r="M1273" s="853"/>
      <c r="N1273" s="853"/>
      <c r="O1273" s="853"/>
    </row>
    <row r="1274" spans="2:15" x14ac:dyDescent="0.25">
      <c r="B1274" s="859" t="s">
        <v>2918</v>
      </c>
      <c r="C1274" s="864" t="s">
        <v>2919</v>
      </c>
      <c r="D1274" s="861"/>
      <c r="E1274" s="862"/>
      <c r="F1274" s="863"/>
      <c r="G1274" s="853"/>
      <c r="H1274" s="853"/>
      <c r="I1274" s="853"/>
      <c r="J1274" s="853"/>
      <c r="K1274" s="853"/>
      <c r="M1274" s="853"/>
      <c r="N1274" s="853"/>
      <c r="O1274" s="853"/>
    </row>
    <row r="1275" spans="2:15" x14ac:dyDescent="0.25">
      <c r="B1275" s="859" t="s">
        <v>2920</v>
      </c>
      <c r="C1275" s="889" t="s">
        <v>2906</v>
      </c>
      <c r="D1275" s="861" t="s">
        <v>950</v>
      </c>
      <c r="E1275" s="865">
        <v>11077</v>
      </c>
      <c r="F1275" s="866"/>
      <c r="G1275" s="853"/>
      <c r="H1275" s="853"/>
      <c r="I1275" s="853"/>
      <c r="J1275" s="853"/>
      <c r="K1275" s="853"/>
      <c r="M1275" s="853"/>
      <c r="N1275" s="853"/>
      <c r="O1275" s="853"/>
    </row>
    <row r="1276" spans="2:15" x14ac:dyDescent="0.25">
      <c r="B1276" s="859" t="s">
        <v>2921</v>
      </c>
      <c r="C1276" s="889" t="s">
        <v>2908</v>
      </c>
      <c r="D1276" s="861" t="s">
        <v>950</v>
      </c>
      <c r="E1276" s="865">
        <v>11711</v>
      </c>
      <c r="F1276" s="866"/>
      <c r="G1276" s="853"/>
      <c r="H1276" s="853"/>
      <c r="I1276" s="853"/>
      <c r="J1276" s="853"/>
      <c r="K1276" s="853"/>
      <c r="M1276" s="853"/>
      <c r="N1276" s="853"/>
      <c r="O1276" s="853"/>
    </row>
    <row r="1277" spans="2:15" x14ac:dyDescent="0.25">
      <c r="B1277" s="859" t="s">
        <v>2922</v>
      </c>
      <c r="C1277" s="889" t="s">
        <v>2910</v>
      </c>
      <c r="D1277" s="861" t="s">
        <v>950</v>
      </c>
      <c r="E1277" s="865">
        <v>12441</v>
      </c>
      <c r="F1277" s="866"/>
      <c r="G1277" s="853"/>
      <c r="H1277" s="853"/>
      <c r="I1277" s="853"/>
      <c r="J1277" s="853"/>
      <c r="K1277" s="853"/>
      <c r="M1277" s="853"/>
      <c r="N1277" s="853"/>
      <c r="O1277" s="853"/>
    </row>
    <row r="1278" spans="2:15" x14ac:dyDescent="0.25">
      <c r="B1278" s="859" t="s">
        <v>2923</v>
      </c>
      <c r="C1278" s="860" t="s">
        <v>2924</v>
      </c>
      <c r="D1278" s="861"/>
      <c r="E1278" s="862"/>
      <c r="F1278" s="863"/>
      <c r="G1278" s="853"/>
      <c r="H1278" s="853"/>
      <c r="I1278" s="853"/>
      <c r="J1278" s="853"/>
      <c r="K1278" s="853"/>
      <c r="M1278" s="853"/>
      <c r="N1278" s="853"/>
      <c r="O1278" s="853"/>
    </row>
    <row r="1279" spans="2:15" x14ac:dyDescent="0.25">
      <c r="B1279" s="859" t="s">
        <v>2925</v>
      </c>
      <c r="C1279" s="864" t="s">
        <v>2926</v>
      </c>
      <c r="D1279" s="861" t="s">
        <v>861</v>
      </c>
      <c r="E1279" s="865">
        <v>18142</v>
      </c>
      <c r="F1279" s="866"/>
      <c r="G1279" s="853"/>
      <c r="H1279" s="853"/>
      <c r="I1279" s="853"/>
      <c r="J1279" s="853"/>
      <c r="K1279" s="853"/>
      <c r="M1279" s="853"/>
      <c r="N1279" s="853"/>
      <c r="O1279" s="853"/>
    </row>
    <row r="1280" spans="2:15" x14ac:dyDescent="0.25">
      <c r="B1280" s="859" t="s">
        <v>2927</v>
      </c>
      <c r="C1280" s="880" t="s">
        <v>2928</v>
      </c>
      <c r="D1280" s="861"/>
      <c r="E1280" s="862"/>
      <c r="F1280" s="863"/>
      <c r="G1280" s="853"/>
      <c r="H1280" s="853"/>
      <c r="I1280" s="853"/>
      <c r="J1280" s="853"/>
      <c r="K1280" s="853"/>
      <c r="M1280" s="853"/>
      <c r="N1280" s="853"/>
      <c r="O1280" s="853"/>
    </row>
    <row r="1281" spans="2:15" x14ac:dyDescent="0.25">
      <c r="B1281" s="859" t="s">
        <v>2929</v>
      </c>
      <c r="C1281" s="864" t="s">
        <v>2930</v>
      </c>
      <c r="D1281" s="861" t="s">
        <v>950</v>
      </c>
      <c r="E1281" s="865">
        <v>2777</v>
      </c>
      <c r="F1281" s="866"/>
      <c r="G1281" s="853"/>
      <c r="H1281" s="853"/>
      <c r="I1281" s="853"/>
      <c r="J1281" s="853"/>
      <c r="K1281" s="853"/>
      <c r="M1281" s="853"/>
      <c r="N1281" s="853"/>
      <c r="O1281" s="853"/>
    </row>
    <row r="1282" spans="2:15" x14ac:dyDescent="0.25">
      <c r="B1282" s="859" t="s">
        <v>2931</v>
      </c>
      <c r="C1282" s="864" t="s">
        <v>2932</v>
      </c>
      <c r="D1282" s="861" t="s">
        <v>861</v>
      </c>
      <c r="E1282" s="865">
        <v>10184</v>
      </c>
      <c r="F1282" s="866"/>
      <c r="G1282" s="853"/>
      <c r="H1282" s="853"/>
      <c r="I1282" s="853"/>
      <c r="J1282" s="853"/>
      <c r="K1282" s="853"/>
      <c r="M1282" s="853"/>
      <c r="N1282" s="853"/>
      <c r="O1282" s="853"/>
    </row>
    <row r="1283" spans="2:15" x14ac:dyDescent="0.25">
      <c r="B1283" s="859" t="s">
        <v>2933</v>
      </c>
      <c r="C1283" s="864" t="s">
        <v>2934</v>
      </c>
      <c r="D1283" s="861" t="s">
        <v>861</v>
      </c>
      <c r="E1283" s="865">
        <v>10554</v>
      </c>
      <c r="F1283" s="866"/>
      <c r="G1283" s="853"/>
      <c r="H1283" s="853"/>
      <c r="I1283" s="853"/>
      <c r="J1283" s="853"/>
      <c r="K1283" s="853"/>
      <c r="M1283" s="853"/>
      <c r="N1283" s="853"/>
      <c r="O1283" s="853"/>
    </row>
    <row r="1284" spans="2:15" x14ac:dyDescent="0.25">
      <c r="B1284" s="859" t="s">
        <v>2935</v>
      </c>
      <c r="C1284" s="864" t="s">
        <v>2936</v>
      </c>
      <c r="D1284" s="861" t="s">
        <v>861</v>
      </c>
      <c r="E1284" s="865">
        <v>4073</v>
      </c>
      <c r="F1284" s="866"/>
      <c r="G1284" s="853"/>
      <c r="H1284" s="853"/>
      <c r="I1284" s="853"/>
      <c r="J1284" s="853"/>
      <c r="K1284" s="853"/>
      <c r="M1284" s="853"/>
      <c r="N1284" s="853"/>
      <c r="O1284" s="853"/>
    </row>
    <row r="1285" spans="2:15" x14ac:dyDescent="0.25">
      <c r="B1285" s="859" t="s">
        <v>2937</v>
      </c>
      <c r="C1285" s="864" t="s">
        <v>2938</v>
      </c>
      <c r="D1285" s="861" t="s">
        <v>950</v>
      </c>
      <c r="E1285" s="865">
        <v>77766</v>
      </c>
      <c r="F1285" s="866"/>
      <c r="G1285" s="853"/>
      <c r="H1285" s="853"/>
      <c r="I1285" s="853"/>
      <c r="J1285" s="853"/>
      <c r="K1285" s="853"/>
      <c r="M1285" s="853"/>
      <c r="N1285" s="853"/>
      <c r="O1285" s="853"/>
    </row>
    <row r="1286" spans="2:15" x14ac:dyDescent="0.25">
      <c r="B1286" s="859"/>
      <c r="C1286" s="864"/>
      <c r="D1286" s="861"/>
      <c r="E1286" s="862"/>
      <c r="F1286" s="863"/>
      <c r="G1286" s="853"/>
      <c r="H1286" s="853"/>
      <c r="I1286" s="853"/>
      <c r="J1286" s="853"/>
      <c r="K1286" s="853"/>
      <c r="M1286" s="853"/>
      <c r="N1286" s="853"/>
      <c r="O1286" s="853"/>
    </row>
    <row r="1287" spans="2:15" x14ac:dyDescent="0.25">
      <c r="B1287" s="859"/>
      <c r="C1287" s="871" t="s">
        <v>2939</v>
      </c>
      <c r="D1287" s="872"/>
      <c r="E1287" s="862"/>
      <c r="F1287" s="863"/>
      <c r="G1287" s="853"/>
      <c r="H1287" s="853"/>
      <c r="I1287" s="853"/>
      <c r="J1287" s="853"/>
      <c r="K1287" s="853"/>
      <c r="M1287" s="853"/>
      <c r="N1287" s="853"/>
      <c r="O1287" s="853"/>
    </row>
    <row r="1288" spans="2:15" x14ac:dyDescent="0.25">
      <c r="B1288" s="859" t="s">
        <v>2940</v>
      </c>
      <c r="C1288" s="880" t="s">
        <v>2941</v>
      </c>
      <c r="D1288" s="861"/>
      <c r="E1288" s="862"/>
      <c r="F1288" s="863"/>
      <c r="G1288" s="853"/>
      <c r="H1288" s="853"/>
      <c r="I1288" s="853"/>
      <c r="J1288" s="853"/>
      <c r="K1288" s="853"/>
      <c r="M1288" s="853"/>
      <c r="N1288" s="853"/>
      <c r="O1288" s="853"/>
    </row>
    <row r="1289" spans="2:15" ht="31.5" x14ac:dyDescent="0.25">
      <c r="B1289" s="859" t="s">
        <v>2942</v>
      </c>
      <c r="C1289" s="864" t="s">
        <v>2943</v>
      </c>
      <c r="D1289" s="861" t="s">
        <v>861</v>
      </c>
      <c r="E1289" s="865">
        <v>1204</v>
      </c>
      <c r="F1289" s="866"/>
      <c r="G1289" s="853"/>
      <c r="H1289" s="853"/>
      <c r="I1289" s="853"/>
      <c r="J1289" s="853"/>
      <c r="K1289" s="853"/>
      <c r="M1289" s="853"/>
      <c r="N1289" s="853"/>
      <c r="O1289" s="853"/>
    </row>
    <row r="1290" spans="2:15" ht="31.5" x14ac:dyDescent="0.25">
      <c r="B1290" s="859" t="s">
        <v>2944</v>
      </c>
      <c r="C1290" s="864" t="s">
        <v>2945</v>
      </c>
      <c r="D1290" s="861" t="s">
        <v>861</v>
      </c>
      <c r="E1290" s="865">
        <v>3888</v>
      </c>
      <c r="F1290" s="866"/>
      <c r="G1290" s="853"/>
      <c r="H1290" s="853"/>
      <c r="I1290" s="853"/>
      <c r="J1290" s="853"/>
      <c r="K1290" s="853"/>
      <c r="M1290" s="853"/>
      <c r="N1290" s="853"/>
      <c r="O1290" s="853"/>
    </row>
    <row r="1291" spans="2:15" ht="31.5" x14ac:dyDescent="0.25">
      <c r="B1291" s="859" t="s">
        <v>2946</v>
      </c>
      <c r="C1291" s="864" t="s">
        <v>2947</v>
      </c>
      <c r="D1291" s="861" t="s">
        <v>861</v>
      </c>
      <c r="E1291" s="865">
        <v>6480</v>
      </c>
      <c r="F1291" s="866"/>
      <c r="G1291" s="853"/>
      <c r="H1291" s="853"/>
      <c r="I1291" s="853"/>
      <c r="J1291" s="853"/>
      <c r="K1291" s="853"/>
      <c r="M1291" s="853"/>
      <c r="N1291" s="853"/>
      <c r="O1291" s="853"/>
    </row>
    <row r="1292" spans="2:15" x14ac:dyDescent="0.25">
      <c r="B1292" s="859" t="s">
        <v>2948</v>
      </c>
      <c r="C1292" s="864" t="s">
        <v>2949</v>
      </c>
      <c r="D1292" s="861" t="s">
        <v>861</v>
      </c>
      <c r="E1292" s="865">
        <v>1574</v>
      </c>
      <c r="F1292" s="866"/>
      <c r="G1292" s="853"/>
      <c r="H1292" s="853"/>
      <c r="I1292" s="853"/>
      <c r="J1292" s="853"/>
      <c r="K1292" s="853"/>
      <c r="M1292" s="853"/>
      <c r="N1292" s="853"/>
      <c r="O1292" s="853"/>
    </row>
    <row r="1293" spans="2:15" x14ac:dyDescent="0.25">
      <c r="B1293" s="859" t="s">
        <v>2950</v>
      </c>
      <c r="C1293" s="864" t="s">
        <v>2951</v>
      </c>
      <c r="D1293" s="861" t="s">
        <v>861</v>
      </c>
      <c r="E1293" s="865">
        <v>8332</v>
      </c>
      <c r="F1293" s="866"/>
      <c r="G1293" s="853"/>
      <c r="H1293" s="853"/>
      <c r="I1293" s="853"/>
      <c r="J1293" s="853"/>
      <c r="K1293" s="853"/>
      <c r="M1293" s="853"/>
      <c r="N1293" s="853"/>
      <c r="O1293" s="853"/>
    </row>
    <row r="1294" spans="2:15" x14ac:dyDescent="0.25">
      <c r="B1294" s="859" t="s">
        <v>2952</v>
      </c>
      <c r="C1294" s="864" t="s">
        <v>2953</v>
      </c>
      <c r="D1294" s="861" t="s">
        <v>861</v>
      </c>
      <c r="E1294" s="865">
        <v>10184</v>
      </c>
      <c r="F1294" s="866"/>
      <c r="G1294" s="853"/>
      <c r="H1294" s="853"/>
      <c r="I1294" s="853"/>
      <c r="J1294" s="853"/>
      <c r="K1294" s="853"/>
      <c r="M1294" s="853"/>
      <c r="N1294" s="853"/>
      <c r="O1294" s="853"/>
    </row>
    <row r="1295" spans="2:15" x14ac:dyDescent="0.25">
      <c r="B1295" s="859" t="s">
        <v>2954</v>
      </c>
      <c r="C1295" s="864" t="s">
        <v>2955</v>
      </c>
      <c r="D1295" s="861" t="s">
        <v>861</v>
      </c>
      <c r="E1295" s="865">
        <v>15738</v>
      </c>
      <c r="F1295" s="866"/>
      <c r="G1295" s="853"/>
      <c r="H1295" s="853"/>
      <c r="I1295" s="853"/>
      <c r="J1295" s="853"/>
      <c r="K1295" s="853"/>
      <c r="M1295" s="853"/>
      <c r="N1295" s="853"/>
      <c r="O1295" s="853"/>
    </row>
    <row r="1296" spans="2:15" x14ac:dyDescent="0.25">
      <c r="B1296" s="859" t="s">
        <v>2956</v>
      </c>
      <c r="C1296" s="864" t="s">
        <v>2957</v>
      </c>
      <c r="D1296" s="861" t="s">
        <v>861</v>
      </c>
      <c r="E1296" s="865">
        <v>1389</v>
      </c>
      <c r="F1296" s="866"/>
      <c r="G1296" s="853"/>
      <c r="H1296" s="853"/>
      <c r="I1296" s="853"/>
      <c r="J1296" s="853"/>
      <c r="K1296" s="853"/>
      <c r="M1296" s="853"/>
      <c r="N1296" s="853"/>
      <c r="O1296" s="853"/>
    </row>
    <row r="1297" spans="2:15" x14ac:dyDescent="0.25">
      <c r="B1297" s="859" t="s">
        <v>2958</v>
      </c>
      <c r="C1297" s="880" t="s">
        <v>2959</v>
      </c>
      <c r="D1297" s="861"/>
      <c r="E1297" s="862"/>
      <c r="F1297" s="863"/>
      <c r="G1297" s="853"/>
      <c r="H1297" s="853"/>
      <c r="I1297" s="853"/>
      <c r="J1297" s="853"/>
      <c r="K1297" s="853"/>
      <c r="M1297" s="853"/>
      <c r="N1297" s="853"/>
      <c r="O1297" s="853"/>
    </row>
    <row r="1298" spans="2:15" x14ac:dyDescent="0.25">
      <c r="B1298" s="859" t="s">
        <v>2960</v>
      </c>
      <c r="C1298" s="864" t="s">
        <v>2961</v>
      </c>
      <c r="D1298" s="861" t="s">
        <v>950</v>
      </c>
      <c r="E1298" s="865">
        <v>6829</v>
      </c>
      <c r="F1298" s="866"/>
      <c r="G1298" s="853"/>
      <c r="H1298" s="853"/>
      <c r="I1298" s="853"/>
      <c r="J1298" s="853"/>
      <c r="K1298" s="853"/>
      <c r="M1298" s="853"/>
      <c r="N1298" s="853"/>
      <c r="O1298" s="853"/>
    </row>
    <row r="1299" spans="2:15" x14ac:dyDescent="0.25">
      <c r="B1299" s="859" t="s">
        <v>2962</v>
      </c>
      <c r="C1299" s="864" t="s">
        <v>2963</v>
      </c>
      <c r="D1299" s="861" t="s">
        <v>950</v>
      </c>
      <c r="E1299" s="865">
        <v>3703</v>
      </c>
      <c r="F1299" s="866"/>
      <c r="G1299" s="853"/>
      <c r="H1299" s="853"/>
      <c r="I1299" s="853"/>
      <c r="J1299" s="853"/>
      <c r="K1299" s="853"/>
      <c r="M1299" s="853"/>
      <c r="N1299" s="853"/>
      <c r="O1299" s="853"/>
    </row>
    <row r="1300" spans="2:15" x14ac:dyDescent="0.25">
      <c r="B1300" s="859" t="s">
        <v>2964</v>
      </c>
      <c r="C1300" s="864" t="s">
        <v>2965</v>
      </c>
      <c r="D1300" s="861" t="s">
        <v>950</v>
      </c>
      <c r="E1300" s="865">
        <v>2777</v>
      </c>
      <c r="F1300" s="866"/>
      <c r="G1300" s="853"/>
      <c r="H1300" s="853"/>
      <c r="I1300" s="853"/>
      <c r="J1300" s="853"/>
      <c r="K1300" s="853"/>
      <c r="M1300" s="853"/>
      <c r="N1300" s="853"/>
      <c r="O1300" s="853"/>
    </row>
    <row r="1301" spans="2:15" x14ac:dyDescent="0.25">
      <c r="B1301" s="859" t="s">
        <v>2966</v>
      </c>
      <c r="C1301" s="880" t="s">
        <v>2967</v>
      </c>
      <c r="D1301" s="861"/>
      <c r="E1301" s="862"/>
      <c r="F1301" s="863"/>
      <c r="G1301" s="853"/>
      <c r="H1301" s="853"/>
      <c r="I1301" s="853"/>
      <c r="J1301" s="853"/>
      <c r="K1301" s="853"/>
      <c r="M1301" s="853"/>
      <c r="N1301" s="853"/>
      <c r="O1301" s="853"/>
    </row>
    <row r="1302" spans="2:15" x14ac:dyDescent="0.25">
      <c r="B1302" s="859" t="s">
        <v>2968</v>
      </c>
      <c r="C1302" s="864" t="s">
        <v>2969</v>
      </c>
      <c r="D1302" s="861" t="s">
        <v>861</v>
      </c>
      <c r="E1302" s="865">
        <v>6480</v>
      </c>
      <c r="F1302" s="866"/>
      <c r="G1302" s="853"/>
      <c r="H1302" s="853"/>
      <c r="I1302" s="853"/>
      <c r="J1302" s="853"/>
      <c r="K1302" s="853"/>
      <c r="M1302" s="853"/>
      <c r="N1302" s="853"/>
      <c r="O1302" s="853"/>
    </row>
    <row r="1303" spans="2:15" ht="31.5" x14ac:dyDescent="0.25">
      <c r="B1303" s="859" t="s">
        <v>2970</v>
      </c>
      <c r="C1303" s="864" t="s">
        <v>2971</v>
      </c>
      <c r="D1303" s="861" t="s">
        <v>861</v>
      </c>
      <c r="E1303" s="865">
        <v>7777</v>
      </c>
      <c r="F1303" s="866"/>
      <c r="G1303" s="853"/>
      <c r="H1303" s="853"/>
      <c r="I1303" s="853"/>
      <c r="J1303" s="853"/>
      <c r="K1303" s="853"/>
      <c r="M1303" s="853"/>
      <c r="N1303" s="853"/>
      <c r="O1303" s="853"/>
    </row>
    <row r="1304" spans="2:15" x14ac:dyDescent="0.25">
      <c r="B1304" s="859" t="s">
        <v>2972</v>
      </c>
      <c r="C1304" s="864" t="s">
        <v>2973</v>
      </c>
      <c r="D1304" s="861" t="s">
        <v>861</v>
      </c>
      <c r="E1304" s="865">
        <v>18238</v>
      </c>
      <c r="F1304" s="866"/>
      <c r="G1304" s="853"/>
      <c r="H1304" s="853"/>
      <c r="I1304" s="853"/>
      <c r="J1304" s="853"/>
      <c r="K1304" s="853"/>
      <c r="M1304" s="853"/>
      <c r="N1304" s="853"/>
      <c r="O1304" s="853"/>
    </row>
    <row r="1305" spans="2:15" x14ac:dyDescent="0.25">
      <c r="B1305" s="859" t="s">
        <v>2974</v>
      </c>
      <c r="C1305" s="880" t="s">
        <v>2975</v>
      </c>
      <c r="D1305" s="861"/>
      <c r="E1305" s="862"/>
      <c r="F1305" s="863"/>
      <c r="G1305" s="853"/>
      <c r="H1305" s="853"/>
      <c r="I1305" s="853"/>
      <c r="J1305" s="853"/>
      <c r="K1305" s="853"/>
      <c r="M1305" s="853"/>
      <c r="N1305" s="853"/>
      <c r="O1305" s="853"/>
    </row>
    <row r="1306" spans="2:15" x14ac:dyDescent="0.25">
      <c r="B1306" s="859" t="s">
        <v>2976</v>
      </c>
      <c r="C1306" s="864" t="s">
        <v>2977</v>
      </c>
      <c r="D1306" s="861" t="s">
        <v>861</v>
      </c>
      <c r="E1306" s="862">
        <v>648</v>
      </c>
      <c r="F1306" s="863"/>
      <c r="G1306" s="853"/>
      <c r="H1306" s="853"/>
      <c r="I1306" s="853"/>
      <c r="J1306" s="853"/>
      <c r="K1306" s="853"/>
      <c r="M1306" s="853"/>
      <c r="N1306" s="853"/>
      <c r="O1306" s="853"/>
    </row>
    <row r="1307" spans="2:15" ht="31.5" x14ac:dyDescent="0.25">
      <c r="B1307" s="859" t="s">
        <v>2978</v>
      </c>
      <c r="C1307" s="864" t="s">
        <v>2979</v>
      </c>
      <c r="D1307" s="861" t="s">
        <v>861</v>
      </c>
      <c r="E1307" s="865">
        <v>6110</v>
      </c>
      <c r="F1307" s="866"/>
      <c r="G1307" s="853"/>
      <c r="H1307" s="853"/>
      <c r="I1307" s="853"/>
      <c r="J1307" s="853"/>
      <c r="K1307" s="853"/>
      <c r="M1307" s="853"/>
      <c r="N1307" s="853"/>
      <c r="O1307" s="853"/>
    </row>
    <row r="1308" spans="2:15" x14ac:dyDescent="0.25">
      <c r="B1308" s="859" t="s">
        <v>2980</v>
      </c>
      <c r="C1308" s="864" t="s">
        <v>2981</v>
      </c>
      <c r="D1308" s="861" t="s">
        <v>861</v>
      </c>
      <c r="E1308" s="865">
        <v>1204</v>
      </c>
      <c r="F1308" s="866"/>
      <c r="G1308" s="853"/>
      <c r="H1308" s="853"/>
      <c r="I1308" s="853"/>
      <c r="J1308" s="853"/>
      <c r="K1308" s="853"/>
      <c r="M1308" s="853"/>
      <c r="N1308" s="853"/>
      <c r="O1308" s="853"/>
    </row>
    <row r="1309" spans="2:15" x14ac:dyDescent="0.25">
      <c r="B1309" s="859" t="s">
        <v>2982</v>
      </c>
      <c r="C1309" s="864" t="s">
        <v>2983</v>
      </c>
      <c r="D1309" s="861" t="s">
        <v>727</v>
      </c>
      <c r="E1309" s="865">
        <v>19441</v>
      </c>
      <c r="F1309" s="866"/>
      <c r="G1309" s="853"/>
      <c r="H1309" s="853"/>
      <c r="I1309" s="853"/>
      <c r="J1309" s="853"/>
      <c r="K1309" s="853"/>
      <c r="M1309" s="853"/>
      <c r="N1309" s="853"/>
      <c r="O1309" s="853"/>
    </row>
    <row r="1310" spans="2:15" x14ac:dyDescent="0.25">
      <c r="B1310" s="859" t="s">
        <v>2984</v>
      </c>
      <c r="C1310" s="864" t="s">
        <v>2985</v>
      </c>
      <c r="D1310" s="861" t="s">
        <v>727</v>
      </c>
      <c r="E1310" s="865">
        <v>8332</v>
      </c>
      <c r="F1310" s="866"/>
      <c r="G1310" s="853"/>
      <c r="H1310" s="853"/>
      <c r="I1310" s="853"/>
      <c r="J1310" s="853"/>
      <c r="K1310" s="853"/>
      <c r="M1310" s="853"/>
      <c r="N1310" s="853"/>
      <c r="O1310" s="853"/>
    </row>
    <row r="1311" spans="2:15" ht="16.5" thickBot="1" x14ac:dyDescent="0.3">
      <c r="B1311" s="892" t="s">
        <v>2986</v>
      </c>
      <c r="C1311" s="893" t="s">
        <v>2987</v>
      </c>
      <c r="D1311" s="894" t="s">
        <v>950</v>
      </c>
      <c r="E1311" s="895">
        <v>10184</v>
      </c>
      <c r="F1311" s="896"/>
      <c r="G1311" s="853"/>
      <c r="H1311" s="853"/>
      <c r="I1311" s="853"/>
      <c r="J1311" s="853"/>
      <c r="K1311" s="853"/>
      <c r="M1311" s="853"/>
      <c r="N1311" s="853"/>
      <c r="O1311" s="853"/>
    </row>
    <row r="1312" spans="2:15" x14ac:dyDescent="0.25">
      <c r="B1312" s="897"/>
      <c r="C1312" s="850"/>
      <c r="D1312" s="850"/>
      <c r="E1312" s="848"/>
      <c r="F1312" s="848"/>
      <c r="G1312" s="853"/>
      <c r="H1312" s="853"/>
      <c r="I1312" s="853"/>
      <c r="J1312" s="853"/>
      <c r="K1312" s="853"/>
      <c r="M1312" s="853"/>
      <c r="N1312" s="853"/>
      <c r="O1312" s="853"/>
    </row>
    <row r="1313" spans="1:15" x14ac:dyDescent="0.25">
      <c r="B1313" s="850"/>
      <c r="C1313" s="850"/>
      <c r="D1313" s="850"/>
      <c r="E1313" s="848"/>
      <c r="F1313" s="848"/>
      <c r="G1313" s="853"/>
      <c r="H1313" s="853"/>
      <c r="I1313" s="853"/>
      <c r="J1313" s="853"/>
      <c r="K1313" s="853"/>
      <c r="M1313" s="853"/>
      <c r="N1313" s="853"/>
      <c r="O1313" s="853"/>
    </row>
    <row r="1314" spans="1:15" x14ac:dyDescent="0.25">
      <c r="B1314" s="850"/>
      <c r="C1314" s="850"/>
      <c r="D1314" s="850"/>
      <c r="E1314" s="848"/>
      <c r="F1314" s="848"/>
      <c r="G1314" s="853"/>
      <c r="H1314" s="853"/>
      <c r="I1314" s="853"/>
      <c r="J1314" s="853"/>
      <c r="K1314" s="853"/>
      <c r="M1314" s="853"/>
      <c r="N1314" s="853"/>
      <c r="O1314" s="853"/>
    </row>
    <row r="1315" spans="1:15" x14ac:dyDescent="0.25">
      <c r="B1315" s="850"/>
      <c r="C1315" s="850"/>
      <c r="D1315" s="850"/>
      <c r="E1315" s="848"/>
      <c r="F1315" s="848"/>
      <c r="G1315" s="853"/>
      <c r="H1315" s="853"/>
      <c r="I1315" s="853"/>
      <c r="J1315" s="853"/>
      <c r="K1315" s="853"/>
      <c r="M1315" s="853"/>
      <c r="N1315" s="853"/>
      <c r="O1315" s="853"/>
    </row>
    <row r="1316" spans="1:15" x14ac:dyDescent="0.25">
      <c r="B1316" s="850"/>
      <c r="C1316" s="850"/>
      <c r="D1316" s="850"/>
      <c r="E1316" s="848"/>
      <c r="F1316" s="848"/>
      <c r="G1316" s="853"/>
      <c r="H1316" s="853"/>
      <c r="I1316" s="853"/>
      <c r="J1316" s="853"/>
      <c r="K1316" s="853"/>
      <c r="M1316" s="853"/>
      <c r="N1316" s="853"/>
      <c r="O1316" s="853"/>
    </row>
    <row r="1317" spans="1:15" x14ac:dyDescent="0.25">
      <c r="B1317" s="850"/>
      <c r="C1317" s="850"/>
      <c r="D1317" s="850"/>
      <c r="E1317" s="848"/>
      <c r="F1317" s="848"/>
      <c r="G1317" s="853"/>
      <c r="H1317" s="853"/>
      <c r="I1317" s="853"/>
      <c r="J1317" s="853"/>
      <c r="K1317" s="853"/>
      <c r="M1317" s="853"/>
      <c r="N1317" s="853"/>
      <c r="O1317" s="853"/>
    </row>
    <row r="1318" spans="1:15" x14ac:dyDescent="0.25">
      <c r="B1318" s="850"/>
      <c r="C1318" s="850"/>
      <c r="D1318" s="850"/>
      <c r="E1318" s="848"/>
      <c r="F1318" s="848"/>
      <c r="G1318" s="853"/>
      <c r="H1318" s="853"/>
      <c r="I1318" s="853"/>
      <c r="J1318" s="853"/>
      <c r="K1318" s="853"/>
      <c r="M1318" s="853"/>
      <c r="N1318" s="853"/>
      <c r="O1318" s="853"/>
    </row>
    <row r="1319" spans="1:15" x14ac:dyDescent="0.25">
      <c r="B1319" s="850"/>
      <c r="C1319" s="850"/>
      <c r="D1319" s="850"/>
      <c r="E1319" s="848"/>
      <c r="F1319" s="848"/>
      <c r="G1319" s="853"/>
      <c r="H1319" s="853"/>
      <c r="I1319" s="853"/>
      <c r="J1319" s="853"/>
      <c r="K1319" s="853"/>
      <c r="M1319" s="853"/>
      <c r="N1319" s="853"/>
      <c r="O1319" s="853"/>
    </row>
    <row r="1320" spans="1:15" x14ac:dyDescent="0.25">
      <c r="B1320" s="850"/>
      <c r="C1320" s="850"/>
      <c r="D1320" s="850"/>
      <c r="E1320" s="848"/>
      <c r="F1320" s="848"/>
      <c r="G1320" s="853"/>
      <c r="H1320" s="853"/>
      <c r="I1320" s="853"/>
      <c r="J1320" s="853"/>
      <c r="K1320" s="853"/>
      <c r="M1320" s="853"/>
      <c r="N1320" s="853"/>
      <c r="O1320" s="853"/>
    </row>
    <row r="1321" spans="1:15" x14ac:dyDescent="0.25">
      <c r="B1321" s="850"/>
      <c r="C1321" s="850"/>
      <c r="D1321" s="850"/>
      <c r="E1321" s="848"/>
      <c r="F1321" s="848"/>
      <c r="G1321" s="853"/>
      <c r="H1321" s="853"/>
      <c r="I1321" s="853"/>
      <c r="J1321" s="853"/>
      <c r="K1321" s="853"/>
      <c r="M1321" s="853"/>
      <c r="N1321" s="853"/>
      <c r="O1321" s="853"/>
    </row>
    <row r="1322" spans="1:15" x14ac:dyDescent="0.25">
      <c r="B1322" s="850"/>
      <c r="C1322" s="850"/>
      <c r="D1322" s="850"/>
      <c r="E1322" s="848"/>
      <c r="F1322" s="848"/>
      <c r="G1322" s="853"/>
      <c r="H1322" s="853"/>
      <c r="I1322" s="853"/>
      <c r="J1322" s="853"/>
      <c r="K1322" s="853"/>
      <c r="M1322" s="853"/>
      <c r="N1322" s="853"/>
      <c r="O1322" s="853"/>
    </row>
    <row r="1323" spans="1:15" x14ac:dyDescent="0.25">
      <c r="B1323" s="850"/>
      <c r="C1323" s="850"/>
      <c r="D1323" s="850"/>
      <c r="E1323" s="848"/>
      <c r="F1323" s="848"/>
      <c r="G1323" s="853"/>
      <c r="H1323" s="853"/>
      <c r="I1323" s="853"/>
      <c r="J1323" s="853"/>
      <c r="K1323" s="853"/>
      <c r="M1323" s="853"/>
      <c r="N1323" s="853"/>
      <c r="O1323" s="853"/>
    </row>
    <row r="1324" spans="1:15" x14ac:dyDescent="0.25">
      <c r="B1324" s="850"/>
      <c r="C1324" s="850"/>
      <c r="D1324" s="850"/>
      <c r="E1324" s="848"/>
      <c r="F1324" s="848"/>
      <c r="G1324" s="847"/>
    </row>
    <row r="1325" spans="1:15" x14ac:dyDescent="0.25">
      <c r="A1325" s="847"/>
      <c r="B1325" s="850"/>
      <c r="C1325" s="850"/>
      <c r="D1325" s="850"/>
      <c r="E1325" s="848"/>
      <c r="F1325" s="848"/>
      <c r="G1325" s="847"/>
      <c r="H1325" s="847"/>
    </row>
    <row r="1326" spans="1:15" x14ac:dyDescent="0.25">
      <c r="A1326" s="847"/>
      <c r="B1326" s="850"/>
      <c r="C1326" s="850"/>
      <c r="D1326" s="850"/>
      <c r="E1326" s="848"/>
      <c r="F1326" s="848"/>
      <c r="G1326" s="847"/>
      <c r="H1326" s="847"/>
    </row>
    <row r="1327" spans="1:15" x14ac:dyDescent="0.25">
      <c r="A1327" s="847"/>
      <c r="B1327" s="850"/>
      <c r="C1327" s="850"/>
      <c r="D1327" s="850"/>
      <c r="E1327" s="848"/>
      <c r="F1327" s="848"/>
      <c r="G1327" s="847"/>
      <c r="H1327" s="847"/>
    </row>
    <row r="1328" spans="1:15" x14ac:dyDescent="0.25">
      <c r="A1328" s="847"/>
      <c r="B1328" s="850"/>
      <c r="C1328" s="850"/>
      <c r="D1328" s="850"/>
      <c r="E1328" s="848"/>
      <c r="F1328" s="848"/>
      <c r="G1328" s="847"/>
      <c r="H1328" s="847"/>
    </row>
    <row r="1329" spans="1:8" x14ac:dyDescent="0.25">
      <c r="A1329" s="847"/>
      <c r="B1329" s="850"/>
      <c r="C1329" s="850"/>
      <c r="D1329" s="850"/>
      <c r="E1329" s="848"/>
      <c r="F1329" s="848"/>
      <c r="G1329" s="847"/>
      <c r="H1329" s="847"/>
    </row>
    <row r="1330" spans="1:8" x14ac:dyDescent="0.25">
      <c r="A1330" s="847"/>
      <c r="B1330" s="850"/>
      <c r="C1330" s="850"/>
      <c r="D1330" s="850"/>
      <c r="E1330" s="848"/>
      <c r="F1330" s="848"/>
      <c r="G1330" s="847"/>
      <c r="H1330" s="847"/>
    </row>
    <row r="1331" spans="1:8" x14ac:dyDescent="0.25">
      <c r="A1331" s="847"/>
      <c r="B1331" s="850"/>
      <c r="C1331" s="850"/>
      <c r="D1331" s="850"/>
      <c r="E1331" s="848"/>
      <c r="F1331" s="848"/>
      <c r="G1331" s="847"/>
      <c r="H1331" s="847"/>
    </row>
    <row r="1332" spans="1:8" x14ac:dyDescent="0.25">
      <c r="A1332" s="847"/>
      <c r="B1332" s="850"/>
      <c r="C1332" s="850"/>
      <c r="D1332" s="850"/>
      <c r="E1332" s="848"/>
      <c r="F1332" s="848"/>
      <c r="G1332" s="847"/>
      <c r="H1332" s="847"/>
    </row>
    <row r="1333" spans="1:8" x14ac:dyDescent="0.25">
      <c r="A1333" s="847"/>
      <c r="B1333" s="850"/>
      <c r="C1333" s="850"/>
      <c r="D1333" s="850"/>
      <c r="E1333" s="848"/>
      <c r="F1333" s="848"/>
      <c r="G1333" s="847"/>
      <c r="H1333" s="847"/>
    </row>
    <row r="1334" spans="1:8" x14ac:dyDescent="0.25">
      <c r="A1334" s="847"/>
      <c r="B1334" s="850"/>
      <c r="C1334" s="850"/>
      <c r="D1334" s="850"/>
      <c r="E1334" s="848"/>
      <c r="F1334" s="848"/>
      <c r="G1334" s="847"/>
      <c r="H1334" s="847"/>
    </row>
    <row r="1335" spans="1:8" x14ac:dyDescent="0.25">
      <c r="A1335" s="847"/>
      <c r="B1335" s="850"/>
      <c r="C1335" s="850"/>
      <c r="D1335" s="850"/>
      <c r="E1335" s="848"/>
      <c r="F1335" s="848"/>
      <c r="G1335" s="847"/>
      <c r="H1335" s="847"/>
    </row>
    <row r="1336" spans="1:8" x14ac:dyDescent="0.25">
      <c r="A1336" s="847"/>
      <c r="B1336" s="850"/>
      <c r="C1336" s="850"/>
      <c r="D1336" s="850"/>
      <c r="E1336" s="848"/>
      <c r="F1336" s="848"/>
      <c r="G1336" s="847"/>
      <c r="H1336" s="847"/>
    </row>
    <row r="1337" spans="1:8" x14ac:dyDescent="0.25">
      <c r="A1337" s="847"/>
      <c r="B1337" s="850"/>
      <c r="C1337" s="850"/>
      <c r="D1337" s="850"/>
      <c r="E1337" s="848"/>
      <c r="F1337" s="848"/>
      <c r="G1337" s="847"/>
      <c r="H1337" s="847"/>
    </row>
    <row r="1338" spans="1:8" x14ac:dyDescent="0.25">
      <c r="A1338" s="847"/>
      <c r="B1338" s="850"/>
      <c r="C1338" s="850"/>
      <c r="D1338" s="850"/>
      <c r="E1338" s="848"/>
      <c r="F1338" s="848"/>
      <c r="G1338" s="847"/>
      <c r="H1338" s="847"/>
    </row>
    <row r="1339" spans="1:8" x14ac:dyDescent="0.25">
      <c r="A1339" s="847"/>
      <c r="B1339" s="850"/>
      <c r="C1339" s="850"/>
      <c r="D1339" s="850"/>
      <c r="E1339" s="848"/>
      <c r="F1339" s="848"/>
      <c r="G1339" s="847"/>
      <c r="H1339" s="847"/>
    </row>
    <row r="1340" spans="1:8" x14ac:dyDescent="0.25">
      <c r="A1340" s="847"/>
      <c r="B1340" s="850"/>
      <c r="C1340" s="850"/>
      <c r="D1340" s="850"/>
      <c r="E1340" s="848"/>
      <c r="F1340" s="848"/>
      <c r="G1340" s="847"/>
      <c r="H1340" s="847"/>
    </row>
    <row r="1341" spans="1:8" x14ac:dyDescent="0.25">
      <c r="A1341" s="847"/>
      <c r="B1341" s="850"/>
      <c r="C1341" s="850"/>
      <c r="D1341" s="850"/>
      <c r="E1341" s="848"/>
      <c r="F1341" s="848"/>
      <c r="G1341" s="847"/>
      <c r="H1341" s="847"/>
    </row>
    <row r="1342" spans="1:8" x14ac:dyDescent="0.25">
      <c r="A1342" s="847"/>
      <c r="B1342" s="850"/>
      <c r="C1342" s="850"/>
      <c r="D1342" s="850"/>
      <c r="E1342" s="848"/>
      <c r="F1342" s="848"/>
      <c r="G1342" s="847"/>
      <c r="H1342" s="847"/>
    </row>
    <row r="1343" spans="1:8" x14ac:dyDescent="0.25">
      <c r="A1343" s="847"/>
      <c r="B1343" s="850"/>
      <c r="C1343" s="850"/>
      <c r="D1343" s="850"/>
      <c r="E1343" s="848"/>
      <c r="F1343" s="848"/>
      <c r="G1343" s="847"/>
      <c r="H1343" s="847"/>
    </row>
    <row r="1344" spans="1:8" x14ac:dyDescent="0.25">
      <c r="A1344" s="847"/>
      <c r="B1344" s="850"/>
      <c r="C1344" s="850"/>
      <c r="D1344" s="850"/>
      <c r="E1344" s="848"/>
      <c r="F1344" s="848"/>
      <c r="G1344" s="847"/>
      <c r="H1344" s="847"/>
    </row>
    <row r="1345" spans="1:8" x14ac:dyDescent="0.25">
      <c r="A1345" s="847"/>
      <c r="B1345" s="850"/>
      <c r="C1345" s="850"/>
      <c r="D1345" s="850"/>
      <c r="E1345" s="848"/>
      <c r="F1345" s="848"/>
      <c r="G1345" s="847"/>
      <c r="H1345" s="847"/>
    </row>
    <row r="1346" spans="1:8" x14ac:dyDescent="0.25">
      <c r="A1346" s="847"/>
      <c r="B1346" s="850"/>
      <c r="C1346" s="850"/>
      <c r="D1346" s="850"/>
      <c r="E1346" s="848"/>
      <c r="F1346" s="848"/>
      <c r="G1346" s="847"/>
      <c r="H1346" s="847"/>
    </row>
    <row r="1347" spans="1:8" x14ac:dyDescent="0.25">
      <c r="A1347" s="847"/>
      <c r="B1347" s="850"/>
      <c r="C1347" s="850"/>
      <c r="D1347" s="850"/>
      <c r="E1347" s="848"/>
      <c r="F1347" s="848"/>
      <c r="G1347" s="847"/>
      <c r="H1347" s="847"/>
    </row>
    <row r="1348" spans="1:8" x14ac:dyDescent="0.25">
      <c r="A1348" s="847"/>
      <c r="B1348" s="850"/>
      <c r="C1348" s="850"/>
      <c r="D1348" s="850"/>
      <c r="E1348" s="848"/>
      <c r="F1348" s="848"/>
      <c r="G1348" s="847"/>
      <c r="H1348" s="847"/>
    </row>
    <row r="1349" spans="1:8" x14ac:dyDescent="0.25">
      <c r="A1349" s="847"/>
      <c r="B1349" s="850"/>
      <c r="C1349" s="850"/>
      <c r="D1349" s="850"/>
      <c r="E1349" s="848"/>
      <c r="F1349" s="848"/>
      <c r="G1349" s="847"/>
      <c r="H1349" s="847"/>
    </row>
    <row r="1350" spans="1:8" x14ac:dyDescent="0.25">
      <c r="A1350" s="847"/>
      <c r="B1350" s="850"/>
      <c r="C1350" s="850"/>
      <c r="D1350" s="850"/>
      <c r="E1350" s="848"/>
      <c r="F1350" s="848"/>
      <c r="G1350" s="847"/>
      <c r="H1350" s="847"/>
    </row>
    <row r="1351" spans="1:8" x14ac:dyDescent="0.25">
      <c r="A1351" s="847"/>
      <c r="B1351" s="850"/>
      <c r="C1351" s="850"/>
      <c r="D1351" s="850"/>
      <c r="E1351" s="848"/>
      <c r="F1351" s="848"/>
      <c r="G1351" s="847"/>
      <c r="H1351" s="847"/>
    </row>
    <row r="1352" spans="1:8" x14ac:dyDescent="0.25">
      <c r="A1352" s="847"/>
      <c r="B1352" s="850"/>
      <c r="C1352" s="850"/>
      <c r="D1352" s="850"/>
      <c r="E1352" s="848"/>
      <c r="F1352" s="848"/>
      <c r="G1352" s="847"/>
      <c r="H1352" s="847"/>
    </row>
    <row r="1353" spans="1:8" x14ac:dyDescent="0.25">
      <c r="A1353" s="847"/>
      <c r="B1353" s="850"/>
      <c r="C1353" s="850"/>
      <c r="D1353" s="850"/>
      <c r="E1353" s="848"/>
      <c r="F1353" s="848"/>
      <c r="G1353" s="847"/>
      <c r="H1353" s="847"/>
    </row>
    <row r="1354" spans="1:8" x14ac:dyDescent="0.25">
      <c r="A1354" s="847"/>
      <c r="B1354" s="850"/>
      <c r="C1354" s="850"/>
      <c r="D1354" s="850"/>
      <c r="E1354" s="848"/>
      <c r="F1354" s="848"/>
      <c r="G1354" s="847"/>
      <c r="H1354" s="847"/>
    </row>
    <row r="1355" spans="1:8" x14ac:dyDescent="0.25">
      <c r="A1355" s="847"/>
      <c r="B1355" s="850"/>
      <c r="C1355" s="850"/>
      <c r="D1355" s="850"/>
      <c r="E1355" s="848"/>
      <c r="F1355" s="848"/>
      <c r="G1355" s="847"/>
      <c r="H1355" s="847"/>
    </row>
    <row r="1356" spans="1:8" x14ac:dyDescent="0.25">
      <c r="A1356" s="847"/>
      <c r="B1356" s="850"/>
      <c r="C1356" s="850"/>
      <c r="D1356" s="850"/>
      <c r="E1356" s="848"/>
      <c r="F1356" s="848"/>
      <c r="G1356" s="847"/>
      <c r="H1356" s="847"/>
    </row>
    <row r="1357" spans="1:8" x14ac:dyDescent="0.25">
      <c r="A1357" s="847"/>
      <c r="B1357" s="850"/>
      <c r="C1357" s="850"/>
      <c r="D1357" s="850"/>
      <c r="E1357" s="848"/>
      <c r="F1357" s="848"/>
      <c r="G1357" s="847"/>
      <c r="H1357" s="847"/>
    </row>
    <row r="1358" spans="1:8" x14ac:dyDescent="0.25">
      <c r="A1358" s="847"/>
      <c r="B1358" s="850"/>
      <c r="C1358" s="850"/>
      <c r="D1358" s="850"/>
      <c r="E1358" s="848"/>
      <c r="F1358" s="848"/>
      <c r="G1358" s="847"/>
      <c r="H1358" s="847"/>
    </row>
    <row r="1359" spans="1:8" x14ac:dyDescent="0.25">
      <c r="A1359" s="847"/>
      <c r="B1359" s="850"/>
      <c r="C1359" s="850"/>
      <c r="D1359" s="850"/>
      <c r="E1359" s="848"/>
      <c r="F1359" s="848"/>
      <c r="G1359" s="847"/>
      <c r="H1359" s="847"/>
    </row>
    <row r="1360" spans="1:8" x14ac:dyDescent="0.25">
      <c r="A1360" s="847"/>
      <c r="B1360" s="850"/>
      <c r="C1360" s="850"/>
      <c r="D1360" s="850"/>
      <c r="E1360" s="848"/>
      <c r="F1360" s="848"/>
      <c r="G1360" s="847"/>
      <c r="H1360" s="847"/>
    </row>
    <row r="1361" spans="1:8" x14ac:dyDescent="0.25">
      <c r="A1361" s="847"/>
      <c r="B1361" s="850"/>
      <c r="C1361" s="850"/>
      <c r="D1361" s="850"/>
      <c r="E1361" s="848"/>
      <c r="F1361" s="848"/>
      <c r="G1361" s="847"/>
      <c r="H1361" s="847"/>
    </row>
    <row r="1362" spans="1:8" x14ac:dyDescent="0.25">
      <c r="A1362" s="847"/>
      <c r="B1362" s="850"/>
      <c r="C1362" s="850"/>
      <c r="D1362" s="850"/>
      <c r="E1362" s="848"/>
      <c r="F1362" s="848"/>
      <c r="G1362" s="847"/>
      <c r="H1362" s="847"/>
    </row>
    <row r="1363" spans="1:8" x14ac:dyDescent="0.25">
      <c r="A1363" s="847"/>
      <c r="B1363" s="850"/>
      <c r="C1363" s="850"/>
      <c r="D1363" s="850"/>
      <c r="E1363" s="848"/>
      <c r="F1363" s="848"/>
      <c r="G1363" s="847"/>
      <c r="H1363" s="847"/>
    </row>
    <row r="1364" spans="1:8" x14ac:dyDescent="0.25">
      <c r="A1364" s="847"/>
      <c r="B1364" s="850"/>
      <c r="C1364" s="850"/>
      <c r="D1364" s="850"/>
      <c r="E1364" s="848"/>
      <c r="F1364" s="848"/>
      <c r="G1364" s="847"/>
      <c r="H1364" s="847"/>
    </row>
    <row r="1365" spans="1:8" x14ac:dyDescent="0.25">
      <c r="A1365" s="847"/>
      <c r="B1365" s="850"/>
      <c r="C1365" s="850"/>
      <c r="D1365" s="850"/>
      <c r="E1365" s="848"/>
      <c r="F1365" s="848"/>
      <c r="G1365" s="847"/>
      <c r="H1365" s="847"/>
    </row>
    <row r="1366" spans="1:8" x14ac:dyDescent="0.25">
      <c r="A1366" s="847"/>
      <c r="G1366" s="847"/>
      <c r="H1366" s="847"/>
    </row>
    <row r="1367" spans="1:8" x14ac:dyDescent="0.25">
      <c r="A1367" s="847"/>
      <c r="G1367" s="847"/>
      <c r="H1367" s="847"/>
    </row>
    <row r="1368" spans="1:8" x14ac:dyDescent="0.25">
      <c r="A1368" s="847"/>
      <c r="G1368" s="847"/>
      <c r="H1368" s="847"/>
    </row>
    <row r="1369" spans="1:8" x14ac:dyDescent="0.25">
      <c r="A1369" s="847"/>
      <c r="G1369" s="847"/>
      <c r="H1369" s="847"/>
    </row>
    <row r="1370" spans="1:8" x14ac:dyDescent="0.25">
      <c r="A1370" s="847"/>
      <c r="G1370" s="847"/>
      <c r="H1370" s="847"/>
    </row>
    <row r="1371" spans="1:8" x14ac:dyDescent="0.25">
      <c r="A1371" s="847"/>
      <c r="G1371" s="847"/>
      <c r="H1371" s="847"/>
    </row>
    <row r="1372" spans="1:8" x14ac:dyDescent="0.25">
      <c r="A1372" s="847"/>
      <c r="G1372" s="847"/>
      <c r="H1372" s="847"/>
    </row>
    <row r="1373" spans="1:8" x14ac:dyDescent="0.25">
      <c r="A1373" s="847"/>
      <c r="G1373" s="847"/>
      <c r="H1373" s="847"/>
    </row>
    <row r="1374" spans="1:8" x14ac:dyDescent="0.25">
      <c r="A1374" s="847"/>
      <c r="G1374" s="847"/>
      <c r="H1374" s="847"/>
    </row>
    <row r="1375" spans="1:8" x14ac:dyDescent="0.25">
      <c r="A1375" s="847"/>
      <c r="G1375" s="847"/>
      <c r="H1375" s="847"/>
    </row>
    <row r="1376" spans="1:8" x14ac:dyDescent="0.25">
      <c r="A1376" s="847"/>
      <c r="G1376" s="847"/>
      <c r="H1376" s="847"/>
    </row>
    <row r="1377" spans="1:8" x14ac:dyDescent="0.25">
      <c r="A1377" s="847"/>
      <c r="G1377" s="847"/>
      <c r="H1377" s="847"/>
    </row>
  </sheetData>
  <mergeCells count="11">
    <mergeCell ref="B9:E9"/>
    <mergeCell ref="B1:E1"/>
    <mergeCell ref="B2:E2"/>
    <mergeCell ref="B6:F6"/>
    <mergeCell ref="B7:E7"/>
    <mergeCell ref="B8:E8"/>
    <mergeCell ref="B13:B14"/>
    <mergeCell ref="C13:C14"/>
    <mergeCell ref="D13:D14"/>
    <mergeCell ref="E13:E14"/>
    <mergeCell ref="F13:F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9FFCC"/>
  </sheetPr>
  <dimension ref="A1:S71"/>
  <sheetViews>
    <sheetView showGridLines="0" zoomScale="80" zoomScaleNormal="80" zoomScaleSheetLayoutView="85" workbookViewId="0">
      <pane ySplit="2" topLeftCell="A3" activePane="bottomLeft" state="frozen"/>
      <selection pane="bottomLeft" activeCell="Q14" sqref="Q14"/>
    </sheetView>
  </sheetViews>
  <sheetFormatPr baseColWidth="10" defaultColWidth="11.42578125" defaultRowHeight="15" x14ac:dyDescent="0.25"/>
  <cols>
    <col min="1" max="1" width="3.5703125" style="150" bestFit="1" customWidth="1"/>
    <col min="2" max="2" width="24.42578125" style="150" customWidth="1"/>
    <col min="3" max="3" width="4.42578125" style="150" bestFit="1" customWidth="1"/>
    <col min="4" max="4" width="11.42578125" style="150" bestFit="1" customWidth="1"/>
    <col min="5" max="5" width="5" style="150" customWidth="1"/>
    <col min="6" max="6" width="9.7109375" style="150" bestFit="1" customWidth="1"/>
    <col min="7" max="7" width="11.7109375" style="150" bestFit="1" customWidth="1"/>
    <col min="8" max="8" width="10.28515625" style="150" bestFit="1" customWidth="1"/>
    <col min="9" max="9" width="8.7109375" style="150" bestFit="1" customWidth="1"/>
    <col min="10" max="10" width="7.140625" style="150" bestFit="1" customWidth="1"/>
    <col min="11" max="11" width="8.28515625" style="150" bestFit="1" customWidth="1"/>
    <col min="12" max="12" width="26" style="150" customWidth="1"/>
    <col min="13" max="13" width="9.5703125" style="150" bestFit="1" customWidth="1"/>
    <col min="14" max="14" width="11" style="150" bestFit="1" customWidth="1"/>
    <col min="15" max="18" width="11.42578125" style="150"/>
    <col min="19" max="19" width="11.42578125" style="150" hidden="1" customWidth="1"/>
    <col min="20" max="16384" width="11.42578125" style="150"/>
  </cols>
  <sheetData>
    <row r="1" spans="1:19" ht="15.75" customHeight="1" x14ac:dyDescent="0.25">
      <c r="B1" s="1172" t="s">
        <v>514</v>
      </c>
      <c r="C1" s="1178" t="s">
        <v>513</v>
      </c>
      <c r="D1" s="1174" t="s">
        <v>512</v>
      </c>
      <c r="E1" s="1178" t="s">
        <v>511</v>
      </c>
      <c r="F1" s="1174" t="s">
        <v>510</v>
      </c>
      <c r="G1" s="1174" t="s">
        <v>509</v>
      </c>
      <c r="H1" s="1174" t="s">
        <v>508</v>
      </c>
      <c r="I1" s="1176" t="s">
        <v>485</v>
      </c>
      <c r="J1" s="1176"/>
      <c r="K1" s="1176"/>
      <c r="L1" s="1176"/>
      <c r="M1" s="1176"/>
      <c r="N1" s="1177"/>
    </row>
    <row r="2" spans="1:19" ht="39" customHeight="1" thickBot="1" x14ac:dyDescent="0.3">
      <c r="B2" s="1173"/>
      <c r="C2" s="1179"/>
      <c r="D2" s="1175"/>
      <c r="E2" s="1179"/>
      <c r="F2" s="1175"/>
      <c r="G2" s="1175"/>
      <c r="H2" s="1175"/>
      <c r="I2" s="309" t="s">
        <v>507</v>
      </c>
      <c r="J2" s="309" t="s">
        <v>506</v>
      </c>
      <c r="K2" s="309" t="s">
        <v>505</v>
      </c>
      <c r="L2" s="309" t="s">
        <v>523</v>
      </c>
      <c r="M2" s="310" t="s">
        <v>515</v>
      </c>
      <c r="N2" s="311" t="s">
        <v>504</v>
      </c>
    </row>
    <row r="3" spans="1:19" x14ac:dyDescent="0.25">
      <c r="B3" s="270"/>
      <c r="C3" s="306"/>
      <c r="D3" s="303"/>
      <c r="E3" s="305"/>
      <c r="F3" s="304"/>
      <c r="G3" s="303"/>
      <c r="H3" s="303"/>
      <c r="I3" s="302" t="str">
        <f t="shared" ref="I3:I32" si="0">IF(AND(D3&lt;&gt;"",G3&lt;&gt;"",H3&lt;&gt;""),D3*G3*H3,"")</f>
        <v/>
      </c>
      <c r="J3" s="302" t="str">
        <f>IF(F3=5,0.154,IF(F3=6,0.222,IF(F3=8,0.395,IF(F3=10,0.617,IF(F3=12,0.888,IF(F3=14,1.208,IF(F3=16,1.578,IF(F3=20,2.466,IF(F3=25,3.853,IF(F3=32,6.313,IF(F3=40,9.865,"")))))))))))</f>
        <v/>
      </c>
      <c r="K3" s="156" t="str">
        <f t="shared" ref="K3:K32" si="1">IF(AND(I3&lt;&gt;"",J3&lt;&gt;""),I3*J3,"")</f>
        <v/>
      </c>
      <c r="L3" s="308" t="str">
        <f>IF(I3&lt;&gt;"",CEILING(I3/12,1),"")</f>
        <v/>
      </c>
      <c r="M3" s="302" t="str">
        <f t="shared" ref="M3:M32" si="2">IF(AND(J3&lt;&gt;"",F3&lt;40),FLOOR(100/(J3*12),1),IF(AND(J3&lt;&gt;"",F3=40),1,""))</f>
        <v/>
      </c>
      <c r="N3" s="156" t="str">
        <f t="shared" ref="N3:N32" si="3">IF(K3&lt;&gt;"",L3/M3,"")</f>
        <v/>
      </c>
      <c r="S3" s="307">
        <v>5</v>
      </c>
    </row>
    <row r="4" spans="1:19" x14ac:dyDescent="0.25">
      <c r="B4" s="270"/>
      <c r="C4" s="306"/>
      <c r="D4" s="303"/>
      <c r="E4" s="305"/>
      <c r="F4" s="304"/>
      <c r="G4" s="303"/>
      <c r="H4" s="303"/>
      <c r="I4" s="302" t="str">
        <f t="shared" si="0"/>
        <v/>
      </c>
      <c r="J4" s="302" t="str">
        <f t="shared" ref="J4:J32" si="4">IF(F4=5,0.154,IF(F4=6,0.222,IF(F4=8,0.395,IF(F4=10,0.617,IF(F4=12,0.888,IF(F4=14,1.208,IF(F4=16,1.578,IF(F4=20,2.466,IF(F4=25,3.853,IF(F4=32,6.313,IF(F4=40,9.865,"")))))))))))</f>
        <v/>
      </c>
      <c r="K4" s="156" t="str">
        <f t="shared" si="1"/>
        <v/>
      </c>
      <c r="L4" s="308" t="str">
        <f t="shared" ref="L4:L32" si="5">IF(I4&lt;&gt;"",CEILING(I4/12,1),"")</f>
        <v/>
      </c>
      <c r="M4" s="302" t="str">
        <f t="shared" si="2"/>
        <v/>
      </c>
      <c r="N4" s="156" t="str">
        <f t="shared" si="3"/>
        <v/>
      </c>
      <c r="S4" s="307">
        <v>6</v>
      </c>
    </row>
    <row r="5" spans="1:19" x14ac:dyDescent="0.25">
      <c r="B5" s="270"/>
      <c r="C5" s="306"/>
      <c r="D5" s="303"/>
      <c r="E5" s="305"/>
      <c r="F5" s="304"/>
      <c r="G5" s="303"/>
      <c r="H5" s="303"/>
      <c r="I5" s="302" t="str">
        <f t="shared" si="0"/>
        <v/>
      </c>
      <c r="J5" s="302" t="str">
        <f t="shared" si="4"/>
        <v/>
      </c>
      <c r="K5" s="156" t="str">
        <f t="shared" si="1"/>
        <v/>
      </c>
      <c r="L5" s="308" t="str">
        <f t="shared" si="5"/>
        <v/>
      </c>
      <c r="M5" s="302" t="str">
        <f t="shared" si="2"/>
        <v/>
      </c>
      <c r="N5" s="156" t="str">
        <f t="shared" si="3"/>
        <v/>
      </c>
      <c r="S5" s="307">
        <v>8</v>
      </c>
    </row>
    <row r="6" spans="1:19" x14ac:dyDescent="0.25">
      <c r="B6" s="270"/>
      <c r="C6" s="306"/>
      <c r="D6" s="303"/>
      <c r="E6" s="305"/>
      <c r="F6" s="304"/>
      <c r="G6" s="303"/>
      <c r="H6" s="303"/>
      <c r="I6" s="302" t="str">
        <f t="shared" si="0"/>
        <v/>
      </c>
      <c r="J6" s="302" t="str">
        <f t="shared" si="4"/>
        <v/>
      </c>
      <c r="K6" s="156" t="str">
        <f t="shared" si="1"/>
        <v/>
      </c>
      <c r="L6" s="308" t="str">
        <f t="shared" si="5"/>
        <v/>
      </c>
      <c r="M6" s="302" t="str">
        <f t="shared" si="2"/>
        <v/>
      </c>
      <c r="N6" s="156" t="str">
        <f t="shared" si="3"/>
        <v/>
      </c>
      <c r="S6" s="307">
        <v>10</v>
      </c>
    </row>
    <row r="7" spans="1:19" x14ac:dyDescent="0.25">
      <c r="B7" s="270"/>
      <c r="C7" s="306"/>
      <c r="D7" s="303"/>
      <c r="E7" s="305"/>
      <c r="F7" s="304"/>
      <c r="G7" s="303"/>
      <c r="H7" s="303"/>
      <c r="I7" s="302" t="str">
        <f t="shared" si="0"/>
        <v/>
      </c>
      <c r="J7" s="302" t="str">
        <f t="shared" si="4"/>
        <v/>
      </c>
      <c r="K7" s="156" t="str">
        <f t="shared" si="1"/>
        <v/>
      </c>
      <c r="L7" s="308" t="str">
        <f t="shared" si="5"/>
        <v/>
      </c>
      <c r="M7" s="302" t="str">
        <f t="shared" si="2"/>
        <v/>
      </c>
      <c r="N7" s="156" t="str">
        <f t="shared" si="3"/>
        <v/>
      </c>
      <c r="S7" s="307">
        <v>12</v>
      </c>
    </row>
    <row r="8" spans="1:19" x14ac:dyDescent="0.25">
      <c r="B8" s="270"/>
      <c r="C8" s="306"/>
      <c r="D8" s="303"/>
      <c r="E8" s="305"/>
      <c r="F8" s="304"/>
      <c r="G8" s="303"/>
      <c r="H8" s="303"/>
      <c r="I8" s="302" t="str">
        <f t="shared" si="0"/>
        <v/>
      </c>
      <c r="J8" s="302" t="str">
        <f t="shared" si="4"/>
        <v/>
      </c>
      <c r="K8" s="156" t="str">
        <f t="shared" si="1"/>
        <v/>
      </c>
      <c r="L8" s="308" t="str">
        <f t="shared" si="5"/>
        <v/>
      </c>
      <c r="M8" s="302" t="str">
        <f t="shared" si="2"/>
        <v/>
      </c>
      <c r="N8" s="156" t="str">
        <f t="shared" si="3"/>
        <v/>
      </c>
      <c r="S8" s="307">
        <v>14</v>
      </c>
    </row>
    <row r="9" spans="1:19" x14ac:dyDescent="0.25">
      <c r="B9" s="270"/>
      <c r="C9" s="306"/>
      <c r="D9" s="303"/>
      <c r="E9" s="305"/>
      <c r="F9" s="304"/>
      <c r="G9" s="303"/>
      <c r="H9" s="303"/>
      <c r="I9" s="302" t="str">
        <f t="shared" si="0"/>
        <v/>
      </c>
      <c r="J9" s="302" t="str">
        <f t="shared" si="4"/>
        <v/>
      </c>
      <c r="K9" s="156" t="str">
        <f t="shared" si="1"/>
        <v/>
      </c>
      <c r="L9" s="308" t="str">
        <f t="shared" si="5"/>
        <v/>
      </c>
      <c r="M9" s="302" t="str">
        <f t="shared" si="2"/>
        <v/>
      </c>
      <c r="N9" s="156" t="str">
        <f t="shared" si="3"/>
        <v/>
      </c>
      <c r="S9" s="307">
        <v>16</v>
      </c>
    </row>
    <row r="10" spans="1:19" x14ac:dyDescent="0.25">
      <c r="B10" s="270"/>
      <c r="C10" s="306"/>
      <c r="D10" s="303"/>
      <c r="E10" s="305"/>
      <c r="F10" s="304"/>
      <c r="G10" s="303"/>
      <c r="H10" s="303"/>
      <c r="I10" s="302" t="str">
        <f t="shared" si="0"/>
        <v/>
      </c>
      <c r="J10" s="302" t="str">
        <f t="shared" si="4"/>
        <v/>
      </c>
      <c r="K10" s="156" t="str">
        <f t="shared" si="1"/>
        <v/>
      </c>
      <c r="L10" s="308" t="str">
        <f t="shared" si="5"/>
        <v/>
      </c>
      <c r="M10" s="302" t="str">
        <f t="shared" si="2"/>
        <v/>
      </c>
      <c r="N10" s="156" t="str">
        <f t="shared" si="3"/>
        <v/>
      </c>
      <c r="S10" s="307">
        <v>20</v>
      </c>
    </row>
    <row r="11" spans="1:19" x14ac:dyDescent="0.25">
      <c r="B11" s="270"/>
      <c r="C11" s="306"/>
      <c r="D11" s="303"/>
      <c r="E11" s="305"/>
      <c r="F11" s="304"/>
      <c r="G11" s="303"/>
      <c r="H11" s="303"/>
      <c r="I11" s="302" t="str">
        <f t="shared" si="0"/>
        <v/>
      </c>
      <c r="J11" s="302" t="str">
        <f t="shared" si="4"/>
        <v/>
      </c>
      <c r="K11" s="156" t="str">
        <f t="shared" si="1"/>
        <v/>
      </c>
      <c r="L11" s="308" t="str">
        <f t="shared" si="5"/>
        <v/>
      </c>
      <c r="M11" s="302" t="str">
        <f t="shared" si="2"/>
        <v/>
      </c>
      <c r="N11" s="156" t="str">
        <f t="shared" si="3"/>
        <v/>
      </c>
      <c r="S11" s="307">
        <v>25</v>
      </c>
    </row>
    <row r="12" spans="1:19" x14ac:dyDescent="0.25">
      <c r="B12" s="270"/>
      <c r="C12" s="306"/>
      <c r="D12" s="303"/>
      <c r="E12" s="305"/>
      <c r="F12" s="304"/>
      <c r="G12" s="303"/>
      <c r="H12" s="303"/>
      <c r="I12" s="302" t="str">
        <f t="shared" si="0"/>
        <v/>
      </c>
      <c r="J12" s="302" t="str">
        <f t="shared" si="4"/>
        <v/>
      </c>
      <c r="K12" s="156" t="str">
        <f t="shared" si="1"/>
        <v/>
      </c>
      <c r="L12" s="308" t="str">
        <f t="shared" si="5"/>
        <v/>
      </c>
      <c r="M12" s="302" t="str">
        <f t="shared" si="2"/>
        <v/>
      </c>
      <c r="N12" s="156" t="str">
        <f t="shared" si="3"/>
        <v/>
      </c>
      <c r="S12" s="307">
        <v>32</v>
      </c>
    </row>
    <row r="13" spans="1:19" ht="15" customHeight="1" x14ac:dyDescent="0.25">
      <c r="B13" s="270"/>
      <c r="C13" s="306"/>
      <c r="D13" s="303"/>
      <c r="E13" s="305"/>
      <c r="F13" s="304"/>
      <c r="G13" s="303"/>
      <c r="H13" s="303"/>
      <c r="I13" s="302" t="str">
        <f t="shared" si="0"/>
        <v/>
      </c>
      <c r="J13" s="302" t="str">
        <f t="shared" si="4"/>
        <v/>
      </c>
      <c r="K13" s="156" t="str">
        <f t="shared" si="1"/>
        <v/>
      </c>
      <c r="L13" s="308" t="str">
        <f t="shared" si="5"/>
        <v/>
      </c>
      <c r="M13" s="302" t="str">
        <f t="shared" si="2"/>
        <v/>
      </c>
      <c r="N13" s="156" t="str">
        <f t="shared" si="3"/>
        <v/>
      </c>
      <c r="S13" s="307">
        <v>40</v>
      </c>
    </row>
    <row r="14" spans="1:19" x14ac:dyDescent="0.25">
      <c r="A14" s="316"/>
      <c r="B14" s="270"/>
      <c r="C14" s="306"/>
      <c r="D14" s="303"/>
      <c r="E14" s="305"/>
      <c r="F14" s="304"/>
      <c r="G14" s="303"/>
      <c r="H14" s="303"/>
      <c r="I14" s="302" t="str">
        <f t="shared" si="0"/>
        <v/>
      </c>
      <c r="J14" s="302" t="str">
        <f t="shared" si="4"/>
        <v/>
      </c>
      <c r="K14" s="156" t="str">
        <f t="shared" si="1"/>
        <v/>
      </c>
      <c r="L14" s="308" t="str">
        <f t="shared" si="5"/>
        <v/>
      </c>
      <c r="M14" s="302" t="str">
        <f t="shared" si="2"/>
        <v/>
      </c>
      <c r="N14" s="156" t="str">
        <f t="shared" si="3"/>
        <v/>
      </c>
      <c r="S14" s="307"/>
    </row>
    <row r="15" spans="1:19" x14ac:dyDescent="0.25">
      <c r="A15" s="316"/>
      <c r="B15" s="270"/>
      <c r="C15" s="306"/>
      <c r="D15" s="303"/>
      <c r="E15" s="305"/>
      <c r="F15" s="304"/>
      <c r="G15" s="303"/>
      <c r="H15" s="303"/>
      <c r="I15" s="302" t="str">
        <f t="shared" si="0"/>
        <v/>
      </c>
      <c r="J15" s="302" t="str">
        <f t="shared" si="4"/>
        <v/>
      </c>
      <c r="K15" s="156" t="str">
        <f t="shared" si="1"/>
        <v/>
      </c>
      <c r="L15" s="308" t="str">
        <f t="shared" si="5"/>
        <v/>
      </c>
      <c r="M15" s="302" t="str">
        <f t="shared" si="2"/>
        <v/>
      </c>
      <c r="N15" s="156" t="str">
        <f t="shared" si="3"/>
        <v/>
      </c>
      <c r="S15" s="307" t="s">
        <v>503</v>
      </c>
    </row>
    <row r="16" spans="1:19" x14ac:dyDescent="0.25">
      <c r="A16" s="316"/>
      <c r="B16" s="270"/>
      <c r="C16" s="306"/>
      <c r="D16" s="303"/>
      <c r="E16" s="305"/>
      <c r="F16" s="304"/>
      <c r="G16" s="303"/>
      <c r="H16" s="303"/>
      <c r="I16" s="302" t="str">
        <f t="shared" si="0"/>
        <v/>
      </c>
      <c r="J16" s="302" t="str">
        <f t="shared" si="4"/>
        <v/>
      </c>
      <c r="K16" s="156" t="str">
        <f t="shared" si="1"/>
        <v/>
      </c>
      <c r="L16" s="308" t="str">
        <f t="shared" si="5"/>
        <v/>
      </c>
      <c r="M16" s="302" t="str">
        <f t="shared" si="2"/>
        <v/>
      </c>
      <c r="N16" s="156" t="str">
        <f t="shared" si="3"/>
        <v/>
      </c>
      <c r="S16" s="307" t="s">
        <v>502</v>
      </c>
    </row>
    <row r="17" spans="1:14" x14ac:dyDescent="0.25">
      <c r="A17" s="316"/>
      <c r="B17" s="270"/>
      <c r="C17" s="306"/>
      <c r="D17" s="303"/>
      <c r="E17" s="305"/>
      <c r="F17" s="304"/>
      <c r="G17" s="303"/>
      <c r="H17" s="303"/>
      <c r="I17" s="302" t="str">
        <f t="shared" si="0"/>
        <v/>
      </c>
      <c r="J17" s="302" t="str">
        <f t="shared" si="4"/>
        <v/>
      </c>
      <c r="K17" s="156" t="str">
        <f t="shared" si="1"/>
        <v/>
      </c>
      <c r="L17" s="308" t="str">
        <f t="shared" si="5"/>
        <v/>
      </c>
      <c r="M17" s="302" t="str">
        <f t="shared" si="2"/>
        <v/>
      </c>
      <c r="N17" s="156" t="str">
        <f t="shared" si="3"/>
        <v/>
      </c>
    </row>
    <row r="18" spans="1:14" x14ac:dyDescent="0.25">
      <c r="A18" s="1171" t="s">
        <v>32</v>
      </c>
      <c r="B18" s="270"/>
      <c r="C18" s="306"/>
      <c r="D18" s="303"/>
      <c r="E18" s="305"/>
      <c r="F18" s="304"/>
      <c r="G18" s="303"/>
      <c r="H18" s="303"/>
      <c r="I18" s="302" t="str">
        <f t="shared" si="0"/>
        <v/>
      </c>
      <c r="J18" s="302" t="str">
        <f t="shared" si="4"/>
        <v/>
      </c>
      <c r="K18" s="156" t="str">
        <f t="shared" si="1"/>
        <v/>
      </c>
      <c r="L18" s="308" t="str">
        <f t="shared" si="5"/>
        <v/>
      </c>
      <c r="M18" s="302" t="str">
        <f t="shared" si="2"/>
        <v/>
      </c>
      <c r="N18" s="156" t="str">
        <f t="shared" si="3"/>
        <v/>
      </c>
    </row>
    <row r="19" spans="1:14" x14ac:dyDescent="0.25">
      <c r="A19" s="1171"/>
      <c r="B19" s="270"/>
      <c r="C19" s="306"/>
      <c r="D19" s="303"/>
      <c r="E19" s="305"/>
      <c r="F19" s="304"/>
      <c r="G19" s="303"/>
      <c r="H19" s="303"/>
      <c r="I19" s="302" t="str">
        <f t="shared" si="0"/>
        <v/>
      </c>
      <c r="J19" s="302" t="str">
        <f t="shared" si="4"/>
        <v/>
      </c>
      <c r="K19" s="156" t="str">
        <f t="shared" si="1"/>
        <v/>
      </c>
      <c r="L19" s="308" t="str">
        <f t="shared" si="5"/>
        <v/>
      </c>
      <c r="M19" s="302" t="str">
        <f t="shared" si="2"/>
        <v/>
      </c>
      <c r="N19" s="156" t="str">
        <f t="shared" si="3"/>
        <v/>
      </c>
    </row>
    <row r="20" spans="1:14" x14ac:dyDescent="0.25">
      <c r="A20" s="1171"/>
      <c r="B20" s="270"/>
      <c r="C20" s="306"/>
      <c r="D20" s="303"/>
      <c r="E20" s="305"/>
      <c r="F20" s="304"/>
      <c r="G20" s="303"/>
      <c r="H20" s="303"/>
      <c r="I20" s="302" t="str">
        <f t="shared" si="0"/>
        <v/>
      </c>
      <c r="J20" s="302" t="str">
        <f t="shared" si="4"/>
        <v/>
      </c>
      <c r="K20" s="156" t="str">
        <f t="shared" si="1"/>
        <v/>
      </c>
      <c r="L20" s="308" t="str">
        <f t="shared" si="5"/>
        <v/>
      </c>
      <c r="M20" s="302" t="str">
        <f t="shared" si="2"/>
        <v/>
      </c>
      <c r="N20" s="156" t="str">
        <f t="shared" si="3"/>
        <v/>
      </c>
    </row>
    <row r="21" spans="1:14" x14ac:dyDescent="0.25">
      <c r="A21" s="1171"/>
      <c r="B21" s="270"/>
      <c r="C21" s="306"/>
      <c r="D21" s="303"/>
      <c r="E21" s="305"/>
      <c r="F21" s="304"/>
      <c r="G21" s="303"/>
      <c r="H21" s="303"/>
      <c r="I21" s="302" t="str">
        <f t="shared" si="0"/>
        <v/>
      </c>
      <c r="J21" s="302" t="str">
        <f t="shared" si="4"/>
        <v/>
      </c>
      <c r="K21" s="156" t="str">
        <f t="shared" si="1"/>
        <v/>
      </c>
      <c r="L21" s="308" t="str">
        <f t="shared" si="5"/>
        <v/>
      </c>
      <c r="M21" s="302" t="str">
        <f t="shared" si="2"/>
        <v/>
      </c>
      <c r="N21" s="156" t="str">
        <f t="shared" si="3"/>
        <v/>
      </c>
    </row>
    <row r="22" spans="1:14" x14ac:dyDescent="0.25">
      <c r="A22" s="1171"/>
      <c r="B22" s="270"/>
      <c r="C22" s="306"/>
      <c r="D22" s="303"/>
      <c r="E22" s="305"/>
      <c r="F22" s="304"/>
      <c r="G22" s="303"/>
      <c r="H22" s="303"/>
      <c r="I22" s="302" t="str">
        <f t="shared" si="0"/>
        <v/>
      </c>
      <c r="J22" s="302" t="str">
        <f t="shared" si="4"/>
        <v/>
      </c>
      <c r="K22" s="156" t="str">
        <f t="shared" si="1"/>
        <v/>
      </c>
      <c r="L22" s="308" t="str">
        <f t="shared" si="5"/>
        <v/>
      </c>
      <c r="M22" s="302" t="str">
        <f t="shared" si="2"/>
        <v/>
      </c>
      <c r="N22" s="156" t="str">
        <f t="shared" si="3"/>
        <v/>
      </c>
    </row>
    <row r="23" spans="1:14" x14ac:dyDescent="0.25">
      <c r="A23" s="1171"/>
      <c r="B23" s="270"/>
      <c r="C23" s="306"/>
      <c r="D23" s="303"/>
      <c r="E23" s="305"/>
      <c r="F23" s="304"/>
      <c r="G23" s="303"/>
      <c r="H23" s="303"/>
      <c r="I23" s="302" t="str">
        <f t="shared" si="0"/>
        <v/>
      </c>
      <c r="J23" s="302" t="str">
        <f t="shared" si="4"/>
        <v/>
      </c>
      <c r="K23" s="156" t="str">
        <f t="shared" si="1"/>
        <v/>
      </c>
      <c r="L23" s="308" t="str">
        <f t="shared" si="5"/>
        <v/>
      </c>
      <c r="M23" s="302" t="str">
        <f t="shared" si="2"/>
        <v/>
      </c>
      <c r="N23" s="156" t="str">
        <f t="shared" si="3"/>
        <v/>
      </c>
    </row>
    <row r="24" spans="1:14" x14ac:dyDescent="0.25">
      <c r="A24" s="1171"/>
      <c r="B24" s="270"/>
      <c r="C24" s="306"/>
      <c r="D24" s="303"/>
      <c r="E24" s="305"/>
      <c r="F24" s="304"/>
      <c r="G24" s="303"/>
      <c r="H24" s="303"/>
      <c r="I24" s="302" t="str">
        <f t="shared" si="0"/>
        <v/>
      </c>
      <c r="J24" s="302" t="str">
        <f t="shared" si="4"/>
        <v/>
      </c>
      <c r="K24" s="156" t="str">
        <f t="shared" si="1"/>
        <v/>
      </c>
      <c r="L24" s="308" t="str">
        <f t="shared" si="5"/>
        <v/>
      </c>
      <c r="M24" s="302" t="str">
        <f t="shared" si="2"/>
        <v/>
      </c>
      <c r="N24" s="156" t="str">
        <f t="shared" si="3"/>
        <v/>
      </c>
    </row>
    <row r="25" spans="1:14" x14ac:dyDescent="0.25">
      <c r="A25" s="1171"/>
      <c r="B25" s="270"/>
      <c r="C25" s="306"/>
      <c r="D25" s="303"/>
      <c r="E25" s="305"/>
      <c r="F25" s="304"/>
      <c r="G25" s="303"/>
      <c r="H25" s="303"/>
      <c r="I25" s="302" t="str">
        <f t="shared" si="0"/>
        <v/>
      </c>
      <c r="J25" s="302" t="str">
        <f t="shared" si="4"/>
        <v/>
      </c>
      <c r="K25" s="156" t="str">
        <f t="shared" si="1"/>
        <v/>
      </c>
      <c r="L25" s="308" t="str">
        <f t="shared" si="5"/>
        <v/>
      </c>
      <c r="M25" s="302" t="str">
        <f t="shared" si="2"/>
        <v/>
      </c>
      <c r="N25" s="156" t="str">
        <f t="shared" si="3"/>
        <v/>
      </c>
    </row>
    <row r="26" spans="1:14" x14ac:dyDescent="0.25">
      <c r="A26" s="1171"/>
      <c r="B26" s="270"/>
      <c r="C26" s="306"/>
      <c r="D26" s="303"/>
      <c r="E26" s="305"/>
      <c r="F26" s="304"/>
      <c r="G26" s="303"/>
      <c r="H26" s="303"/>
      <c r="I26" s="302" t="str">
        <f t="shared" si="0"/>
        <v/>
      </c>
      <c r="J26" s="302" t="str">
        <f t="shared" si="4"/>
        <v/>
      </c>
      <c r="K26" s="156" t="str">
        <f t="shared" si="1"/>
        <v/>
      </c>
      <c r="L26" s="308" t="str">
        <f t="shared" si="5"/>
        <v/>
      </c>
      <c r="M26" s="302" t="str">
        <f t="shared" si="2"/>
        <v/>
      </c>
      <c r="N26" s="156" t="str">
        <f t="shared" si="3"/>
        <v/>
      </c>
    </row>
    <row r="27" spans="1:14" x14ac:dyDescent="0.25">
      <c r="A27" s="1171"/>
      <c r="B27" s="270"/>
      <c r="C27" s="306"/>
      <c r="D27" s="303"/>
      <c r="E27" s="305"/>
      <c r="F27" s="304"/>
      <c r="G27" s="303"/>
      <c r="H27" s="303"/>
      <c r="I27" s="302" t="str">
        <f t="shared" si="0"/>
        <v/>
      </c>
      <c r="J27" s="302" t="str">
        <f t="shared" si="4"/>
        <v/>
      </c>
      <c r="K27" s="156" t="str">
        <f t="shared" si="1"/>
        <v/>
      </c>
      <c r="L27" s="308" t="str">
        <f t="shared" si="5"/>
        <v/>
      </c>
      <c r="M27" s="302" t="str">
        <f t="shared" si="2"/>
        <v/>
      </c>
      <c r="N27" s="156" t="str">
        <f t="shared" si="3"/>
        <v/>
      </c>
    </row>
    <row r="28" spans="1:14" x14ac:dyDescent="0.25">
      <c r="A28" s="316"/>
      <c r="B28" s="270"/>
      <c r="C28" s="306"/>
      <c r="D28" s="303"/>
      <c r="E28" s="305"/>
      <c r="F28" s="304"/>
      <c r="G28" s="303"/>
      <c r="H28" s="303"/>
      <c r="I28" s="302" t="str">
        <f t="shared" si="0"/>
        <v/>
      </c>
      <c r="J28" s="302" t="str">
        <f t="shared" si="4"/>
        <v/>
      </c>
      <c r="K28" s="156" t="str">
        <f t="shared" si="1"/>
        <v/>
      </c>
      <c r="L28" s="308" t="str">
        <f t="shared" si="5"/>
        <v/>
      </c>
      <c r="M28" s="302" t="str">
        <f t="shared" si="2"/>
        <v/>
      </c>
      <c r="N28" s="156" t="str">
        <f t="shared" si="3"/>
        <v/>
      </c>
    </row>
    <row r="29" spans="1:14" x14ac:dyDescent="0.25">
      <c r="A29" s="316"/>
      <c r="B29" s="270"/>
      <c r="C29" s="306"/>
      <c r="D29" s="303"/>
      <c r="E29" s="305"/>
      <c r="F29" s="304"/>
      <c r="G29" s="303"/>
      <c r="H29" s="303"/>
      <c r="I29" s="302" t="str">
        <f t="shared" si="0"/>
        <v/>
      </c>
      <c r="J29" s="302" t="str">
        <f t="shared" si="4"/>
        <v/>
      </c>
      <c r="K29" s="156" t="str">
        <f t="shared" si="1"/>
        <v/>
      </c>
      <c r="L29" s="308" t="str">
        <f t="shared" si="5"/>
        <v/>
      </c>
      <c r="M29" s="302" t="str">
        <f t="shared" si="2"/>
        <v/>
      </c>
      <c r="N29" s="156" t="str">
        <f t="shared" si="3"/>
        <v/>
      </c>
    </row>
    <row r="30" spans="1:14" x14ac:dyDescent="0.25">
      <c r="A30" s="316"/>
      <c r="B30" s="270"/>
      <c r="C30" s="306"/>
      <c r="D30" s="303"/>
      <c r="E30" s="305"/>
      <c r="F30" s="304"/>
      <c r="G30" s="303"/>
      <c r="H30" s="303"/>
      <c r="I30" s="302" t="str">
        <f t="shared" si="0"/>
        <v/>
      </c>
      <c r="J30" s="302" t="str">
        <f t="shared" si="4"/>
        <v/>
      </c>
      <c r="K30" s="156" t="str">
        <f t="shared" si="1"/>
        <v/>
      </c>
      <c r="L30" s="308" t="str">
        <f t="shared" si="5"/>
        <v/>
      </c>
      <c r="M30" s="302" t="str">
        <f t="shared" si="2"/>
        <v/>
      </c>
      <c r="N30" s="156" t="str">
        <f t="shared" si="3"/>
        <v/>
      </c>
    </row>
    <row r="31" spans="1:14" x14ac:dyDescent="0.25">
      <c r="A31" s="316"/>
      <c r="B31" s="270"/>
      <c r="C31" s="306"/>
      <c r="D31" s="303"/>
      <c r="E31" s="305"/>
      <c r="F31" s="304"/>
      <c r="G31" s="303"/>
      <c r="H31" s="303"/>
      <c r="I31" s="302" t="str">
        <f t="shared" si="0"/>
        <v/>
      </c>
      <c r="J31" s="302" t="str">
        <f t="shared" si="4"/>
        <v/>
      </c>
      <c r="K31" s="156" t="str">
        <f t="shared" si="1"/>
        <v/>
      </c>
      <c r="L31" s="308" t="str">
        <f t="shared" si="5"/>
        <v/>
      </c>
      <c r="M31" s="302" t="str">
        <f t="shared" si="2"/>
        <v/>
      </c>
      <c r="N31" s="156" t="str">
        <f t="shared" si="3"/>
        <v/>
      </c>
    </row>
    <row r="32" spans="1:14" x14ac:dyDescent="0.25">
      <c r="A32" s="316"/>
      <c r="B32" s="270"/>
      <c r="C32" s="306"/>
      <c r="D32" s="303"/>
      <c r="E32" s="305"/>
      <c r="F32" s="304"/>
      <c r="G32" s="303"/>
      <c r="H32" s="303"/>
      <c r="I32" s="302" t="str">
        <f t="shared" si="0"/>
        <v/>
      </c>
      <c r="J32" s="302" t="str">
        <f t="shared" si="4"/>
        <v/>
      </c>
      <c r="K32" s="156" t="str">
        <f t="shared" si="1"/>
        <v/>
      </c>
      <c r="L32" s="308" t="str">
        <f t="shared" si="5"/>
        <v/>
      </c>
      <c r="M32" s="302" t="str">
        <f t="shared" si="2"/>
        <v/>
      </c>
      <c r="N32" s="156" t="str">
        <f t="shared" si="3"/>
        <v/>
      </c>
    </row>
    <row r="33" spans="1:14" x14ac:dyDescent="0.25">
      <c r="A33" s="316"/>
      <c r="J33" s="11"/>
      <c r="K33" s="11"/>
      <c r="L33" s="11"/>
      <c r="N33" s="11"/>
    </row>
    <row r="34" spans="1:14" x14ac:dyDescent="0.25">
      <c r="A34" s="316"/>
      <c r="J34" s="11"/>
      <c r="K34" s="11"/>
      <c r="L34" s="11"/>
      <c r="N34" s="11"/>
    </row>
    <row r="35" spans="1:14" x14ac:dyDescent="0.25">
      <c r="A35" s="316"/>
      <c r="J35" s="11"/>
      <c r="K35" s="11"/>
      <c r="L35" s="11"/>
      <c r="N35" s="11"/>
    </row>
    <row r="36" spans="1:14" x14ac:dyDescent="0.25">
      <c r="A36" s="316"/>
      <c r="J36" s="11"/>
      <c r="K36" s="11"/>
      <c r="L36" s="11"/>
      <c r="N36" s="11"/>
    </row>
    <row r="37" spans="1:14" x14ac:dyDescent="0.25">
      <c r="A37" s="316"/>
      <c r="J37" s="11"/>
      <c r="K37" s="11"/>
      <c r="L37" s="11"/>
      <c r="N37" s="11"/>
    </row>
    <row r="38" spans="1:14" x14ac:dyDescent="0.25">
      <c r="A38" s="316"/>
      <c r="J38" s="11"/>
      <c r="K38" s="11"/>
      <c r="L38" s="11"/>
      <c r="N38" s="11"/>
    </row>
    <row r="39" spans="1:14" x14ac:dyDescent="0.25">
      <c r="A39" s="316"/>
      <c r="J39" s="11"/>
      <c r="K39" s="11"/>
      <c r="L39" s="11"/>
      <c r="N39" s="11"/>
    </row>
    <row r="40" spans="1:14" x14ac:dyDescent="0.25">
      <c r="A40" s="316"/>
      <c r="J40" s="11"/>
      <c r="K40" s="11"/>
      <c r="L40" s="11"/>
      <c r="N40" s="11"/>
    </row>
    <row r="41" spans="1:14" x14ac:dyDescent="0.25">
      <c r="A41" s="316"/>
    </row>
    <row r="42" spans="1:14" x14ac:dyDescent="0.25">
      <c r="A42" s="316"/>
    </row>
    <row r="43" spans="1:14" x14ac:dyDescent="0.25">
      <c r="A43" s="316"/>
    </row>
    <row r="44" spans="1:14" x14ac:dyDescent="0.25">
      <c r="A44" s="316"/>
    </row>
    <row r="45" spans="1:14" x14ac:dyDescent="0.25">
      <c r="A45" s="316"/>
    </row>
    <row r="46" spans="1:14" x14ac:dyDescent="0.25">
      <c r="A46" s="316"/>
    </row>
    <row r="47" spans="1:14" x14ac:dyDescent="0.25">
      <c r="A47" s="316"/>
    </row>
    <row r="48" spans="1:14" x14ac:dyDescent="0.25">
      <c r="A48" s="316"/>
    </row>
    <row r="49" spans="1:1" x14ac:dyDescent="0.25">
      <c r="A49" s="316"/>
    </row>
    <row r="50" spans="1:1" x14ac:dyDescent="0.25">
      <c r="A50" s="316"/>
    </row>
    <row r="51" spans="1:1" x14ac:dyDescent="0.25">
      <c r="A51" s="316"/>
    </row>
    <row r="52" spans="1:1" x14ac:dyDescent="0.25">
      <c r="A52" s="316"/>
    </row>
    <row r="53" spans="1:1" x14ac:dyDescent="0.25">
      <c r="A53" s="316"/>
    </row>
    <row r="54" spans="1:1" x14ac:dyDescent="0.25">
      <c r="A54" s="316"/>
    </row>
    <row r="55" spans="1:1" x14ac:dyDescent="0.25">
      <c r="A55" s="316"/>
    </row>
    <row r="56" spans="1:1" x14ac:dyDescent="0.25">
      <c r="A56" s="316"/>
    </row>
    <row r="57" spans="1:1" x14ac:dyDescent="0.25">
      <c r="A57" s="316"/>
    </row>
    <row r="58" spans="1:1" x14ac:dyDescent="0.25">
      <c r="A58" s="316"/>
    </row>
    <row r="59" spans="1:1" x14ac:dyDescent="0.25">
      <c r="A59" s="316"/>
    </row>
    <row r="60" spans="1:1" x14ac:dyDescent="0.25">
      <c r="A60" s="316"/>
    </row>
    <row r="61" spans="1:1" x14ac:dyDescent="0.25">
      <c r="A61" s="316"/>
    </row>
    <row r="62" spans="1:1" x14ac:dyDescent="0.25">
      <c r="A62" s="316"/>
    </row>
    <row r="63" spans="1:1" x14ac:dyDescent="0.25">
      <c r="A63" s="316"/>
    </row>
    <row r="64" spans="1:1" x14ac:dyDescent="0.25">
      <c r="A64" s="316"/>
    </row>
    <row r="65" spans="1:1" x14ac:dyDescent="0.25">
      <c r="A65" s="316"/>
    </row>
    <row r="66" spans="1:1" x14ac:dyDescent="0.25">
      <c r="A66" s="316"/>
    </row>
    <row r="67" spans="1:1" x14ac:dyDescent="0.25">
      <c r="A67" s="316"/>
    </row>
    <row r="68" spans="1:1" x14ac:dyDescent="0.25">
      <c r="A68" s="316"/>
    </row>
    <row r="69" spans="1:1" x14ac:dyDescent="0.25">
      <c r="A69" s="316"/>
    </row>
    <row r="70" spans="1:1" x14ac:dyDescent="0.25">
      <c r="A70" s="316"/>
    </row>
    <row r="71" spans="1:1" x14ac:dyDescent="0.25">
      <c r="A71" s="316"/>
    </row>
  </sheetData>
  <sheetProtection insertRows="0" sort="0" autoFilter="0"/>
  <autoFilter ref="E2:F32"/>
  <dataConsolidate topLabels="1"/>
  <mergeCells count="9">
    <mergeCell ref="A18:A27"/>
    <mergeCell ref="B1:B2"/>
    <mergeCell ref="H1:H2"/>
    <mergeCell ref="G1:G2"/>
    <mergeCell ref="I1:N1"/>
    <mergeCell ref="F1:F2"/>
    <mergeCell ref="E1:E2"/>
    <mergeCell ref="D1:D2"/>
    <mergeCell ref="C1:C2"/>
  </mergeCells>
  <dataValidations count="60">
    <dataValidation type="list" allowBlank="1" showInputMessage="1" showErrorMessage="1" sqref="F32">
      <formula1>S3:S13</formula1>
    </dataValidation>
    <dataValidation type="list" allowBlank="1" showInputMessage="1" showErrorMessage="1" sqref="F31">
      <formula1>S3:S13</formula1>
    </dataValidation>
    <dataValidation type="list" allowBlank="1" showInputMessage="1" showErrorMessage="1" sqref="F30">
      <formula1>S3:S13</formula1>
    </dataValidation>
    <dataValidation type="list" allowBlank="1" showInputMessage="1" showErrorMessage="1" sqref="F29">
      <formula1>S3:S13</formula1>
    </dataValidation>
    <dataValidation type="list" allowBlank="1" showInputMessage="1" showErrorMessage="1" sqref="F28">
      <formula1>S3:S13</formula1>
    </dataValidation>
    <dataValidation type="list" allowBlank="1" showInputMessage="1" showErrorMessage="1" sqref="E32">
      <formula1>S15:S16</formula1>
    </dataValidation>
    <dataValidation type="list" allowBlank="1" showInputMessage="1" showErrorMessage="1" sqref="E31">
      <formula1>S15:S16</formula1>
    </dataValidation>
    <dataValidation type="list" allowBlank="1" showInputMessage="1" showErrorMessage="1" sqref="E30">
      <formula1>S15:S16</formula1>
    </dataValidation>
    <dataValidation type="list" allowBlank="1" showInputMessage="1" showErrorMessage="1" sqref="E29">
      <formula1>S15:S16</formula1>
    </dataValidation>
    <dataValidation type="list" allowBlank="1" showInputMessage="1" showErrorMessage="1" sqref="E28">
      <formula1>S15:S16</formula1>
    </dataValidation>
    <dataValidation type="list" allowBlank="1" showInputMessage="1" showErrorMessage="1" sqref="E27">
      <formula1>S15:S16</formula1>
    </dataValidation>
    <dataValidation type="list" allowBlank="1" showInputMessage="1" showErrorMessage="1" sqref="E26">
      <formula1>S15:S16</formula1>
    </dataValidation>
    <dataValidation type="list" allowBlank="1" showInputMessage="1" showErrorMessage="1" sqref="E25">
      <formula1>S15:S16</formula1>
    </dataValidation>
    <dataValidation type="list" allowBlank="1" showInputMessage="1" showErrorMessage="1" sqref="E24">
      <formula1>S15:S16</formula1>
    </dataValidation>
    <dataValidation type="list" allowBlank="1" showInputMessage="1" showErrorMessage="1" sqref="E23">
      <formula1>S15:S16</formula1>
    </dataValidation>
    <dataValidation type="list" allowBlank="1" showInputMessage="1" showErrorMessage="1" sqref="E22">
      <formula1>S15:S16</formula1>
    </dataValidation>
    <dataValidation type="list" allowBlank="1" showInputMessage="1" showErrorMessage="1" sqref="E21">
      <formula1>S15:S16</formula1>
    </dataValidation>
    <dataValidation type="list" allowBlank="1" showInputMessage="1" showErrorMessage="1" sqref="E20">
      <formula1>S15:S16</formula1>
    </dataValidation>
    <dataValidation type="list" allowBlank="1" showInputMessage="1" showErrorMessage="1" sqref="E19">
      <formula1>S15:S16</formula1>
    </dataValidation>
    <dataValidation type="list" allowBlank="1" showInputMessage="1" showErrorMessage="1" sqref="E18">
      <formula1>S15:S16</formula1>
    </dataValidation>
    <dataValidation type="list" allowBlank="1" showInputMessage="1" showErrorMessage="1" sqref="E17">
      <formula1>S15:S16</formula1>
    </dataValidation>
    <dataValidation type="list" allowBlank="1" showInputMessage="1" showErrorMessage="1" sqref="E16">
      <formula1>S15:S16</formula1>
    </dataValidation>
    <dataValidation type="list" allowBlank="1" showInputMessage="1" showErrorMessage="1" sqref="E15">
      <formula1>S15:S16</formula1>
    </dataValidation>
    <dataValidation type="list" allowBlank="1" showInputMessage="1" showErrorMessage="1" sqref="E14">
      <formula1>S15:S16</formula1>
    </dataValidation>
    <dataValidation type="list" allowBlank="1" showInputMessage="1" showErrorMessage="1" sqref="E13">
      <formula1>S15:S16</formula1>
    </dataValidation>
    <dataValidation type="list" allowBlank="1" showInputMessage="1" showErrorMessage="1" sqref="E12">
      <formula1>S15:S16</formula1>
    </dataValidation>
    <dataValidation type="list" allowBlank="1" showInputMessage="1" showErrorMessage="1" sqref="E11">
      <formula1>S15:S16</formula1>
    </dataValidation>
    <dataValidation type="list" allowBlank="1" showInputMessage="1" showErrorMessage="1" sqref="E10">
      <formula1>S15:S16</formula1>
    </dataValidation>
    <dataValidation type="list" allowBlank="1" showInputMessage="1" showErrorMessage="1" sqref="E9">
      <formula1>S15:S16</formula1>
    </dataValidation>
    <dataValidation type="list" allowBlank="1" showInputMessage="1" showErrorMessage="1" sqref="E8">
      <formula1>S15:S16</formula1>
    </dataValidation>
    <dataValidation type="list" allowBlank="1" showInputMessage="1" showErrorMessage="1" sqref="E7">
      <formula1>S15:S16</formula1>
    </dataValidation>
    <dataValidation type="list" allowBlank="1" showInputMessage="1" showErrorMessage="1" sqref="E6">
      <formula1>S15:S16</formula1>
    </dataValidation>
    <dataValidation type="list" allowBlank="1" showInputMessage="1" showErrorMessage="1" sqref="E5">
      <formula1>S15:S16</formula1>
    </dataValidation>
    <dataValidation type="list" allowBlank="1" showInputMessage="1" showErrorMessage="1" sqref="E4">
      <formula1>S15:S16</formula1>
    </dataValidation>
    <dataValidation type="list" allowBlank="1" showInputMessage="1" showErrorMessage="1" sqref="E3">
      <formula1>S15:S16</formula1>
    </dataValidation>
    <dataValidation type="list" allowBlank="1" showInputMessage="1" showErrorMessage="1" sqref="F27">
      <formula1>S3:S13</formula1>
    </dataValidation>
    <dataValidation type="list" allowBlank="1" showInputMessage="1" showErrorMessage="1" sqref="F26">
      <formula1>S3:S13</formula1>
    </dataValidation>
    <dataValidation type="list" allowBlank="1" showInputMessage="1" showErrorMessage="1" sqref="F25">
      <formula1>S3:S13</formula1>
    </dataValidation>
    <dataValidation type="list" allowBlank="1" showInputMessage="1" showErrorMessage="1" sqref="F24">
      <formula1>S3:S13</formula1>
    </dataValidation>
    <dataValidation type="list" allowBlank="1" showInputMessage="1" showErrorMessage="1" sqref="F23">
      <formula1>S3:S13</formula1>
    </dataValidation>
    <dataValidation type="list" allowBlank="1" showInputMessage="1" showErrorMessage="1" sqref="F22">
      <formula1>S3:S13</formula1>
    </dataValidation>
    <dataValidation type="list" allowBlank="1" showInputMessage="1" showErrorMessage="1" sqref="F21">
      <formula1>S3:S13</formula1>
    </dataValidation>
    <dataValidation type="list" allowBlank="1" showInputMessage="1" showErrorMessage="1" sqref="F20">
      <formula1>S3:S13</formula1>
    </dataValidation>
    <dataValidation type="list" allowBlank="1" showInputMessage="1" showErrorMessage="1" sqref="F19">
      <formula1>S3:S13</formula1>
    </dataValidation>
    <dataValidation type="list" allowBlank="1" showInputMessage="1" showErrorMessage="1" sqref="F18">
      <formula1>S3:S13</formula1>
    </dataValidation>
    <dataValidation type="list" allowBlank="1" showInputMessage="1" showErrorMessage="1" sqref="F17">
      <formula1>S3:S13</formula1>
    </dataValidation>
    <dataValidation type="list" allowBlank="1" showInputMessage="1" showErrorMessage="1" sqref="F16">
      <formula1>S3:S13</formula1>
    </dataValidation>
    <dataValidation type="list" allowBlank="1" showInputMessage="1" showErrorMessage="1" sqref="F15">
      <formula1>S3:S13</formula1>
    </dataValidation>
    <dataValidation type="list" allowBlank="1" showInputMessage="1" showErrorMessage="1" sqref="F14">
      <formula1>S3:S13</formula1>
    </dataValidation>
    <dataValidation type="list" allowBlank="1" showInputMessage="1" showErrorMessage="1" sqref="F13">
      <formula1>S3:S13</formula1>
    </dataValidation>
    <dataValidation type="list" allowBlank="1" showInputMessage="1" showErrorMessage="1" sqref="F12">
      <formula1>S3:S13</formula1>
    </dataValidation>
    <dataValidation type="list" allowBlank="1" showInputMessage="1" showErrorMessage="1" sqref="F11">
      <formula1>S3:S13</formula1>
    </dataValidation>
    <dataValidation type="list" allowBlank="1" showInputMessage="1" showErrorMessage="1" sqref="F10">
      <formula1>S3:S13</formula1>
    </dataValidation>
    <dataValidation type="list" allowBlank="1" showInputMessage="1" showErrorMessage="1" sqref="F9">
      <formula1>S3:S13</formula1>
    </dataValidation>
    <dataValidation type="list" allowBlank="1" showInputMessage="1" showErrorMessage="1" sqref="F8">
      <formula1>S3:S13</formula1>
    </dataValidation>
    <dataValidation type="list" allowBlank="1" showInputMessage="1" showErrorMessage="1" sqref="F7">
      <formula1>S3:S13</formula1>
    </dataValidation>
    <dataValidation type="list" allowBlank="1" showInputMessage="1" showErrorMessage="1" sqref="F6">
      <formula1>S3:S13</formula1>
    </dataValidation>
    <dataValidation type="list" allowBlank="1" showInputMessage="1" showErrorMessage="1" sqref="F5">
      <formula1>S3:S13</formula1>
    </dataValidation>
    <dataValidation type="list" allowBlank="1" showInputMessage="1" showErrorMessage="1" sqref="F4">
      <formula1>S3:S13</formula1>
    </dataValidation>
    <dataValidation type="list" allowBlank="1" showInputMessage="1" showErrorMessage="1" sqref="F3">
      <formula1>S3:S13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&amp;L&amp;F&amp;R&amp;A - &amp;P / &amp;N
Imprime le 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Z1001"/>
  <sheetViews>
    <sheetView zoomScaleNormal="100" workbookViewId="0">
      <selection activeCell="I2" sqref="I2:I4"/>
    </sheetView>
  </sheetViews>
  <sheetFormatPr baseColWidth="10" defaultRowHeight="16.5" x14ac:dyDescent="0.25"/>
  <cols>
    <col min="1" max="1" width="7.42578125" style="915" customWidth="1"/>
    <col min="2" max="2" width="7.85546875" style="928" customWidth="1"/>
    <col min="3" max="3" width="65.5703125" style="928" customWidth="1"/>
    <col min="4" max="4" width="10.140625" style="952" customWidth="1"/>
    <col min="5" max="5" width="13.28515625" style="954" customWidth="1"/>
    <col min="6" max="6" width="11.5703125" style="928" customWidth="1"/>
    <col min="7" max="7" width="17" style="928" customWidth="1"/>
    <col min="8" max="8" width="11.42578125" style="914"/>
    <col min="9" max="9" width="11.42578125" style="913"/>
    <col min="10" max="10" width="4.85546875" style="913" customWidth="1"/>
    <col min="11" max="13" width="16" style="913" customWidth="1"/>
    <col min="14" max="256" width="11.42578125" style="913"/>
    <col min="257" max="257" width="16" style="913" customWidth="1"/>
    <col min="258" max="258" width="20" style="913" customWidth="1"/>
    <col min="259" max="259" width="92.140625" style="913" customWidth="1"/>
    <col min="260" max="260" width="19.85546875" style="913" bestFit="1" customWidth="1"/>
    <col min="261" max="261" width="10.42578125" style="913" bestFit="1" customWidth="1"/>
    <col min="262" max="262" width="6.42578125" style="913" bestFit="1" customWidth="1"/>
    <col min="263" max="263" width="5.5703125" style="913" bestFit="1" customWidth="1"/>
    <col min="264" max="265" width="11.42578125" style="913"/>
    <col min="266" max="266" width="4.85546875" style="913" customWidth="1"/>
    <col min="267" max="269" width="16" style="913" customWidth="1"/>
    <col min="270" max="512" width="11.42578125" style="913"/>
    <col min="513" max="513" width="16" style="913" customWidth="1"/>
    <col min="514" max="514" width="20" style="913" customWidth="1"/>
    <col min="515" max="515" width="92.140625" style="913" customWidth="1"/>
    <col min="516" max="516" width="19.85546875" style="913" bestFit="1" customWidth="1"/>
    <col min="517" max="517" width="10.42578125" style="913" bestFit="1" customWidth="1"/>
    <col min="518" max="518" width="6.42578125" style="913" bestFit="1" customWidth="1"/>
    <col min="519" max="519" width="5.5703125" style="913" bestFit="1" customWidth="1"/>
    <col min="520" max="521" width="11.42578125" style="913"/>
    <col min="522" max="522" width="4.85546875" style="913" customWidth="1"/>
    <col min="523" max="525" width="16" style="913" customWidth="1"/>
    <col min="526" max="768" width="11.42578125" style="913"/>
    <col min="769" max="769" width="16" style="913" customWidth="1"/>
    <col min="770" max="770" width="20" style="913" customWidth="1"/>
    <col min="771" max="771" width="92.140625" style="913" customWidth="1"/>
    <col min="772" max="772" width="19.85546875" style="913" bestFit="1" customWidth="1"/>
    <col min="773" max="773" width="10.42578125" style="913" bestFit="1" customWidth="1"/>
    <col min="774" max="774" width="6.42578125" style="913" bestFit="1" customWidth="1"/>
    <col min="775" max="775" width="5.5703125" style="913" bestFit="1" customWidth="1"/>
    <col min="776" max="777" width="11.42578125" style="913"/>
    <col min="778" max="778" width="4.85546875" style="913" customWidth="1"/>
    <col min="779" max="781" width="16" style="913" customWidth="1"/>
    <col min="782" max="1024" width="11.42578125" style="913"/>
    <col min="1025" max="1025" width="16" style="913" customWidth="1"/>
    <col min="1026" max="1026" width="20" style="913" customWidth="1"/>
    <col min="1027" max="1027" width="92.140625" style="913" customWidth="1"/>
    <col min="1028" max="1028" width="19.85546875" style="913" bestFit="1" customWidth="1"/>
    <col min="1029" max="1029" width="10.42578125" style="913" bestFit="1" customWidth="1"/>
    <col min="1030" max="1030" width="6.42578125" style="913" bestFit="1" customWidth="1"/>
    <col min="1031" max="1031" width="5.5703125" style="913" bestFit="1" customWidth="1"/>
    <col min="1032" max="1033" width="11.42578125" style="913"/>
    <col min="1034" max="1034" width="4.85546875" style="913" customWidth="1"/>
    <col min="1035" max="1037" width="16" style="913" customWidth="1"/>
    <col min="1038" max="1280" width="11.42578125" style="913"/>
    <col min="1281" max="1281" width="16" style="913" customWidth="1"/>
    <col min="1282" max="1282" width="20" style="913" customWidth="1"/>
    <col min="1283" max="1283" width="92.140625" style="913" customWidth="1"/>
    <col min="1284" max="1284" width="19.85546875" style="913" bestFit="1" customWidth="1"/>
    <col min="1285" max="1285" width="10.42578125" style="913" bestFit="1" customWidth="1"/>
    <col min="1286" max="1286" width="6.42578125" style="913" bestFit="1" customWidth="1"/>
    <col min="1287" max="1287" width="5.5703125" style="913" bestFit="1" customWidth="1"/>
    <col min="1288" max="1289" width="11.42578125" style="913"/>
    <col min="1290" max="1290" width="4.85546875" style="913" customWidth="1"/>
    <col min="1291" max="1293" width="16" style="913" customWidth="1"/>
    <col min="1294" max="1536" width="11.42578125" style="913"/>
    <col min="1537" max="1537" width="16" style="913" customWidth="1"/>
    <col min="1538" max="1538" width="20" style="913" customWidth="1"/>
    <col min="1539" max="1539" width="92.140625" style="913" customWidth="1"/>
    <col min="1540" max="1540" width="19.85546875" style="913" bestFit="1" customWidth="1"/>
    <col min="1541" max="1541" width="10.42578125" style="913" bestFit="1" customWidth="1"/>
    <col min="1542" max="1542" width="6.42578125" style="913" bestFit="1" customWidth="1"/>
    <col min="1543" max="1543" width="5.5703125" style="913" bestFit="1" customWidth="1"/>
    <col min="1544" max="1545" width="11.42578125" style="913"/>
    <col min="1546" max="1546" width="4.85546875" style="913" customWidth="1"/>
    <col min="1547" max="1549" width="16" style="913" customWidth="1"/>
    <col min="1550" max="1792" width="11.42578125" style="913"/>
    <col min="1793" max="1793" width="16" style="913" customWidth="1"/>
    <col min="1794" max="1794" width="20" style="913" customWidth="1"/>
    <col min="1795" max="1795" width="92.140625" style="913" customWidth="1"/>
    <col min="1796" max="1796" width="19.85546875" style="913" bestFit="1" customWidth="1"/>
    <col min="1797" max="1797" width="10.42578125" style="913" bestFit="1" customWidth="1"/>
    <col min="1798" max="1798" width="6.42578125" style="913" bestFit="1" customWidth="1"/>
    <col min="1799" max="1799" width="5.5703125" style="913" bestFit="1" customWidth="1"/>
    <col min="1800" max="1801" width="11.42578125" style="913"/>
    <col min="1802" max="1802" width="4.85546875" style="913" customWidth="1"/>
    <col min="1803" max="1805" width="16" style="913" customWidth="1"/>
    <col min="1806" max="2048" width="11.42578125" style="913"/>
    <col min="2049" max="2049" width="16" style="913" customWidth="1"/>
    <col min="2050" max="2050" width="20" style="913" customWidth="1"/>
    <col min="2051" max="2051" width="92.140625" style="913" customWidth="1"/>
    <col min="2052" max="2052" width="19.85546875" style="913" bestFit="1" customWidth="1"/>
    <col min="2053" max="2053" width="10.42578125" style="913" bestFit="1" customWidth="1"/>
    <col min="2054" max="2054" width="6.42578125" style="913" bestFit="1" customWidth="1"/>
    <col min="2055" max="2055" width="5.5703125" style="913" bestFit="1" customWidth="1"/>
    <col min="2056" max="2057" width="11.42578125" style="913"/>
    <col min="2058" max="2058" width="4.85546875" style="913" customWidth="1"/>
    <col min="2059" max="2061" width="16" style="913" customWidth="1"/>
    <col min="2062" max="2304" width="11.42578125" style="913"/>
    <col min="2305" max="2305" width="16" style="913" customWidth="1"/>
    <col min="2306" max="2306" width="20" style="913" customWidth="1"/>
    <col min="2307" max="2307" width="92.140625" style="913" customWidth="1"/>
    <col min="2308" max="2308" width="19.85546875" style="913" bestFit="1" customWidth="1"/>
    <col min="2309" max="2309" width="10.42578125" style="913" bestFit="1" customWidth="1"/>
    <col min="2310" max="2310" width="6.42578125" style="913" bestFit="1" customWidth="1"/>
    <col min="2311" max="2311" width="5.5703125" style="913" bestFit="1" customWidth="1"/>
    <col min="2312" max="2313" width="11.42578125" style="913"/>
    <col min="2314" max="2314" width="4.85546875" style="913" customWidth="1"/>
    <col min="2315" max="2317" width="16" style="913" customWidth="1"/>
    <col min="2318" max="2560" width="11.42578125" style="913"/>
    <col min="2561" max="2561" width="16" style="913" customWidth="1"/>
    <col min="2562" max="2562" width="20" style="913" customWidth="1"/>
    <col min="2563" max="2563" width="92.140625" style="913" customWidth="1"/>
    <col min="2564" max="2564" width="19.85546875" style="913" bestFit="1" customWidth="1"/>
    <col min="2565" max="2565" width="10.42578125" style="913" bestFit="1" customWidth="1"/>
    <col min="2566" max="2566" width="6.42578125" style="913" bestFit="1" customWidth="1"/>
    <col min="2567" max="2567" width="5.5703125" style="913" bestFit="1" customWidth="1"/>
    <col min="2568" max="2569" width="11.42578125" style="913"/>
    <col min="2570" max="2570" width="4.85546875" style="913" customWidth="1"/>
    <col min="2571" max="2573" width="16" style="913" customWidth="1"/>
    <col min="2574" max="2816" width="11.42578125" style="913"/>
    <col min="2817" max="2817" width="16" style="913" customWidth="1"/>
    <col min="2818" max="2818" width="20" style="913" customWidth="1"/>
    <col min="2819" max="2819" width="92.140625" style="913" customWidth="1"/>
    <col min="2820" max="2820" width="19.85546875" style="913" bestFit="1" customWidth="1"/>
    <col min="2821" max="2821" width="10.42578125" style="913" bestFit="1" customWidth="1"/>
    <col min="2822" max="2822" width="6.42578125" style="913" bestFit="1" customWidth="1"/>
    <col min="2823" max="2823" width="5.5703125" style="913" bestFit="1" customWidth="1"/>
    <col min="2824" max="2825" width="11.42578125" style="913"/>
    <col min="2826" max="2826" width="4.85546875" style="913" customWidth="1"/>
    <col min="2827" max="2829" width="16" style="913" customWidth="1"/>
    <col min="2830" max="3072" width="11.42578125" style="913"/>
    <col min="3073" max="3073" width="16" style="913" customWidth="1"/>
    <col min="3074" max="3074" width="20" style="913" customWidth="1"/>
    <col min="3075" max="3075" width="92.140625" style="913" customWidth="1"/>
    <col min="3076" max="3076" width="19.85546875" style="913" bestFit="1" customWidth="1"/>
    <col min="3077" max="3077" width="10.42578125" style="913" bestFit="1" customWidth="1"/>
    <col min="3078" max="3078" width="6.42578125" style="913" bestFit="1" customWidth="1"/>
    <col min="3079" max="3079" width="5.5703125" style="913" bestFit="1" customWidth="1"/>
    <col min="3080" max="3081" width="11.42578125" style="913"/>
    <col min="3082" max="3082" width="4.85546875" style="913" customWidth="1"/>
    <col min="3083" max="3085" width="16" style="913" customWidth="1"/>
    <col min="3086" max="3328" width="11.42578125" style="913"/>
    <col min="3329" max="3329" width="16" style="913" customWidth="1"/>
    <col min="3330" max="3330" width="20" style="913" customWidth="1"/>
    <col min="3331" max="3331" width="92.140625" style="913" customWidth="1"/>
    <col min="3332" max="3332" width="19.85546875" style="913" bestFit="1" customWidth="1"/>
    <col min="3333" max="3333" width="10.42578125" style="913" bestFit="1" customWidth="1"/>
    <col min="3334" max="3334" width="6.42578125" style="913" bestFit="1" customWidth="1"/>
    <col min="3335" max="3335" width="5.5703125" style="913" bestFit="1" customWidth="1"/>
    <col min="3336" max="3337" width="11.42578125" style="913"/>
    <col min="3338" max="3338" width="4.85546875" style="913" customWidth="1"/>
    <col min="3339" max="3341" width="16" style="913" customWidth="1"/>
    <col min="3342" max="3584" width="11.42578125" style="913"/>
    <col min="3585" max="3585" width="16" style="913" customWidth="1"/>
    <col min="3586" max="3586" width="20" style="913" customWidth="1"/>
    <col min="3587" max="3587" width="92.140625" style="913" customWidth="1"/>
    <col min="3588" max="3588" width="19.85546875" style="913" bestFit="1" customWidth="1"/>
    <col min="3589" max="3589" width="10.42578125" style="913" bestFit="1" customWidth="1"/>
    <col min="3590" max="3590" width="6.42578125" style="913" bestFit="1" customWidth="1"/>
    <col min="3591" max="3591" width="5.5703125" style="913" bestFit="1" customWidth="1"/>
    <col min="3592" max="3593" width="11.42578125" style="913"/>
    <col min="3594" max="3594" width="4.85546875" style="913" customWidth="1"/>
    <col min="3595" max="3597" width="16" style="913" customWidth="1"/>
    <col min="3598" max="3840" width="11.42578125" style="913"/>
    <col min="3841" max="3841" width="16" style="913" customWidth="1"/>
    <col min="3842" max="3842" width="20" style="913" customWidth="1"/>
    <col min="3843" max="3843" width="92.140625" style="913" customWidth="1"/>
    <col min="3844" max="3844" width="19.85546875" style="913" bestFit="1" customWidth="1"/>
    <col min="3845" max="3845" width="10.42578125" style="913" bestFit="1" customWidth="1"/>
    <col min="3846" max="3846" width="6.42578125" style="913" bestFit="1" customWidth="1"/>
    <col min="3847" max="3847" width="5.5703125" style="913" bestFit="1" customWidth="1"/>
    <col min="3848" max="3849" width="11.42578125" style="913"/>
    <col min="3850" max="3850" width="4.85546875" style="913" customWidth="1"/>
    <col min="3851" max="3853" width="16" style="913" customWidth="1"/>
    <col min="3854" max="4096" width="11.42578125" style="913"/>
    <col min="4097" max="4097" width="16" style="913" customWidth="1"/>
    <col min="4098" max="4098" width="20" style="913" customWidth="1"/>
    <col min="4099" max="4099" width="92.140625" style="913" customWidth="1"/>
    <col min="4100" max="4100" width="19.85546875" style="913" bestFit="1" customWidth="1"/>
    <col min="4101" max="4101" width="10.42578125" style="913" bestFit="1" customWidth="1"/>
    <col min="4102" max="4102" width="6.42578125" style="913" bestFit="1" customWidth="1"/>
    <col min="4103" max="4103" width="5.5703125" style="913" bestFit="1" customWidth="1"/>
    <col min="4104" max="4105" width="11.42578125" style="913"/>
    <col min="4106" max="4106" width="4.85546875" style="913" customWidth="1"/>
    <col min="4107" max="4109" width="16" style="913" customWidth="1"/>
    <col min="4110" max="4352" width="11.42578125" style="913"/>
    <col min="4353" max="4353" width="16" style="913" customWidth="1"/>
    <col min="4354" max="4354" width="20" style="913" customWidth="1"/>
    <col min="4355" max="4355" width="92.140625" style="913" customWidth="1"/>
    <col min="4356" max="4356" width="19.85546875" style="913" bestFit="1" customWidth="1"/>
    <col min="4357" max="4357" width="10.42578125" style="913" bestFit="1" customWidth="1"/>
    <col min="4358" max="4358" width="6.42578125" style="913" bestFit="1" customWidth="1"/>
    <col min="4359" max="4359" width="5.5703125" style="913" bestFit="1" customWidth="1"/>
    <col min="4360" max="4361" width="11.42578125" style="913"/>
    <col min="4362" max="4362" width="4.85546875" style="913" customWidth="1"/>
    <col min="4363" max="4365" width="16" style="913" customWidth="1"/>
    <col min="4366" max="4608" width="11.42578125" style="913"/>
    <col min="4609" max="4609" width="16" style="913" customWidth="1"/>
    <col min="4610" max="4610" width="20" style="913" customWidth="1"/>
    <col min="4611" max="4611" width="92.140625" style="913" customWidth="1"/>
    <col min="4612" max="4612" width="19.85546875" style="913" bestFit="1" customWidth="1"/>
    <col min="4613" max="4613" width="10.42578125" style="913" bestFit="1" customWidth="1"/>
    <col min="4614" max="4614" width="6.42578125" style="913" bestFit="1" customWidth="1"/>
    <col min="4615" max="4615" width="5.5703125" style="913" bestFit="1" customWidth="1"/>
    <col min="4616" max="4617" width="11.42578125" style="913"/>
    <col min="4618" max="4618" width="4.85546875" style="913" customWidth="1"/>
    <col min="4619" max="4621" width="16" style="913" customWidth="1"/>
    <col min="4622" max="4864" width="11.42578125" style="913"/>
    <col min="4865" max="4865" width="16" style="913" customWidth="1"/>
    <col min="4866" max="4866" width="20" style="913" customWidth="1"/>
    <col min="4867" max="4867" width="92.140625" style="913" customWidth="1"/>
    <col min="4868" max="4868" width="19.85546875" style="913" bestFit="1" customWidth="1"/>
    <col min="4869" max="4869" width="10.42578125" style="913" bestFit="1" customWidth="1"/>
    <col min="4870" max="4870" width="6.42578125" style="913" bestFit="1" customWidth="1"/>
    <col min="4871" max="4871" width="5.5703125" style="913" bestFit="1" customWidth="1"/>
    <col min="4872" max="4873" width="11.42578125" style="913"/>
    <col min="4874" max="4874" width="4.85546875" style="913" customWidth="1"/>
    <col min="4875" max="4877" width="16" style="913" customWidth="1"/>
    <col min="4878" max="5120" width="11.42578125" style="913"/>
    <col min="5121" max="5121" width="16" style="913" customWidth="1"/>
    <col min="5122" max="5122" width="20" style="913" customWidth="1"/>
    <col min="5123" max="5123" width="92.140625" style="913" customWidth="1"/>
    <col min="5124" max="5124" width="19.85546875" style="913" bestFit="1" customWidth="1"/>
    <col min="5125" max="5125" width="10.42578125" style="913" bestFit="1" customWidth="1"/>
    <col min="5126" max="5126" width="6.42578125" style="913" bestFit="1" customWidth="1"/>
    <col min="5127" max="5127" width="5.5703125" style="913" bestFit="1" customWidth="1"/>
    <col min="5128" max="5129" width="11.42578125" style="913"/>
    <col min="5130" max="5130" width="4.85546875" style="913" customWidth="1"/>
    <col min="5131" max="5133" width="16" style="913" customWidth="1"/>
    <col min="5134" max="5376" width="11.42578125" style="913"/>
    <col min="5377" max="5377" width="16" style="913" customWidth="1"/>
    <col min="5378" max="5378" width="20" style="913" customWidth="1"/>
    <col min="5379" max="5379" width="92.140625" style="913" customWidth="1"/>
    <col min="5380" max="5380" width="19.85546875" style="913" bestFit="1" customWidth="1"/>
    <col min="5381" max="5381" width="10.42578125" style="913" bestFit="1" customWidth="1"/>
    <col min="5382" max="5382" width="6.42578125" style="913" bestFit="1" customWidth="1"/>
    <col min="5383" max="5383" width="5.5703125" style="913" bestFit="1" customWidth="1"/>
    <col min="5384" max="5385" width="11.42578125" style="913"/>
    <col min="5386" max="5386" width="4.85546875" style="913" customWidth="1"/>
    <col min="5387" max="5389" width="16" style="913" customWidth="1"/>
    <col min="5390" max="5632" width="11.42578125" style="913"/>
    <col min="5633" max="5633" width="16" style="913" customWidth="1"/>
    <col min="5634" max="5634" width="20" style="913" customWidth="1"/>
    <col min="5635" max="5635" width="92.140625" style="913" customWidth="1"/>
    <col min="5636" max="5636" width="19.85546875" style="913" bestFit="1" customWidth="1"/>
    <col min="5637" max="5637" width="10.42578125" style="913" bestFit="1" customWidth="1"/>
    <col min="5638" max="5638" width="6.42578125" style="913" bestFit="1" customWidth="1"/>
    <col min="5639" max="5639" width="5.5703125" style="913" bestFit="1" customWidth="1"/>
    <col min="5640" max="5641" width="11.42578125" style="913"/>
    <col min="5642" max="5642" width="4.85546875" style="913" customWidth="1"/>
    <col min="5643" max="5645" width="16" style="913" customWidth="1"/>
    <col min="5646" max="5888" width="11.42578125" style="913"/>
    <col min="5889" max="5889" width="16" style="913" customWidth="1"/>
    <col min="5890" max="5890" width="20" style="913" customWidth="1"/>
    <col min="5891" max="5891" width="92.140625" style="913" customWidth="1"/>
    <col min="5892" max="5892" width="19.85546875" style="913" bestFit="1" customWidth="1"/>
    <col min="5893" max="5893" width="10.42578125" style="913" bestFit="1" customWidth="1"/>
    <col min="5894" max="5894" width="6.42578125" style="913" bestFit="1" customWidth="1"/>
    <col min="5895" max="5895" width="5.5703125" style="913" bestFit="1" customWidth="1"/>
    <col min="5896" max="5897" width="11.42578125" style="913"/>
    <col min="5898" max="5898" width="4.85546875" style="913" customWidth="1"/>
    <col min="5899" max="5901" width="16" style="913" customWidth="1"/>
    <col min="5902" max="6144" width="11.42578125" style="913"/>
    <col min="6145" max="6145" width="16" style="913" customWidth="1"/>
    <col min="6146" max="6146" width="20" style="913" customWidth="1"/>
    <col min="6147" max="6147" width="92.140625" style="913" customWidth="1"/>
    <col min="6148" max="6148" width="19.85546875" style="913" bestFit="1" customWidth="1"/>
    <col min="6149" max="6149" width="10.42578125" style="913" bestFit="1" customWidth="1"/>
    <col min="6150" max="6150" width="6.42578125" style="913" bestFit="1" customWidth="1"/>
    <col min="6151" max="6151" width="5.5703125" style="913" bestFit="1" customWidth="1"/>
    <col min="6152" max="6153" width="11.42578125" style="913"/>
    <col min="6154" max="6154" width="4.85546875" style="913" customWidth="1"/>
    <col min="6155" max="6157" width="16" style="913" customWidth="1"/>
    <col min="6158" max="6400" width="11.42578125" style="913"/>
    <col min="6401" max="6401" width="16" style="913" customWidth="1"/>
    <col min="6402" max="6402" width="20" style="913" customWidth="1"/>
    <col min="6403" max="6403" width="92.140625" style="913" customWidth="1"/>
    <col min="6404" max="6404" width="19.85546875" style="913" bestFit="1" customWidth="1"/>
    <col min="6405" max="6405" width="10.42578125" style="913" bestFit="1" customWidth="1"/>
    <col min="6406" max="6406" width="6.42578125" style="913" bestFit="1" customWidth="1"/>
    <col min="6407" max="6407" width="5.5703125" style="913" bestFit="1" customWidth="1"/>
    <col min="6408" max="6409" width="11.42578125" style="913"/>
    <col min="6410" max="6410" width="4.85546875" style="913" customWidth="1"/>
    <col min="6411" max="6413" width="16" style="913" customWidth="1"/>
    <col min="6414" max="6656" width="11.42578125" style="913"/>
    <col min="6657" max="6657" width="16" style="913" customWidth="1"/>
    <col min="6658" max="6658" width="20" style="913" customWidth="1"/>
    <col min="6659" max="6659" width="92.140625" style="913" customWidth="1"/>
    <col min="6660" max="6660" width="19.85546875" style="913" bestFit="1" customWidth="1"/>
    <col min="6661" max="6661" width="10.42578125" style="913" bestFit="1" customWidth="1"/>
    <col min="6662" max="6662" width="6.42578125" style="913" bestFit="1" customWidth="1"/>
    <col min="6663" max="6663" width="5.5703125" style="913" bestFit="1" customWidth="1"/>
    <col min="6664" max="6665" width="11.42578125" style="913"/>
    <col min="6666" max="6666" width="4.85546875" style="913" customWidth="1"/>
    <col min="6667" max="6669" width="16" style="913" customWidth="1"/>
    <col min="6670" max="6912" width="11.42578125" style="913"/>
    <col min="6913" max="6913" width="16" style="913" customWidth="1"/>
    <col min="6914" max="6914" width="20" style="913" customWidth="1"/>
    <col min="6915" max="6915" width="92.140625" style="913" customWidth="1"/>
    <col min="6916" max="6916" width="19.85546875" style="913" bestFit="1" customWidth="1"/>
    <col min="6917" max="6917" width="10.42578125" style="913" bestFit="1" customWidth="1"/>
    <col min="6918" max="6918" width="6.42578125" style="913" bestFit="1" customWidth="1"/>
    <col min="6919" max="6919" width="5.5703125" style="913" bestFit="1" customWidth="1"/>
    <col min="6920" max="6921" width="11.42578125" style="913"/>
    <col min="6922" max="6922" width="4.85546875" style="913" customWidth="1"/>
    <col min="6923" max="6925" width="16" style="913" customWidth="1"/>
    <col min="6926" max="7168" width="11.42578125" style="913"/>
    <col min="7169" max="7169" width="16" style="913" customWidth="1"/>
    <col min="7170" max="7170" width="20" style="913" customWidth="1"/>
    <col min="7171" max="7171" width="92.140625" style="913" customWidth="1"/>
    <col min="7172" max="7172" width="19.85546875" style="913" bestFit="1" customWidth="1"/>
    <col min="7173" max="7173" width="10.42578125" style="913" bestFit="1" customWidth="1"/>
    <col min="7174" max="7174" width="6.42578125" style="913" bestFit="1" customWidth="1"/>
    <col min="7175" max="7175" width="5.5703125" style="913" bestFit="1" customWidth="1"/>
    <col min="7176" max="7177" width="11.42578125" style="913"/>
    <col min="7178" max="7178" width="4.85546875" style="913" customWidth="1"/>
    <col min="7179" max="7181" width="16" style="913" customWidth="1"/>
    <col min="7182" max="7424" width="11.42578125" style="913"/>
    <col min="7425" max="7425" width="16" style="913" customWidth="1"/>
    <col min="7426" max="7426" width="20" style="913" customWidth="1"/>
    <col min="7427" max="7427" width="92.140625" style="913" customWidth="1"/>
    <col min="7428" max="7428" width="19.85546875" style="913" bestFit="1" customWidth="1"/>
    <col min="7429" max="7429" width="10.42578125" style="913" bestFit="1" customWidth="1"/>
    <col min="7430" max="7430" width="6.42578125" style="913" bestFit="1" customWidth="1"/>
    <col min="7431" max="7431" width="5.5703125" style="913" bestFit="1" customWidth="1"/>
    <col min="7432" max="7433" width="11.42578125" style="913"/>
    <col min="7434" max="7434" width="4.85546875" style="913" customWidth="1"/>
    <col min="7435" max="7437" width="16" style="913" customWidth="1"/>
    <col min="7438" max="7680" width="11.42578125" style="913"/>
    <col min="7681" max="7681" width="16" style="913" customWidth="1"/>
    <col min="7682" max="7682" width="20" style="913" customWidth="1"/>
    <col min="7683" max="7683" width="92.140625" style="913" customWidth="1"/>
    <col min="7684" max="7684" width="19.85546875" style="913" bestFit="1" customWidth="1"/>
    <col min="7685" max="7685" width="10.42578125" style="913" bestFit="1" customWidth="1"/>
    <col min="7686" max="7686" width="6.42578125" style="913" bestFit="1" customWidth="1"/>
    <col min="7687" max="7687" width="5.5703125" style="913" bestFit="1" customWidth="1"/>
    <col min="7688" max="7689" width="11.42578125" style="913"/>
    <col min="7690" max="7690" width="4.85546875" style="913" customWidth="1"/>
    <col min="7691" max="7693" width="16" style="913" customWidth="1"/>
    <col min="7694" max="7936" width="11.42578125" style="913"/>
    <col min="7937" max="7937" width="16" style="913" customWidth="1"/>
    <col min="7938" max="7938" width="20" style="913" customWidth="1"/>
    <col min="7939" max="7939" width="92.140625" style="913" customWidth="1"/>
    <col min="7940" max="7940" width="19.85546875" style="913" bestFit="1" customWidth="1"/>
    <col min="7941" max="7941" width="10.42578125" style="913" bestFit="1" customWidth="1"/>
    <col min="7942" max="7942" width="6.42578125" style="913" bestFit="1" customWidth="1"/>
    <col min="7943" max="7943" width="5.5703125" style="913" bestFit="1" customWidth="1"/>
    <col min="7944" max="7945" width="11.42578125" style="913"/>
    <col min="7946" max="7946" width="4.85546875" style="913" customWidth="1"/>
    <col min="7947" max="7949" width="16" style="913" customWidth="1"/>
    <col min="7950" max="8192" width="11.42578125" style="913"/>
    <col min="8193" max="8193" width="16" style="913" customWidth="1"/>
    <col min="8194" max="8194" width="20" style="913" customWidth="1"/>
    <col min="8195" max="8195" width="92.140625" style="913" customWidth="1"/>
    <col min="8196" max="8196" width="19.85546875" style="913" bestFit="1" customWidth="1"/>
    <col min="8197" max="8197" width="10.42578125" style="913" bestFit="1" customWidth="1"/>
    <col min="8198" max="8198" width="6.42578125" style="913" bestFit="1" customWidth="1"/>
    <col min="8199" max="8199" width="5.5703125" style="913" bestFit="1" customWidth="1"/>
    <col min="8200" max="8201" width="11.42578125" style="913"/>
    <col min="8202" max="8202" width="4.85546875" style="913" customWidth="1"/>
    <col min="8203" max="8205" width="16" style="913" customWidth="1"/>
    <col min="8206" max="8448" width="11.42578125" style="913"/>
    <col min="8449" max="8449" width="16" style="913" customWidth="1"/>
    <col min="8450" max="8450" width="20" style="913" customWidth="1"/>
    <col min="8451" max="8451" width="92.140625" style="913" customWidth="1"/>
    <col min="8452" max="8452" width="19.85546875" style="913" bestFit="1" customWidth="1"/>
    <col min="8453" max="8453" width="10.42578125" style="913" bestFit="1" customWidth="1"/>
    <col min="8454" max="8454" width="6.42578125" style="913" bestFit="1" customWidth="1"/>
    <col min="8455" max="8455" width="5.5703125" style="913" bestFit="1" customWidth="1"/>
    <col min="8456" max="8457" width="11.42578125" style="913"/>
    <col min="8458" max="8458" width="4.85546875" style="913" customWidth="1"/>
    <col min="8459" max="8461" width="16" style="913" customWidth="1"/>
    <col min="8462" max="8704" width="11.42578125" style="913"/>
    <col min="8705" max="8705" width="16" style="913" customWidth="1"/>
    <col min="8706" max="8706" width="20" style="913" customWidth="1"/>
    <col min="8707" max="8707" width="92.140625" style="913" customWidth="1"/>
    <col min="8708" max="8708" width="19.85546875" style="913" bestFit="1" customWidth="1"/>
    <col min="8709" max="8709" width="10.42578125" style="913" bestFit="1" customWidth="1"/>
    <col min="8710" max="8710" width="6.42578125" style="913" bestFit="1" customWidth="1"/>
    <col min="8711" max="8711" width="5.5703125" style="913" bestFit="1" customWidth="1"/>
    <col min="8712" max="8713" width="11.42578125" style="913"/>
    <col min="8714" max="8714" width="4.85546875" style="913" customWidth="1"/>
    <col min="8715" max="8717" width="16" style="913" customWidth="1"/>
    <col min="8718" max="8960" width="11.42578125" style="913"/>
    <col min="8961" max="8961" width="16" style="913" customWidth="1"/>
    <col min="8962" max="8962" width="20" style="913" customWidth="1"/>
    <col min="8963" max="8963" width="92.140625" style="913" customWidth="1"/>
    <col min="8964" max="8964" width="19.85546875" style="913" bestFit="1" customWidth="1"/>
    <col min="8965" max="8965" width="10.42578125" style="913" bestFit="1" customWidth="1"/>
    <col min="8966" max="8966" width="6.42578125" style="913" bestFit="1" customWidth="1"/>
    <col min="8967" max="8967" width="5.5703125" style="913" bestFit="1" customWidth="1"/>
    <col min="8968" max="8969" width="11.42578125" style="913"/>
    <col min="8970" max="8970" width="4.85546875" style="913" customWidth="1"/>
    <col min="8971" max="8973" width="16" style="913" customWidth="1"/>
    <col min="8974" max="9216" width="11.42578125" style="913"/>
    <col min="9217" max="9217" width="16" style="913" customWidth="1"/>
    <col min="9218" max="9218" width="20" style="913" customWidth="1"/>
    <col min="9219" max="9219" width="92.140625" style="913" customWidth="1"/>
    <col min="9220" max="9220" width="19.85546875" style="913" bestFit="1" customWidth="1"/>
    <col min="9221" max="9221" width="10.42578125" style="913" bestFit="1" customWidth="1"/>
    <col min="9222" max="9222" width="6.42578125" style="913" bestFit="1" customWidth="1"/>
    <col min="9223" max="9223" width="5.5703125" style="913" bestFit="1" customWidth="1"/>
    <col min="9224" max="9225" width="11.42578125" style="913"/>
    <col min="9226" max="9226" width="4.85546875" style="913" customWidth="1"/>
    <col min="9227" max="9229" width="16" style="913" customWidth="1"/>
    <col min="9230" max="9472" width="11.42578125" style="913"/>
    <col min="9473" max="9473" width="16" style="913" customWidth="1"/>
    <col min="9474" max="9474" width="20" style="913" customWidth="1"/>
    <col min="9475" max="9475" width="92.140625" style="913" customWidth="1"/>
    <col min="9476" max="9476" width="19.85546875" style="913" bestFit="1" customWidth="1"/>
    <col min="9477" max="9477" width="10.42578125" style="913" bestFit="1" customWidth="1"/>
    <col min="9478" max="9478" width="6.42578125" style="913" bestFit="1" customWidth="1"/>
    <col min="9479" max="9479" width="5.5703125" style="913" bestFit="1" customWidth="1"/>
    <col min="9480" max="9481" width="11.42578125" style="913"/>
    <col min="9482" max="9482" width="4.85546875" style="913" customWidth="1"/>
    <col min="9483" max="9485" width="16" style="913" customWidth="1"/>
    <col min="9486" max="9728" width="11.42578125" style="913"/>
    <col min="9729" max="9729" width="16" style="913" customWidth="1"/>
    <col min="9730" max="9730" width="20" style="913" customWidth="1"/>
    <col min="9731" max="9731" width="92.140625" style="913" customWidth="1"/>
    <col min="9732" max="9732" width="19.85546875" style="913" bestFit="1" customWidth="1"/>
    <col min="9733" max="9733" width="10.42578125" style="913" bestFit="1" customWidth="1"/>
    <col min="9734" max="9734" width="6.42578125" style="913" bestFit="1" customWidth="1"/>
    <col min="9735" max="9735" width="5.5703125" style="913" bestFit="1" customWidth="1"/>
    <col min="9736" max="9737" width="11.42578125" style="913"/>
    <col min="9738" max="9738" width="4.85546875" style="913" customWidth="1"/>
    <col min="9739" max="9741" width="16" style="913" customWidth="1"/>
    <col min="9742" max="9984" width="11.42578125" style="913"/>
    <col min="9985" max="9985" width="16" style="913" customWidth="1"/>
    <col min="9986" max="9986" width="20" style="913" customWidth="1"/>
    <col min="9987" max="9987" width="92.140625" style="913" customWidth="1"/>
    <col min="9988" max="9988" width="19.85546875" style="913" bestFit="1" customWidth="1"/>
    <col min="9989" max="9989" width="10.42578125" style="913" bestFit="1" customWidth="1"/>
    <col min="9990" max="9990" width="6.42578125" style="913" bestFit="1" customWidth="1"/>
    <col min="9991" max="9991" width="5.5703125" style="913" bestFit="1" customWidth="1"/>
    <col min="9992" max="9993" width="11.42578125" style="913"/>
    <col min="9994" max="9994" width="4.85546875" style="913" customWidth="1"/>
    <col min="9995" max="9997" width="16" style="913" customWidth="1"/>
    <col min="9998" max="10240" width="11.42578125" style="913"/>
    <col min="10241" max="10241" width="16" style="913" customWidth="1"/>
    <col min="10242" max="10242" width="20" style="913" customWidth="1"/>
    <col min="10243" max="10243" width="92.140625" style="913" customWidth="1"/>
    <col min="10244" max="10244" width="19.85546875" style="913" bestFit="1" customWidth="1"/>
    <col min="10245" max="10245" width="10.42578125" style="913" bestFit="1" customWidth="1"/>
    <col min="10246" max="10246" width="6.42578125" style="913" bestFit="1" customWidth="1"/>
    <col min="10247" max="10247" width="5.5703125" style="913" bestFit="1" customWidth="1"/>
    <col min="10248" max="10249" width="11.42578125" style="913"/>
    <col min="10250" max="10250" width="4.85546875" style="913" customWidth="1"/>
    <col min="10251" max="10253" width="16" style="913" customWidth="1"/>
    <col min="10254" max="10496" width="11.42578125" style="913"/>
    <col min="10497" max="10497" width="16" style="913" customWidth="1"/>
    <col min="10498" max="10498" width="20" style="913" customWidth="1"/>
    <col min="10499" max="10499" width="92.140625" style="913" customWidth="1"/>
    <col min="10500" max="10500" width="19.85546875" style="913" bestFit="1" customWidth="1"/>
    <col min="10501" max="10501" width="10.42578125" style="913" bestFit="1" customWidth="1"/>
    <col min="10502" max="10502" width="6.42578125" style="913" bestFit="1" customWidth="1"/>
    <col min="10503" max="10503" width="5.5703125" style="913" bestFit="1" customWidth="1"/>
    <col min="10504" max="10505" width="11.42578125" style="913"/>
    <col min="10506" max="10506" width="4.85546875" style="913" customWidth="1"/>
    <col min="10507" max="10509" width="16" style="913" customWidth="1"/>
    <col min="10510" max="10752" width="11.42578125" style="913"/>
    <col min="10753" max="10753" width="16" style="913" customWidth="1"/>
    <col min="10754" max="10754" width="20" style="913" customWidth="1"/>
    <col min="10755" max="10755" width="92.140625" style="913" customWidth="1"/>
    <col min="10756" max="10756" width="19.85546875" style="913" bestFit="1" customWidth="1"/>
    <col min="10757" max="10757" width="10.42578125" style="913" bestFit="1" customWidth="1"/>
    <col min="10758" max="10758" width="6.42578125" style="913" bestFit="1" customWidth="1"/>
    <col min="10759" max="10759" width="5.5703125" style="913" bestFit="1" customWidth="1"/>
    <col min="10760" max="10761" width="11.42578125" style="913"/>
    <col min="10762" max="10762" width="4.85546875" style="913" customWidth="1"/>
    <col min="10763" max="10765" width="16" style="913" customWidth="1"/>
    <col min="10766" max="11008" width="11.42578125" style="913"/>
    <col min="11009" max="11009" width="16" style="913" customWidth="1"/>
    <col min="11010" max="11010" width="20" style="913" customWidth="1"/>
    <col min="11011" max="11011" width="92.140625" style="913" customWidth="1"/>
    <col min="11012" max="11012" width="19.85546875" style="913" bestFit="1" customWidth="1"/>
    <col min="11013" max="11013" width="10.42578125" style="913" bestFit="1" customWidth="1"/>
    <col min="11014" max="11014" width="6.42578125" style="913" bestFit="1" customWidth="1"/>
    <col min="11015" max="11015" width="5.5703125" style="913" bestFit="1" customWidth="1"/>
    <col min="11016" max="11017" width="11.42578125" style="913"/>
    <col min="11018" max="11018" width="4.85546875" style="913" customWidth="1"/>
    <col min="11019" max="11021" width="16" style="913" customWidth="1"/>
    <col min="11022" max="11264" width="11.42578125" style="913"/>
    <col min="11265" max="11265" width="16" style="913" customWidth="1"/>
    <col min="11266" max="11266" width="20" style="913" customWidth="1"/>
    <col min="11267" max="11267" width="92.140625" style="913" customWidth="1"/>
    <col min="11268" max="11268" width="19.85546875" style="913" bestFit="1" customWidth="1"/>
    <col min="11269" max="11269" width="10.42578125" style="913" bestFit="1" customWidth="1"/>
    <col min="11270" max="11270" width="6.42578125" style="913" bestFit="1" customWidth="1"/>
    <col min="11271" max="11271" width="5.5703125" style="913" bestFit="1" customWidth="1"/>
    <col min="11272" max="11273" width="11.42578125" style="913"/>
    <col min="11274" max="11274" width="4.85546875" style="913" customWidth="1"/>
    <col min="11275" max="11277" width="16" style="913" customWidth="1"/>
    <col min="11278" max="11520" width="11.42578125" style="913"/>
    <col min="11521" max="11521" width="16" style="913" customWidth="1"/>
    <col min="11522" max="11522" width="20" style="913" customWidth="1"/>
    <col min="11523" max="11523" width="92.140625" style="913" customWidth="1"/>
    <col min="11524" max="11524" width="19.85546875" style="913" bestFit="1" customWidth="1"/>
    <col min="11525" max="11525" width="10.42578125" style="913" bestFit="1" customWidth="1"/>
    <col min="11526" max="11526" width="6.42578125" style="913" bestFit="1" customWidth="1"/>
    <col min="11527" max="11527" width="5.5703125" style="913" bestFit="1" customWidth="1"/>
    <col min="11528" max="11529" width="11.42578125" style="913"/>
    <col min="11530" max="11530" width="4.85546875" style="913" customWidth="1"/>
    <col min="11531" max="11533" width="16" style="913" customWidth="1"/>
    <col min="11534" max="11776" width="11.42578125" style="913"/>
    <col min="11777" max="11777" width="16" style="913" customWidth="1"/>
    <col min="11778" max="11778" width="20" style="913" customWidth="1"/>
    <col min="11779" max="11779" width="92.140625" style="913" customWidth="1"/>
    <col min="11780" max="11780" width="19.85546875" style="913" bestFit="1" customWidth="1"/>
    <col min="11781" max="11781" width="10.42578125" style="913" bestFit="1" customWidth="1"/>
    <col min="11782" max="11782" width="6.42578125" style="913" bestFit="1" customWidth="1"/>
    <col min="11783" max="11783" width="5.5703125" style="913" bestFit="1" customWidth="1"/>
    <col min="11784" max="11785" width="11.42578125" style="913"/>
    <col min="11786" max="11786" width="4.85546875" style="913" customWidth="1"/>
    <col min="11787" max="11789" width="16" style="913" customWidth="1"/>
    <col min="11790" max="12032" width="11.42578125" style="913"/>
    <col min="12033" max="12033" width="16" style="913" customWidth="1"/>
    <col min="12034" max="12034" width="20" style="913" customWidth="1"/>
    <col min="12035" max="12035" width="92.140625" style="913" customWidth="1"/>
    <col min="12036" max="12036" width="19.85546875" style="913" bestFit="1" customWidth="1"/>
    <col min="12037" max="12037" width="10.42578125" style="913" bestFit="1" customWidth="1"/>
    <col min="12038" max="12038" width="6.42578125" style="913" bestFit="1" customWidth="1"/>
    <col min="12039" max="12039" width="5.5703125" style="913" bestFit="1" customWidth="1"/>
    <col min="12040" max="12041" width="11.42578125" style="913"/>
    <col min="12042" max="12042" width="4.85546875" style="913" customWidth="1"/>
    <col min="12043" max="12045" width="16" style="913" customWidth="1"/>
    <col min="12046" max="12288" width="11.42578125" style="913"/>
    <col min="12289" max="12289" width="16" style="913" customWidth="1"/>
    <col min="12290" max="12290" width="20" style="913" customWidth="1"/>
    <col min="12291" max="12291" width="92.140625" style="913" customWidth="1"/>
    <col min="12292" max="12292" width="19.85546875" style="913" bestFit="1" customWidth="1"/>
    <col min="12293" max="12293" width="10.42578125" style="913" bestFit="1" customWidth="1"/>
    <col min="12294" max="12294" width="6.42578125" style="913" bestFit="1" customWidth="1"/>
    <col min="12295" max="12295" width="5.5703125" style="913" bestFit="1" customWidth="1"/>
    <col min="12296" max="12297" width="11.42578125" style="913"/>
    <col min="12298" max="12298" width="4.85546875" style="913" customWidth="1"/>
    <col min="12299" max="12301" width="16" style="913" customWidth="1"/>
    <col min="12302" max="12544" width="11.42578125" style="913"/>
    <col min="12545" max="12545" width="16" style="913" customWidth="1"/>
    <col min="12546" max="12546" width="20" style="913" customWidth="1"/>
    <col min="12547" max="12547" width="92.140625" style="913" customWidth="1"/>
    <col min="12548" max="12548" width="19.85546875" style="913" bestFit="1" customWidth="1"/>
    <col min="12549" max="12549" width="10.42578125" style="913" bestFit="1" customWidth="1"/>
    <col min="12550" max="12550" width="6.42578125" style="913" bestFit="1" customWidth="1"/>
    <col min="12551" max="12551" width="5.5703125" style="913" bestFit="1" customWidth="1"/>
    <col min="12552" max="12553" width="11.42578125" style="913"/>
    <col min="12554" max="12554" width="4.85546875" style="913" customWidth="1"/>
    <col min="12555" max="12557" width="16" style="913" customWidth="1"/>
    <col min="12558" max="12800" width="11.42578125" style="913"/>
    <col min="12801" max="12801" width="16" style="913" customWidth="1"/>
    <col min="12802" max="12802" width="20" style="913" customWidth="1"/>
    <col min="12803" max="12803" width="92.140625" style="913" customWidth="1"/>
    <col min="12804" max="12804" width="19.85546875" style="913" bestFit="1" customWidth="1"/>
    <col min="12805" max="12805" width="10.42578125" style="913" bestFit="1" customWidth="1"/>
    <col min="12806" max="12806" width="6.42578125" style="913" bestFit="1" customWidth="1"/>
    <col min="12807" max="12807" width="5.5703125" style="913" bestFit="1" customWidth="1"/>
    <col min="12808" max="12809" width="11.42578125" style="913"/>
    <col min="12810" max="12810" width="4.85546875" style="913" customWidth="1"/>
    <col min="12811" max="12813" width="16" style="913" customWidth="1"/>
    <col min="12814" max="13056" width="11.42578125" style="913"/>
    <col min="13057" max="13057" width="16" style="913" customWidth="1"/>
    <col min="13058" max="13058" width="20" style="913" customWidth="1"/>
    <col min="13059" max="13059" width="92.140625" style="913" customWidth="1"/>
    <col min="13060" max="13060" width="19.85546875" style="913" bestFit="1" customWidth="1"/>
    <col min="13061" max="13061" width="10.42578125" style="913" bestFit="1" customWidth="1"/>
    <col min="13062" max="13062" width="6.42578125" style="913" bestFit="1" customWidth="1"/>
    <col min="13063" max="13063" width="5.5703125" style="913" bestFit="1" customWidth="1"/>
    <col min="13064" max="13065" width="11.42578125" style="913"/>
    <col min="13066" max="13066" width="4.85546875" style="913" customWidth="1"/>
    <col min="13067" max="13069" width="16" style="913" customWidth="1"/>
    <col min="13070" max="13312" width="11.42578125" style="913"/>
    <col min="13313" max="13313" width="16" style="913" customWidth="1"/>
    <col min="13314" max="13314" width="20" style="913" customWidth="1"/>
    <col min="13315" max="13315" width="92.140625" style="913" customWidth="1"/>
    <col min="13316" max="13316" width="19.85546875" style="913" bestFit="1" customWidth="1"/>
    <col min="13317" max="13317" width="10.42578125" style="913" bestFit="1" customWidth="1"/>
    <col min="13318" max="13318" width="6.42578125" style="913" bestFit="1" customWidth="1"/>
    <col min="13319" max="13319" width="5.5703125" style="913" bestFit="1" customWidth="1"/>
    <col min="13320" max="13321" width="11.42578125" style="913"/>
    <col min="13322" max="13322" width="4.85546875" style="913" customWidth="1"/>
    <col min="13323" max="13325" width="16" style="913" customWidth="1"/>
    <col min="13326" max="13568" width="11.42578125" style="913"/>
    <col min="13569" max="13569" width="16" style="913" customWidth="1"/>
    <col min="13570" max="13570" width="20" style="913" customWidth="1"/>
    <col min="13571" max="13571" width="92.140625" style="913" customWidth="1"/>
    <col min="13572" max="13572" width="19.85546875" style="913" bestFit="1" customWidth="1"/>
    <col min="13573" max="13573" width="10.42578125" style="913" bestFit="1" customWidth="1"/>
    <col min="13574" max="13574" width="6.42578125" style="913" bestFit="1" customWidth="1"/>
    <col min="13575" max="13575" width="5.5703125" style="913" bestFit="1" customWidth="1"/>
    <col min="13576" max="13577" width="11.42578125" style="913"/>
    <col min="13578" max="13578" width="4.85546875" style="913" customWidth="1"/>
    <col min="13579" max="13581" width="16" style="913" customWidth="1"/>
    <col min="13582" max="13824" width="11.42578125" style="913"/>
    <col min="13825" max="13825" width="16" style="913" customWidth="1"/>
    <col min="13826" max="13826" width="20" style="913" customWidth="1"/>
    <col min="13827" max="13827" width="92.140625" style="913" customWidth="1"/>
    <col min="13828" max="13828" width="19.85546875" style="913" bestFit="1" customWidth="1"/>
    <col min="13829" max="13829" width="10.42578125" style="913" bestFit="1" customWidth="1"/>
    <col min="13830" max="13830" width="6.42578125" style="913" bestFit="1" customWidth="1"/>
    <col min="13831" max="13831" width="5.5703125" style="913" bestFit="1" customWidth="1"/>
    <col min="13832" max="13833" width="11.42578125" style="913"/>
    <col min="13834" max="13834" width="4.85546875" style="913" customWidth="1"/>
    <col min="13835" max="13837" width="16" style="913" customWidth="1"/>
    <col min="13838" max="14080" width="11.42578125" style="913"/>
    <col min="14081" max="14081" width="16" style="913" customWidth="1"/>
    <col min="14082" max="14082" width="20" style="913" customWidth="1"/>
    <col min="14083" max="14083" width="92.140625" style="913" customWidth="1"/>
    <col min="14084" max="14084" width="19.85546875" style="913" bestFit="1" customWidth="1"/>
    <col min="14085" max="14085" width="10.42578125" style="913" bestFit="1" customWidth="1"/>
    <col min="14086" max="14086" width="6.42578125" style="913" bestFit="1" customWidth="1"/>
    <col min="14087" max="14087" width="5.5703125" style="913" bestFit="1" customWidth="1"/>
    <col min="14088" max="14089" width="11.42578125" style="913"/>
    <col min="14090" max="14090" width="4.85546875" style="913" customWidth="1"/>
    <col min="14091" max="14093" width="16" style="913" customWidth="1"/>
    <col min="14094" max="14336" width="11.42578125" style="913"/>
    <col min="14337" max="14337" width="16" style="913" customWidth="1"/>
    <col min="14338" max="14338" width="20" style="913" customWidth="1"/>
    <col min="14339" max="14339" width="92.140625" style="913" customWidth="1"/>
    <col min="14340" max="14340" width="19.85546875" style="913" bestFit="1" customWidth="1"/>
    <col min="14341" max="14341" width="10.42578125" style="913" bestFit="1" customWidth="1"/>
    <col min="14342" max="14342" width="6.42578125" style="913" bestFit="1" customWidth="1"/>
    <col min="14343" max="14343" width="5.5703125" style="913" bestFit="1" customWidth="1"/>
    <col min="14344" max="14345" width="11.42578125" style="913"/>
    <col min="14346" max="14346" width="4.85546875" style="913" customWidth="1"/>
    <col min="14347" max="14349" width="16" style="913" customWidth="1"/>
    <col min="14350" max="14592" width="11.42578125" style="913"/>
    <col min="14593" max="14593" width="16" style="913" customWidth="1"/>
    <col min="14594" max="14594" width="20" style="913" customWidth="1"/>
    <col min="14595" max="14595" width="92.140625" style="913" customWidth="1"/>
    <col min="14596" max="14596" width="19.85546875" style="913" bestFit="1" customWidth="1"/>
    <col min="14597" max="14597" width="10.42578125" style="913" bestFit="1" customWidth="1"/>
    <col min="14598" max="14598" width="6.42578125" style="913" bestFit="1" customWidth="1"/>
    <col min="14599" max="14599" width="5.5703125" style="913" bestFit="1" customWidth="1"/>
    <col min="14600" max="14601" width="11.42578125" style="913"/>
    <col min="14602" max="14602" width="4.85546875" style="913" customWidth="1"/>
    <col min="14603" max="14605" width="16" style="913" customWidth="1"/>
    <col min="14606" max="14848" width="11.42578125" style="913"/>
    <col min="14849" max="14849" width="16" style="913" customWidth="1"/>
    <col min="14850" max="14850" width="20" style="913" customWidth="1"/>
    <col min="14851" max="14851" width="92.140625" style="913" customWidth="1"/>
    <col min="14852" max="14852" width="19.85546875" style="913" bestFit="1" customWidth="1"/>
    <col min="14853" max="14853" width="10.42578125" style="913" bestFit="1" customWidth="1"/>
    <col min="14854" max="14854" width="6.42578125" style="913" bestFit="1" customWidth="1"/>
    <col min="14855" max="14855" width="5.5703125" style="913" bestFit="1" customWidth="1"/>
    <col min="14856" max="14857" width="11.42578125" style="913"/>
    <col min="14858" max="14858" width="4.85546875" style="913" customWidth="1"/>
    <col min="14859" max="14861" width="16" style="913" customWidth="1"/>
    <col min="14862" max="15104" width="11.42578125" style="913"/>
    <col min="15105" max="15105" width="16" style="913" customWidth="1"/>
    <col min="15106" max="15106" width="20" style="913" customWidth="1"/>
    <col min="15107" max="15107" width="92.140625" style="913" customWidth="1"/>
    <col min="15108" max="15108" width="19.85546875" style="913" bestFit="1" customWidth="1"/>
    <col min="15109" max="15109" width="10.42578125" style="913" bestFit="1" customWidth="1"/>
    <col min="15110" max="15110" width="6.42578125" style="913" bestFit="1" customWidth="1"/>
    <col min="15111" max="15111" width="5.5703125" style="913" bestFit="1" customWidth="1"/>
    <col min="15112" max="15113" width="11.42578125" style="913"/>
    <col min="15114" max="15114" width="4.85546875" style="913" customWidth="1"/>
    <col min="15115" max="15117" width="16" style="913" customWidth="1"/>
    <col min="15118" max="15360" width="11.42578125" style="913"/>
    <col min="15361" max="15361" width="16" style="913" customWidth="1"/>
    <col min="15362" max="15362" width="20" style="913" customWidth="1"/>
    <col min="15363" max="15363" width="92.140625" style="913" customWidth="1"/>
    <col min="15364" max="15364" width="19.85546875" style="913" bestFit="1" customWidth="1"/>
    <col min="15365" max="15365" width="10.42578125" style="913" bestFit="1" customWidth="1"/>
    <col min="15366" max="15366" width="6.42578125" style="913" bestFit="1" customWidth="1"/>
    <col min="15367" max="15367" width="5.5703125" style="913" bestFit="1" customWidth="1"/>
    <col min="15368" max="15369" width="11.42578125" style="913"/>
    <col min="15370" max="15370" width="4.85546875" style="913" customWidth="1"/>
    <col min="15371" max="15373" width="16" style="913" customWidth="1"/>
    <col min="15374" max="15616" width="11.42578125" style="913"/>
    <col min="15617" max="15617" width="16" style="913" customWidth="1"/>
    <col min="15618" max="15618" width="20" style="913" customWidth="1"/>
    <col min="15619" max="15619" width="92.140625" style="913" customWidth="1"/>
    <col min="15620" max="15620" width="19.85546875" style="913" bestFit="1" customWidth="1"/>
    <col min="15621" max="15621" width="10.42578125" style="913" bestFit="1" customWidth="1"/>
    <col min="15622" max="15622" width="6.42578125" style="913" bestFit="1" customWidth="1"/>
    <col min="15623" max="15623" width="5.5703125" style="913" bestFit="1" customWidth="1"/>
    <col min="15624" max="15625" width="11.42578125" style="913"/>
    <col min="15626" max="15626" width="4.85546875" style="913" customWidth="1"/>
    <col min="15627" max="15629" width="16" style="913" customWidth="1"/>
    <col min="15630" max="15872" width="11.42578125" style="913"/>
    <col min="15873" max="15873" width="16" style="913" customWidth="1"/>
    <col min="15874" max="15874" width="20" style="913" customWidth="1"/>
    <col min="15875" max="15875" width="92.140625" style="913" customWidth="1"/>
    <col min="15876" max="15876" width="19.85546875" style="913" bestFit="1" customWidth="1"/>
    <col min="15877" max="15877" width="10.42578125" style="913" bestFit="1" customWidth="1"/>
    <col min="15878" max="15878" width="6.42578125" style="913" bestFit="1" customWidth="1"/>
    <col min="15879" max="15879" width="5.5703125" style="913" bestFit="1" customWidth="1"/>
    <col min="15880" max="15881" width="11.42578125" style="913"/>
    <col min="15882" max="15882" width="4.85546875" style="913" customWidth="1"/>
    <col min="15883" max="15885" width="16" style="913" customWidth="1"/>
    <col min="15886" max="16128" width="11.42578125" style="913"/>
    <col min="16129" max="16129" width="16" style="913" customWidth="1"/>
    <col min="16130" max="16130" width="20" style="913" customWidth="1"/>
    <col min="16131" max="16131" width="92.140625" style="913" customWidth="1"/>
    <col min="16132" max="16132" width="19.85546875" style="913" bestFit="1" customWidth="1"/>
    <col min="16133" max="16133" width="10.42578125" style="913" bestFit="1" customWidth="1"/>
    <col min="16134" max="16134" width="6.42578125" style="913" bestFit="1" customWidth="1"/>
    <col min="16135" max="16135" width="5.5703125" style="913" bestFit="1" customWidth="1"/>
    <col min="16136" max="16137" width="11.42578125" style="913"/>
    <col min="16138" max="16138" width="4.85546875" style="913" customWidth="1"/>
    <col min="16139" max="16141" width="16" style="913" customWidth="1"/>
    <col min="16142" max="16384" width="11.42578125" style="913"/>
  </cols>
  <sheetData>
    <row r="1" spans="1:26" ht="20.25" customHeight="1" thickBot="1" x14ac:dyDescent="0.25">
      <c r="A1" s="912"/>
      <c r="B1" s="923" t="s">
        <v>519</v>
      </c>
      <c r="C1" s="921" t="s">
        <v>24</v>
      </c>
      <c r="D1" s="921" t="s">
        <v>25</v>
      </c>
      <c r="E1" s="922" t="s">
        <v>557</v>
      </c>
      <c r="F1" s="955" t="s">
        <v>708</v>
      </c>
      <c r="G1" s="959" t="s">
        <v>709</v>
      </c>
    </row>
    <row r="2" spans="1:26" ht="17.25" x14ac:dyDescent="0.3">
      <c r="A2" s="915" t="s">
        <v>3167</v>
      </c>
      <c r="B2" s="924" t="s">
        <v>710</v>
      </c>
      <c r="C2" s="960" t="s">
        <v>711</v>
      </c>
      <c r="D2" s="949"/>
      <c r="E2" s="953"/>
      <c r="F2" s="949"/>
      <c r="H2" s="918"/>
      <c r="I2" s="1180" t="s">
        <v>3171</v>
      </c>
    </row>
    <row r="3" spans="1:26" x14ac:dyDescent="0.25">
      <c r="A3" s="915" t="s">
        <v>3167</v>
      </c>
      <c r="B3" s="925" t="s">
        <v>712</v>
      </c>
      <c r="C3" s="926" t="s">
        <v>713</v>
      </c>
      <c r="D3" s="950"/>
      <c r="E3" s="953"/>
      <c r="F3" s="950"/>
      <c r="H3" s="918"/>
      <c r="I3" s="1181"/>
      <c r="Z3" s="913" t="s">
        <v>3168</v>
      </c>
    </row>
    <row r="4" spans="1:26" ht="17.25" thickBot="1" x14ac:dyDescent="0.3">
      <c r="A4" s="915" t="s">
        <v>3167</v>
      </c>
      <c r="B4" s="925" t="s">
        <v>714</v>
      </c>
      <c r="C4" s="926" t="s">
        <v>715</v>
      </c>
      <c r="D4" s="950" t="s">
        <v>716</v>
      </c>
      <c r="E4" s="953"/>
      <c r="F4" s="956">
        <v>229594</v>
      </c>
      <c r="H4" s="918"/>
      <c r="I4" s="1182"/>
      <c r="Z4" s="913" t="s">
        <v>3169</v>
      </c>
    </row>
    <row r="5" spans="1:26" ht="18" x14ac:dyDescent="0.25">
      <c r="A5" s="915" t="s">
        <v>3167</v>
      </c>
      <c r="B5" s="925" t="s">
        <v>717</v>
      </c>
      <c r="C5" s="926" t="s">
        <v>718</v>
      </c>
      <c r="D5" s="950" t="s">
        <v>719</v>
      </c>
      <c r="E5" s="953"/>
      <c r="F5" s="956">
        <v>1111</v>
      </c>
      <c r="H5" s="918"/>
      <c r="I5" s="919"/>
      <c r="Z5" s="913" t="s">
        <v>1117</v>
      </c>
    </row>
    <row r="6" spans="1:26" ht="18" x14ac:dyDescent="0.25">
      <c r="A6" s="915" t="s">
        <v>3167</v>
      </c>
      <c r="B6" s="925" t="s">
        <v>720</v>
      </c>
      <c r="C6" s="926" t="s">
        <v>721</v>
      </c>
      <c r="D6" s="950" t="s">
        <v>719</v>
      </c>
      <c r="E6" s="953"/>
      <c r="F6" s="957">
        <v>667</v>
      </c>
      <c r="H6" s="918"/>
      <c r="I6" s="966"/>
      <c r="J6" s="966"/>
      <c r="K6" s="966"/>
      <c r="L6" s="966"/>
      <c r="M6" s="966"/>
      <c r="N6" s="966"/>
      <c r="Z6" s="913" t="s">
        <v>940</v>
      </c>
    </row>
    <row r="7" spans="1:26" x14ac:dyDescent="0.25">
      <c r="A7" s="915" t="s">
        <v>3167</v>
      </c>
      <c r="B7" s="963">
        <v>0</v>
      </c>
      <c r="C7" s="929" t="s">
        <v>563</v>
      </c>
      <c r="D7" s="950"/>
      <c r="E7" s="953"/>
      <c r="F7" s="950"/>
      <c r="H7" s="918"/>
      <c r="I7" s="919"/>
    </row>
    <row r="8" spans="1:26" x14ac:dyDescent="0.25">
      <c r="A8" s="915" t="s">
        <v>3167</v>
      </c>
      <c r="B8" s="925">
        <v>1</v>
      </c>
      <c r="C8" s="930" t="s">
        <v>722</v>
      </c>
      <c r="D8" s="951"/>
      <c r="E8" s="953"/>
      <c r="F8" s="951"/>
      <c r="H8" s="918"/>
      <c r="I8" s="919"/>
    </row>
    <row r="9" spans="1:26" x14ac:dyDescent="0.25">
      <c r="A9" s="915" t="s">
        <v>3167</v>
      </c>
      <c r="B9" s="926" t="s">
        <v>723</v>
      </c>
      <c r="C9" s="931" t="s">
        <v>724</v>
      </c>
      <c r="D9" s="950"/>
      <c r="E9" s="953"/>
      <c r="F9" s="951"/>
      <c r="H9" s="918"/>
      <c r="I9" s="919"/>
    </row>
    <row r="10" spans="1:26" x14ac:dyDescent="0.25">
      <c r="A10" s="915" t="s">
        <v>3167</v>
      </c>
      <c r="B10" s="926" t="s">
        <v>725</v>
      </c>
      <c r="C10" s="932" t="s">
        <v>726</v>
      </c>
      <c r="D10" s="950" t="s">
        <v>727</v>
      </c>
      <c r="E10" s="953"/>
      <c r="F10" s="958">
        <v>39994</v>
      </c>
      <c r="H10" s="920"/>
      <c r="I10" s="919"/>
    </row>
    <row r="11" spans="1:26" x14ac:dyDescent="0.25">
      <c r="A11" s="915" t="s">
        <v>3167</v>
      </c>
      <c r="B11" s="926" t="s">
        <v>728</v>
      </c>
      <c r="C11" s="932" t="s">
        <v>729</v>
      </c>
      <c r="D11" s="950" t="s">
        <v>727</v>
      </c>
      <c r="E11" s="953"/>
      <c r="F11" s="958">
        <v>166641</v>
      </c>
      <c r="H11" s="918"/>
      <c r="I11" s="919"/>
    </row>
    <row r="12" spans="1:26" x14ac:dyDescent="0.25">
      <c r="A12" s="915" t="s">
        <v>3167</v>
      </c>
      <c r="B12" s="926" t="s">
        <v>730</v>
      </c>
      <c r="C12" s="932" t="s">
        <v>731</v>
      </c>
      <c r="D12" s="950" t="s">
        <v>727</v>
      </c>
      <c r="E12" s="953"/>
      <c r="F12" s="958">
        <v>444375</v>
      </c>
      <c r="H12" s="918"/>
      <c r="I12" s="919"/>
      <c r="K12" s="964"/>
      <c r="L12" s="964"/>
      <c r="M12" s="964"/>
      <c r="N12" s="964"/>
      <c r="O12" s="964"/>
      <c r="P12" s="964"/>
    </row>
    <row r="13" spans="1:26" ht="18" x14ac:dyDescent="0.25">
      <c r="A13" s="915" t="s">
        <v>3167</v>
      </c>
      <c r="B13" s="926" t="s">
        <v>732</v>
      </c>
      <c r="C13" s="932" t="s">
        <v>733</v>
      </c>
      <c r="D13" s="950" t="s">
        <v>719</v>
      </c>
      <c r="E13" s="953"/>
      <c r="F13" s="951">
        <v>222</v>
      </c>
      <c r="I13" s="916"/>
      <c r="K13" s="964"/>
      <c r="L13" s="964"/>
      <c r="M13" s="964"/>
      <c r="N13" s="964"/>
      <c r="O13" s="964"/>
      <c r="P13" s="964"/>
    </row>
    <row r="14" spans="1:26" ht="18" x14ac:dyDescent="0.25">
      <c r="A14" s="915" t="s">
        <v>3167</v>
      </c>
      <c r="B14" s="926" t="s">
        <v>734</v>
      </c>
      <c r="C14" s="932" t="s">
        <v>735</v>
      </c>
      <c r="D14" s="950" t="s">
        <v>719</v>
      </c>
      <c r="E14" s="953"/>
      <c r="F14" s="958">
        <v>1000</v>
      </c>
      <c r="I14" s="916"/>
      <c r="K14" s="964"/>
      <c r="L14" s="964"/>
      <c r="M14" s="964"/>
      <c r="N14" s="964"/>
      <c r="O14" s="964"/>
      <c r="P14" s="964"/>
    </row>
    <row r="15" spans="1:26" ht="18" x14ac:dyDescent="0.25">
      <c r="A15" s="915" t="s">
        <v>3167</v>
      </c>
      <c r="B15" s="926" t="s">
        <v>736</v>
      </c>
      <c r="C15" s="932" t="s">
        <v>737</v>
      </c>
      <c r="D15" s="950" t="s">
        <v>738</v>
      </c>
      <c r="E15" s="953"/>
      <c r="F15" s="958">
        <v>5555</v>
      </c>
      <c r="I15" s="916"/>
      <c r="K15" s="964"/>
      <c r="L15" s="964"/>
      <c r="M15" s="964"/>
      <c r="N15" s="964"/>
      <c r="O15" s="964"/>
      <c r="P15" s="964"/>
    </row>
    <row r="16" spans="1:26" x14ac:dyDescent="0.25">
      <c r="A16" s="915" t="s">
        <v>3167</v>
      </c>
      <c r="B16" s="926" t="s">
        <v>739</v>
      </c>
      <c r="C16" s="931" t="s">
        <v>754</v>
      </c>
      <c r="D16" s="950"/>
      <c r="E16" s="953"/>
      <c r="F16" s="951"/>
      <c r="I16" s="917"/>
      <c r="J16" s="917"/>
      <c r="K16" s="964"/>
      <c r="L16" s="965"/>
      <c r="M16" s="965"/>
      <c r="N16" s="965"/>
      <c r="O16" s="965"/>
      <c r="P16" s="965"/>
    </row>
    <row r="17" spans="1:16" x14ac:dyDescent="0.25">
      <c r="A17" s="915" t="s">
        <v>3167</v>
      </c>
      <c r="B17" s="926" t="s">
        <v>741</v>
      </c>
      <c r="C17" s="926" t="s">
        <v>742</v>
      </c>
      <c r="D17" s="950"/>
      <c r="E17" s="953"/>
      <c r="F17" s="951"/>
      <c r="I17" s="916"/>
      <c r="K17" s="964"/>
      <c r="L17" s="964"/>
      <c r="M17" s="964"/>
      <c r="N17" s="964"/>
      <c r="O17" s="964"/>
      <c r="P17" s="964"/>
    </row>
    <row r="18" spans="1:16" x14ac:dyDescent="0.25">
      <c r="A18" s="915" t="s">
        <v>3167</v>
      </c>
      <c r="B18" s="926" t="s">
        <v>747</v>
      </c>
      <c r="C18" s="926" t="s">
        <v>748</v>
      </c>
      <c r="D18" s="950"/>
      <c r="E18" s="953"/>
      <c r="F18" s="951"/>
      <c r="I18" s="916"/>
    </row>
    <row r="19" spans="1:16" x14ac:dyDescent="0.25">
      <c r="A19" s="915" t="s">
        <v>3167</v>
      </c>
      <c r="B19" s="926" t="s">
        <v>753</v>
      </c>
      <c r="C19" s="926" t="s">
        <v>3170</v>
      </c>
      <c r="D19" s="950"/>
      <c r="E19" s="953"/>
      <c r="F19" s="951"/>
      <c r="I19" s="916"/>
    </row>
    <row r="20" spans="1:16" x14ac:dyDescent="0.25">
      <c r="A20" s="915" t="s">
        <v>3167</v>
      </c>
      <c r="B20" s="926" t="s">
        <v>759</v>
      </c>
      <c r="C20" s="931" t="s">
        <v>760</v>
      </c>
      <c r="D20" s="950"/>
      <c r="E20" s="953"/>
      <c r="F20" s="951"/>
      <c r="I20" s="916"/>
    </row>
    <row r="21" spans="1:16" ht="18" x14ac:dyDescent="0.25">
      <c r="A21" s="915" t="s">
        <v>3167</v>
      </c>
      <c r="B21" s="926" t="s">
        <v>761</v>
      </c>
      <c r="C21" s="932" t="s">
        <v>762</v>
      </c>
      <c r="D21" s="950" t="s">
        <v>738</v>
      </c>
      <c r="E21" s="953"/>
      <c r="F21" s="958">
        <v>1889</v>
      </c>
      <c r="I21" s="916"/>
    </row>
    <row r="22" spans="1:16" ht="18" x14ac:dyDescent="0.25">
      <c r="A22" s="915" t="s">
        <v>3167</v>
      </c>
      <c r="B22" s="926" t="s">
        <v>763</v>
      </c>
      <c r="C22" s="932" t="s">
        <v>764</v>
      </c>
      <c r="D22" s="950" t="s">
        <v>738</v>
      </c>
      <c r="E22" s="953"/>
      <c r="F22" s="958">
        <v>2055</v>
      </c>
      <c r="I22" s="916"/>
    </row>
    <row r="23" spans="1:16" ht="18" x14ac:dyDescent="0.25">
      <c r="A23" s="915" t="s">
        <v>3167</v>
      </c>
      <c r="B23" s="926" t="s">
        <v>765</v>
      </c>
      <c r="C23" s="932" t="s">
        <v>766</v>
      </c>
      <c r="D23" s="950" t="s">
        <v>738</v>
      </c>
      <c r="E23" s="953"/>
      <c r="F23" s="958">
        <v>2665</v>
      </c>
      <c r="I23" s="916"/>
    </row>
    <row r="24" spans="1:16" ht="18" x14ac:dyDescent="0.25">
      <c r="A24" s="915" t="s">
        <v>3167</v>
      </c>
      <c r="B24" s="926" t="s">
        <v>767</v>
      </c>
      <c r="C24" s="932" t="s">
        <v>768</v>
      </c>
      <c r="D24" s="950" t="s">
        <v>738</v>
      </c>
      <c r="E24" s="953"/>
      <c r="F24" s="958">
        <v>3331</v>
      </c>
      <c r="I24" s="916"/>
    </row>
    <row r="25" spans="1:16" ht="18" x14ac:dyDescent="0.25">
      <c r="A25" s="915" t="s">
        <v>3167</v>
      </c>
      <c r="B25" s="926" t="s">
        <v>769</v>
      </c>
      <c r="C25" s="932" t="s">
        <v>770</v>
      </c>
      <c r="D25" s="950" t="s">
        <v>738</v>
      </c>
      <c r="E25" s="953"/>
      <c r="F25" s="958">
        <v>7804</v>
      </c>
      <c r="I25" s="916"/>
    </row>
    <row r="26" spans="1:16" ht="18" x14ac:dyDescent="0.25">
      <c r="A26" s="915" t="s">
        <v>3167</v>
      </c>
      <c r="B26" s="926" t="s">
        <v>771</v>
      </c>
      <c r="C26" s="932" t="s">
        <v>772</v>
      </c>
      <c r="D26" s="950" t="s">
        <v>738</v>
      </c>
      <c r="E26" s="953"/>
      <c r="F26" s="951">
        <v>869</v>
      </c>
      <c r="I26" s="916"/>
    </row>
    <row r="27" spans="1:16" ht="18" x14ac:dyDescent="0.25">
      <c r="A27" s="915" t="s">
        <v>3167</v>
      </c>
      <c r="B27" s="926" t="s">
        <v>773</v>
      </c>
      <c r="C27" s="932" t="s">
        <v>774</v>
      </c>
      <c r="D27" s="950" t="s">
        <v>719</v>
      </c>
      <c r="E27" s="953"/>
      <c r="F27" s="951">
        <v>869</v>
      </c>
      <c r="I27" s="916"/>
    </row>
    <row r="28" spans="1:16" ht="18" x14ac:dyDescent="0.25">
      <c r="A28" s="915" t="s">
        <v>3167</v>
      </c>
      <c r="B28" s="926" t="s">
        <v>779</v>
      </c>
      <c r="C28" s="932" t="s">
        <v>780</v>
      </c>
      <c r="D28" s="950" t="s">
        <v>738</v>
      </c>
      <c r="E28" s="953"/>
      <c r="F28" s="958">
        <v>5110</v>
      </c>
      <c r="I28" s="916"/>
    </row>
    <row r="29" spans="1:16" x14ac:dyDescent="0.25">
      <c r="A29" s="915" t="s">
        <v>3167</v>
      </c>
      <c r="B29" s="961">
        <v>1</v>
      </c>
      <c r="C29" s="929" t="s">
        <v>781</v>
      </c>
      <c r="D29" s="950"/>
      <c r="E29" s="953"/>
      <c r="F29" s="951"/>
      <c r="I29" s="916"/>
    </row>
    <row r="30" spans="1:16" x14ac:dyDescent="0.25">
      <c r="A30" s="915" t="s">
        <v>3167</v>
      </c>
      <c r="B30" s="926">
        <v>2</v>
      </c>
      <c r="C30" s="930" t="s">
        <v>782</v>
      </c>
      <c r="D30" s="951"/>
      <c r="E30" s="953"/>
      <c r="F30" s="951"/>
      <c r="I30" s="916"/>
    </row>
    <row r="31" spans="1:16" x14ac:dyDescent="0.25">
      <c r="A31" s="915" t="s">
        <v>3167</v>
      </c>
      <c r="B31" s="926" t="s">
        <v>783</v>
      </c>
      <c r="C31" s="933" t="s">
        <v>784</v>
      </c>
      <c r="D31" s="950"/>
      <c r="E31" s="953"/>
      <c r="F31" s="951"/>
      <c r="I31" s="916"/>
    </row>
    <row r="32" spans="1:16" x14ac:dyDescent="0.25">
      <c r="A32" s="915" t="s">
        <v>3167</v>
      </c>
      <c r="B32" s="926" t="s">
        <v>785</v>
      </c>
      <c r="C32" s="926" t="s">
        <v>786</v>
      </c>
      <c r="D32" s="950"/>
      <c r="E32" s="953"/>
      <c r="F32" s="951"/>
      <c r="I32" s="916"/>
    </row>
    <row r="33" spans="1:9" ht="18" x14ac:dyDescent="0.25">
      <c r="A33" s="915" t="s">
        <v>3167</v>
      </c>
      <c r="B33" s="926" t="s">
        <v>787</v>
      </c>
      <c r="C33" s="932" t="s">
        <v>788</v>
      </c>
      <c r="D33" s="950" t="s">
        <v>738</v>
      </c>
      <c r="E33" s="953"/>
      <c r="F33" s="958">
        <v>52095</v>
      </c>
      <c r="I33" s="916"/>
    </row>
    <row r="34" spans="1:9" x14ac:dyDescent="0.25">
      <c r="A34" s="915" t="s">
        <v>3167</v>
      </c>
      <c r="B34" s="926" t="s">
        <v>789</v>
      </c>
      <c r="C34" s="926" t="str">
        <f>CONCATENATE("Béton semelle  fillantes dosé à ",'P1'!L20," kg/m3")</f>
        <v>Béton semelle  fillantes dosé à 250 kg/m3</v>
      </c>
      <c r="D34" s="950"/>
      <c r="E34" s="953"/>
      <c r="F34" s="951"/>
      <c r="I34" s="916"/>
    </row>
    <row r="35" spans="1:9" x14ac:dyDescent="0.25">
      <c r="A35" s="915" t="s">
        <v>3167</v>
      </c>
      <c r="B35" s="926" t="s">
        <v>790</v>
      </c>
      <c r="C35" s="934" t="s">
        <v>3166</v>
      </c>
      <c r="D35" s="950"/>
      <c r="E35" s="953"/>
      <c r="F35" s="951"/>
      <c r="I35" s="916"/>
    </row>
    <row r="36" spans="1:9" x14ac:dyDescent="0.25">
      <c r="A36" s="915" t="s">
        <v>3167</v>
      </c>
      <c r="B36" s="926" t="s">
        <v>791</v>
      </c>
      <c r="C36" s="935" t="s">
        <v>3146</v>
      </c>
      <c r="D36" s="950"/>
      <c r="E36" s="953"/>
      <c r="F36" s="951"/>
      <c r="I36" s="916"/>
    </row>
    <row r="37" spans="1:9" x14ac:dyDescent="0.25">
      <c r="A37" s="915" t="s">
        <v>3167</v>
      </c>
      <c r="B37" s="926" t="s">
        <v>797</v>
      </c>
      <c r="C37" s="935" t="s">
        <v>3147</v>
      </c>
      <c r="D37" s="950"/>
      <c r="E37" s="953"/>
      <c r="F37" s="951"/>
      <c r="I37" s="916"/>
    </row>
    <row r="38" spans="1:9" x14ac:dyDescent="0.25">
      <c r="A38" s="915" t="s">
        <v>3167</v>
      </c>
      <c r="B38" s="926" t="s">
        <v>798</v>
      </c>
      <c r="C38" s="935" t="s">
        <v>3145</v>
      </c>
      <c r="D38" s="950"/>
      <c r="E38" s="953"/>
      <c r="F38" s="951"/>
      <c r="I38" s="916"/>
    </row>
    <row r="39" spans="1:9" x14ac:dyDescent="0.25">
      <c r="A39" s="915" t="s">
        <v>3167</v>
      </c>
      <c r="B39" s="926" t="s">
        <v>800</v>
      </c>
      <c r="C39" s="935" t="s">
        <v>3146</v>
      </c>
      <c r="D39" s="950"/>
      <c r="E39" s="953"/>
      <c r="F39" s="951"/>
      <c r="I39" s="916"/>
    </row>
    <row r="40" spans="1:9" x14ac:dyDescent="0.25">
      <c r="A40" s="915" t="s">
        <v>3167</v>
      </c>
      <c r="B40" s="926"/>
      <c r="C40" s="929" t="s">
        <v>3156</v>
      </c>
      <c r="D40" s="950"/>
      <c r="E40" s="953"/>
      <c r="F40" s="951"/>
      <c r="I40" s="916"/>
    </row>
    <row r="41" spans="1:9" x14ac:dyDescent="0.25">
      <c r="A41" s="915" t="s">
        <v>3167</v>
      </c>
      <c r="B41" s="926" t="s">
        <v>811</v>
      </c>
      <c r="C41" s="936" t="s">
        <v>0</v>
      </c>
      <c r="D41" s="950"/>
      <c r="E41" s="953"/>
      <c r="F41" s="951"/>
      <c r="I41" s="916"/>
    </row>
    <row r="42" spans="1:9" x14ac:dyDescent="0.25">
      <c r="A42" s="915" t="s">
        <v>3167</v>
      </c>
      <c r="B42" s="926"/>
      <c r="C42" s="935" t="s">
        <v>3152</v>
      </c>
      <c r="D42" s="950"/>
      <c r="E42" s="953"/>
      <c r="F42" s="951"/>
      <c r="I42" s="916"/>
    </row>
    <row r="43" spans="1:9" ht="18" x14ac:dyDescent="0.25">
      <c r="A43" s="915" t="s">
        <v>3167</v>
      </c>
      <c r="B43" s="926" t="s">
        <v>833</v>
      </c>
      <c r="C43" s="932" t="s">
        <v>816</v>
      </c>
      <c r="D43" s="950" t="s">
        <v>719</v>
      </c>
      <c r="E43" s="953"/>
      <c r="F43" s="958">
        <v>11419</v>
      </c>
      <c r="I43" s="916"/>
    </row>
    <row r="44" spans="1:9" ht="18" x14ac:dyDescent="0.25">
      <c r="A44" s="915" t="s">
        <v>3167</v>
      </c>
      <c r="B44" s="926" t="s">
        <v>834</v>
      </c>
      <c r="C44" s="932" t="s">
        <v>818</v>
      </c>
      <c r="D44" s="950" t="s">
        <v>719</v>
      </c>
      <c r="E44" s="953"/>
      <c r="F44" s="958">
        <v>10495</v>
      </c>
      <c r="I44" s="916"/>
    </row>
    <row r="45" spans="1:9" ht="18" x14ac:dyDescent="0.25">
      <c r="A45" s="915" t="s">
        <v>3167</v>
      </c>
      <c r="B45" s="926" t="s">
        <v>835</v>
      </c>
      <c r="C45" s="932" t="s">
        <v>820</v>
      </c>
      <c r="D45" s="950" t="s">
        <v>719</v>
      </c>
      <c r="E45" s="953"/>
      <c r="F45" s="958">
        <v>9571</v>
      </c>
      <c r="I45" s="916"/>
    </row>
    <row r="46" spans="1:9" ht="18" x14ac:dyDescent="0.25">
      <c r="A46" s="915" t="s">
        <v>3167</v>
      </c>
      <c r="B46" s="926" t="s">
        <v>836</v>
      </c>
      <c r="C46" s="932" t="s">
        <v>822</v>
      </c>
      <c r="D46" s="950" t="s">
        <v>719</v>
      </c>
      <c r="E46" s="953"/>
      <c r="F46" s="958">
        <v>6743</v>
      </c>
      <c r="I46" s="916"/>
    </row>
    <row r="47" spans="1:9" ht="18" x14ac:dyDescent="0.25">
      <c r="A47" s="915" t="s">
        <v>3167</v>
      </c>
      <c r="B47" s="926" t="s">
        <v>797</v>
      </c>
      <c r="C47" s="931" t="s">
        <v>3154</v>
      </c>
      <c r="D47" s="950"/>
      <c r="E47" s="953"/>
      <c r="F47" s="951"/>
      <c r="I47" s="916"/>
    </row>
    <row r="48" spans="1:9" x14ac:dyDescent="0.25">
      <c r="A48" s="915" t="s">
        <v>3167</v>
      </c>
      <c r="B48" s="926" t="s">
        <v>798</v>
      </c>
      <c r="C48" s="932" t="s">
        <v>3153</v>
      </c>
      <c r="D48" s="927"/>
      <c r="E48" s="953"/>
      <c r="F48" s="927"/>
      <c r="I48" s="916"/>
    </row>
    <row r="49" spans="1:9" ht="18" x14ac:dyDescent="0.25">
      <c r="A49" s="915" t="s">
        <v>3167</v>
      </c>
      <c r="B49" s="926"/>
      <c r="C49" s="935" t="s">
        <v>3148</v>
      </c>
      <c r="D49" s="950" t="s">
        <v>738</v>
      </c>
      <c r="E49" s="953"/>
      <c r="F49" s="958">
        <v>77797</v>
      </c>
      <c r="I49" s="916"/>
    </row>
    <row r="50" spans="1:9" x14ac:dyDescent="0.25">
      <c r="A50" s="915" t="s">
        <v>3167</v>
      </c>
      <c r="B50" s="926"/>
      <c r="C50" s="935" t="s">
        <v>3149</v>
      </c>
      <c r="D50" s="950" t="s">
        <v>904</v>
      </c>
      <c r="E50" s="953"/>
      <c r="F50" s="958">
        <v>1119</v>
      </c>
      <c r="I50" s="916"/>
    </row>
    <row r="51" spans="1:9" x14ac:dyDescent="0.25">
      <c r="A51" s="915" t="s">
        <v>3167</v>
      </c>
      <c r="B51" s="927"/>
      <c r="C51" s="935" t="s">
        <v>3150</v>
      </c>
      <c r="D51" s="950" t="s">
        <v>861</v>
      </c>
      <c r="E51" s="953"/>
      <c r="F51" s="958">
        <v>3221</v>
      </c>
      <c r="I51" s="916"/>
    </row>
    <row r="52" spans="1:9" ht="18" x14ac:dyDescent="0.25">
      <c r="A52" s="915" t="s">
        <v>3167</v>
      </c>
      <c r="B52" s="926" t="s">
        <v>800</v>
      </c>
      <c r="C52" s="932" t="s">
        <v>3164</v>
      </c>
      <c r="D52" s="950" t="s">
        <v>738</v>
      </c>
      <c r="E52" s="953"/>
      <c r="F52" s="958">
        <v>77336</v>
      </c>
      <c r="I52" s="916"/>
    </row>
    <row r="53" spans="1:9" x14ac:dyDescent="0.25">
      <c r="A53" s="915" t="s">
        <v>3167</v>
      </c>
      <c r="B53" s="926"/>
      <c r="C53" s="935" t="s">
        <v>3148</v>
      </c>
      <c r="D53" s="950"/>
      <c r="E53" s="953"/>
      <c r="F53" s="958"/>
      <c r="I53" s="916"/>
    </row>
    <row r="54" spans="1:9" x14ac:dyDescent="0.25">
      <c r="A54" s="915" t="s">
        <v>3167</v>
      </c>
      <c r="B54" s="926"/>
      <c r="C54" s="935" t="s">
        <v>3149</v>
      </c>
      <c r="D54" s="950" t="s">
        <v>904</v>
      </c>
      <c r="E54" s="953"/>
      <c r="F54" s="958">
        <v>1119</v>
      </c>
      <c r="I54" s="916"/>
    </row>
    <row r="55" spans="1:9" x14ac:dyDescent="0.25">
      <c r="A55" s="915" t="s">
        <v>3167</v>
      </c>
      <c r="B55" s="926"/>
      <c r="C55" s="935" t="s">
        <v>3150</v>
      </c>
      <c r="D55" s="950" t="s">
        <v>861</v>
      </c>
      <c r="E55" s="953"/>
      <c r="F55" s="958">
        <v>3221</v>
      </c>
      <c r="I55" s="916"/>
    </row>
    <row r="56" spans="1:9" x14ac:dyDescent="0.25">
      <c r="A56" s="915" t="s">
        <v>3167</v>
      </c>
      <c r="B56" s="926"/>
      <c r="C56" s="937" t="s">
        <v>3151</v>
      </c>
      <c r="D56" s="950"/>
      <c r="E56" s="953"/>
      <c r="F56" s="958"/>
      <c r="I56" s="916"/>
    </row>
    <row r="57" spans="1:9" ht="18" x14ac:dyDescent="0.25">
      <c r="A57" s="915" t="s">
        <v>3167</v>
      </c>
      <c r="B57" s="926"/>
      <c r="C57" s="938" t="s">
        <v>858</v>
      </c>
      <c r="D57" s="950" t="s">
        <v>719</v>
      </c>
      <c r="E57" s="953"/>
      <c r="F57" s="951">
        <v>231</v>
      </c>
      <c r="I57" s="916"/>
    </row>
    <row r="58" spans="1:9" x14ac:dyDescent="0.25">
      <c r="A58" s="915" t="s">
        <v>3167</v>
      </c>
      <c r="B58" s="926"/>
      <c r="C58" s="939" t="s">
        <v>3155</v>
      </c>
      <c r="D58" s="950"/>
      <c r="E58" s="953"/>
      <c r="F58" s="958"/>
      <c r="I58" s="916"/>
    </row>
    <row r="59" spans="1:9" x14ac:dyDescent="0.25">
      <c r="A59" s="915" t="s">
        <v>3167</v>
      </c>
      <c r="B59" s="926"/>
      <c r="C59" s="929" t="s">
        <v>3157</v>
      </c>
      <c r="D59" s="950"/>
      <c r="E59" s="953"/>
      <c r="F59" s="958"/>
      <c r="I59" s="916"/>
    </row>
    <row r="60" spans="1:9" x14ac:dyDescent="0.25">
      <c r="A60" s="915" t="s">
        <v>3167</v>
      </c>
      <c r="B60" s="926"/>
      <c r="C60" s="940" t="s">
        <v>3158</v>
      </c>
      <c r="D60" s="950"/>
      <c r="E60" s="953"/>
      <c r="F60" s="958"/>
      <c r="I60" s="916"/>
    </row>
    <row r="61" spans="1:9" x14ac:dyDescent="0.25">
      <c r="A61" s="915" t="s">
        <v>3167</v>
      </c>
      <c r="B61" s="926"/>
      <c r="C61" s="941" t="s">
        <v>3152</v>
      </c>
      <c r="D61" s="950"/>
      <c r="E61" s="953"/>
      <c r="F61" s="958"/>
      <c r="I61" s="916"/>
    </row>
    <row r="62" spans="1:9" ht="18" x14ac:dyDescent="0.25">
      <c r="A62" s="915" t="s">
        <v>3167</v>
      </c>
      <c r="B62" s="926" t="s">
        <v>839</v>
      </c>
      <c r="C62" s="932" t="s">
        <v>826</v>
      </c>
      <c r="D62" s="950" t="s">
        <v>719</v>
      </c>
      <c r="E62" s="953"/>
      <c r="F62" s="958">
        <v>6839</v>
      </c>
      <c r="I62" s="916"/>
    </row>
    <row r="63" spans="1:9" ht="18" x14ac:dyDescent="0.25">
      <c r="A63" s="915" t="s">
        <v>3167</v>
      </c>
      <c r="B63" s="926" t="s">
        <v>840</v>
      </c>
      <c r="C63" s="932" t="s">
        <v>544</v>
      </c>
      <c r="D63" s="950" t="s">
        <v>719</v>
      </c>
      <c r="E63" s="953"/>
      <c r="F63" s="958">
        <v>6024</v>
      </c>
      <c r="I63" s="916"/>
    </row>
    <row r="64" spans="1:9" ht="18" x14ac:dyDescent="0.25">
      <c r="A64" s="915" t="s">
        <v>3167</v>
      </c>
      <c r="B64" s="926" t="s">
        <v>841</v>
      </c>
      <c r="C64" s="932" t="s">
        <v>545</v>
      </c>
      <c r="D64" s="950" t="s">
        <v>719</v>
      </c>
      <c r="E64" s="953"/>
      <c r="F64" s="958">
        <v>5046</v>
      </c>
      <c r="I64" s="916"/>
    </row>
    <row r="65" spans="1:9" ht="18" x14ac:dyDescent="0.25">
      <c r="A65" s="915" t="s">
        <v>3167</v>
      </c>
      <c r="B65" s="926" t="s">
        <v>842</v>
      </c>
      <c r="C65" s="932" t="s">
        <v>830</v>
      </c>
      <c r="D65" s="950" t="s">
        <v>719</v>
      </c>
      <c r="E65" s="953"/>
      <c r="F65" s="958">
        <v>4393</v>
      </c>
      <c r="I65" s="916"/>
    </row>
    <row r="66" spans="1:9" x14ac:dyDescent="0.25">
      <c r="A66" s="915" t="s">
        <v>3167</v>
      </c>
      <c r="B66" s="926"/>
      <c r="C66" s="941" t="s">
        <v>3160</v>
      </c>
      <c r="D66" s="950"/>
      <c r="E66" s="953"/>
      <c r="F66" s="958"/>
      <c r="I66" s="916"/>
    </row>
    <row r="67" spans="1:9" x14ac:dyDescent="0.25">
      <c r="A67" s="915" t="s">
        <v>3167</v>
      </c>
      <c r="B67" s="926"/>
      <c r="C67" s="934" t="s">
        <v>3165</v>
      </c>
      <c r="D67" s="950"/>
      <c r="E67" s="953"/>
      <c r="F67" s="958"/>
      <c r="I67" s="916"/>
    </row>
    <row r="68" spans="1:9" x14ac:dyDescent="0.25">
      <c r="A68" s="915" t="s">
        <v>3167</v>
      </c>
      <c r="B68" s="926"/>
      <c r="C68" s="935" t="s">
        <v>3148</v>
      </c>
      <c r="D68" s="950"/>
      <c r="E68" s="953"/>
      <c r="F68" s="958"/>
      <c r="I68" s="916"/>
    </row>
    <row r="69" spans="1:9" x14ac:dyDescent="0.25">
      <c r="A69" s="915" t="s">
        <v>3167</v>
      </c>
      <c r="B69" s="926"/>
      <c r="C69" s="935" t="s">
        <v>3149</v>
      </c>
      <c r="D69" s="950"/>
      <c r="E69" s="953"/>
      <c r="F69" s="958"/>
      <c r="I69" s="916"/>
    </row>
    <row r="70" spans="1:9" x14ac:dyDescent="0.25">
      <c r="A70" s="915" t="s">
        <v>3167</v>
      </c>
      <c r="B70" s="926"/>
      <c r="C70" s="935" t="s">
        <v>3150</v>
      </c>
      <c r="D70" s="950"/>
      <c r="E70" s="953"/>
      <c r="F70" s="958"/>
      <c r="I70" s="916"/>
    </row>
    <row r="71" spans="1:9" x14ac:dyDescent="0.25">
      <c r="A71" s="915" t="s">
        <v>3167</v>
      </c>
      <c r="B71" s="926"/>
      <c r="C71" s="935" t="s">
        <v>3161</v>
      </c>
      <c r="D71" s="950"/>
      <c r="E71" s="953"/>
      <c r="F71" s="958"/>
      <c r="I71" s="916"/>
    </row>
    <row r="72" spans="1:9" x14ac:dyDescent="0.25">
      <c r="A72" s="915" t="s">
        <v>3167</v>
      </c>
      <c r="B72" s="926"/>
      <c r="C72" s="935" t="s">
        <v>3148</v>
      </c>
      <c r="D72" s="950"/>
      <c r="E72" s="953"/>
      <c r="F72" s="958"/>
      <c r="I72" s="916"/>
    </row>
    <row r="73" spans="1:9" x14ac:dyDescent="0.25">
      <c r="A73" s="915" t="s">
        <v>3167</v>
      </c>
      <c r="B73" s="926"/>
      <c r="C73" s="935" t="s">
        <v>3149</v>
      </c>
      <c r="D73" s="950"/>
      <c r="E73" s="953"/>
      <c r="F73" s="958"/>
      <c r="I73" s="916"/>
    </row>
    <row r="74" spans="1:9" x14ac:dyDescent="0.25">
      <c r="A74" s="915" t="s">
        <v>3167</v>
      </c>
      <c r="B74" s="926"/>
      <c r="C74" s="935" t="s">
        <v>3150</v>
      </c>
      <c r="D74" s="950"/>
      <c r="E74" s="953"/>
      <c r="F74" s="958"/>
      <c r="I74" s="916"/>
    </row>
    <row r="75" spans="1:9" x14ac:dyDescent="0.25">
      <c r="A75" s="915" t="s">
        <v>3167</v>
      </c>
      <c r="B75" s="926"/>
      <c r="C75" s="935" t="s">
        <v>3162</v>
      </c>
      <c r="D75" s="950"/>
      <c r="E75" s="953"/>
      <c r="F75" s="958"/>
      <c r="I75" s="916"/>
    </row>
    <row r="76" spans="1:9" x14ac:dyDescent="0.25">
      <c r="A76" s="915" t="s">
        <v>3167</v>
      </c>
      <c r="B76" s="926"/>
      <c r="C76" s="935" t="s">
        <v>3148</v>
      </c>
      <c r="D76" s="950"/>
      <c r="E76" s="953"/>
      <c r="F76" s="958"/>
      <c r="I76" s="916"/>
    </row>
    <row r="77" spans="1:9" x14ac:dyDescent="0.25">
      <c r="A77" s="915" t="s">
        <v>3167</v>
      </c>
      <c r="B77" s="926"/>
      <c r="C77" s="935" t="s">
        <v>3149</v>
      </c>
      <c r="D77" s="950"/>
      <c r="E77" s="953"/>
      <c r="F77" s="958"/>
      <c r="I77" s="916"/>
    </row>
    <row r="78" spans="1:9" x14ac:dyDescent="0.25">
      <c r="A78" s="915" t="s">
        <v>3167</v>
      </c>
      <c r="B78" s="926"/>
      <c r="C78" s="935" t="s">
        <v>3150</v>
      </c>
      <c r="D78" s="950"/>
      <c r="E78" s="953"/>
      <c r="F78" s="958"/>
      <c r="I78" s="916"/>
    </row>
    <row r="79" spans="1:9" x14ac:dyDescent="0.25">
      <c r="A79" s="915" t="s">
        <v>3167</v>
      </c>
      <c r="B79" s="926"/>
      <c r="C79" s="935" t="s">
        <v>3163</v>
      </c>
      <c r="D79" s="950"/>
      <c r="E79" s="953"/>
      <c r="F79" s="958"/>
      <c r="I79" s="916"/>
    </row>
    <row r="80" spans="1:9" x14ac:dyDescent="0.25">
      <c r="A80" s="915" t="s">
        <v>3167</v>
      </c>
      <c r="B80" s="926"/>
      <c r="C80" s="935" t="s">
        <v>3148</v>
      </c>
      <c r="D80" s="950"/>
      <c r="E80" s="953"/>
      <c r="F80" s="958"/>
      <c r="I80" s="916"/>
    </row>
    <row r="81" spans="1:9" x14ac:dyDescent="0.25">
      <c r="A81" s="915" t="s">
        <v>3167</v>
      </c>
      <c r="B81" s="926"/>
      <c r="C81" s="935" t="s">
        <v>3149</v>
      </c>
      <c r="D81" s="950"/>
      <c r="E81" s="953"/>
      <c r="F81" s="958"/>
      <c r="I81" s="916"/>
    </row>
    <row r="82" spans="1:9" x14ac:dyDescent="0.25">
      <c r="A82" s="915" t="s">
        <v>3167</v>
      </c>
      <c r="B82" s="926"/>
      <c r="C82" s="935" t="s">
        <v>3150</v>
      </c>
      <c r="D82" s="950"/>
      <c r="E82" s="953"/>
      <c r="F82" s="958"/>
      <c r="I82" s="916"/>
    </row>
    <row r="83" spans="1:9" x14ac:dyDescent="0.25">
      <c r="A83" s="915" t="s">
        <v>3167</v>
      </c>
      <c r="B83" s="926" t="s">
        <v>805</v>
      </c>
      <c r="C83" s="932" t="s">
        <v>806</v>
      </c>
      <c r="D83" s="927"/>
      <c r="E83" s="953"/>
      <c r="F83" s="927"/>
      <c r="I83" s="916"/>
    </row>
    <row r="84" spans="1:9" ht="18" x14ac:dyDescent="0.25">
      <c r="A84" s="915" t="s">
        <v>3167</v>
      </c>
      <c r="B84" s="926"/>
      <c r="C84" s="935" t="s">
        <v>3148</v>
      </c>
      <c r="D84" s="950" t="s">
        <v>738</v>
      </c>
      <c r="E84" s="953"/>
      <c r="F84" s="958">
        <v>77876</v>
      </c>
      <c r="I84" s="916"/>
    </row>
    <row r="85" spans="1:9" x14ac:dyDescent="0.25">
      <c r="A85" s="915" t="s">
        <v>3167</v>
      </c>
      <c r="B85" s="926"/>
      <c r="C85" s="935" t="s">
        <v>3149</v>
      </c>
      <c r="D85" s="950"/>
      <c r="E85" s="953"/>
      <c r="F85" s="958"/>
      <c r="I85" s="916"/>
    </row>
    <row r="86" spans="1:9" x14ac:dyDescent="0.25">
      <c r="A86" s="915" t="s">
        <v>3167</v>
      </c>
      <c r="B86" s="926"/>
      <c r="C86" s="935" t="s">
        <v>3150</v>
      </c>
      <c r="D86" s="950" t="s">
        <v>861</v>
      </c>
      <c r="E86" s="953"/>
      <c r="F86" s="958">
        <v>4303</v>
      </c>
      <c r="I86" s="916"/>
    </row>
    <row r="87" spans="1:9" x14ac:dyDescent="0.25">
      <c r="A87" s="915" t="s">
        <v>3167</v>
      </c>
      <c r="B87" s="926" t="s">
        <v>804</v>
      </c>
      <c r="C87" s="932" t="s">
        <v>22</v>
      </c>
      <c r="D87" s="927"/>
      <c r="E87" s="953"/>
      <c r="F87" s="927"/>
      <c r="I87" s="916"/>
    </row>
    <row r="88" spans="1:9" ht="18" x14ac:dyDescent="0.25">
      <c r="A88" s="915" t="s">
        <v>3167</v>
      </c>
      <c r="B88" s="926"/>
      <c r="C88" s="935" t="s">
        <v>3148</v>
      </c>
      <c r="D88" s="950" t="s">
        <v>738</v>
      </c>
      <c r="E88" s="953"/>
      <c r="F88" s="958">
        <v>78573</v>
      </c>
      <c r="I88" s="916"/>
    </row>
    <row r="89" spans="1:9" x14ac:dyDescent="0.25">
      <c r="A89" s="915" t="s">
        <v>3167</v>
      </c>
      <c r="B89" s="926"/>
      <c r="C89" s="935" t="s">
        <v>3149</v>
      </c>
      <c r="D89" s="950"/>
      <c r="E89" s="953"/>
      <c r="F89" s="958"/>
      <c r="I89" s="916"/>
    </row>
    <row r="90" spans="1:9" x14ac:dyDescent="0.25">
      <c r="A90" s="915" t="s">
        <v>3167</v>
      </c>
      <c r="B90" s="926"/>
      <c r="C90" s="935" t="s">
        <v>3150</v>
      </c>
      <c r="D90" s="950" t="s">
        <v>861</v>
      </c>
      <c r="E90" s="953"/>
      <c r="F90" s="958">
        <v>4255</v>
      </c>
      <c r="I90" s="916"/>
    </row>
    <row r="91" spans="1:9" x14ac:dyDescent="0.25">
      <c r="A91" s="915" t="s">
        <v>3167</v>
      </c>
      <c r="B91" s="926"/>
      <c r="C91" s="927"/>
      <c r="D91" s="950"/>
      <c r="E91" s="953"/>
      <c r="F91" s="958"/>
      <c r="I91" s="916"/>
    </row>
    <row r="92" spans="1:9" x14ac:dyDescent="0.25">
      <c r="A92" s="915" t="s">
        <v>3167</v>
      </c>
      <c r="B92" s="926" t="s">
        <v>855</v>
      </c>
      <c r="C92" s="931" t="s">
        <v>856</v>
      </c>
      <c r="D92" s="950"/>
      <c r="E92" s="953"/>
      <c r="F92" s="951"/>
      <c r="I92" s="916"/>
    </row>
    <row r="93" spans="1:9" x14ac:dyDescent="0.25">
      <c r="A93" s="915" t="s">
        <v>3167</v>
      </c>
      <c r="B93" s="926" t="s">
        <v>857</v>
      </c>
      <c r="C93" s="932"/>
      <c r="D93" s="927"/>
      <c r="E93" s="953"/>
      <c r="F93" s="927"/>
      <c r="I93" s="916"/>
    </row>
    <row r="94" spans="1:9" x14ac:dyDescent="0.25">
      <c r="A94" s="915" t="s">
        <v>3167</v>
      </c>
      <c r="B94" s="926" t="s">
        <v>859</v>
      </c>
      <c r="C94" s="932" t="s">
        <v>860</v>
      </c>
      <c r="D94" s="950" t="s">
        <v>861</v>
      </c>
      <c r="E94" s="953"/>
      <c r="F94" s="958">
        <v>7342</v>
      </c>
      <c r="I94" s="916"/>
    </row>
    <row r="95" spans="1:9" x14ac:dyDescent="0.25">
      <c r="A95" s="915" t="s">
        <v>3167</v>
      </c>
      <c r="B95" s="926" t="s">
        <v>862</v>
      </c>
      <c r="C95" s="932" t="s">
        <v>863</v>
      </c>
      <c r="D95" s="950" t="s">
        <v>861</v>
      </c>
      <c r="E95" s="953"/>
      <c r="F95" s="958">
        <v>8707</v>
      </c>
      <c r="I95" s="916"/>
    </row>
    <row r="96" spans="1:9" x14ac:dyDescent="0.25">
      <c r="A96" s="915" t="s">
        <v>3167</v>
      </c>
      <c r="B96" s="926" t="s">
        <v>864</v>
      </c>
      <c r="C96" s="932" t="s">
        <v>865</v>
      </c>
      <c r="D96" s="950" t="s">
        <v>861</v>
      </c>
      <c r="E96" s="953"/>
      <c r="F96" s="958">
        <v>10703</v>
      </c>
      <c r="I96" s="916"/>
    </row>
    <row r="97" spans="1:9" x14ac:dyDescent="0.25">
      <c r="A97" s="915" t="s">
        <v>3167</v>
      </c>
      <c r="B97" s="926" t="s">
        <v>866</v>
      </c>
      <c r="C97" s="932" t="s">
        <v>867</v>
      </c>
      <c r="D97" s="950" t="s">
        <v>861</v>
      </c>
      <c r="E97" s="953"/>
      <c r="F97" s="958">
        <v>1533</v>
      </c>
      <c r="I97" s="916"/>
    </row>
    <row r="98" spans="1:9" x14ac:dyDescent="0.25">
      <c r="A98" s="915" t="s">
        <v>3167</v>
      </c>
      <c r="B98" s="926" t="s">
        <v>868</v>
      </c>
      <c r="C98" s="932" t="s">
        <v>869</v>
      </c>
      <c r="D98" s="950" t="s">
        <v>861</v>
      </c>
      <c r="E98" s="953"/>
      <c r="F98" s="958">
        <v>3860</v>
      </c>
      <c r="I98" s="916"/>
    </row>
    <row r="99" spans="1:9" x14ac:dyDescent="0.25">
      <c r="A99" s="915" t="s">
        <v>3167</v>
      </c>
      <c r="B99" s="926" t="s">
        <v>870</v>
      </c>
      <c r="C99" s="932" t="s">
        <v>871</v>
      </c>
      <c r="D99" s="950" t="s">
        <v>861</v>
      </c>
      <c r="E99" s="953"/>
      <c r="F99" s="958">
        <v>3379</v>
      </c>
      <c r="I99" s="916"/>
    </row>
    <row r="100" spans="1:9" x14ac:dyDescent="0.25">
      <c r="A100" s="915" t="s">
        <v>3167</v>
      </c>
      <c r="B100" s="926" t="s">
        <v>880</v>
      </c>
      <c r="C100" s="926" t="s">
        <v>881</v>
      </c>
      <c r="D100" s="950"/>
      <c r="E100" s="953"/>
      <c r="F100" s="951"/>
      <c r="I100" s="916"/>
    </row>
    <row r="101" spans="1:9" x14ac:dyDescent="0.25">
      <c r="A101" s="915" t="s">
        <v>3167</v>
      </c>
      <c r="B101" s="926" t="s">
        <v>882</v>
      </c>
      <c r="C101" s="931" t="s">
        <v>883</v>
      </c>
      <c r="D101" s="950"/>
      <c r="E101" s="953"/>
      <c r="F101" s="951"/>
      <c r="I101" s="916"/>
    </row>
    <row r="102" spans="1:9" x14ac:dyDescent="0.25">
      <c r="A102" s="915" t="s">
        <v>3167</v>
      </c>
      <c r="B102" s="926" t="s">
        <v>884</v>
      </c>
      <c r="C102" s="932" t="s">
        <v>885</v>
      </c>
      <c r="D102" s="950" t="s">
        <v>861</v>
      </c>
      <c r="E102" s="953"/>
      <c r="F102" s="958">
        <v>35905</v>
      </c>
      <c r="I102" s="916"/>
    </row>
    <row r="103" spans="1:9" x14ac:dyDescent="0.25">
      <c r="A103" s="915" t="s">
        <v>3167</v>
      </c>
      <c r="B103" s="926" t="s">
        <v>886</v>
      </c>
      <c r="C103" s="932" t="s">
        <v>887</v>
      </c>
      <c r="D103" s="950" t="s">
        <v>861</v>
      </c>
      <c r="E103" s="953"/>
      <c r="F103" s="958">
        <v>30031</v>
      </c>
      <c r="I103" s="916"/>
    </row>
    <row r="104" spans="1:9" x14ac:dyDescent="0.25">
      <c r="A104" s="915" t="s">
        <v>3167</v>
      </c>
      <c r="B104" s="926" t="s">
        <v>888</v>
      </c>
      <c r="C104" s="932" t="s">
        <v>889</v>
      </c>
      <c r="D104" s="950" t="s">
        <v>861</v>
      </c>
      <c r="E104" s="953"/>
      <c r="F104" s="958">
        <v>26251</v>
      </c>
      <c r="I104" s="916"/>
    </row>
    <row r="105" spans="1:9" x14ac:dyDescent="0.25">
      <c r="A105" s="915" t="s">
        <v>3167</v>
      </c>
      <c r="B105" s="926" t="s">
        <v>890</v>
      </c>
      <c r="C105" s="932" t="s">
        <v>891</v>
      </c>
      <c r="D105" s="950" t="s">
        <v>861</v>
      </c>
      <c r="E105" s="953"/>
      <c r="F105" s="958">
        <v>21288</v>
      </c>
      <c r="I105" s="916"/>
    </row>
    <row r="106" spans="1:9" x14ac:dyDescent="0.25">
      <c r="A106" s="915" t="s">
        <v>3167</v>
      </c>
      <c r="B106" s="926" t="s">
        <v>892</v>
      </c>
      <c r="C106" s="932" t="s">
        <v>893</v>
      </c>
      <c r="D106" s="950" t="s">
        <v>861</v>
      </c>
      <c r="E106" s="953"/>
      <c r="F106" s="958">
        <v>19753</v>
      </c>
      <c r="I106" s="916"/>
    </row>
    <row r="107" spans="1:9" x14ac:dyDescent="0.25">
      <c r="A107" s="915" t="s">
        <v>3167</v>
      </c>
      <c r="B107" s="926" t="s">
        <v>894</v>
      </c>
      <c r="C107" s="932" t="s">
        <v>895</v>
      </c>
      <c r="D107" s="950" t="s">
        <v>861</v>
      </c>
      <c r="E107" s="953"/>
      <c r="F107" s="958">
        <v>18346</v>
      </c>
      <c r="I107" s="916"/>
    </row>
    <row r="108" spans="1:9" x14ac:dyDescent="0.25">
      <c r="A108" s="915" t="s">
        <v>3167</v>
      </c>
      <c r="B108" s="926" t="s">
        <v>896</v>
      </c>
      <c r="C108" s="932" t="s">
        <v>897</v>
      </c>
      <c r="D108" s="950" t="s">
        <v>861</v>
      </c>
      <c r="E108" s="953"/>
      <c r="F108" s="958">
        <v>22349</v>
      </c>
      <c r="I108" s="916"/>
    </row>
    <row r="109" spans="1:9" x14ac:dyDescent="0.25">
      <c r="A109" s="915" t="s">
        <v>3167</v>
      </c>
      <c r="B109" s="926" t="s">
        <v>898</v>
      </c>
      <c r="C109" s="932" t="s">
        <v>899</v>
      </c>
      <c r="D109" s="950" t="s">
        <v>861</v>
      </c>
      <c r="E109" s="953"/>
      <c r="F109" s="958">
        <v>25821</v>
      </c>
      <c r="I109" s="916"/>
    </row>
    <row r="110" spans="1:9" x14ac:dyDescent="0.25">
      <c r="A110" s="915" t="s">
        <v>3167</v>
      </c>
      <c r="B110" s="926"/>
      <c r="C110" s="942"/>
      <c r="D110" s="950"/>
      <c r="E110" s="953"/>
      <c r="F110" s="958"/>
      <c r="I110" s="916"/>
    </row>
    <row r="111" spans="1:9" x14ac:dyDescent="0.25">
      <c r="A111" s="915" t="s">
        <v>3167</v>
      </c>
      <c r="B111" s="926"/>
      <c r="C111" s="942"/>
      <c r="D111" s="950"/>
      <c r="E111" s="953"/>
      <c r="F111" s="958"/>
      <c r="I111" s="916"/>
    </row>
    <row r="112" spans="1:9" x14ac:dyDescent="0.25">
      <c r="A112" s="915" t="s">
        <v>3167</v>
      </c>
      <c r="B112" s="926"/>
      <c r="C112" s="942"/>
      <c r="D112" s="950"/>
      <c r="E112" s="953"/>
      <c r="F112" s="958"/>
      <c r="I112" s="916"/>
    </row>
    <row r="113" spans="1:9" x14ac:dyDescent="0.25">
      <c r="A113" s="915" t="s">
        <v>3167</v>
      </c>
      <c r="B113" s="926"/>
      <c r="C113" s="942"/>
      <c r="D113" s="950"/>
      <c r="E113" s="953"/>
      <c r="F113" s="958"/>
      <c r="I113" s="916"/>
    </row>
    <row r="114" spans="1:9" x14ac:dyDescent="0.25">
      <c r="A114" s="915" t="s">
        <v>3167</v>
      </c>
      <c r="B114" s="926"/>
      <c r="C114" s="942"/>
      <c r="D114" s="950"/>
      <c r="E114" s="953"/>
      <c r="F114" s="958"/>
      <c r="I114" s="916"/>
    </row>
    <row r="115" spans="1:9" ht="17.25" x14ac:dyDescent="0.3">
      <c r="A115" s="915" t="s">
        <v>3167</v>
      </c>
      <c r="B115" s="926"/>
      <c r="C115" s="943"/>
      <c r="D115" s="950"/>
      <c r="E115" s="953"/>
      <c r="F115" s="958"/>
      <c r="I115" s="916"/>
    </row>
    <row r="116" spans="1:9" ht="17.25" x14ac:dyDescent="0.3">
      <c r="A116" s="915" t="s">
        <v>3167</v>
      </c>
      <c r="B116" s="926"/>
      <c r="C116" s="944" t="s">
        <v>3159</v>
      </c>
      <c r="D116" s="950"/>
      <c r="E116" s="953"/>
      <c r="F116" s="958"/>
      <c r="I116" s="916"/>
    </row>
    <row r="117" spans="1:9" ht="17.25" x14ac:dyDescent="0.3">
      <c r="A117" s="915" t="s">
        <v>3167</v>
      </c>
      <c r="B117" s="926"/>
      <c r="C117" s="943"/>
      <c r="D117" s="950"/>
      <c r="E117" s="953"/>
      <c r="F117" s="958"/>
      <c r="I117" s="916"/>
    </row>
    <row r="118" spans="1:9" ht="17.25" x14ac:dyDescent="0.3">
      <c r="A118" s="915" t="s">
        <v>3167</v>
      </c>
      <c r="B118" s="926"/>
      <c r="C118" s="943"/>
      <c r="D118" s="950"/>
      <c r="E118" s="953"/>
      <c r="F118" s="958"/>
      <c r="I118" s="916"/>
    </row>
    <row r="119" spans="1:9" x14ac:dyDescent="0.25">
      <c r="A119" s="915" t="s">
        <v>3167</v>
      </c>
      <c r="B119" s="926" t="s">
        <v>940</v>
      </c>
      <c r="C119" s="933" t="s">
        <v>941</v>
      </c>
      <c r="D119" s="950"/>
      <c r="E119" s="953"/>
      <c r="F119" s="951"/>
      <c r="I119" s="916"/>
    </row>
    <row r="120" spans="1:9" ht="18" x14ac:dyDescent="0.25">
      <c r="A120" s="915" t="s">
        <v>3167</v>
      </c>
      <c r="B120" s="926" t="s">
        <v>942</v>
      </c>
      <c r="C120" s="932" t="s">
        <v>943</v>
      </c>
      <c r="D120" s="950" t="s">
        <v>719</v>
      </c>
      <c r="E120" s="953"/>
      <c r="F120" s="958">
        <v>10710</v>
      </c>
      <c r="I120" s="916"/>
    </row>
    <row r="121" spans="1:9" ht="18" x14ac:dyDescent="0.25">
      <c r="A121" s="915" t="s">
        <v>3167</v>
      </c>
      <c r="B121" s="926" t="s">
        <v>944</v>
      </c>
      <c r="C121" s="932" t="s">
        <v>945</v>
      </c>
      <c r="D121" s="950" t="s">
        <v>738</v>
      </c>
      <c r="E121" s="953"/>
      <c r="F121" s="958">
        <v>12626</v>
      </c>
      <c r="I121" s="916"/>
    </row>
    <row r="122" spans="1:9" ht="18" x14ac:dyDescent="0.25">
      <c r="A122" s="915" t="s">
        <v>3167</v>
      </c>
      <c r="B122" s="926" t="s">
        <v>946</v>
      </c>
      <c r="C122" s="932" t="s">
        <v>947</v>
      </c>
      <c r="D122" s="950" t="s">
        <v>719</v>
      </c>
      <c r="E122" s="953"/>
      <c r="F122" s="958">
        <v>23489</v>
      </c>
      <c r="I122" s="916"/>
    </row>
    <row r="123" spans="1:9" x14ac:dyDescent="0.25">
      <c r="A123" s="915" t="s">
        <v>3167</v>
      </c>
      <c r="B123" s="926" t="s">
        <v>953</v>
      </c>
      <c r="C123" s="932" t="s">
        <v>954</v>
      </c>
      <c r="D123" s="950" t="s">
        <v>861</v>
      </c>
      <c r="E123" s="953"/>
      <c r="F123" s="958">
        <v>7587</v>
      </c>
      <c r="I123" s="916"/>
    </row>
    <row r="124" spans="1:9" x14ac:dyDescent="0.25">
      <c r="A124" s="915" t="s">
        <v>3167</v>
      </c>
      <c r="B124" s="926" t="s">
        <v>955</v>
      </c>
      <c r="C124" s="932" t="s">
        <v>956</v>
      </c>
      <c r="D124" s="950" t="s">
        <v>861</v>
      </c>
      <c r="E124" s="953"/>
      <c r="F124" s="958">
        <v>9896</v>
      </c>
      <c r="I124" s="916"/>
    </row>
    <row r="125" spans="1:9" x14ac:dyDescent="0.25">
      <c r="A125" s="915" t="s">
        <v>3167</v>
      </c>
      <c r="B125" s="926" t="s">
        <v>969</v>
      </c>
      <c r="C125" s="932" t="s">
        <v>970</v>
      </c>
      <c r="D125" s="950" t="s">
        <v>727</v>
      </c>
      <c r="E125" s="953"/>
      <c r="F125" s="958">
        <v>5555</v>
      </c>
      <c r="I125" s="916"/>
    </row>
    <row r="126" spans="1:9" x14ac:dyDescent="0.25">
      <c r="A126" s="915" t="s">
        <v>3167</v>
      </c>
      <c r="B126" s="926" t="s">
        <v>971</v>
      </c>
      <c r="C126" s="932" t="s">
        <v>972</v>
      </c>
      <c r="D126" s="950" t="s">
        <v>727</v>
      </c>
      <c r="E126" s="953"/>
      <c r="F126" s="951">
        <v>648</v>
      </c>
      <c r="I126" s="916"/>
    </row>
    <row r="127" spans="1:9" x14ac:dyDescent="0.25">
      <c r="A127" s="915" t="s">
        <v>3167</v>
      </c>
      <c r="B127" s="926" t="s">
        <v>989</v>
      </c>
      <c r="C127" s="933" t="s">
        <v>990</v>
      </c>
      <c r="D127" s="950"/>
      <c r="E127" s="953"/>
      <c r="F127" s="951"/>
      <c r="I127" s="916"/>
    </row>
    <row r="128" spans="1:9" ht="18" x14ac:dyDescent="0.25">
      <c r="A128" s="915" t="s">
        <v>3167</v>
      </c>
      <c r="B128" s="926" t="s">
        <v>991</v>
      </c>
      <c r="C128" s="932" t="s">
        <v>992</v>
      </c>
      <c r="D128" s="950" t="s">
        <v>861</v>
      </c>
      <c r="E128" s="953"/>
      <c r="F128" s="958">
        <v>2201</v>
      </c>
      <c r="I128" s="916"/>
    </row>
    <row r="129" spans="1:9" ht="18" x14ac:dyDescent="0.25">
      <c r="A129" s="915" t="s">
        <v>3167</v>
      </c>
      <c r="B129" s="926" t="s">
        <v>993</v>
      </c>
      <c r="C129" s="932" t="s">
        <v>994</v>
      </c>
      <c r="D129" s="950" t="s">
        <v>861</v>
      </c>
      <c r="E129" s="953"/>
      <c r="F129" s="958">
        <v>2434</v>
      </c>
      <c r="I129" s="916"/>
    </row>
    <row r="130" spans="1:9" ht="18" x14ac:dyDescent="0.25">
      <c r="A130" s="915" t="s">
        <v>3167</v>
      </c>
      <c r="B130" s="926" t="s">
        <v>995</v>
      </c>
      <c r="C130" s="932" t="s">
        <v>996</v>
      </c>
      <c r="D130" s="950" t="s">
        <v>861</v>
      </c>
      <c r="E130" s="953"/>
      <c r="F130" s="958">
        <v>2667</v>
      </c>
      <c r="I130" s="916"/>
    </row>
    <row r="131" spans="1:9" ht="18" x14ac:dyDescent="0.25">
      <c r="A131" s="915" t="s">
        <v>3167</v>
      </c>
      <c r="B131" s="926" t="s">
        <v>997</v>
      </c>
      <c r="C131" s="932" t="s">
        <v>998</v>
      </c>
      <c r="D131" s="950" t="s">
        <v>861</v>
      </c>
      <c r="E131" s="953"/>
      <c r="F131" s="958">
        <v>2979</v>
      </c>
      <c r="I131" s="916"/>
    </row>
    <row r="132" spans="1:9" x14ac:dyDescent="0.25">
      <c r="A132" s="915" t="s">
        <v>3167</v>
      </c>
      <c r="B132" s="926" t="s">
        <v>999</v>
      </c>
      <c r="C132" s="932" t="s">
        <v>1000</v>
      </c>
      <c r="D132" s="950" t="s">
        <v>861</v>
      </c>
      <c r="E132" s="953"/>
      <c r="F132" s="958">
        <v>3674</v>
      </c>
      <c r="I132" s="916"/>
    </row>
    <row r="133" spans="1:9" x14ac:dyDescent="0.25">
      <c r="A133" s="915" t="s">
        <v>3167</v>
      </c>
      <c r="B133" s="926"/>
      <c r="C133" s="945" t="s">
        <v>1137</v>
      </c>
      <c r="D133" s="951"/>
      <c r="E133" s="953"/>
      <c r="F133" s="951"/>
      <c r="I133" s="916"/>
    </row>
    <row r="134" spans="1:9" x14ac:dyDescent="0.25">
      <c r="A134" s="915" t="s">
        <v>3167</v>
      </c>
      <c r="B134" s="926" t="s">
        <v>1138</v>
      </c>
      <c r="C134" s="926" t="s">
        <v>1139</v>
      </c>
      <c r="D134" s="950"/>
      <c r="E134" s="953"/>
      <c r="F134" s="951"/>
      <c r="I134" s="916"/>
    </row>
    <row r="135" spans="1:9" x14ac:dyDescent="0.25">
      <c r="A135" s="915" t="s">
        <v>3167</v>
      </c>
      <c r="B135" s="926" t="s">
        <v>1140</v>
      </c>
      <c r="C135" s="931" t="s">
        <v>1141</v>
      </c>
      <c r="D135" s="950"/>
      <c r="E135" s="953"/>
      <c r="F135" s="951"/>
      <c r="I135" s="916"/>
    </row>
    <row r="136" spans="1:9" x14ac:dyDescent="0.25">
      <c r="A136" s="915" t="s">
        <v>3167</v>
      </c>
      <c r="B136" s="926" t="s">
        <v>1142</v>
      </c>
      <c r="C136" s="932" t="s">
        <v>1143</v>
      </c>
      <c r="D136" s="950" t="s">
        <v>727</v>
      </c>
      <c r="E136" s="953"/>
      <c r="F136" s="958">
        <v>405185</v>
      </c>
      <c r="I136" s="916"/>
    </row>
    <row r="137" spans="1:9" x14ac:dyDescent="0.25">
      <c r="A137" s="915" t="s">
        <v>3167</v>
      </c>
      <c r="B137" s="926" t="s">
        <v>1144</v>
      </c>
      <c r="C137" s="932" t="s">
        <v>1145</v>
      </c>
      <c r="D137" s="950" t="s">
        <v>727</v>
      </c>
      <c r="E137" s="953"/>
      <c r="F137" s="958">
        <v>389018</v>
      </c>
      <c r="I137" s="916"/>
    </row>
    <row r="138" spans="1:9" x14ac:dyDescent="0.25">
      <c r="A138" s="915" t="s">
        <v>3167</v>
      </c>
      <c r="B138" s="926" t="s">
        <v>1146</v>
      </c>
      <c r="C138" s="932" t="s">
        <v>1147</v>
      </c>
      <c r="D138" s="950" t="s">
        <v>950</v>
      </c>
      <c r="E138" s="953"/>
      <c r="F138" s="958">
        <v>65270</v>
      </c>
      <c r="I138" s="916"/>
    </row>
    <row r="139" spans="1:9" x14ac:dyDescent="0.25">
      <c r="A139" s="915" t="s">
        <v>3167</v>
      </c>
      <c r="B139" s="926" t="s">
        <v>1148</v>
      </c>
      <c r="C139" s="931" t="s">
        <v>1149</v>
      </c>
      <c r="D139" s="950"/>
      <c r="E139" s="953"/>
      <c r="F139" s="951"/>
      <c r="I139" s="916"/>
    </row>
    <row r="140" spans="1:9" x14ac:dyDescent="0.25">
      <c r="A140" s="915" t="s">
        <v>3167</v>
      </c>
      <c r="B140" s="926" t="s">
        <v>1150</v>
      </c>
      <c r="C140" s="932" t="s">
        <v>1151</v>
      </c>
      <c r="D140" s="950" t="s">
        <v>727</v>
      </c>
      <c r="E140" s="953"/>
      <c r="F140" s="958">
        <v>198045</v>
      </c>
      <c r="I140" s="916"/>
    </row>
    <row r="141" spans="1:9" x14ac:dyDescent="0.25">
      <c r="A141" s="915" t="s">
        <v>3167</v>
      </c>
      <c r="B141" s="926" t="s">
        <v>1152</v>
      </c>
      <c r="C141" s="932" t="s">
        <v>1153</v>
      </c>
      <c r="D141" s="950" t="s">
        <v>727</v>
      </c>
      <c r="E141" s="953"/>
      <c r="F141" s="958">
        <v>181878</v>
      </c>
      <c r="I141" s="916"/>
    </row>
    <row r="142" spans="1:9" x14ac:dyDescent="0.25">
      <c r="A142" s="915" t="s">
        <v>3167</v>
      </c>
      <c r="B142" s="926" t="s">
        <v>1154</v>
      </c>
      <c r="C142" s="932" t="s">
        <v>1155</v>
      </c>
      <c r="D142" s="950" t="s">
        <v>727</v>
      </c>
      <c r="E142" s="953"/>
      <c r="F142" s="958">
        <v>90939</v>
      </c>
      <c r="I142" s="916"/>
    </row>
    <row r="143" spans="1:9" x14ac:dyDescent="0.25">
      <c r="A143" s="915" t="s">
        <v>3167</v>
      </c>
      <c r="B143" s="926" t="s">
        <v>1156</v>
      </c>
      <c r="C143" s="932" t="s">
        <v>1157</v>
      </c>
      <c r="D143" s="950" t="s">
        <v>727</v>
      </c>
      <c r="E143" s="953"/>
      <c r="F143" s="958">
        <v>233844</v>
      </c>
      <c r="I143" s="916"/>
    </row>
    <row r="144" spans="1:9" x14ac:dyDescent="0.25">
      <c r="A144" s="915" t="s">
        <v>3167</v>
      </c>
      <c r="B144" s="926" t="s">
        <v>1158</v>
      </c>
      <c r="C144" s="932" t="s">
        <v>1159</v>
      </c>
      <c r="D144" s="950" t="s">
        <v>727</v>
      </c>
      <c r="E144" s="953"/>
      <c r="F144" s="958">
        <v>80835</v>
      </c>
      <c r="I144" s="916"/>
    </row>
    <row r="145" spans="1:9" x14ac:dyDescent="0.25">
      <c r="A145" s="915" t="s">
        <v>3167</v>
      </c>
      <c r="B145" s="926" t="s">
        <v>1160</v>
      </c>
      <c r="C145" s="932" t="s">
        <v>1161</v>
      </c>
      <c r="D145" s="950" t="s">
        <v>727</v>
      </c>
      <c r="E145" s="953"/>
      <c r="F145" s="958">
        <v>238174</v>
      </c>
      <c r="I145" s="916"/>
    </row>
    <row r="146" spans="1:9" x14ac:dyDescent="0.25">
      <c r="A146" s="915" t="s">
        <v>3167</v>
      </c>
      <c r="B146" s="926" t="s">
        <v>1162</v>
      </c>
      <c r="C146" s="932" t="s">
        <v>1147</v>
      </c>
      <c r="D146" s="950" t="s">
        <v>950</v>
      </c>
      <c r="E146" s="953"/>
      <c r="F146" s="958">
        <v>65270</v>
      </c>
      <c r="I146" s="916"/>
    </row>
    <row r="147" spans="1:9" x14ac:dyDescent="0.25">
      <c r="A147" s="915" t="s">
        <v>3167</v>
      </c>
      <c r="B147" s="926" t="s">
        <v>1163</v>
      </c>
      <c r="C147" s="931" t="s">
        <v>1164</v>
      </c>
      <c r="D147" s="950"/>
      <c r="E147" s="953"/>
      <c r="F147" s="951"/>
      <c r="I147" s="916"/>
    </row>
    <row r="148" spans="1:9" x14ac:dyDescent="0.25">
      <c r="A148" s="915" t="s">
        <v>3167</v>
      </c>
      <c r="B148" s="926" t="s">
        <v>1165</v>
      </c>
      <c r="C148" s="932" t="s">
        <v>1166</v>
      </c>
      <c r="D148" s="950"/>
      <c r="E148" s="953"/>
      <c r="F148" s="951"/>
      <c r="I148" s="916"/>
    </row>
    <row r="149" spans="1:9" x14ac:dyDescent="0.25">
      <c r="A149" s="915" t="s">
        <v>3167</v>
      </c>
      <c r="B149" s="926" t="s">
        <v>1167</v>
      </c>
      <c r="C149" s="946" t="s">
        <v>1168</v>
      </c>
      <c r="D149" s="950" t="s">
        <v>727</v>
      </c>
      <c r="E149" s="953"/>
      <c r="F149" s="958">
        <v>497093</v>
      </c>
      <c r="I149" s="916"/>
    </row>
    <row r="150" spans="1:9" x14ac:dyDescent="0.25">
      <c r="A150" s="915" t="s">
        <v>3167</v>
      </c>
      <c r="B150" s="926" t="s">
        <v>1169</v>
      </c>
      <c r="C150" s="946" t="s">
        <v>1170</v>
      </c>
      <c r="D150" s="950" t="s">
        <v>727</v>
      </c>
      <c r="E150" s="953"/>
      <c r="F150" s="958">
        <v>509795</v>
      </c>
      <c r="I150" s="916"/>
    </row>
    <row r="151" spans="1:9" x14ac:dyDescent="0.25">
      <c r="A151" s="915" t="s">
        <v>3167</v>
      </c>
      <c r="B151" s="926" t="s">
        <v>1171</v>
      </c>
      <c r="C151" s="946" t="s">
        <v>1172</v>
      </c>
      <c r="D151" s="950" t="s">
        <v>727</v>
      </c>
      <c r="E151" s="953"/>
      <c r="F151" s="958">
        <v>708489</v>
      </c>
      <c r="I151" s="916"/>
    </row>
    <row r="152" spans="1:9" x14ac:dyDescent="0.25">
      <c r="A152" s="915" t="s">
        <v>3167</v>
      </c>
      <c r="B152" s="926" t="s">
        <v>1173</v>
      </c>
      <c r="C152" s="946" t="s">
        <v>1174</v>
      </c>
      <c r="D152" s="950" t="s">
        <v>727</v>
      </c>
      <c r="E152" s="953"/>
      <c r="F152" s="958">
        <v>729730</v>
      </c>
      <c r="I152" s="916"/>
    </row>
    <row r="153" spans="1:9" x14ac:dyDescent="0.25">
      <c r="A153" s="915" t="s">
        <v>3167</v>
      </c>
      <c r="B153" s="926" t="s">
        <v>1175</v>
      </c>
      <c r="C153" s="931" t="s">
        <v>1176</v>
      </c>
      <c r="D153" s="950"/>
      <c r="E153" s="953"/>
      <c r="F153" s="951"/>
      <c r="I153" s="916"/>
    </row>
    <row r="154" spans="1:9" x14ac:dyDescent="0.25">
      <c r="A154" s="915" t="s">
        <v>3167</v>
      </c>
      <c r="B154" s="926" t="s">
        <v>1177</v>
      </c>
      <c r="C154" s="932" t="s">
        <v>1178</v>
      </c>
      <c r="D154" s="950" t="s">
        <v>861</v>
      </c>
      <c r="E154" s="953"/>
      <c r="F154" s="958">
        <v>178992</v>
      </c>
      <c r="I154" s="916"/>
    </row>
    <row r="155" spans="1:9" x14ac:dyDescent="0.25">
      <c r="A155" s="915" t="s">
        <v>3167</v>
      </c>
      <c r="B155" s="926" t="s">
        <v>1179</v>
      </c>
      <c r="C155" s="932" t="s">
        <v>1180</v>
      </c>
      <c r="D155" s="950" t="s">
        <v>727</v>
      </c>
      <c r="E155" s="953"/>
      <c r="F155" s="958">
        <v>346435</v>
      </c>
      <c r="I155" s="916"/>
    </row>
    <row r="156" spans="1:9" x14ac:dyDescent="0.25">
      <c r="A156" s="915" t="s">
        <v>3167</v>
      </c>
      <c r="B156" s="926" t="s">
        <v>1181</v>
      </c>
      <c r="C156" s="932" t="s">
        <v>1182</v>
      </c>
      <c r="D156" s="950" t="s">
        <v>861</v>
      </c>
      <c r="E156" s="953"/>
      <c r="F156" s="958">
        <v>406934</v>
      </c>
      <c r="I156" s="916"/>
    </row>
    <row r="157" spans="1:9" x14ac:dyDescent="0.25">
      <c r="A157" s="915" t="s">
        <v>3167</v>
      </c>
      <c r="B157" s="926" t="s">
        <v>1183</v>
      </c>
      <c r="C157" s="926" t="s">
        <v>941</v>
      </c>
      <c r="D157" s="950"/>
      <c r="E157" s="953"/>
      <c r="F157" s="951"/>
      <c r="I157" s="916"/>
    </row>
    <row r="158" spans="1:9" ht="18" x14ac:dyDescent="0.25">
      <c r="A158" s="915" t="s">
        <v>3167</v>
      </c>
      <c r="B158" s="926" t="s">
        <v>1184</v>
      </c>
      <c r="C158" s="932" t="s">
        <v>1185</v>
      </c>
      <c r="D158" s="950" t="s">
        <v>719</v>
      </c>
      <c r="E158" s="953"/>
      <c r="F158" s="958">
        <v>29419</v>
      </c>
      <c r="I158" s="916"/>
    </row>
    <row r="159" spans="1:9" x14ac:dyDescent="0.25">
      <c r="A159" s="915" t="s">
        <v>3167</v>
      </c>
      <c r="B159" s="926" t="s">
        <v>1186</v>
      </c>
      <c r="C159" s="932" t="s">
        <v>1187</v>
      </c>
      <c r="D159" s="950" t="s">
        <v>861</v>
      </c>
      <c r="E159" s="953"/>
      <c r="F159" s="958">
        <v>53660</v>
      </c>
      <c r="I159" s="916"/>
    </row>
    <row r="160" spans="1:9" x14ac:dyDescent="0.25">
      <c r="A160" s="915" t="s">
        <v>3167</v>
      </c>
      <c r="B160" s="926" t="s">
        <v>1188</v>
      </c>
      <c r="C160" s="932" t="s">
        <v>1189</v>
      </c>
      <c r="D160" s="950" t="s">
        <v>861</v>
      </c>
      <c r="E160" s="953"/>
      <c r="F160" s="958">
        <v>12866</v>
      </c>
      <c r="I160" s="916"/>
    </row>
    <row r="161" spans="1:9" x14ac:dyDescent="0.25">
      <c r="A161" s="915" t="s">
        <v>3167</v>
      </c>
      <c r="B161" s="926" t="s">
        <v>1190</v>
      </c>
      <c r="C161" s="932" t="s">
        <v>1191</v>
      </c>
      <c r="D161" s="950" t="s">
        <v>861</v>
      </c>
      <c r="E161" s="953"/>
      <c r="F161" s="958">
        <v>11768</v>
      </c>
      <c r="I161" s="916"/>
    </row>
    <row r="162" spans="1:9" x14ac:dyDescent="0.25">
      <c r="A162" s="915" t="s">
        <v>3167</v>
      </c>
      <c r="B162" s="926" t="s">
        <v>1192</v>
      </c>
      <c r="C162" s="932" t="s">
        <v>1193</v>
      </c>
      <c r="D162" s="950" t="s">
        <v>861</v>
      </c>
      <c r="E162" s="953"/>
      <c r="F162" s="958">
        <v>24320</v>
      </c>
      <c r="I162" s="916"/>
    </row>
    <row r="163" spans="1:9" x14ac:dyDescent="0.25">
      <c r="A163" s="915" t="s">
        <v>3167</v>
      </c>
      <c r="B163" s="926" t="s">
        <v>1194</v>
      </c>
      <c r="C163" s="932" t="s">
        <v>1195</v>
      </c>
      <c r="D163" s="950" t="s">
        <v>861</v>
      </c>
      <c r="E163" s="953"/>
      <c r="F163" s="958">
        <v>11768</v>
      </c>
      <c r="I163" s="916"/>
    </row>
    <row r="164" spans="1:9" x14ac:dyDescent="0.25">
      <c r="A164" s="915" t="s">
        <v>3167</v>
      </c>
      <c r="B164" s="926" t="s">
        <v>1196</v>
      </c>
      <c r="C164" s="932" t="s">
        <v>1197</v>
      </c>
      <c r="D164" s="950" t="s">
        <v>861</v>
      </c>
      <c r="E164" s="953"/>
      <c r="F164" s="958">
        <v>297437</v>
      </c>
      <c r="I164" s="916"/>
    </row>
    <row r="165" spans="1:9" x14ac:dyDescent="0.25">
      <c r="A165" s="915" t="s">
        <v>3167</v>
      </c>
      <c r="B165" s="926" t="s">
        <v>1198</v>
      </c>
      <c r="C165" s="932" t="s">
        <v>1199</v>
      </c>
      <c r="D165" s="950" t="s">
        <v>861</v>
      </c>
      <c r="E165" s="953"/>
      <c r="F165" s="958">
        <v>8630</v>
      </c>
      <c r="I165" s="916"/>
    </row>
    <row r="166" spans="1:9" x14ac:dyDescent="0.25">
      <c r="A166" s="915" t="s">
        <v>3167</v>
      </c>
      <c r="B166" s="926" t="s">
        <v>1200</v>
      </c>
      <c r="C166" s="932" t="s">
        <v>1201</v>
      </c>
      <c r="D166" s="950" t="s">
        <v>950</v>
      </c>
      <c r="E166" s="953"/>
      <c r="F166" s="958">
        <v>4472</v>
      </c>
      <c r="I166" s="916"/>
    </row>
    <row r="167" spans="1:9" x14ac:dyDescent="0.25">
      <c r="A167" s="915" t="s">
        <v>3167</v>
      </c>
      <c r="B167" s="926"/>
      <c r="C167" s="932"/>
      <c r="D167" s="950"/>
      <c r="E167" s="953"/>
      <c r="F167" s="951"/>
      <c r="I167" s="916"/>
    </row>
    <row r="168" spans="1:9" x14ac:dyDescent="0.25">
      <c r="A168" s="915" t="s">
        <v>3167</v>
      </c>
      <c r="B168" s="926"/>
      <c r="C168" s="947" t="s">
        <v>1202</v>
      </c>
      <c r="D168" s="951"/>
      <c r="E168" s="953"/>
      <c r="F168" s="951"/>
      <c r="I168" s="916"/>
    </row>
    <row r="169" spans="1:9" x14ac:dyDescent="0.25">
      <c r="A169" s="915" t="s">
        <v>3167</v>
      </c>
      <c r="B169" s="926" t="s">
        <v>1203</v>
      </c>
      <c r="C169" s="926" t="s">
        <v>1204</v>
      </c>
      <c r="D169" s="950"/>
      <c r="E169" s="953"/>
      <c r="F169" s="951"/>
      <c r="I169" s="916"/>
    </row>
    <row r="170" spans="1:9" x14ac:dyDescent="0.25">
      <c r="A170" s="915" t="s">
        <v>3167</v>
      </c>
      <c r="B170" s="926" t="s">
        <v>1205</v>
      </c>
      <c r="C170" s="931" t="s">
        <v>1206</v>
      </c>
      <c r="D170" s="950"/>
      <c r="E170" s="953"/>
      <c r="F170" s="951"/>
      <c r="I170" s="916"/>
    </row>
    <row r="171" spans="1:9" x14ac:dyDescent="0.25">
      <c r="A171" s="915" t="s">
        <v>3167</v>
      </c>
      <c r="B171" s="926" t="s">
        <v>1207</v>
      </c>
      <c r="C171" s="932" t="s">
        <v>1208</v>
      </c>
      <c r="D171" s="950"/>
      <c r="E171" s="953"/>
      <c r="F171" s="951"/>
      <c r="I171" s="916"/>
    </row>
    <row r="172" spans="1:9" x14ac:dyDescent="0.25">
      <c r="A172" s="915" t="s">
        <v>3167</v>
      </c>
      <c r="B172" s="926" t="s">
        <v>1209</v>
      </c>
      <c r="C172" s="946" t="s">
        <v>1210</v>
      </c>
      <c r="D172" s="950" t="s">
        <v>861</v>
      </c>
      <c r="E172" s="953"/>
      <c r="F172" s="958">
        <v>11472</v>
      </c>
      <c r="I172" s="916"/>
    </row>
    <row r="173" spans="1:9" x14ac:dyDescent="0.25">
      <c r="A173" s="915" t="s">
        <v>3167</v>
      </c>
      <c r="B173" s="926" t="s">
        <v>1211</v>
      </c>
      <c r="C173" s="946" t="s">
        <v>1212</v>
      </c>
      <c r="D173" s="950" t="s">
        <v>861</v>
      </c>
      <c r="E173" s="953"/>
      <c r="F173" s="958">
        <v>15296</v>
      </c>
      <c r="I173" s="916"/>
    </row>
    <row r="174" spans="1:9" x14ac:dyDescent="0.25">
      <c r="A174" s="915" t="s">
        <v>3167</v>
      </c>
      <c r="B174" s="926" t="s">
        <v>1213</v>
      </c>
      <c r="C174" s="946" t="s">
        <v>1214</v>
      </c>
      <c r="D174" s="950" t="s">
        <v>861</v>
      </c>
      <c r="E174" s="953"/>
      <c r="F174" s="958">
        <v>20395</v>
      </c>
      <c r="I174" s="916"/>
    </row>
    <row r="175" spans="1:9" x14ac:dyDescent="0.25">
      <c r="A175" s="915" t="s">
        <v>3167</v>
      </c>
      <c r="B175" s="926" t="s">
        <v>1215</v>
      </c>
      <c r="C175" s="946" t="s">
        <v>1216</v>
      </c>
      <c r="D175" s="950" t="s">
        <v>861</v>
      </c>
      <c r="E175" s="953"/>
      <c r="F175" s="958">
        <v>22944</v>
      </c>
      <c r="I175" s="916"/>
    </row>
    <row r="176" spans="1:9" x14ac:dyDescent="0.25">
      <c r="A176" s="915" t="s">
        <v>3167</v>
      </c>
      <c r="B176" s="926" t="s">
        <v>1217</v>
      </c>
      <c r="C176" s="946" t="s">
        <v>1218</v>
      </c>
      <c r="D176" s="950" t="s">
        <v>861</v>
      </c>
      <c r="E176" s="953"/>
      <c r="F176" s="958">
        <v>38241</v>
      </c>
      <c r="I176" s="916"/>
    </row>
    <row r="177" spans="1:9" x14ac:dyDescent="0.25">
      <c r="A177" s="915" t="s">
        <v>3167</v>
      </c>
      <c r="B177" s="926" t="s">
        <v>1219</v>
      </c>
      <c r="C177" s="946" t="s">
        <v>1220</v>
      </c>
      <c r="D177" s="950" t="s">
        <v>861</v>
      </c>
      <c r="E177" s="953"/>
      <c r="F177" s="958">
        <v>50988</v>
      </c>
      <c r="I177" s="916"/>
    </row>
    <row r="178" spans="1:9" x14ac:dyDescent="0.25">
      <c r="A178" s="915" t="s">
        <v>3167</v>
      </c>
      <c r="B178" s="926" t="s">
        <v>1221</v>
      </c>
      <c r="C178" s="931" t="s">
        <v>1222</v>
      </c>
      <c r="D178" s="950"/>
      <c r="E178" s="953"/>
      <c r="F178" s="951"/>
      <c r="I178" s="916"/>
    </row>
    <row r="179" spans="1:9" x14ac:dyDescent="0.25">
      <c r="A179" s="915" t="s">
        <v>3167</v>
      </c>
      <c r="B179" s="926" t="s">
        <v>1223</v>
      </c>
      <c r="C179" s="932" t="s">
        <v>1224</v>
      </c>
      <c r="D179" s="950"/>
      <c r="E179" s="953"/>
      <c r="F179" s="951"/>
      <c r="I179" s="916"/>
    </row>
    <row r="180" spans="1:9" x14ac:dyDescent="0.25">
      <c r="A180" s="915" t="s">
        <v>3167</v>
      </c>
      <c r="B180" s="926" t="s">
        <v>1225</v>
      </c>
      <c r="C180" s="946" t="s">
        <v>1212</v>
      </c>
      <c r="D180" s="950" t="s">
        <v>861</v>
      </c>
      <c r="E180" s="953"/>
      <c r="F180" s="958">
        <v>14022</v>
      </c>
      <c r="I180" s="916"/>
    </row>
    <row r="181" spans="1:9" x14ac:dyDescent="0.25">
      <c r="A181" s="915" t="s">
        <v>3167</v>
      </c>
      <c r="B181" s="926" t="s">
        <v>1226</v>
      </c>
      <c r="C181" s="946" t="s">
        <v>1214</v>
      </c>
      <c r="D181" s="950" t="s">
        <v>861</v>
      </c>
      <c r="E181" s="953"/>
      <c r="F181" s="958">
        <v>22944</v>
      </c>
      <c r="I181" s="916"/>
    </row>
    <row r="182" spans="1:9" x14ac:dyDescent="0.25">
      <c r="A182" s="915" t="s">
        <v>3167</v>
      </c>
      <c r="B182" s="926" t="s">
        <v>1227</v>
      </c>
      <c r="C182" s="946" t="s">
        <v>1216</v>
      </c>
      <c r="D182" s="950" t="s">
        <v>861</v>
      </c>
      <c r="E182" s="953"/>
      <c r="F182" s="958">
        <v>25494</v>
      </c>
      <c r="I182" s="916"/>
    </row>
    <row r="183" spans="1:9" x14ac:dyDescent="0.25">
      <c r="A183" s="915" t="s">
        <v>3167</v>
      </c>
      <c r="B183" s="926" t="s">
        <v>1228</v>
      </c>
      <c r="C183" s="946" t="s">
        <v>1218</v>
      </c>
      <c r="D183" s="950" t="s">
        <v>861</v>
      </c>
      <c r="E183" s="953"/>
      <c r="F183" s="958">
        <v>44614</v>
      </c>
      <c r="I183" s="916"/>
    </row>
    <row r="184" spans="1:9" x14ac:dyDescent="0.25">
      <c r="A184" s="915" t="s">
        <v>3167</v>
      </c>
      <c r="B184" s="926" t="s">
        <v>1229</v>
      </c>
      <c r="C184" s="946" t="s">
        <v>1220</v>
      </c>
      <c r="D184" s="950" t="s">
        <v>861</v>
      </c>
      <c r="E184" s="953"/>
      <c r="F184" s="958">
        <v>57361</v>
      </c>
      <c r="I184" s="916"/>
    </row>
    <row r="185" spans="1:9" x14ac:dyDescent="0.25">
      <c r="A185" s="915" t="s">
        <v>3167</v>
      </c>
      <c r="B185" s="926" t="s">
        <v>1230</v>
      </c>
      <c r="C185" s="946" t="s">
        <v>1231</v>
      </c>
      <c r="D185" s="950" t="s">
        <v>861</v>
      </c>
      <c r="E185" s="953"/>
      <c r="F185" s="958">
        <v>108349</v>
      </c>
      <c r="I185" s="916"/>
    </row>
    <row r="186" spans="1:9" x14ac:dyDescent="0.25">
      <c r="A186" s="915" t="s">
        <v>3167</v>
      </c>
      <c r="B186" s="926" t="s">
        <v>1232</v>
      </c>
      <c r="C186" s="946" t="s">
        <v>1233</v>
      </c>
      <c r="D186" s="950" t="s">
        <v>861</v>
      </c>
      <c r="E186" s="953"/>
      <c r="F186" s="958">
        <v>127469</v>
      </c>
      <c r="I186" s="916"/>
    </row>
    <row r="187" spans="1:9" x14ac:dyDescent="0.25">
      <c r="A187" s="915" t="s">
        <v>3167</v>
      </c>
      <c r="B187" s="926" t="s">
        <v>1234</v>
      </c>
      <c r="C187" s="946" t="s">
        <v>1235</v>
      </c>
      <c r="D187" s="950" t="s">
        <v>861</v>
      </c>
      <c r="E187" s="953"/>
      <c r="F187" s="958">
        <v>140216</v>
      </c>
      <c r="I187" s="916"/>
    </row>
    <row r="188" spans="1:9" x14ac:dyDescent="0.25">
      <c r="A188" s="915" t="s">
        <v>3167</v>
      </c>
      <c r="B188" s="926" t="s">
        <v>1236</v>
      </c>
      <c r="C188" s="931" t="s">
        <v>1237</v>
      </c>
      <c r="D188" s="950"/>
      <c r="E188" s="953"/>
      <c r="F188" s="951"/>
      <c r="I188" s="916"/>
    </row>
    <row r="189" spans="1:9" x14ac:dyDescent="0.25">
      <c r="A189" s="915" t="s">
        <v>3167</v>
      </c>
      <c r="B189" s="926" t="s">
        <v>1238</v>
      </c>
      <c r="C189" s="932" t="s">
        <v>1239</v>
      </c>
      <c r="D189" s="950" t="s">
        <v>861</v>
      </c>
      <c r="E189" s="953"/>
      <c r="F189" s="958">
        <v>17846</v>
      </c>
      <c r="I189" s="916"/>
    </row>
    <row r="190" spans="1:9" x14ac:dyDescent="0.25">
      <c r="A190" s="915" t="s">
        <v>3167</v>
      </c>
      <c r="B190" s="926" t="s">
        <v>1240</v>
      </c>
      <c r="C190" s="931" t="s">
        <v>1241</v>
      </c>
      <c r="D190" s="950"/>
      <c r="E190" s="953"/>
      <c r="F190" s="951"/>
      <c r="I190" s="916"/>
    </row>
    <row r="191" spans="1:9" x14ac:dyDescent="0.25">
      <c r="A191" s="915" t="s">
        <v>3167</v>
      </c>
      <c r="B191" s="926" t="s">
        <v>1242</v>
      </c>
      <c r="C191" s="932" t="s">
        <v>1241</v>
      </c>
      <c r="D191" s="950"/>
      <c r="E191" s="953"/>
      <c r="F191" s="951"/>
      <c r="I191" s="916"/>
    </row>
    <row r="192" spans="1:9" x14ac:dyDescent="0.25">
      <c r="A192" s="915" t="s">
        <v>3167</v>
      </c>
      <c r="B192" s="926" t="s">
        <v>1243</v>
      </c>
      <c r="C192" s="946" t="s">
        <v>1212</v>
      </c>
      <c r="D192" s="950" t="s">
        <v>861</v>
      </c>
      <c r="E192" s="953"/>
      <c r="F192" s="958">
        <v>31867</v>
      </c>
      <c r="I192" s="916"/>
    </row>
    <row r="193" spans="1:9" x14ac:dyDescent="0.25">
      <c r="A193" s="915" t="s">
        <v>3167</v>
      </c>
      <c r="B193" s="926" t="s">
        <v>1244</v>
      </c>
      <c r="C193" s="946" t="s">
        <v>1214</v>
      </c>
      <c r="D193" s="950" t="s">
        <v>861</v>
      </c>
      <c r="E193" s="953"/>
      <c r="F193" s="958">
        <v>38241</v>
      </c>
      <c r="I193" s="916"/>
    </row>
    <row r="194" spans="1:9" x14ac:dyDescent="0.25">
      <c r="A194" s="915" t="s">
        <v>3167</v>
      </c>
      <c r="B194" s="926" t="s">
        <v>1245</v>
      </c>
      <c r="C194" s="946" t="s">
        <v>1216</v>
      </c>
      <c r="D194" s="950" t="s">
        <v>861</v>
      </c>
      <c r="E194" s="953"/>
      <c r="F194" s="958">
        <v>44614</v>
      </c>
      <c r="I194" s="916"/>
    </row>
    <row r="195" spans="1:9" x14ac:dyDescent="0.25">
      <c r="A195" s="915" t="s">
        <v>3167</v>
      </c>
      <c r="B195" s="926" t="s">
        <v>1246</v>
      </c>
      <c r="C195" s="931" t="s">
        <v>1247</v>
      </c>
      <c r="D195" s="950"/>
      <c r="E195" s="953"/>
      <c r="F195" s="951"/>
      <c r="I195" s="916"/>
    </row>
    <row r="196" spans="1:9" x14ac:dyDescent="0.25">
      <c r="A196" s="915" t="s">
        <v>3167</v>
      </c>
      <c r="B196" s="926" t="s">
        <v>1248</v>
      </c>
      <c r="C196" s="932" t="s">
        <v>1249</v>
      </c>
      <c r="D196" s="950" t="s">
        <v>861</v>
      </c>
      <c r="E196" s="953"/>
      <c r="F196" s="958">
        <v>17846</v>
      </c>
      <c r="I196" s="916"/>
    </row>
    <row r="197" spans="1:9" x14ac:dyDescent="0.25">
      <c r="A197" s="915" t="s">
        <v>3167</v>
      </c>
      <c r="B197" s="926" t="s">
        <v>1250</v>
      </c>
      <c r="C197" s="931" t="s">
        <v>1251</v>
      </c>
      <c r="D197" s="950"/>
      <c r="E197" s="953"/>
      <c r="F197" s="951"/>
      <c r="I197" s="916"/>
    </row>
    <row r="198" spans="1:9" x14ac:dyDescent="0.25">
      <c r="A198" s="915" t="s">
        <v>3167</v>
      </c>
      <c r="B198" s="926" t="s">
        <v>1252</v>
      </c>
      <c r="C198" s="932" t="s">
        <v>1253</v>
      </c>
      <c r="D198" s="950"/>
      <c r="E198" s="953"/>
      <c r="F198" s="951"/>
      <c r="I198" s="916"/>
    </row>
    <row r="199" spans="1:9" x14ac:dyDescent="0.25">
      <c r="A199" s="915" t="s">
        <v>3167</v>
      </c>
      <c r="B199" s="926" t="s">
        <v>1257</v>
      </c>
      <c r="C199" s="932" t="s">
        <v>1258</v>
      </c>
      <c r="D199" s="950"/>
      <c r="E199" s="953"/>
      <c r="F199" s="951"/>
      <c r="I199" s="916"/>
    </row>
    <row r="200" spans="1:9" x14ac:dyDescent="0.25">
      <c r="A200" s="915" t="s">
        <v>3167</v>
      </c>
      <c r="B200" s="926" t="s">
        <v>1262</v>
      </c>
      <c r="C200" s="932" t="s">
        <v>1263</v>
      </c>
      <c r="D200" s="950"/>
      <c r="E200" s="953"/>
      <c r="F200" s="951"/>
      <c r="I200" s="916"/>
    </row>
    <row r="201" spans="1:9" x14ac:dyDescent="0.25">
      <c r="A201" s="915" t="s">
        <v>3167</v>
      </c>
      <c r="B201" s="926" t="s">
        <v>1264</v>
      </c>
      <c r="C201" s="946" t="s">
        <v>1214</v>
      </c>
      <c r="D201" s="950" t="s">
        <v>950</v>
      </c>
      <c r="E201" s="953"/>
      <c r="F201" s="958">
        <v>2677</v>
      </c>
      <c r="I201" s="916"/>
    </row>
    <row r="202" spans="1:9" x14ac:dyDescent="0.25">
      <c r="A202" s="915" t="s">
        <v>3167</v>
      </c>
      <c r="B202" s="926" t="s">
        <v>1265</v>
      </c>
      <c r="C202" s="931" t="s">
        <v>1266</v>
      </c>
      <c r="D202" s="950"/>
      <c r="E202" s="953"/>
      <c r="F202" s="951"/>
      <c r="I202" s="916"/>
    </row>
    <row r="203" spans="1:9" x14ac:dyDescent="0.25">
      <c r="A203" s="915" t="s">
        <v>3167</v>
      </c>
      <c r="B203" s="926" t="s">
        <v>1267</v>
      </c>
      <c r="C203" s="932" t="s">
        <v>1268</v>
      </c>
      <c r="D203" s="950"/>
      <c r="E203" s="953"/>
      <c r="F203" s="951"/>
      <c r="I203" s="916"/>
    </row>
    <row r="204" spans="1:9" x14ac:dyDescent="0.25">
      <c r="A204" s="915" t="s">
        <v>3167</v>
      </c>
      <c r="B204" s="926" t="s">
        <v>1269</v>
      </c>
      <c r="C204" s="946" t="s">
        <v>1216</v>
      </c>
      <c r="D204" s="950" t="s">
        <v>861</v>
      </c>
      <c r="E204" s="953"/>
      <c r="F204" s="958">
        <v>63735</v>
      </c>
      <c r="I204" s="916"/>
    </row>
    <row r="205" spans="1:9" x14ac:dyDescent="0.25">
      <c r="A205" s="915" t="s">
        <v>3167</v>
      </c>
      <c r="B205" s="926" t="s">
        <v>1270</v>
      </c>
      <c r="C205" s="946" t="s">
        <v>1218</v>
      </c>
      <c r="D205" s="950" t="s">
        <v>861</v>
      </c>
      <c r="E205" s="953"/>
      <c r="F205" s="958">
        <v>76481</v>
      </c>
      <c r="I205" s="916"/>
    </row>
    <row r="206" spans="1:9" x14ac:dyDescent="0.25">
      <c r="A206" s="915" t="s">
        <v>3167</v>
      </c>
      <c r="B206" s="926" t="s">
        <v>1271</v>
      </c>
      <c r="C206" s="932" t="s">
        <v>1272</v>
      </c>
      <c r="D206" s="950"/>
      <c r="E206" s="953"/>
      <c r="F206" s="951"/>
      <c r="I206" s="916"/>
    </row>
    <row r="207" spans="1:9" x14ac:dyDescent="0.25">
      <c r="A207" s="915" t="s">
        <v>3167</v>
      </c>
      <c r="B207" s="926" t="s">
        <v>1273</v>
      </c>
      <c r="C207" s="946" t="s">
        <v>1216</v>
      </c>
      <c r="D207" s="950" t="s">
        <v>861</v>
      </c>
      <c r="E207" s="953"/>
      <c r="F207" s="958">
        <v>76481</v>
      </c>
      <c r="I207" s="916"/>
    </row>
    <row r="208" spans="1:9" x14ac:dyDescent="0.25">
      <c r="A208" s="915" t="s">
        <v>3167</v>
      </c>
      <c r="B208" s="926" t="s">
        <v>1274</v>
      </c>
      <c r="C208" s="931" t="s">
        <v>1275</v>
      </c>
      <c r="D208" s="950"/>
      <c r="E208" s="953"/>
      <c r="F208" s="951"/>
      <c r="I208" s="916"/>
    </row>
    <row r="209" spans="1:9" x14ac:dyDescent="0.25">
      <c r="A209" s="915" t="s">
        <v>3167</v>
      </c>
      <c r="B209" s="926" t="s">
        <v>1276</v>
      </c>
      <c r="C209" s="932" t="s">
        <v>1277</v>
      </c>
      <c r="D209" s="950"/>
      <c r="E209" s="953"/>
      <c r="F209" s="951"/>
      <c r="I209" s="916"/>
    </row>
    <row r="210" spans="1:9" x14ac:dyDescent="0.25">
      <c r="A210" s="915" t="s">
        <v>3167</v>
      </c>
      <c r="B210" s="926" t="s">
        <v>1281</v>
      </c>
      <c r="C210" s="926" t="s">
        <v>1282</v>
      </c>
      <c r="D210" s="950"/>
      <c r="E210" s="953"/>
      <c r="F210" s="951"/>
      <c r="I210" s="916"/>
    </row>
    <row r="211" spans="1:9" x14ac:dyDescent="0.25">
      <c r="A211" s="915" t="s">
        <v>3167</v>
      </c>
      <c r="B211" s="926" t="s">
        <v>1283</v>
      </c>
      <c r="C211" s="932" t="s">
        <v>1284</v>
      </c>
      <c r="D211" s="950"/>
      <c r="E211" s="953"/>
      <c r="F211" s="951"/>
      <c r="I211" s="916"/>
    </row>
    <row r="212" spans="1:9" x14ac:dyDescent="0.25">
      <c r="A212" s="915" t="s">
        <v>3167</v>
      </c>
      <c r="B212" s="926" t="s">
        <v>1291</v>
      </c>
      <c r="C212" s="926" t="s">
        <v>1292</v>
      </c>
      <c r="D212" s="950"/>
      <c r="E212" s="953"/>
      <c r="F212" s="951"/>
      <c r="I212" s="916"/>
    </row>
    <row r="213" spans="1:9" x14ac:dyDescent="0.25">
      <c r="A213" s="915" t="s">
        <v>3167</v>
      </c>
      <c r="B213" s="926" t="s">
        <v>1293</v>
      </c>
      <c r="C213" s="932" t="s">
        <v>1294</v>
      </c>
      <c r="D213" s="950" t="s">
        <v>861</v>
      </c>
      <c r="E213" s="953"/>
      <c r="F213" s="958">
        <v>31867</v>
      </c>
      <c r="I213" s="916"/>
    </row>
    <row r="214" spans="1:9" x14ac:dyDescent="0.25">
      <c r="A214" s="915" t="s">
        <v>3167</v>
      </c>
      <c r="B214" s="926" t="s">
        <v>1295</v>
      </c>
      <c r="C214" s="932" t="s">
        <v>1296</v>
      </c>
      <c r="D214" s="950" t="s">
        <v>861</v>
      </c>
      <c r="E214" s="953"/>
      <c r="F214" s="958">
        <v>200531</v>
      </c>
      <c r="I214" s="916"/>
    </row>
    <row r="215" spans="1:9" x14ac:dyDescent="0.25">
      <c r="A215" s="915" t="s">
        <v>3167</v>
      </c>
      <c r="B215" s="926" t="s">
        <v>1297</v>
      </c>
      <c r="C215" s="932" t="s">
        <v>1298</v>
      </c>
      <c r="D215" s="950" t="s">
        <v>861</v>
      </c>
      <c r="E215" s="953"/>
      <c r="F215" s="958">
        <v>139905</v>
      </c>
      <c r="I215" s="916"/>
    </row>
    <row r="216" spans="1:9" x14ac:dyDescent="0.25">
      <c r="A216" s="915" t="s">
        <v>3167</v>
      </c>
      <c r="B216" s="926"/>
      <c r="C216" s="932"/>
      <c r="D216" s="950"/>
      <c r="E216" s="953"/>
      <c r="F216" s="951"/>
      <c r="I216" s="916"/>
    </row>
    <row r="217" spans="1:9" x14ac:dyDescent="0.25">
      <c r="A217" s="915" t="s">
        <v>3167</v>
      </c>
      <c r="B217" s="926"/>
      <c r="C217" s="947" t="s">
        <v>1299</v>
      </c>
      <c r="D217" s="951"/>
      <c r="E217" s="953"/>
      <c r="F217" s="951"/>
      <c r="I217" s="916"/>
    </row>
    <row r="218" spans="1:9" x14ac:dyDescent="0.25">
      <c r="A218" s="915" t="s">
        <v>3167</v>
      </c>
      <c r="B218" s="926" t="s">
        <v>1300</v>
      </c>
      <c r="C218" s="926" t="s">
        <v>1301</v>
      </c>
      <c r="D218" s="950"/>
      <c r="E218" s="953"/>
      <c r="F218" s="951"/>
      <c r="I218" s="916"/>
    </row>
    <row r="219" spans="1:9" x14ac:dyDescent="0.25">
      <c r="A219" s="915" t="s">
        <v>3167</v>
      </c>
      <c r="B219" s="926" t="s">
        <v>1302</v>
      </c>
      <c r="C219" s="931" t="s">
        <v>1303</v>
      </c>
      <c r="D219" s="950"/>
      <c r="E219" s="953"/>
      <c r="F219" s="951"/>
      <c r="I219" s="916"/>
    </row>
    <row r="220" spans="1:9" x14ac:dyDescent="0.25">
      <c r="A220" s="915" t="s">
        <v>3167</v>
      </c>
      <c r="B220" s="926" t="s">
        <v>1304</v>
      </c>
      <c r="C220" s="932" t="s">
        <v>1305</v>
      </c>
      <c r="D220" s="950" t="s">
        <v>861</v>
      </c>
      <c r="E220" s="953"/>
      <c r="F220" s="958">
        <v>65328</v>
      </c>
      <c r="I220" s="916"/>
    </row>
    <row r="221" spans="1:9" x14ac:dyDescent="0.25">
      <c r="A221" s="915" t="s">
        <v>3167</v>
      </c>
      <c r="B221" s="926" t="s">
        <v>1306</v>
      </c>
      <c r="C221" s="932" t="s">
        <v>1307</v>
      </c>
      <c r="D221" s="950" t="s">
        <v>861</v>
      </c>
      <c r="E221" s="953"/>
      <c r="F221" s="958">
        <v>71861</v>
      </c>
      <c r="I221" s="916"/>
    </row>
    <row r="222" spans="1:9" x14ac:dyDescent="0.25">
      <c r="A222" s="915" t="s">
        <v>3167</v>
      </c>
      <c r="B222" s="926" t="s">
        <v>1308</v>
      </c>
      <c r="C222" s="931" t="s">
        <v>1309</v>
      </c>
      <c r="D222" s="950"/>
      <c r="E222" s="953"/>
      <c r="F222" s="951"/>
      <c r="I222" s="916"/>
    </row>
    <row r="223" spans="1:9" x14ac:dyDescent="0.25">
      <c r="A223" s="915" t="s">
        <v>3167</v>
      </c>
      <c r="B223" s="926" t="s">
        <v>1310</v>
      </c>
      <c r="C223" s="932" t="s">
        <v>1311</v>
      </c>
      <c r="D223" s="950" t="s">
        <v>861</v>
      </c>
      <c r="E223" s="953"/>
      <c r="F223" s="958">
        <v>58954</v>
      </c>
      <c r="I223" s="916"/>
    </row>
    <row r="224" spans="1:9" x14ac:dyDescent="0.25">
      <c r="A224" s="915" t="s">
        <v>3167</v>
      </c>
      <c r="B224" s="926" t="s">
        <v>1312</v>
      </c>
      <c r="C224" s="932" t="s">
        <v>1313</v>
      </c>
      <c r="D224" s="950" t="s">
        <v>861</v>
      </c>
      <c r="E224" s="953"/>
      <c r="F224" s="958">
        <v>65487</v>
      </c>
      <c r="I224" s="916"/>
    </row>
    <row r="225" spans="1:9" x14ac:dyDescent="0.25">
      <c r="A225" s="915" t="s">
        <v>3167</v>
      </c>
      <c r="B225" s="926" t="s">
        <v>1314</v>
      </c>
      <c r="C225" s="931" t="s">
        <v>1315</v>
      </c>
      <c r="D225" s="950"/>
      <c r="E225" s="953"/>
      <c r="F225" s="951"/>
      <c r="I225" s="916"/>
    </row>
    <row r="226" spans="1:9" x14ac:dyDescent="0.25">
      <c r="A226" s="915" t="s">
        <v>3167</v>
      </c>
      <c r="B226" s="926" t="s">
        <v>1316</v>
      </c>
      <c r="C226" s="932" t="s">
        <v>1317</v>
      </c>
      <c r="D226" s="950" t="s">
        <v>861</v>
      </c>
      <c r="E226" s="953"/>
      <c r="F226" s="958">
        <v>82855</v>
      </c>
      <c r="I226" s="916"/>
    </row>
    <row r="227" spans="1:9" x14ac:dyDescent="0.25">
      <c r="A227" s="915" t="s">
        <v>3167</v>
      </c>
      <c r="B227" s="926" t="s">
        <v>1318</v>
      </c>
      <c r="C227" s="932" t="s">
        <v>1319</v>
      </c>
      <c r="D227" s="950" t="s">
        <v>861</v>
      </c>
      <c r="E227" s="953"/>
      <c r="F227" s="958">
        <v>89388</v>
      </c>
    </row>
    <row r="228" spans="1:9" x14ac:dyDescent="0.25">
      <c r="A228" s="915" t="s">
        <v>3167</v>
      </c>
      <c r="B228" s="926" t="s">
        <v>1320</v>
      </c>
      <c r="C228" s="931" t="s">
        <v>1321</v>
      </c>
      <c r="D228" s="950"/>
      <c r="E228" s="953"/>
      <c r="F228" s="951"/>
    </row>
    <row r="229" spans="1:9" x14ac:dyDescent="0.25">
      <c r="A229" s="915" t="s">
        <v>3167</v>
      </c>
      <c r="B229" s="926" t="s">
        <v>1322</v>
      </c>
      <c r="C229" s="932" t="s">
        <v>1323</v>
      </c>
      <c r="D229" s="950" t="s">
        <v>861</v>
      </c>
      <c r="E229" s="953"/>
      <c r="F229" s="958">
        <v>76481</v>
      </c>
    </row>
    <row r="230" spans="1:9" x14ac:dyDescent="0.25">
      <c r="A230" s="915" t="s">
        <v>3167</v>
      </c>
      <c r="B230" s="926" t="s">
        <v>1324</v>
      </c>
      <c r="C230" s="932" t="s">
        <v>1325</v>
      </c>
      <c r="D230" s="950" t="s">
        <v>861</v>
      </c>
      <c r="E230" s="953"/>
      <c r="F230" s="958">
        <v>83014</v>
      </c>
    </row>
    <row r="231" spans="1:9" x14ac:dyDescent="0.25">
      <c r="A231" s="915" t="s">
        <v>3167</v>
      </c>
      <c r="B231" s="926" t="s">
        <v>1326</v>
      </c>
      <c r="C231" s="931" t="s">
        <v>1327</v>
      </c>
      <c r="D231" s="950"/>
      <c r="E231" s="953"/>
      <c r="F231" s="951"/>
    </row>
    <row r="232" spans="1:9" x14ac:dyDescent="0.25">
      <c r="A232" s="915" t="s">
        <v>3167</v>
      </c>
      <c r="B232" s="926" t="s">
        <v>1328</v>
      </c>
      <c r="C232" s="932" t="s">
        <v>1305</v>
      </c>
      <c r="D232" s="950" t="s">
        <v>861</v>
      </c>
      <c r="E232" s="953"/>
      <c r="F232" s="958">
        <v>175192</v>
      </c>
    </row>
    <row r="233" spans="1:9" x14ac:dyDescent="0.25">
      <c r="A233" s="915" t="s">
        <v>3167</v>
      </c>
      <c r="B233" s="926" t="s">
        <v>1329</v>
      </c>
      <c r="C233" s="932" t="s">
        <v>1307</v>
      </c>
      <c r="D233" s="950" t="s">
        <v>861</v>
      </c>
      <c r="E233" s="953"/>
      <c r="F233" s="958">
        <v>212967</v>
      </c>
    </row>
    <row r="234" spans="1:9" x14ac:dyDescent="0.25">
      <c r="A234" s="915" t="s">
        <v>3167</v>
      </c>
      <c r="B234" s="926" t="s">
        <v>1330</v>
      </c>
      <c r="C234" s="931" t="s">
        <v>1331</v>
      </c>
      <c r="D234" s="950"/>
      <c r="E234" s="953"/>
      <c r="F234" s="951"/>
    </row>
    <row r="235" spans="1:9" x14ac:dyDescent="0.25">
      <c r="A235" s="915" t="s">
        <v>3167</v>
      </c>
      <c r="B235" s="926" t="s">
        <v>1332</v>
      </c>
      <c r="C235" s="932" t="s">
        <v>1333</v>
      </c>
      <c r="D235" s="950" t="s">
        <v>861</v>
      </c>
      <c r="E235" s="953"/>
      <c r="F235" s="958">
        <v>46635</v>
      </c>
    </row>
    <row r="236" spans="1:9" x14ac:dyDescent="0.25">
      <c r="A236" s="915" t="s">
        <v>3167</v>
      </c>
      <c r="B236" s="926" t="s">
        <v>1334</v>
      </c>
      <c r="C236" s="932" t="s">
        <v>1335</v>
      </c>
      <c r="D236" s="950" t="s">
        <v>861</v>
      </c>
      <c r="E236" s="953"/>
      <c r="F236" s="958">
        <v>32645</v>
      </c>
    </row>
    <row r="237" spans="1:9" x14ac:dyDescent="0.25">
      <c r="A237" s="915" t="s">
        <v>3167</v>
      </c>
      <c r="B237" s="926" t="s">
        <v>1344</v>
      </c>
      <c r="C237" s="931" t="s">
        <v>1345</v>
      </c>
      <c r="D237" s="950"/>
      <c r="E237" s="953"/>
      <c r="F237" s="951"/>
    </row>
    <row r="238" spans="1:9" x14ac:dyDescent="0.25">
      <c r="A238" s="915" t="s">
        <v>3167</v>
      </c>
      <c r="B238" s="926" t="s">
        <v>1346</v>
      </c>
      <c r="C238" s="932" t="s">
        <v>1347</v>
      </c>
      <c r="D238" s="950" t="s">
        <v>950</v>
      </c>
      <c r="E238" s="953"/>
      <c r="F238" s="958">
        <v>58294</v>
      </c>
    </row>
    <row r="239" spans="1:9" x14ac:dyDescent="0.25">
      <c r="A239" s="915" t="s">
        <v>3167</v>
      </c>
      <c r="B239" s="926" t="s">
        <v>1348</v>
      </c>
      <c r="C239" s="932" t="s">
        <v>1349</v>
      </c>
      <c r="D239" s="950" t="s">
        <v>950</v>
      </c>
      <c r="E239" s="953"/>
      <c r="F239" s="958">
        <v>49744</v>
      </c>
    </row>
    <row r="240" spans="1:9" x14ac:dyDescent="0.25">
      <c r="A240" s="915" t="s">
        <v>3167</v>
      </c>
      <c r="B240" s="926" t="s">
        <v>1354</v>
      </c>
      <c r="C240" s="931" t="s">
        <v>1355</v>
      </c>
      <c r="D240" s="950"/>
      <c r="E240" s="953"/>
      <c r="F240" s="951"/>
    </row>
    <row r="241" spans="1:6" x14ac:dyDescent="0.25">
      <c r="A241" s="915" t="s">
        <v>3167</v>
      </c>
      <c r="B241" s="926" t="s">
        <v>1356</v>
      </c>
      <c r="C241" s="932" t="s">
        <v>1357</v>
      </c>
      <c r="D241" s="950" t="s">
        <v>727</v>
      </c>
      <c r="E241" s="953"/>
      <c r="F241" s="958">
        <v>79280</v>
      </c>
    </row>
    <row r="242" spans="1:6" x14ac:dyDescent="0.25">
      <c r="A242" s="915" t="s">
        <v>3167</v>
      </c>
      <c r="B242" s="926" t="s">
        <v>1358</v>
      </c>
      <c r="C242" s="932" t="s">
        <v>1359</v>
      </c>
      <c r="D242" s="950" t="s">
        <v>727</v>
      </c>
      <c r="E242" s="953"/>
      <c r="F242" s="958">
        <v>342539</v>
      </c>
    </row>
    <row r="243" spans="1:6" x14ac:dyDescent="0.25">
      <c r="A243" s="915" t="s">
        <v>3167</v>
      </c>
      <c r="B243" s="926"/>
      <c r="C243" s="932"/>
      <c r="D243" s="950"/>
      <c r="E243" s="953"/>
      <c r="F243" s="951"/>
    </row>
    <row r="244" spans="1:6" x14ac:dyDescent="0.25">
      <c r="A244" s="915" t="s">
        <v>3167</v>
      </c>
      <c r="B244" s="926"/>
      <c r="C244" s="947" t="s">
        <v>1360</v>
      </c>
      <c r="D244" s="951"/>
      <c r="E244" s="953"/>
      <c r="F244" s="951"/>
    </row>
    <row r="245" spans="1:6" x14ac:dyDescent="0.25">
      <c r="A245" s="915" t="s">
        <v>3167</v>
      </c>
      <c r="B245" s="926" t="s">
        <v>1361</v>
      </c>
      <c r="C245" s="926" t="s">
        <v>1362</v>
      </c>
      <c r="D245" s="950"/>
      <c r="E245" s="953"/>
      <c r="F245" s="951"/>
    </row>
    <row r="246" spans="1:6" x14ac:dyDescent="0.25">
      <c r="A246" s="915" t="s">
        <v>3167</v>
      </c>
      <c r="B246" s="926" t="s">
        <v>1363</v>
      </c>
      <c r="C246" s="931" t="s">
        <v>1364</v>
      </c>
      <c r="D246" s="950"/>
      <c r="E246" s="953"/>
      <c r="F246" s="951"/>
    </row>
    <row r="247" spans="1:6" x14ac:dyDescent="0.25">
      <c r="A247" s="915" t="s">
        <v>3167</v>
      </c>
      <c r="B247" s="926" t="s">
        <v>1365</v>
      </c>
      <c r="C247" s="932" t="s">
        <v>1366</v>
      </c>
      <c r="D247" s="950" t="s">
        <v>1367</v>
      </c>
      <c r="E247" s="953"/>
      <c r="F247" s="958">
        <v>210545</v>
      </c>
    </row>
    <row r="248" spans="1:6" x14ac:dyDescent="0.25">
      <c r="A248" s="915" t="s">
        <v>3167</v>
      </c>
      <c r="B248" s="926" t="s">
        <v>1368</v>
      </c>
      <c r="C248" s="932" t="s">
        <v>1369</v>
      </c>
      <c r="D248" s="950" t="s">
        <v>1367</v>
      </c>
      <c r="E248" s="953"/>
      <c r="F248" s="958">
        <v>28593</v>
      </c>
    </row>
    <row r="249" spans="1:6" x14ac:dyDescent="0.25">
      <c r="A249" s="915" t="s">
        <v>3167</v>
      </c>
      <c r="B249" s="926" t="s">
        <v>1370</v>
      </c>
      <c r="C249" s="932" t="s">
        <v>1371</v>
      </c>
      <c r="D249" s="950" t="s">
        <v>1367</v>
      </c>
      <c r="E249" s="953"/>
      <c r="F249" s="958">
        <v>42430</v>
      </c>
    </row>
    <row r="250" spans="1:6" x14ac:dyDescent="0.25">
      <c r="A250" s="915" t="s">
        <v>3167</v>
      </c>
      <c r="B250" s="926" t="s">
        <v>1372</v>
      </c>
      <c r="C250" s="931" t="s">
        <v>1373</v>
      </c>
      <c r="D250" s="950"/>
      <c r="E250" s="953"/>
      <c r="F250" s="951"/>
    </row>
    <row r="251" spans="1:6" x14ac:dyDescent="0.25">
      <c r="A251" s="915" t="s">
        <v>3167</v>
      </c>
      <c r="B251" s="926" t="s">
        <v>1374</v>
      </c>
      <c r="C251" s="932" t="s">
        <v>1375</v>
      </c>
      <c r="D251" s="950" t="s">
        <v>950</v>
      </c>
      <c r="E251" s="953"/>
      <c r="F251" s="958">
        <v>3851</v>
      </c>
    </row>
    <row r="252" spans="1:6" x14ac:dyDescent="0.25">
      <c r="A252" s="915" t="s">
        <v>3167</v>
      </c>
      <c r="B252" s="926" t="s">
        <v>1376</v>
      </c>
      <c r="C252" s="932" t="s">
        <v>1377</v>
      </c>
      <c r="D252" s="950" t="s">
        <v>950</v>
      </c>
      <c r="E252" s="953"/>
      <c r="F252" s="958">
        <v>5007</v>
      </c>
    </row>
    <row r="253" spans="1:6" x14ac:dyDescent="0.25">
      <c r="A253" s="915" t="s">
        <v>3167</v>
      </c>
      <c r="B253" s="926" t="s">
        <v>1378</v>
      </c>
      <c r="C253" s="932" t="s">
        <v>1379</v>
      </c>
      <c r="D253" s="950" t="s">
        <v>950</v>
      </c>
      <c r="E253" s="953"/>
      <c r="F253" s="958">
        <v>6509</v>
      </c>
    </row>
    <row r="254" spans="1:6" x14ac:dyDescent="0.25">
      <c r="A254" s="915" t="s">
        <v>3167</v>
      </c>
      <c r="B254" s="926" t="s">
        <v>1390</v>
      </c>
      <c r="C254" s="931" t="s">
        <v>1391</v>
      </c>
      <c r="D254" s="950"/>
      <c r="E254" s="953"/>
      <c r="F254" s="951"/>
    </row>
    <row r="255" spans="1:6" x14ac:dyDescent="0.25">
      <c r="A255" s="915" t="s">
        <v>3167</v>
      </c>
      <c r="B255" s="926" t="s">
        <v>1392</v>
      </c>
      <c r="C255" s="932" t="s">
        <v>1393</v>
      </c>
      <c r="D255" s="950" t="s">
        <v>950</v>
      </c>
      <c r="E255" s="953"/>
      <c r="F255" s="958">
        <v>1155</v>
      </c>
    </row>
    <row r="256" spans="1:6" x14ac:dyDescent="0.25">
      <c r="A256" s="915" t="s">
        <v>3167</v>
      </c>
      <c r="B256" s="926" t="s">
        <v>1394</v>
      </c>
      <c r="C256" s="932" t="s">
        <v>1395</v>
      </c>
      <c r="D256" s="950" t="s">
        <v>950</v>
      </c>
      <c r="E256" s="953"/>
      <c r="F256" s="958">
        <v>1541</v>
      </c>
    </row>
    <row r="257" spans="1:6" x14ac:dyDescent="0.25">
      <c r="A257" s="915" t="s">
        <v>3167</v>
      </c>
      <c r="B257" s="926" t="s">
        <v>1396</v>
      </c>
      <c r="C257" s="932" t="s">
        <v>1397</v>
      </c>
      <c r="D257" s="950" t="s">
        <v>950</v>
      </c>
      <c r="E257" s="953"/>
      <c r="F257" s="958">
        <v>2022</v>
      </c>
    </row>
    <row r="258" spans="1:6" x14ac:dyDescent="0.25">
      <c r="A258" s="915" t="s">
        <v>3167</v>
      </c>
      <c r="B258" s="926" t="s">
        <v>1398</v>
      </c>
      <c r="C258" s="932" t="s">
        <v>1399</v>
      </c>
      <c r="D258" s="950" t="s">
        <v>950</v>
      </c>
      <c r="E258" s="953"/>
      <c r="F258" s="958">
        <v>2888</v>
      </c>
    </row>
    <row r="259" spans="1:6" x14ac:dyDescent="0.25">
      <c r="A259" s="915" t="s">
        <v>3167</v>
      </c>
      <c r="B259" s="926" t="s">
        <v>1410</v>
      </c>
      <c r="C259" s="931" t="s">
        <v>1411</v>
      </c>
      <c r="D259" s="950"/>
      <c r="E259" s="953"/>
      <c r="F259" s="951"/>
    </row>
    <row r="260" spans="1:6" x14ac:dyDescent="0.25">
      <c r="A260" s="915" t="s">
        <v>3167</v>
      </c>
      <c r="B260" s="926" t="s">
        <v>1412</v>
      </c>
      <c r="C260" s="932" t="s">
        <v>1413</v>
      </c>
      <c r="D260" s="950" t="s">
        <v>950</v>
      </c>
      <c r="E260" s="953"/>
      <c r="F260" s="958">
        <v>3780</v>
      </c>
    </row>
    <row r="261" spans="1:6" x14ac:dyDescent="0.25">
      <c r="A261" s="915" t="s">
        <v>3167</v>
      </c>
      <c r="B261" s="926" t="s">
        <v>1414</v>
      </c>
      <c r="C261" s="932" t="s">
        <v>1415</v>
      </c>
      <c r="D261" s="950" t="s">
        <v>950</v>
      </c>
      <c r="E261" s="953"/>
      <c r="F261" s="958">
        <v>4581</v>
      </c>
    </row>
    <row r="262" spans="1:6" x14ac:dyDescent="0.25">
      <c r="A262" s="915" t="s">
        <v>3167</v>
      </c>
      <c r="B262" s="926" t="s">
        <v>1416</v>
      </c>
      <c r="C262" s="932" t="s">
        <v>1417</v>
      </c>
      <c r="D262" s="950" t="s">
        <v>950</v>
      </c>
      <c r="E262" s="953"/>
      <c r="F262" s="958">
        <v>5813</v>
      </c>
    </row>
    <row r="263" spans="1:6" x14ac:dyDescent="0.25">
      <c r="A263" s="915" t="s">
        <v>3167</v>
      </c>
      <c r="B263" s="926" t="s">
        <v>1428</v>
      </c>
      <c r="C263" s="926" t="s">
        <v>1429</v>
      </c>
      <c r="D263" s="950"/>
      <c r="E263" s="953"/>
      <c r="F263" s="951"/>
    </row>
    <row r="264" spans="1:6" x14ac:dyDescent="0.25">
      <c r="A264" s="915" t="s">
        <v>3167</v>
      </c>
      <c r="B264" s="926" t="s">
        <v>1430</v>
      </c>
      <c r="C264" s="931" t="s">
        <v>1431</v>
      </c>
      <c r="D264" s="950"/>
      <c r="E264" s="953"/>
      <c r="F264" s="951"/>
    </row>
    <row r="265" spans="1:6" x14ac:dyDescent="0.25">
      <c r="A265" s="915" t="s">
        <v>3167</v>
      </c>
      <c r="B265" s="926" t="s">
        <v>1432</v>
      </c>
      <c r="C265" s="932" t="s">
        <v>1433</v>
      </c>
      <c r="D265" s="950" t="s">
        <v>950</v>
      </c>
      <c r="E265" s="953"/>
      <c r="F265" s="958">
        <v>3200</v>
      </c>
    </row>
    <row r="266" spans="1:6" x14ac:dyDescent="0.25">
      <c r="A266" s="915" t="s">
        <v>3167</v>
      </c>
      <c r="B266" s="926" t="s">
        <v>1434</v>
      </c>
      <c r="C266" s="932" t="s">
        <v>1401</v>
      </c>
      <c r="D266" s="950" t="s">
        <v>950</v>
      </c>
      <c r="E266" s="953"/>
      <c r="F266" s="958">
        <v>4135</v>
      </c>
    </row>
    <row r="267" spans="1:6" x14ac:dyDescent="0.25">
      <c r="A267" s="915" t="s">
        <v>3167</v>
      </c>
      <c r="B267" s="926" t="s">
        <v>1435</v>
      </c>
      <c r="C267" s="932" t="s">
        <v>1436</v>
      </c>
      <c r="D267" s="950" t="s">
        <v>950</v>
      </c>
      <c r="E267" s="953"/>
      <c r="F267" s="958">
        <v>5169</v>
      </c>
    </row>
    <row r="268" spans="1:6" x14ac:dyDescent="0.25">
      <c r="A268" s="915" t="s">
        <v>3167</v>
      </c>
      <c r="B268" s="926" t="s">
        <v>1449</v>
      </c>
      <c r="C268" s="932" t="s">
        <v>1450</v>
      </c>
      <c r="D268" s="950" t="s">
        <v>950</v>
      </c>
      <c r="E268" s="953"/>
      <c r="F268" s="958">
        <v>33724</v>
      </c>
    </row>
    <row r="269" spans="1:6" x14ac:dyDescent="0.25">
      <c r="A269" s="915" t="s">
        <v>3167</v>
      </c>
      <c r="B269" s="926" t="s">
        <v>1451</v>
      </c>
      <c r="C269" s="926" t="s">
        <v>1452</v>
      </c>
      <c r="D269" s="950"/>
      <c r="E269" s="953"/>
      <c r="F269" s="951"/>
    </row>
    <row r="270" spans="1:6" x14ac:dyDescent="0.25">
      <c r="A270" s="915" t="s">
        <v>3167</v>
      </c>
      <c r="B270" s="926" t="s">
        <v>1453</v>
      </c>
      <c r="C270" s="931" t="s">
        <v>1454</v>
      </c>
      <c r="D270" s="950"/>
      <c r="E270" s="953"/>
      <c r="F270" s="951"/>
    </row>
    <row r="271" spans="1:6" x14ac:dyDescent="0.25">
      <c r="A271" s="915" t="s">
        <v>3167</v>
      </c>
      <c r="B271" s="926" t="s">
        <v>1455</v>
      </c>
      <c r="C271" s="932" t="s">
        <v>1456</v>
      </c>
      <c r="D271" s="950" t="s">
        <v>727</v>
      </c>
      <c r="E271" s="953"/>
      <c r="F271" s="958">
        <v>5226</v>
      </c>
    </row>
    <row r="272" spans="1:6" x14ac:dyDescent="0.25">
      <c r="A272" s="915" t="s">
        <v>3167</v>
      </c>
      <c r="B272" s="926" t="s">
        <v>1457</v>
      </c>
      <c r="C272" s="932" t="s">
        <v>1458</v>
      </c>
      <c r="D272" s="950" t="s">
        <v>727</v>
      </c>
      <c r="E272" s="953"/>
      <c r="F272" s="958">
        <v>5908</v>
      </c>
    </row>
    <row r="273" spans="1:6" x14ac:dyDescent="0.25">
      <c r="A273" s="915" t="s">
        <v>3167</v>
      </c>
      <c r="B273" s="926" t="s">
        <v>1459</v>
      </c>
      <c r="C273" s="932" t="s">
        <v>1460</v>
      </c>
      <c r="D273" s="950" t="s">
        <v>727</v>
      </c>
      <c r="E273" s="953"/>
      <c r="F273" s="958">
        <v>7953</v>
      </c>
    </row>
    <row r="274" spans="1:6" x14ac:dyDescent="0.25">
      <c r="A274" s="915" t="s">
        <v>3167</v>
      </c>
      <c r="B274" s="926" t="s">
        <v>1465</v>
      </c>
      <c r="C274" s="931" t="s">
        <v>1466</v>
      </c>
      <c r="D274" s="950"/>
      <c r="E274" s="953"/>
      <c r="F274" s="951"/>
    </row>
    <row r="275" spans="1:6" x14ac:dyDescent="0.25">
      <c r="A275" s="915" t="s">
        <v>3167</v>
      </c>
      <c r="B275" s="926" t="s">
        <v>1467</v>
      </c>
      <c r="C275" s="932" t="s">
        <v>1468</v>
      </c>
      <c r="D275" s="950" t="s">
        <v>727</v>
      </c>
      <c r="E275" s="953"/>
      <c r="F275" s="958">
        <v>7639</v>
      </c>
    </row>
    <row r="276" spans="1:6" x14ac:dyDescent="0.25">
      <c r="A276" s="915" t="s">
        <v>3167</v>
      </c>
      <c r="B276" s="926" t="s">
        <v>1469</v>
      </c>
      <c r="C276" s="932" t="s">
        <v>1470</v>
      </c>
      <c r="D276" s="950" t="s">
        <v>727</v>
      </c>
      <c r="E276" s="953"/>
      <c r="F276" s="958">
        <v>6708</v>
      </c>
    </row>
    <row r="277" spans="1:6" x14ac:dyDescent="0.25">
      <c r="A277" s="915" t="s">
        <v>3167</v>
      </c>
      <c r="B277" s="926" t="s">
        <v>1471</v>
      </c>
      <c r="C277" s="932" t="s">
        <v>1472</v>
      </c>
      <c r="D277" s="950" t="s">
        <v>727</v>
      </c>
      <c r="E277" s="953"/>
      <c r="F277" s="958">
        <v>14057</v>
      </c>
    </row>
    <row r="278" spans="1:6" x14ac:dyDescent="0.25">
      <c r="A278" s="915" t="s">
        <v>3167</v>
      </c>
      <c r="B278" s="926" t="s">
        <v>1473</v>
      </c>
      <c r="C278" s="926" t="s">
        <v>1474</v>
      </c>
      <c r="D278" s="950"/>
      <c r="E278" s="953"/>
      <c r="F278" s="951"/>
    </row>
    <row r="279" spans="1:6" ht="18" x14ac:dyDescent="0.25">
      <c r="A279" s="915" t="s">
        <v>3167</v>
      </c>
      <c r="B279" s="926" t="s">
        <v>1475</v>
      </c>
      <c r="C279" s="931" t="s">
        <v>1476</v>
      </c>
      <c r="D279" s="950"/>
      <c r="E279" s="953"/>
      <c r="F279" s="951"/>
    </row>
    <row r="280" spans="1:6" x14ac:dyDescent="0.25">
      <c r="A280" s="915" t="s">
        <v>3167</v>
      </c>
      <c r="B280" s="926" t="s">
        <v>1477</v>
      </c>
      <c r="C280" s="932" t="s">
        <v>1478</v>
      </c>
      <c r="D280" s="950" t="s">
        <v>727</v>
      </c>
      <c r="E280" s="953"/>
      <c r="F280" s="958">
        <v>210324</v>
      </c>
    </row>
    <row r="281" spans="1:6" x14ac:dyDescent="0.25">
      <c r="A281" s="915" t="s">
        <v>3167</v>
      </c>
      <c r="B281" s="926" t="s">
        <v>1479</v>
      </c>
      <c r="C281" s="932" t="s">
        <v>1480</v>
      </c>
      <c r="D281" s="950" t="s">
        <v>727</v>
      </c>
      <c r="E281" s="953"/>
      <c r="F281" s="958">
        <v>352778</v>
      </c>
    </row>
    <row r="282" spans="1:6" x14ac:dyDescent="0.25">
      <c r="A282" s="915" t="s">
        <v>3167</v>
      </c>
      <c r="B282" s="926" t="s">
        <v>1481</v>
      </c>
      <c r="C282" s="932" t="s">
        <v>1482</v>
      </c>
      <c r="D282" s="950" t="s">
        <v>727</v>
      </c>
      <c r="E282" s="953"/>
      <c r="F282" s="958">
        <v>75393</v>
      </c>
    </row>
    <row r="283" spans="1:6" x14ac:dyDescent="0.25">
      <c r="A283" s="915" t="s">
        <v>3167</v>
      </c>
      <c r="B283" s="926" t="s">
        <v>1483</v>
      </c>
      <c r="C283" s="932" t="s">
        <v>1484</v>
      </c>
      <c r="D283" s="950" t="s">
        <v>727</v>
      </c>
      <c r="E283" s="953"/>
      <c r="F283" s="958">
        <v>31090</v>
      </c>
    </row>
    <row r="284" spans="1:6" x14ac:dyDescent="0.25">
      <c r="A284" s="915" t="s">
        <v>3167</v>
      </c>
      <c r="B284" s="926" t="s">
        <v>1485</v>
      </c>
      <c r="C284" s="932" t="s">
        <v>1486</v>
      </c>
      <c r="D284" s="950" t="s">
        <v>727</v>
      </c>
      <c r="E284" s="953"/>
      <c r="F284" s="958">
        <v>96519</v>
      </c>
    </row>
    <row r="285" spans="1:6" x14ac:dyDescent="0.25">
      <c r="A285" s="915" t="s">
        <v>3167</v>
      </c>
      <c r="B285" s="926" t="s">
        <v>1487</v>
      </c>
      <c r="C285" s="932" t="s">
        <v>1488</v>
      </c>
      <c r="D285" s="950" t="s">
        <v>727</v>
      </c>
      <c r="E285" s="953"/>
      <c r="F285" s="958">
        <v>70108</v>
      </c>
    </row>
    <row r="286" spans="1:6" x14ac:dyDescent="0.25">
      <c r="A286" s="915" t="s">
        <v>3167</v>
      </c>
      <c r="B286" s="926" t="s">
        <v>1489</v>
      </c>
      <c r="C286" s="932" t="s">
        <v>1490</v>
      </c>
      <c r="D286" s="950" t="s">
        <v>727</v>
      </c>
      <c r="E286" s="953"/>
      <c r="F286" s="958">
        <v>257456</v>
      </c>
    </row>
    <row r="287" spans="1:6" x14ac:dyDescent="0.25">
      <c r="A287" s="915" t="s">
        <v>3167</v>
      </c>
      <c r="B287" s="926" t="s">
        <v>1491</v>
      </c>
      <c r="C287" s="932" t="s">
        <v>1492</v>
      </c>
      <c r="D287" s="950" t="s">
        <v>727</v>
      </c>
      <c r="E287" s="953"/>
      <c r="F287" s="958">
        <v>792857</v>
      </c>
    </row>
    <row r="288" spans="1:6" x14ac:dyDescent="0.25">
      <c r="A288" s="915" t="s">
        <v>3167</v>
      </c>
      <c r="B288" s="926" t="s">
        <v>1493</v>
      </c>
      <c r="C288" s="932" t="s">
        <v>1494</v>
      </c>
      <c r="D288" s="950" t="s">
        <v>727</v>
      </c>
      <c r="E288" s="953"/>
      <c r="F288" s="958">
        <v>214148</v>
      </c>
    </row>
    <row r="289" spans="1:6" x14ac:dyDescent="0.25">
      <c r="A289" s="915" t="s">
        <v>3167</v>
      </c>
      <c r="B289" s="926" t="s">
        <v>1495</v>
      </c>
      <c r="C289" s="932" t="s">
        <v>1496</v>
      </c>
      <c r="D289" s="950" t="s">
        <v>727</v>
      </c>
      <c r="E289" s="953"/>
      <c r="F289" s="958">
        <v>114085</v>
      </c>
    </row>
    <row r="290" spans="1:6" x14ac:dyDescent="0.25">
      <c r="A290" s="915" t="s">
        <v>3167</v>
      </c>
      <c r="B290" s="926" t="s">
        <v>1497</v>
      </c>
      <c r="C290" s="932" t="s">
        <v>1498</v>
      </c>
      <c r="D290" s="950" t="s">
        <v>727</v>
      </c>
      <c r="E290" s="953"/>
      <c r="F290" s="958">
        <v>491984</v>
      </c>
    </row>
    <row r="291" spans="1:6" x14ac:dyDescent="0.25">
      <c r="A291" s="915" t="s">
        <v>3167</v>
      </c>
      <c r="B291" s="926" t="s">
        <v>1499</v>
      </c>
      <c r="C291" s="932" t="s">
        <v>1500</v>
      </c>
      <c r="D291" s="950" t="s">
        <v>727</v>
      </c>
      <c r="E291" s="953"/>
      <c r="F291" s="958">
        <v>315613</v>
      </c>
    </row>
    <row r="292" spans="1:6" x14ac:dyDescent="0.25">
      <c r="A292" s="915" t="s">
        <v>3167</v>
      </c>
      <c r="B292" s="926" t="s">
        <v>1501</v>
      </c>
      <c r="C292" s="932" t="s">
        <v>1502</v>
      </c>
      <c r="D292" s="950" t="s">
        <v>727</v>
      </c>
      <c r="E292" s="953"/>
      <c r="F292" s="958">
        <v>66284</v>
      </c>
    </row>
    <row r="293" spans="1:6" x14ac:dyDescent="0.25">
      <c r="A293" s="915" t="s">
        <v>3167</v>
      </c>
      <c r="B293" s="926" t="s">
        <v>1503</v>
      </c>
      <c r="C293" s="932" t="s">
        <v>1504</v>
      </c>
      <c r="D293" s="950" t="s">
        <v>727</v>
      </c>
      <c r="E293" s="953"/>
      <c r="F293" s="958">
        <v>145952</v>
      </c>
    </row>
    <row r="294" spans="1:6" x14ac:dyDescent="0.25">
      <c r="A294" s="915" t="s">
        <v>3167</v>
      </c>
      <c r="B294" s="926" t="s">
        <v>1505</v>
      </c>
      <c r="C294" s="932" t="s">
        <v>1506</v>
      </c>
      <c r="D294" s="950" t="s">
        <v>727</v>
      </c>
      <c r="E294" s="953"/>
      <c r="F294" s="958">
        <v>371572</v>
      </c>
    </row>
    <row r="295" spans="1:6" x14ac:dyDescent="0.25">
      <c r="A295" s="915" t="s">
        <v>3167</v>
      </c>
      <c r="B295" s="926" t="s">
        <v>1507</v>
      </c>
      <c r="C295" s="932" t="s">
        <v>1508</v>
      </c>
      <c r="D295" s="950" t="s">
        <v>727</v>
      </c>
      <c r="E295" s="953"/>
      <c r="F295" s="958">
        <v>544852</v>
      </c>
    </row>
    <row r="296" spans="1:6" x14ac:dyDescent="0.25">
      <c r="A296" s="915" t="s">
        <v>3167</v>
      </c>
      <c r="B296" s="926" t="s">
        <v>1509</v>
      </c>
      <c r="C296" s="932" t="s">
        <v>1510</v>
      </c>
      <c r="D296" s="950" t="s">
        <v>727</v>
      </c>
      <c r="E296" s="953"/>
      <c r="F296" s="958">
        <v>109623</v>
      </c>
    </row>
    <row r="297" spans="1:6" x14ac:dyDescent="0.25">
      <c r="A297" s="915" t="s">
        <v>3167</v>
      </c>
      <c r="B297" s="926" t="s">
        <v>1511</v>
      </c>
      <c r="C297" s="932" t="s">
        <v>1512</v>
      </c>
      <c r="D297" s="950" t="s">
        <v>727</v>
      </c>
      <c r="E297" s="953"/>
      <c r="F297" s="958">
        <v>607772</v>
      </c>
    </row>
    <row r="298" spans="1:6" x14ac:dyDescent="0.25">
      <c r="A298" s="915" t="s">
        <v>3167</v>
      </c>
      <c r="B298" s="926" t="s">
        <v>1513</v>
      </c>
      <c r="C298" s="932" t="s">
        <v>1514</v>
      </c>
      <c r="D298" s="950" t="s">
        <v>727</v>
      </c>
      <c r="E298" s="953"/>
      <c r="F298" s="958">
        <v>521986</v>
      </c>
    </row>
    <row r="299" spans="1:6" x14ac:dyDescent="0.25">
      <c r="A299" s="915" t="s">
        <v>3167</v>
      </c>
      <c r="B299" s="926" t="s">
        <v>1515</v>
      </c>
      <c r="C299" s="932" t="s">
        <v>1516</v>
      </c>
      <c r="D299" s="950" t="s">
        <v>727</v>
      </c>
      <c r="E299" s="953"/>
      <c r="F299" s="958">
        <v>309346</v>
      </c>
    </row>
    <row r="300" spans="1:6" x14ac:dyDescent="0.25">
      <c r="A300" s="915" t="s">
        <v>3167</v>
      </c>
      <c r="B300" s="926" t="s">
        <v>1517</v>
      </c>
      <c r="C300" s="932" t="s">
        <v>1518</v>
      </c>
      <c r="D300" s="950" t="s">
        <v>727</v>
      </c>
      <c r="E300" s="953"/>
      <c r="F300" s="958">
        <v>187379</v>
      </c>
    </row>
    <row r="301" spans="1:6" x14ac:dyDescent="0.25">
      <c r="A301" s="915" t="s">
        <v>3167</v>
      </c>
      <c r="B301" s="926" t="s">
        <v>1519</v>
      </c>
      <c r="C301" s="932" t="s">
        <v>1520</v>
      </c>
      <c r="D301" s="950" t="s">
        <v>727</v>
      </c>
      <c r="E301" s="953"/>
      <c r="F301" s="958">
        <v>30313</v>
      </c>
    </row>
    <row r="302" spans="1:6" x14ac:dyDescent="0.25">
      <c r="A302" s="915" t="s">
        <v>3167</v>
      </c>
      <c r="B302" s="926" t="s">
        <v>1521</v>
      </c>
      <c r="C302" s="932" t="s">
        <v>1522</v>
      </c>
      <c r="D302" s="950" t="s">
        <v>727</v>
      </c>
      <c r="E302" s="953"/>
      <c r="F302" s="958">
        <v>22540</v>
      </c>
    </row>
    <row r="303" spans="1:6" x14ac:dyDescent="0.25">
      <c r="A303" s="915" t="s">
        <v>3167</v>
      </c>
      <c r="B303" s="926" t="s">
        <v>1523</v>
      </c>
      <c r="C303" s="932" t="s">
        <v>1524</v>
      </c>
      <c r="D303" s="950" t="s">
        <v>727</v>
      </c>
      <c r="E303" s="953"/>
      <c r="F303" s="958">
        <v>25649</v>
      </c>
    </row>
    <row r="304" spans="1:6" x14ac:dyDescent="0.25">
      <c r="A304" s="915" t="s">
        <v>3167</v>
      </c>
      <c r="B304" s="926" t="s">
        <v>1525</v>
      </c>
      <c r="C304" s="932" t="s">
        <v>1526</v>
      </c>
      <c r="D304" s="950" t="s">
        <v>727</v>
      </c>
      <c r="E304" s="953"/>
      <c r="F304" s="958">
        <v>45124</v>
      </c>
    </row>
    <row r="305" spans="1:6" x14ac:dyDescent="0.25">
      <c r="A305" s="915" t="s">
        <v>3167</v>
      </c>
      <c r="B305" s="926" t="s">
        <v>1527</v>
      </c>
      <c r="C305" s="932" t="s">
        <v>1528</v>
      </c>
      <c r="D305" s="950" t="s">
        <v>727</v>
      </c>
      <c r="E305" s="953"/>
      <c r="F305" s="958">
        <v>53537</v>
      </c>
    </row>
    <row r="306" spans="1:6" x14ac:dyDescent="0.25">
      <c r="A306" s="915" t="s">
        <v>3167</v>
      </c>
      <c r="B306" s="926" t="s">
        <v>1529</v>
      </c>
      <c r="C306" s="932" t="s">
        <v>1530</v>
      </c>
      <c r="D306" s="950" t="s">
        <v>727</v>
      </c>
      <c r="E306" s="953"/>
      <c r="F306" s="958">
        <v>48438</v>
      </c>
    </row>
    <row r="307" spans="1:6" x14ac:dyDescent="0.25">
      <c r="A307" s="915" t="s">
        <v>3167</v>
      </c>
      <c r="B307" s="926" t="s">
        <v>1531</v>
      </c>
      <c r="C307" s="932" t="s">
        <v>1532</v>
      </c>
      <c r="D307" s="950" t="s">
        <v>727</v>
      </c>
      <c r="E307" s="953"/>
      <c r="F307" s="958">
        <v>36329</v>
      </c>
    </row>
    <row r="308" spans="1:6" x14ac:dyDescent="0.25">
      <c r="A308" s="915" t="s">
        <v>3167</v>
      </c>
      <c r="B308" s="926" t="s">
        <v>1533</v>
      </c>
      <c r="C308" s="932" t="s">
        <v>1534</v>
      </c>
      <c r="D308" s="950" t="s">
        <v>727</v>
      </c>
      <c r="E308" s="953"/>
      <c r="F308" s="958">
        <v>28681</v>
      </c>
    </row>
    <row r="309" spans="1:6" x14ac:dyDescent="0.25">
      <c r="A309" s="915" t="s">
        <v>3167</v>
      </c>
      <c r="B309" s="926" t="s">
        <v>1535</v>
      </c>
      <c r="C309" s="932" t="s">
        <v>1536</v>
      </c>
      <c r="D309" s="950" t="s">
        <v>727</v>
      </c>
      <c r="E309" s="953"/>
      <c r="F309" s="958">
        <v>69953</v>
      </c>
    </row>
    <row r="310" spans="1:6" x14ac:dyDescent="0.25">
      <c r="A310" s="915" t="s">
        <v>3167</v>
      </c>
      <c r="B310" s="926" t="s">
        <v>1537</v>
      </c>
      <c r="C310" s="932" t="s">
        <v>1538</v>
      </c>
      <c r="D310" s="950" t="s">
        <v>727</v>
      </c>
      <c r="E310" s="953"/>
      <c r="F310" s="958">
        <v>44303</v>
      </c>
    </row>
    <row r="311" spans="1:6" x14ac:dyDescent="0.25">
      <c r="A311" s="915" t="s">
        <v>3167</v>
      </c>
      <c r="B311" s="926" t="s">
        <v>1539</v>
      </c>
      <c r="C311" s="932" t="s">
        <v>1540</v>
      </c>
      <c r="D311" s="950" t="s">
        <v>727</v>
      </c>
      <c r="E311" s="953"/>
      <c r="F311" s="958">
        <v>51299</v>
      </c>
    </row>
    <row r="312" spans="1:6" x14ac:dyDescent="0.25">
      <c r="A312" s="915" t="s">
        <v>3167</v>
      </c>
      <c r="B312" s="926" t="s">
        <v>1541</v>
      </c>
      <c r="C312" s="932" t="s">
        <v>1542</v>
      </c>
      <c r="D312" s="950" t="s">
        <v>727</v>
      </c>
      <c r="E312" s="953"/>
      <c r="F312" s="958">
        <v>1018198</v>
      </c>
    </row>
    <row r="313" spans="1:6" x14ac:dyDescent="0.25">
      <c r="A313" s="915" t="s">
        <v>3167</v>
      </c>
      <c r="B313" s="926" t="s">
        <v>1543</v>
      </c>
      <c r="C313" s="932" t="s">
        <v>1544</v>
      </c>
      <c r="D313" s="950" t="s">
        <v>727</v>
      </c>
      <c r="E313" s="953"/>
      <c r="F313" s="958">
        <v>15545</v>
      </c>
    </row>
    <row r="314" spans="1:6" ht="18" x14ac:dyDescent="0.25">
      <c r="A314" s="915" t="s">
        <v>3167</v>
      </c>
      <c r="B314" s="926" t="s">
        <v>1545</v>
      </c>
      <c r="C314" s="931" t="s">
        <v>1546</v>
      </c>
      <c r="D314" s="950"/>
      <c r="E314" s="953"/>
      <c r="F314" s="951"/>
    </row>
    <row r="315" spans="1:6" x14ac:dyDescent="0.25">
      <c r="A315" s="915" t="s">
        <v>3167</v>
      </c>
      <c r="B315" s="926" t="s">
        <v>1547</v>
      </c>
      <c r="C315" s="932" t="s">
        <v>1478</v>
      </c>
      <c r="D315" s="950" t="s">
        <v>727</v>
      </c>
      <c r="E315" s="953"/>
      <c r="F315" s="958">
        <v>93270</v>
      </c>
    </row>
    <row r="316" spans="1:6" x14ac:dyDescent="0.25">
      <c r="A316" s="915" t="s">
        <v>3167</v>
      </c>
      <c r="B316" s="926" t="s">
        <v>1548</v>
      </c>
      <c r="C316" s="932" t="s">
        <v>1482</v>
      </c>
      <c r="D316" s="950" t="s">
        <v>727</v>
      </c>
      <c r="E316" s="953"/>
      <c r="F316" s="958">
        <v>32645</v>
      </c>
    </row>
    <row r="317" spans="1:6" x14ac:dyDescent="0.25">
      <c r="A317" s="915" t="s">
        <v>3167</v>
      </c>
      <c r="B317" s="926" t="s">
        <v>1549</v>
      </c>
      <c r="C317" s="932" t="s">
        <v>1488</v>
      </c>
      <c r="D317" s="950" t="s">
        <v>727</v>
      </c>
      <c r="E317" s="953"/>
      <c r="F317" s="958">
        <v>85498</v>
      </c>
    </row>
    <row r="318" spans="1:6" x14ac:dyDescent="0.25">
      <c r="A318" s="915" t="s">
        <v>3167</v>
      </c>
      <c r="B318" s="926" t="s">
        <v>1550</v>
      </c>
      <c r="C318" s="932" t="s">
        <v>1494</v>
      </c>
      <c r="D318" s="950" t="s">
        <v>727</v>
      </c>
      <c r="E318" s="953"/>
      <c r="F318" s="958">
        <v>101043</v>
      </c>
    </row>
    <row r="319" spans="1:6" x14ac:dyDescent="0.25">
      <c r="A319" s="915" t="s">
        <v>3167</v>
      </c>
      <c r="B319" s="926" t="s">
        <v>1551</v>
      </c>
      <c r="C319" s="932" t="s">
        <v>1496</v>
      </c>
      <c r="D319" s="950" t="s">
        <v>727</v>
      </c>
      <c r="E319" s="953"/>
      <c r="F319" s="958">
        <v>85498</v>
      </c>
    </row>
    <row r="320" spans="1:6" x14ac:dyDescent="0.25">
      <c r="A320" s="915" t="s">
        <v>3167</v>
      </c>
      <c r="B320" s="926" t="s">
        <v>1552</v>
      </c>
      <c r="C320" s="932" t="s">
        <v>1502</v>
      </c>
      <c r="D320" s="950" t="s">
        <v>727</v>
      </c>
      <c r="E320" s="953"/>
      <c r="F320" s="958">
        <v>59848</v>
      </c>
    </row>
    <row r="321" spans="1:6" x14ac:dyDescent="0.25">
      <c r="A321" s="915" t="s">
        <v>3167</v>
      </c>
      <c r="B321" s="926" t="s">
        <v>1553</v>
      </c>
      <c r="C321" s="932" t="s">
        <v>1554</v>
      </c>
      <c r="D321" s="950" t="s">
        <v>727</v>
      </c>
      <c r="E321" s="953"/>
      <c r="F321" s="958">
        <v>170995</v>
      </c>
    </row>
    <row r="322" spans="1:6" x14ac:dyDescent="0.25">
      <c r="A322" s="915" t="s">
        <v>3167</v>
      </c>
      <c r="B322" s="926" t="s">
        <v>1555</v>
      </c>
      <c r="C322" s="932" t="s">
        <v>1556</v>
      </c>
      <c r="D322" s="950" t="s">
        <v>727</v>
      </c>
      <c r="E322" s="953"/>
      <c r="F322" s="958">
        <v>272038</v>
      </c>
    </row>
    <row r="323" spans="1:6" x14ac:dyDescent="0.25">
      <c r="A323" s="915" t="s">
        <v>3167</v>
      </c>
      <c r="B323" s="926" t="s">
        <v>1557</v>
      </c>
      <c r="C323" s="932" t="s">
        <v>1510</v>
      </c>
      <c r="D323" s="950" t="s">
        <v>727</v>
      </c>
      <c r="E323" s="953"/>
      <c r="F323" s="958">
        <v>62180</v>
      </c>
    </row>
    <row r="324" spans="1:6" x14ac:dyDescent="0.25">
      <c r="A324" s="915" t="s">
        <v>3167</v>
      </c>
      <c r="B324" s="926" t="s">
        <v>1558</v>
      </c>
      <c r="C324" s="932" t="s">
        <v>1559</v>
      </c>
      <c r="D324" s="950" t="s">
        <v>727</v>
      </c>
      <c r="E324" s="953"/>
      <c r="F324" s="958">
        <v>85498</v>
      </c>
    </row>
    <row r="325" spans="1:6" x14ac:dyDescent="0.25">
      <c r="A325" s="915" t="s">
        <v>3167</v>
      </c>
      <c r="B325" s="926" t="s">
        <v>1560</v>
      </c>
      <c r="C325" s="932" t="s">
        <v>1516</v>
      </c>
      <c r="D325" s="950" t="s">
        <v>727</v>
      </c>
      <c r="E325" s="953"/>
      <c r="F325" s="958">
        <v>147678</v>
      </c>
    </row>
    <row r="326" spans="1:6" x14ac:dyDescent="0.25">
      <c r="A326" s="915" t="s">
        <v>3167</v>
      </c>
      <c r="B326" s="926" t="s">
        <v>1561</v>
      </c>
      <c r="C326" s="932" t="s">
        <v>1518</v>
      </c>
      <c r="D326" s="950" t="s">
        <v>727</v>
      </c>
      <c r="E326" s="953"/>
      <c r="F326" s="958">
        <v>101043</v>
      </c>
    </row>
    <row r="327" spans="1:6" x14ac:dyDescent="0.25">
      <c r="A327" s="915" t="s">
        <v>3167</v>
      </c>
      <c r="B327" s="926" t="s">
        <v>1562</v>
      </c>
      <c r="C327" s="932" t="s">
        <v>1520</v>
      </c>
      <c r="D327" s="950" t="s">
        <v>727</v>
      </c>
      <c r="E327" s="953"/>
      <c r="F327" s="958">
        <v>21763</v>
      </c>
    </row>
    <row r="328" spans="1:6" x14ac:dyDescent="0.25">
      <c r="A328" s="915" t="s">
        <v>3167</v>
      </c>
      <c r="B328" s="926" t="s">
        <v>1563</v>
      </c>
      <c r="C328" s="932" t="s">
        <v>1522</v>
      </c>
      <c r="D328" s="950" t="s">
        <v>727</v>
      </c>
      <c r="E328" s="953"/>
      <c r="F328" s="958">
        <v>11659</v>
      </c>
    </row>
    <row r="329" spans="1:6" x14ac:dyDescent="0.25">
      <c r="A329" s="915" t="s">
        <v>3167</v>
      </c>
      <c r="B329" s="926" t="s">
        <v>1564</v>
      </c>
      <c r="C329" s="932" t="s">
        <v>1524</v>
      </c>
      <c r="D329" s="950" t="s">
        <v>727</v>
      </c>
      <c r="E329" s="953"/>
      <c r="F329" s="958">
        <v>13213</v>
      </c>
    </row>
    <row r="330" spans="1:6" x14ac:dyDescent="0.25">
      <c r="A330" s="915" t="s">
        <v>3167</v>
      </c>
      <c r="B330" s="926" t="s">
        <v>1565</v>
      </c>
      <c r="C330" s="932" t="s">
        <v>1526</v>
      </c>
      <c r="D330" s="950" t="s">
        <v>727</v>
      </c>
      <c r="E330" s="953"/>
      <c r="F330" s="958">
        <v>20986</v>
      </c>
    </row>
    <row r="331" spans="1:6" x14ac:dyDescent="0.25">
      <c r="A331" s="915" t="s">
        <v>3167</v>
      </c>
      <c r="B331" s="926" t="s">
        <v>1566</v>
      </c>
      <c r="C331" s="932" t="s">
        <v>1528</v>
      </c>
      <c r="D331" s="950" t="s">
        <v>727</v>
      </c>
      <c r="E331" s="953"/>
      <c r="F331" s="958">
        <v>22540</v>
      </c>
    </row>
    <row r="332" spans="1:6" x14ac:dyDescent="0.25">
      <c r="A332" s="915" t="s">
        <v>3167</v>
      </c>
      <c r="B332" s="926" t="s">
        <v>1567</v>
      </c>
      <c r="C332" s="932" t="s">
        <v>1544</v>
      </c>
      <c r="D332" s="950" t="s">
        <v>727</v>
      </c>
      <c r="E332" s="953"/>
      <c r="F332" s="958">
        <v>9327</v>
      </c>
    </row>
    <row r="333" spans="1:6" x14ac:dyDescent="0.25">
      <c r="A333" s="915" t="s">
        <v>3167</v>
      </c>
      <c r="B333" s="926" t="s">
        <v>1568</v>
      </c>
      <c r="C333" s="931" t="s">
        <v>1569</v>
      </c>
      <c r="D333" s="950"/>
      <c r="E333" s="953"/>
      <c r="F333" s="951"/>
    </row>
    <row r="334" spans="1:6" x14ac:dyDescent="0.25">
      <c r="A334" s="915" t="s">
        <v>3167</v>
      </c>
      <c r="B334" s="926" t="s">
        <v>1570</v>
      </c>
      <c r="C334" s="932" t="s">
        <v>1571</v>
      </c>
      <c r="D334" s="950" t="s">
        <v>727</v>
      </c>
      <c r="E334" s="953"/>
      <c r="F334" s="958">
        <v>23685</v>
      </c>
    </row>
    <row r="335" spans="1:6" x14ac:dyDescent="0.25">
      <c r="A335" s="915" t="s">
        <v>3167</v>
      </c>
      <c r="B335" s="926" t="s">
        <v>1572</v>
      </c>
      <c r="C335" s="932" t="s">
        <v>1573</v>
      </c>
      <c r="D335" s="950" t="s">
        <v>727</v>
      </c>
      <c r="E335" s="953"/>
      <c r="F335" s="958">
        <v>6740</v>
      </c>
    </row>
    <row r="336" spans="1:6" x14ac:dyDescent="0.25">
      <c r="A336" s="915" t="s">
        <v>3167</v>
      </c>
      <c r="B336" s="926" t="s">
        <v>1574</v>
      </c>
      <c r="C336" s="932" t="s">
        <v>1575</v>
      </c>
      <c r="D336" s="950" t="s">
        <v>727</v>
      </c>
      <c r="E336" s="953"/>
      <c r="F336" s="958">
        <v>23685</v>
      </c>
    </row>
    <row r="337" spans="1:6" x14ac:dyDescent="0.25">
      <c r="A337" s="915" t="s">
        <v>3167</v>
      </c>
      <c r="B337" s="926" t="s">
        <v>1576</v>
      </c>
      <c r="C337" s="932" t="s">
        <v>1577</v>
      </c>
      <c r="D337" s="950" t="s">
        <v>727</v>
      </c>
      <c r="E337" s="953"/>
      <c r="F337" s="958">
        <v>8665</v>
      </c>
    </row>
    <row r="338" spans="1:6" x14ac:dyDescent="0.25">
      <c r="A338" s="915" t="s">
        <v>3167</v>
      </c>
      <c r="B338" s="926" t="s">
        <v>1578</v>
      </c>
      <c r="C338" s="932" t="s">
        <v>1579</v>
      </c>
      <c r="D338" s="950" t="s">
        <v>727</v>
      </c>
      <c r="E338" s="953"/>
      <c r="F338" s="958">
        <v>35528</v>
      </c>
    </row>
    <row r="339" spans="1:6" x14ac:dyDescent="0.25">
      <c r="A339" s="915" t="s">
        <v>3167</v>
      </c>
      <c r="B339" s="926" t="s">
        <v>1580</v>
      </c>
      <c r="C339" s="932" t="s">
        <v>1581</v>
      </c>
      <c r="D339" s="950" t="s">
        <v>727</v>
      </c>
      <c r="E339" s="953"/>
      <c r="F339" s="958">
        <v>50528</v>
      </c>
    </row>
    <row r="340" spans="1:6" x14ac:dyDescent="0.25">
      <c r="A340" s="915" t="s">
        <v>3167</v>
      </c>
      <c r="B340" s="926" t="s">
        <v>1582</v>
      </c>
      <c r="C340" s="932" t="s">
        <v>1583</v>
      </c>
      <c r="D340" s="950" t="s">
        <v>727</v>
      </c>
      <c r="E340" s="953"/>
      <c r="F340" s="958">
        <v>51992</v>
      </c>
    </row>
    <row r="341" spans="1:6" x14ac:dyDescent="0.25">
      <c r="A341" s="915" t="s">
        <v>3167</v>
      </c>
      <c r="B341" s="926" t="s">
        <v>1584</v>
      </c>
      <c r="C341" s="932" t="s">
        <v>1585</v>
      </c>
      <c r="D341" s="950" t="s">
        <v>727</v>
      </c>
      <c r="E341" s="953"/>
      <c r="F341" s="958">
        <v>36587</v>
      </c>
    </row>
    <row r="342" spans="1:6" x14ac:dyDescent="0.25">
      <c r="A342" s="915" t="s">
        <v>3167</v>
      </c>
      <c r="B342" s="926" t="s">
        <v>1586</v>
      </c>
      <c r="C342" s="932" t="s">
        <v>1587</v>
      </c>
      <c r="D342" s="950" t="s">
        <v>727</v>
      </c>
      <c r="E342" s="953"/>
      <c r="F342" s="958">
        <v>18948</v>
      </c>
    </row>
    <row r="343" spans="1:6" x14ac:dyDescent="0.25">
      <c r="A343" s="915" t="s">
        <v>3167</v>
      </c>
      <c r="B343" s="926" t="s">
        <v>1588</v>
      </c>
      <c r="C343" s="932" t="s">
        <v>1589</v>
      </c>
      <c r="D343" s="950" t="s">
        <v>727</v>
      </c>
      <c r="E343" s="953"/>
      <c r="F343" s="958">
        <v>33698</v>
      </c>
    </row>
    <row r="344" spans="1:6" x14ac:dyDescent="0.25">
      <c r="A344" s="915" t="s">
        <v>3167</v>
      </c>
      <c r="B344" s="926" t="s">
        <v>1590</v>
      </c>
      <c r="C344" s="932" t="s">
        <v>1591</v>
      </c>
      <c r="D344" s="950" t="s">
        <v>727</v>
      </c>
      <c r="E344" s="953"/>
      <c r="F344" s="958">
        <v>13643</v>
      </c>
    </row>
    <row r="345" spans="1:6" x14ac:dyDescent="0.25">
      <c r="A345" s="915" t="s">
        <v>3167</v>
      </c>
      <c r="B345" s="926" t="s">
        <v>1592</v>
      </c>
      <c r="C345" s="932" t="s">
        <v>1593</v>
      </c>
      <c r="D345" s="950" t="s">
        <v>727</v>
      </c>
      <c r="E345" s="953"/>
      <c r="F345" s="958">
        <v>70740</v>
      </c>
    </row>
    <row r="346" spans="1:6" x14ac:dyDescent="0.25">
      <c r="A346" s="915" t="s">
        <v>3167</v>
      </c>
      <c r="B346" s="926" t="s">
        <v>1594</v>
      </c>
      <c r="C346" s="932" t="s">
        <v>1595</v>
      </c>
      <c r="D346" s="950" t="s">
        <v>727</v>
      </c>
      <c r="E346" s="953"/>
      <c r="F346" s="958">
        <v>5969</v>
      </c>
    </row>
    <row r="347" spans="1:6" x14ac:dyDescent="0.25">
      <c r="A347" s="915" t="s">
        <v>3167</v>
      </c>
      <c r="B347" s="926" t="s">
        <v>1596</v>
      </c>
      <c r="C347" s="931" t="s">
        <v>1597</v>
      </c>
      <c r="D347" s="950"/>
      <c r="E347" s="953"/>
      <c r="F347" s="951"/>
    </row>
    <row r="348" spans="1:6" ht="33" x14ac:dyDescent="0.25">
      <c r="A348" s="915" t="s">
        <v>3167</v>
      </c>
      <c r="B348" s="926" t="s">
        <v>1598</v>
      </c>
      <c r="C348" s="932" t="s">
        <v>1599</v>
      </c>
      <c r="D348" s="950" t="s">
        <v>727</v>
      </c>
      <c r="E348" s="953"/>
      <c r="F348" s="958">
        <v>2485366</v>
      </c>
    </row>
    <row r="349" spans="1:6" ht="33" x14ac:dyDescent="0.25">
      <c r="A349" s="915" t="s">
        <v>3167</v>
      </c>
      <c r="B349" s="926" t="s">
        <v>1600</v>
      </c>
      <c r="C349" s="932" t="s">
        <v>1601</v>
      </c>
      <c r="D349" s="950" t="s">
        <v>727</v>
      </c>
      <c r="E349" s="953"/>
      <c r="F349" s="958">
        <v>1515852</v>
      </c>
    </row>
    <row r="350" spans="1:6" x14ac:dyDescent="0.25">
      <c r="A350" s="915" t="s">
        <v>3167</v>
      </c>
      <c r="B350" s="926" t="s">
        <v>1602</v>
      </c>
      <c r="C350" s="932" t="s">
        <v>1603</v>
      </c>
      <c r="D350" s="950" t="s">
        <v>727</v>
      </c>
      <c r="E350" s="953"/>
      <c r="F350" s="958">
        <v>307055</v>
      </c>
    </row>
    <row r="351" spans="1:6" x14ac:dyDescent="0.25">
      <c r="A351" s="915" t="s">
        <v>3167</v>
      </c>
      <c r="B351" s="926" t="s">
        <v>1604</v>
      </c>
      <c r="C351" s="932" t="s">
        <v>1605</v>
      </c>
      <c r="D351" s="950" t="s">
        <v>727</v>
      </c>
      <c r="E351" s="953"/>
      <c r="F351" s="958">
        <v>333140</v>
      </c>
    </row>
    <row r="352" spans="1:6" x14ac:dyDescent="0.25">
      <c r="A352" s="915" t="s">
        <v>3167</v>
      </c>
      <c r="B352" s="926" t="s">
        <v>1606</v>
      </c>
      <c r="C352" s="932" t="s">
        <v>1607</v>
      </c>
      <c r="D352" s="950" t="s">
        <v>727</v>
      </c>
      <c r="E352" s="953"/>
      <c r="F352" s="958">
        <v>428323</v>
      </c>
    </row>
    <row r="353" spans="1:6" x14ac:dyDescent="0.25">
      <c r="A353" s="915" t="s">
        <v>3167</v>
      </c>
      <c r="B353" s="926" t="s">
        <v>1608</v>
      </c>
      <c r="C353" s="932" t="s">
        <v>1609</v>
      </c>
      <c r="D353" s="950" t="s">
        <v>727</v>
      </c>
      <c r="E353" s="953"/>
      <c r="F353" s="958">
        <v>523506</v>
      </c>
    </row>
    <row r="354" spans="1:6" x14ac:dyDescent="0.25">
      <c r="A354" s="915" t="s">
        <v>3167</v>
      </c>
      <c r="B354" s="926" t="s">
        <v>1610</v>
      </c>
      <c r="C354" s="932" t="s">
        <v>1611</v>
      </c>
      <c r="D354" s="950" t="s">
        <v>727</v>
      </c>
      <c r="E354" s="953"/>
      <c r="F354" s="958">
        <v>255338</v>
      </c>
    </row>
    <row r="355" spans="1:6" x14ac:dyDescent="0.25">
      <c r="A355" s="915" t="s">
        <v>3167</v>
      </c>
      <c r="B355" s="926"/>
      <c r="C355" s="947" t="s">
        <v>1612</v>
      </c>
      <c r="D355" s="951"/>
      <c r="E355" s="953"/>
      <c r="F355" s="951"/>
    </row>
    <row r="356" spans="1:6" x14ac:dyDescent="0.25">
      <c r="A356" s="915" t="s">
        <v>3167</v>
      </c>
      <c r="B356" s="926" t="s">
        <v>1613</v>
      </c>
      <c r="C356" s="926" t="s">
        <v>1614</v>
      </c>
      <c r="D356" s="950"/>
      <c r="E356" s="953"/>
      <c r="F356" s="951"/>
    </row>
    <row r="357" spans="1:6" x14ac:dyDescent="0.25">
      <c r="A357" s="915" t="s">
        <v>3167</v>
      </c>
      <c r="B357" s="926" t="s">
        <v>1615</v>
      </c>
      <c r="C357" s="931" t="s">
        <v>1616</v>
      </c>
      <c r="D357" s="950"/>
      <c r="E357" s="953"/>
      <c r="F357" s="951"/>
    </row>
    <row r="358" spans="1:6" x14ac:dyDescent="0.25">
      <c r="A358" s="915" t="s">
        <v>3167</v>
      </c>
      <c r="B358" s="926" t="s">
        <v>1617</v>
      </c>
      <c r="C358" s="932" t="s">
        <v>1618</v>
      </c>
      <c r="D358" s="950" t="s">
        <v>950</v>
      </c>
      <c r="E358" s="953"/>
      <c r="F358" s="958">
        <v>5295</v>
      </c>
    </row>
    <row r="359" spans="1:6" x14ac:dyDescent="0.25">
      <c r="A359" s="915" t="s">
        <v>3167</v>
      </c>
      <c r="B359" s="926" t="s">
        <v>1619</v>
      </c>
      <c r="C359" s="932" t="s">
        <v>1620</v>
      </c>
      <c r="D359" s="950" t="s">
        <v>950</v>
      </c>
      <c r="E359" s="953"/>
      <c r="F359" s="958">
        <v>6355</v>
      </c>
    </row>
    <row r="360" spans="1:6" x14ac:dyDescent="0.25">
      <c r="A360" s="915" t="s">
        <v>3167</v>
      </c>
      <c r="B360" s="926" t="s">
        <v>1621</v>
      </c>
      <c r="C360" s="932" t="s">
        <v>1622</v>
      </c>
      <c r="D360" s="950" t="s">
        <v>950</v>
      </c>
      <c r="E360" s="953"/>
      <c r="F360" s="958">
        <v>7625</v>
      </c>
    </row>
    <row r="361" spans="1:6" x14ac:dyDescent="0.25">
      <c r="A361" s="915" t="s">
        <v>3167</v>
      </c>
      <c r="B361" s="926" t="s">
        <v>1623</v>
      </c>
      <c r="C361" s="932" t="s">
        <v>1624</v>
      </c>
      <c r="D361" s="950" t="s">
        <v>950</v>
      </c>
      <c r="E361" s="953"/>
      <c r="F361" s="958">
        <v>9151</v>
      </c>
    </row>
    <row r="362" spans="1:6" x14ac:dyDescent="0.25">
      <c r="A362" s="915" t="s">
        <v>3167</v>
      </c>
      <c r="B362" s="926" t="s">
        <v>1625</v>
      </c>
      <c r="C362" s="931" t="s">
        <v>1626</v>
      </c>
      <c r="D362" s="950"/>
      <c r="E362" s="953"/>
      <c r="F362" s="951"/>
    </row>
    <row r="363" spans="1:6" x14ac:dyDescent="0.25">
      <c r="A363" s="915" t="s">
        <v>3167</v>
      </c>
      <c r="B363" s="926" t="s">
        <v>1627</v>
      </c>
      <c r="C363" s="932" t="s">
        <v>1628</v>
      </c>
      <c r="D363" s="950" t="s">
        <v>950</v>
      </c>
      <c r="E363" s="953"/>
      <c r="F363" s="958">
        <v>7991</v>
      </c>
    </row>
    <row r="364" spans="1:6" x14ac:dyDescent="0.25">
      <c r="A364" s="915" t="s">
        <v>3167</v>
      </c>
      <c r="B364" s="926" t="s">
        <v>1629</v>
      </c>
      <c r="C364" s="932" t="s">
        <v>1630</v>
      </c>
      <c r="D364" s="950" t="s">
        <v>950</v>
      </c>
      <c r="E364" s="953"/>
      <c r="F364" s="958">
        <v>9190</v>
      </c>
    </row>
    <row r="365" spans="1:6" x14ac:dyDescent="0.25">
      <c r="A365" s="915" t="s">
        <v>3167</v>
      </c>
      <c r="B365" s="926" t="s">
        <v>1631</v>
      </c>
      <c r="C365" s="932" t="s">
        <v>1632</v>
      </c>
      <c r="D365" s="950" t="s">
        <v>950</v>
      </c>
      <c r="E365" s="953"/>
      <c r="F365" s="958">
        <v>10569</v>
      </c>
    </row>
    <row r="366" spans="1:6" x14ac:dyDescent="0.25">
      <c r="A366" s="915" t="s">
        <v>3167</v>
      </c>
      <c r="B366" s="926" t="s">
        <v>1651</v>
      </c>
      <c r="C366" s="931" t="s">
        <v>1652</v>
      </c>
      <c r="D366" s="950"/>
      <c r="E366" s="953"/>
      <c r="F366" s="951"/>
    </row>
    <row r="367" spans="1:6" x14ac:dyDescent="0.25">
      <c r="A367" s="915" t="s">
        <v>3167</v>
      </c>
      <c r="B367" s="926" t="s">
        <v>1653</v>
      </c>
      <c r="C367" s="932" t="s">
        <v>1654</v>
      </c>
      <c r="D367" s="950" t="s">
        <v>950</v>
      </c>
      <c r="E367" s="953"/>
      <c r="F367" s="958">
        <v>8540</v>
      </c>
    </row>
    <row r="368" spans="1:6" x14ac:dyDescent="0.25">
      <c r="A368" s="915" t="s">
        <v>3167</v>
      </c>
      <c r="B368" s="926" t="s">
        <v>1655</v>
      </c>
      <c r="C368" s="932" t="s">
        <v>1656</v>
      </c>
      <c r="D368" s="950" t="s">
        <v>950</v>
      </c>
      <c r="E368" s="953"/>
      <c r="F368" s="958">
        <v>12887</v>
      </c>
    </row>
    <row r="369" spans="1:6" x14ac:dyDescent="0.25">
      <c r="A369" s="915" t="s">
        <v>3167</v>
      </c>
      <c r="B369" s="926" t="s">
        <v>1657</v>
      </c>
      <c r="C369" s="932" t="s">
        <v>1658</v>
      </c>
      <c r="D369" s="950" t="s">
        <v>950</v>
      </c>
      <c r="E369" s="953"/>
      <c r="F369" s="958">
        <v>21272</v>
      </c>
    </row>
    <row r="370" spans="1:6" x14ac:dyDescent="0.25">
      <c r="A370" s="915" t="s">
        <v>3167</v>
      </c>
      <c r="B370" s="926" t="s">
        <v>1659</v>
      </c>
      <c r="C370" s="932" t="s">
        <v>1660</v>
      </c>
      <c r="D370" s="950" t="s">
        <v>950</v>
      </c>
      <c r="E370" s="953"/>
      <c r="F370" s="958">
        <v>49686</v>
      </c>
    </row>
    <row r="371" spans="1:6" x14ac:dyDescent="0.25">
      <c r="A371" s="915" t="s">
        <v>3167</v>
      </c>
      <c r="B371" s="926" t="s">
        <v>1661</v>
      </c>
      <c r="C371" s="932" t="s">
        <v>1662</v>
      </c>
      <c r="D371" s="950" t="s">
        <v>950</v>
      </c>
      <c r="E371" s="953"/>
      <c r="F371" s="958">
        <v>78877</v>
      </c>
    </row>
    <row r="372" spans="1:6" x14ac:dyDescent="0.25">
      <c r="A372" s="915" t="s">
        <v>3167</v>
      </c>
      <c r="B372" s="926" t="s">
        <v>1663</v>
      </c>
      <c r="C372" s="931" t="s">
        <v>1664</v>
      </c>
      <c r="D372" s="950"/>
      <c r="E372" s="953"/>
      <c r="F372" s="951"/>
    </row>
    <row r="373" spans="1:6" x14ac:dyDescent="0.25">
      <c r="A373" s="915" t="s">
        <v>3167</v>
      </c>
      <c r="B373" s="926" t="s">
        <v>1665</v>
      </c>
      <c r="C373" s="932" t="s">
        <v>1666</v>
      </c>
      <c r="D373" s="950" t="s">
        <v>950</v>
      </c>
      <c r="E373" s="953"/>
      <c r="F373" s="958">
        <v>7369</v>
      </c>
    </row>
    <row r="374" spans="1:6" x14ac:dyDescent="0.25">
      <c r="A374" s="915" t="s">
        <v>3167</v>
      </c>
      <c r="B374" s="926" t="s">
        <v>1667</v>
      </c>
      <c r="C374" s="932" t="s">
        <v>1656</v>
      </c>
      <c r="D374" s="950" t="s">
        <v>950</v>
      </c>
      <c r="E374" s="953"/>
      <c r="F374" s="958">
        <v>12887</v>
      </c>
    </row>
    <row r="375" spans="1:6" x14ac:dyDescent="0.25">
      <c r="A375" s="915" t="s">
        <v>3167</v>
      </c>
      <c r="B375" s="926" t="s">
        <v>1668</v>
      </c>
      <c r="C375" s="932" t="s">
        <v>1658</v>
      </c>
      <c r="D375" s="950" t="s">
        <v>950</v>
      </c>
      <c r="E375" s="953"/>
      <c r="F375" s="958">
        <v>21272</v>
      </c>
    </row>
    <row r="376" spans="1:6" x14ac:dyDescent="0.25">
      <c r="A376" s="915" t="s">
        <v>3167</v>
      </c>
      <c r="B376" s="926" t="s">
        <v>1669</v>
      </c>
      <c r="C376" s="932" t="s">
        <v>1662</v>
      </c>
      <c r="D376" s="950" t="s">
        <v>950</v>
      </c>
      <c r="E376" s="953"/>
      <c r="F376" s="958">
        <v>78877</v>
      </c>
    </row>
    <row r="377" spans="1:6" x14ac:dyDescent="0.25">
      <c r="A377" s="915" t="s">
        <v>3167</v>
      </c>
      <c r="B377" s="926" t="s">
        <v>1670</v>
      </c>
      <c r="C377" s="926" t="s">
        <v>941</v>
      </c>
      <c r="D377" s="950"/>
      <c r="E377" s="953"/>
      <c r="F377" s="951"/>
    </row>
    <row r="378" spans="1:6" x14ac:dyDescent="0.25">
      <c r="A378" s="915" t="s">
        <v>3167</v>
      </c>
      <c r="B378" s="926" t="s">
        <v>1671</v>
      </c>
      <c r="C378" s="931" t="s">
        <v>1672</v>
      </c>
      <c r="D378" s="950"/>
      <c r="E378" s="953"/>
      <c r="F378" s="951"/>
    </row>
    <row r="379" spans="1:6" x14ac:dyDescent="0.25">
      <c r="A379" s="915" t="s">
        <v>3167</v>
      </c>
      <c r="B379" s="926" t="s">
        <v>1673</v>
      </c>
      <c r="C379" s="932" t="s">
        <v>1674</v>
      </c>
      <c r="D379" s="950"/>
      <c r="E379" s="953"/>
      <c r="F379" s="951"/>
    </row>
    <row r="380" spans="1:6" x14ac:dyDescent="0.25">
      <c r="A380" s="915" t="s">
        <v>3167</v>
      </c>
      <c r="B380" s="926" t="s">
        <v>1675</v>
      </c>
      <c r="C380" s="948" t="s">
        <v>1676</v>
      </c>
      <c r="D380" s="950" t="s">
        <v>727</v>
      </c>
      <c r="E380" s="953"/>
      <c r="F380" s="958">
        <v>22006</v>
      </c>
    </row>
    <row r="381" spans="1:6" x14ac:dyDescent="0.25">
      <c r="A381" s="915" t="s">
        <v>3167</v>
      </c>
      <c r="B381" s="926" t="s">
        <v>1677</v>
      </c>
      <c r="C381" s="948" t="s">
        <v>1678</v>
      </c>
      <c r="D381" s="950" t="s">
        <v>727</v>
      </c>
      <c r="E381" s="953"/>
      <c r="F381" s="958">
        <v>26841</v>
      </c>
    </row>
    <row r="382" spans="1:6" x14ac:dyDescent="0.25">
      <c r="A382" s="915" t="s">
        <v>3167</v>
      </c>
      <c r="B382" s="926" t="s">
        <v>1679</v>
      </c>
      <c r="C382" s="948" t="s">
        <v>1680</v>
      </c>
      <c r="D382" s="950" t="s">
        <v>727</v>
      </c>
      <c r="E382" s="953"/>
      <c r="F382" s="958">
        <v>33810</v>
      </c>
    </row>
    <row r="383" spans="1:6" ht="17.25" customHeight="1" x14ac:dyDescent="0.25">
      <c r="A383" s="915" t="s">
        <v>3167</v>
      </c>
      <c r="B383" s="926" t="s">
        <v>1691</v>
      </c>
      <c r="C383" s="932" t="s">
        <v>1692</v>
      </c>
      <c r="D383" s="950"/>
      <c r="E383" s="953"/>
      <c r="F383" s="951"/>
    </row>
    <row r="384" spans="1:6" ht="17.25" customHeight="1" x14ac:dyDescent="0.25">
      <c r="A384" s="915" t="s">
        <v>3167</v>
      </c>
      <c r="B384" s="926" t="s">
        <v>1693</v>
      </c>
      <c r="C384" s="948" t="s">
        <v>1676</v>
      </c>
      <c r="D384" s="950" t="s">
        <v>727</v>
      </c>
      <c r="E384" s="953"/>
      <c r="F384" s="958">
        <v>25507</v>
      </c>
    </row>
    <row r="385" spans="1:6" ht="17.25" customHeight="1" x14ac:dyDescent="0.25">
      <c r="A385" s="915" t="s">
        <v>3167</v>
      </c>
      <c r="B385" s="926" t="s">
        <v>1694</v>
      </c>
      <c r="C385" s="948" t="s">
        <v>1678</v>
      </c>
      <c r="D385" s="950" t="s">
        <v>727</v>
      </c>
      <c r="E385" s="953"/>
      <c r="F385" s="958">
        <v>30520</v>
      </c>
    </row>
    <row r="386" spans="1:6" ht="17.25" customHeight="1" x14ac:dyDescent="0.25">
      <c r="A386" s="915" t="s">
        <v>3167</v>
      </c>
      <c r="B386" s="926" t="s">
        <v>1695</v>
      </c>
      <c r="C386" s="948" t="s">
        <v>1680</v>
      </c>
      <c r="D386" s="950" t="s">
        <v>727</v>
      </c>
      <c r="E386" s="953"/>
      <c r="F386" s="958">
        <v>35995</v>
      </c>
    </row>
    <row r="387" spans="1:6" x14ac:dyDescent="0.25">
      <c r="A387" s="915" t="s">
        <v>3167</v>
      </c>
      <c r="B387" s="926" t="s">
        <v>1701</v>
      </c>
      <c r="C387" s="932" t="s">
        <v>1702</v>
      </c>
      <c r="D387" s="950"/>
      <c r="E387" s="953"/>
      <c r="F387" s="951"/>
    </row>
    <row r="388" spans="1:6" x14ac:dyDescent="0.25">
      <c r="A388" s="915" t="s">
        <v>3167</v>
      </c>
      <c r="B388" s="926" t="s">
        <v>1703</v>
      </c>
      <c r="C388" s="948" t="s">
        <v>1704</v>
      </c>
      <c r="D388" s="950" t="s">
        <v>727</v>
      </c>
      <c r="E388" s="953"/>
      <c r="F388" s="958">
        <v>1353</v>
      </c>
    </row>
    <row r="389" spans="1:6" x14ac:dyDescent="0.25">
      <c r="A389" s="915" t="s">
        <v>3167</v>
      </c>
      <c r="B389" s="926" t="s">
        <v>1705</v>
      </c>
      <c r="C389" s="948" t="s">
        <v>1706</v>
      </c>
      <c r="D389" s="950" t="s">
        <v>727</v>
      </c>
      <c r="E389" s="953"/>
      <c r="F389" s="958">
        <v>2028</v>
      </c>
    </row>
    <row r="390" spans="1:6" x14ac:dyDescent="0.25">
      <c r="A390" s="915" t="s">
        <v>3167</v>
      </c>
      <c r="B390" s="926" t="s">
        <v>1707</v>
      </c>
      <c r="C390" s="948" t="s">
        <v>1708</v>
      </c>
      <c r="D390" s="950" t="s">
        <v>727</v>
      </c>
      <c r="E390" s="953"/>
      <c r="F390" s="958">
        <v>4056</v>
      </c>
    </row>
    <row r="391" spans="1:6" x14ac:dyDescent="0.25">
      <c r="A391" s="915" t="s">
        <v>3167</v>
      </c>
      <c r="B391" s="926" t="s">
        <v>1709</v>
      </c>
      <c r="C391" s="948" t="s">
        <v>1710</v>
      </c>
      <c r="D391" s="950" t="s">
        <v>727</v>
      </c>
      <c r="E391" s="953"/>
      <c r="F391" s="958">
        <v>6178</v>
      </c>
    </row>
    <row r="392" spans="1:6" x14ac:dyDescent="0.25">
      <c r="A392" s="915" t="s">
        <v>3167</v>
      </c>
      <c r="B392" s="926" t="s">
        <v>1711</v>
      </c>
      <c r="C392" s="932" t="s">
        <v>1712</v>
      </c>
      <c r="D392" s="950"/>
      <c r="E392" s="953"/>
      <c r="F392" s="951"/>
    </row>
    <row r="393" spans="1:6" x14ac:dyDescent="0.25">
      <c r="A393" s="915" t="s">
        <v>3167</v>
      </c>
      <c r="B393" s="926" t="s">
        <v>1713</v>
      </c>
      <c r="C393" s="948" t="s">
        <v>1714</v>
      </c>
      <c r="D393" s="950" t="s">
        <v>727</v>
      </c>
      <c r="E393" s="953"/>
      <c r="F393" s="958">
        <v>355745</v>
      </c>
    </row>
    <row r="394" spans="1:6" x14ac:dyDescent="0.25">
      <c r="A394" s="915" t="s">
        <v>3167</v>
      </c>
      <c r="B394" s="926" t="s">
        <v>1715</v>
      </c>
      <c r="C394" s="948" t="s">
        <v>1716</v>
      </c>
      <c r="D394" s="950" t="s">
        <v>727</v>
      </c>
      <c r="E394" s="953"/>
      <c r="F394" s="958">
        <v>373814</v>
      </c>
    </row>
    <row r="395" spans="1:6" x14ac:dyDescent="0.25">
      <c r="A395" s="915" t="s">
        <v>3167</v>
      </c>
      <c r="B395" s="926" t="s">
        <v>1717</v>
      </c>
      <c r="C395" s="932" t="s">
        <v>1718</v>
      </c>
      <c r="D395" s="950" t="s">
        <v>727</v>
      </c>
      <c r="E395" s="953"/>
      <c r="F395" s="958">
        <v>21763</v>
      </c>
    </row>
    <row r="396" spans="1:6" x14ac:dyDescent="0.25">
      <c r="A396" s="915" t="s">
        <v>3167</v>
      </c>
      <c r="B396" s="926" t="s">
        <v>1719</v>
      </c>
      <c r="C396" s="931" t="s">
        <v>1720</v>
      </c>
      <c r="D396" s="950"/>
      <c r="E396" s="953"/>
      <c r="F396" s="951"/>
    </row>
    <row r="397" spans="1:6" x14ac:dyDescent="0.25">
      <c r="A397" s="915" t="s">
        <v>3167</v>
      </c>
      <c r="B397" s="926" t="s">
        <v>1721</v>
      </c>
      <c r="C397" s="932" t="s">
        <v>1722</v>
      </c>
      <c r="D397" s="950"/>
      <c r="E397" s="953"/>
      <c r="F397" s="951"/>
    </row>
    <row r="398" spans="1:6" x14ac:dyDescent="0.25">
      <c r="A398" s="915" t="s">
        <v>3167</v>
      </c>
      <c r="B398" s="926" t="s">
        <v>1723</v>
      </c>
      <c r="C398" s="948" t="s">
        <v>1724</v>
      </c>
      <c r="D398" s="950" t="s">
        <v>727</v>
      </c>
      <c r="E398" s="953"/>
      <c r="F398" s="958">
        <v>485967</v>
      </c>
    </row>
    <row r="399" spans="1:6" x14ac:dyDescent="0.25">
      <c r="A399" s="915" t="s">
        <v>3167</v>
      </c>
      <c r="B399" s="926" t="s">
        <v>1725</v>
      </c>
      <c r="C399" s="948" t="s">
        <v>1726</v>
      </c>
      <c r="D399" s="950" t="s">
        <v>727</v>
      </c>
      <c r="E399" s="953"/>
      <c r="F399" s="958">
        <v>629252</v>
      </c>
    </row>
    <row r="400" spans="1:6" x14ac:dyDescent="0.25">
      <c r="A400" s="915" t="s">
        <v>3167</v>
      </c>
      <c r="B400" s="926" t="s">
        <v>1727</v>
      </c>
      <c r="C400" s="948" t="s">
        <v>1728</v>
      </c>
      <c r="D400" s="950" t="s">
        <v>727</v>
      </c>
      <c r="E400" s="953"/>
      <c r="F400" s="958">
        <v>780213</v>
      </c>
    </row>
    <row r="401" spans="1:6" x14ac:dyDescent="0.25">
      <c r="A401" s="915" t="s">
        <v>3167</v>
      </c>
      <c r="B401" s="926" t="s">
        <v>1743</v>
      </c>
      <c r="C401" s="931" t="s">
        <v>1744</v>
      </c>
      <c r="D401" s="950"/>
      <c r="E401" s="953"/>
      <c r="F401" s="951"/>
    </row>
    <row r="402" spans="1:6" x14ac:dyDescent="0.25">
      <c r="A402" s="915" t="s">
        <v>3167</v>
      </c>
      <c r="B402" s="926" t="s">
        <v>1745</v>
      </c>
      <c r="C402" s="932" t="s">
        <v>1744</v>
      </c>
      <c r="D402" s="950"/>
      <c r="E402" s="953"/>
      <c r="F402" s="951"/>
    </row>
    <row r="403" spans="1:6" x14ac:dyDescent="0.25">
      <c r="A403" s="915" t="s">
        <v>3167</v>
      </c>
      <c r="B403" s="926" t="s">
        <v>1746</v>
      </c>
      <c r="C403" s="948" t="s">
        <v>1747</v>
      </c>
      <c r="D403" s="950" t="s">
        <v>727</v>
      </c>
      <c r="E403" s="953"/>
      <c r="F403" s="958">
        <v>293193</v>
      </c>
    </row>
    <row r="404" spans="1:6" x14ac:dyDescent="0.25">
      <c r="A404" s="915" t="s">
        <v>3167</v>
      </c>
      <c r="B404" s="926" t="s">
        <v>1748</v>
      </c>
      <c r="C404" s="948" t="s">
        <v>1749</v>
      </c>
      <c r="D404" s="950" t="s">
        <v>727</v>
      </c>
      <c r="E404" s="953"/>
      <c r="F404" s="958">
        <v>345691</v>
      </c>
    </row>
    <row r="405" spans="1:6" x14ac:dyDescent="0.25">
      <c r="A405" s="915" t="s">
        <v>3167</v>
      </c>
      <c r="B405" s="926" t="s">
        <v>1768</v>
      </c>
      <c r="C405" s="932" t="s">
        <v>1769</v>
      </c>
      <c r="D405" s="950"/>
      <c r="E405" s="953"/>
      <c r="F405" s="951"/>
    </row>
    <row r="406" spans="1:6" x14ac:dyDescent="0.25">
      <c r="A406" s="915" t="s">
        <v>3167</v>
      </c>
      <c r="B406" s="926"/>
      <c r="C406" s="947" t="s">
        <v>1860</v>
      </c>
      <c r="D406" s="951"/>
      <c r="E406" s="953"/>
      <c r="F406" s="951"/>
    </row>
    <row r="407" spans="1:6" x14ac:dyDescent="0.25">
      <c r="A407" s="915" t="s">
        <v>3167</v>
      </c>
      <c r="B407" s="926" t="s">
        <v>1861</v>
      </c>
      <c r="C407" s="926" t="s">
        <v>1862</v>
      </c>
      <c r="D407" s="950"/>
      <c r="E407" s="953"/>
      <c r="F407" s="951"/>
    </row>
    <row r="408" spans="1:6" x14ac:dyDescent="0.25">
      <c r="A408" s="915" t="s">
        <v>3167</v>
      </c>
      <c r="B408" s="926" t="s">
        <v>1863</v>
      </c>
      <c r="C408" s="931" t="s">
        <v>1864</v>
      </c>
      <c r="D408" s="950"/>
      <c r="E408" s="953"/>
      <c r="F408" s="951"/>
    </row>
    <row r="409" spans="1:6" x14ac:dyDescent="0.25">
      <c r="A409" s="915" t="s">
        <v>3167</v>
      </c>
      <c r="B409" s="926" t="s">
        <v>1865</v>
      </c>
      <c r="C409" s="932" t="s">
        <v>1866</v>
      </c>
      <c r="D409" s="950" t="s">
        <v>727</v>
      </c>
      <c r="E409" s="953"/>
      <c r="F409" s="958">
        <v>14270</v>
      </c>
    </row>
    <row r="410" spans="1:6" x14ac:dyDescent="0.25">
      <c r="A410" s="915" t="s">
        <v>3167</v>
      </c>
      <c r="B410" s="926" t="s">
        <v>1867</v>
      </c>
      <c r="C410" s="932" t="s">
        <v>1868</v>
      </c>
      <c r="D410" s="950" t="s">
        <v>727</v>
      </c>
      <c r="E410" s="953"/>
      <c r="F410" s="958">
        <v>44490</v>
      </c>
    </row>
    <row r="411" spans="1:6" x14ac:dyDescent="0.25">
      <c r="A411" s="915" t="s">
        <v>3167</v>
      </c>
      <c r="B411" s="926" t="s">
        <v>1887</v>
      </c>
      <c r="C411" s="931" t="s">
        <v>1888</v>
      </c>
      <c r="D411" s="950"/>
      <c r="E411" s="953"/>
      <c r="F411" s="951"/>
    </row>
    <row r="412" spans="1:6" ht="18" x14ac:dyDescent="0.25">
      <c r="A412" s="915" t="s">
        <v>3167</v>
      </c>
      <c r="B412" s="926" t="s">
        <v>1889</v>
      </c>
      <c r="C412" s="932" t="s">
        <v>1890</v>
      </c>
      <c r="D412" s="950" t="s">
        <v>950</v>
      </c>
      <c r="E412" s="953"/>
      <c r="F412" s="958">
        <v>2518</v>
      </c>
    </row>
    <row r="413" spans="1:6" ht="18" x14ac:dyDescent="0.25">
      <c r="A413" s="915" t="s">
        <v>3167</v>
      </c>
      <c r="B413" s="926" t="s">
        <v>1891</v>
      </c>
      <c r="C413" s="932" t="s">
        <v>1892</v>
      </c>
      <c r="D413" s="950" t="s">
        <v>950</v>
      </c>
      <c r="E413" s="953"/>
      <c r="F413" s="958">
        <v>2854</v>
      </c>
    </row>
    <row r="414" spans="1:6" ht="18" x14ac:dyDescent="0.25">
      <c r="A414" s="915" t="s">
        <v>3167</v>
      </c>
      <c r="B414" s="926" t="s">
        <v>1893</v>
      </c>
      <c r="C414" s="932" t="s">
        <v>1894</v>
      </c>
      <c r="D414" s="950" t="s">
        <v>950</v>
      </c>
      <c r="E414" s="953"/>
      <c r="F414" s="958">
        <v>3190</v>
      </c>
    </row>
    <row r="415" spans="1:6" ht="16.5" customHeight="1" x14ac:dyDescent="0.25">
      <c r="A415" s="915" t="s">
        <v>3167</v>
      </c>
      <c r="B415" s="926" t="s">
        <v>1921</v>
      </c>
      <c r="C415" s="932" t="s">
        <v>1922</v>
      </c>
      <c r="D415" s="950" t="s">
        <v>950</v>
      </c>
      <c r="E415" s="953"/>
      <c r="F415" s="958">
        <v>1251</v>
      </c>
    </row>
    <row r="416" spans="1:6" ht="16.5" customHeight="1" x14ac:dyDescent="0.25">
      <c r="A416" s="915" t="s">
        <v>3167</v>
      </c>
      <c r="B416" s="926" t="s">
        <v>1923</v>
      </c>
      <c r="C416" s="932" t="s">
        <v>1924</v>
      </c>
      <c r="D416" s="950" t="s">
        <v>950</v>
      </c>
      <c r="E416" s="953"/>
      <c r="F416" s="958">
        <v>1310</v>
      </c>
    </row>
    <row r="417" spans="1:6" ht="16.5" customHeight="1" x14ac:dyDescent="0.25">
      <c r="A417" s="915" t="s">
        <v>3167</v>
      </c>
      <c r="B417" s="926" t="s">
        <v>1925</v>
      </c>
      <c r="C417" s="932" t="s">
        <v>1926</v>
      </c>
      <c r="D417" s="950" t="s">
        <v>950</v>
      </c>
      <c r="E417" s="953"/>
      <c r="F417" s="958">
        <v>1811</v>
      </c>
    </row>
    <row r="418" spans="1:6" ht="16.5" customHeight="1" x14ac:dyDescent="0.25">
      <c r="A418" s="915" t="s">
        <v>3167</v>
      </c>
      <c r="B418" s="926" t="s">
        <v>1938</v>
      </c>
      <c r="C418" s="932" t="s">
        <v>1939</v>
      </c>
      <c r="D418" s="950" t="s">
        <v>950</v>
      </c>
      <c r="E418" s="953"/>
      <c r="F418" s="958">
        <v>2401</v>
      </c>
    </row>
    <row r="419" spans="1:6" ht="16.5" customHeight="1" x14ac:dyDescent="0.25">
      <c r="A419" s="915" t="s">
        <v>3167</v>
      </c>
      <c r="B419" s="926" t="s">
        <v>1940</v>
      </c>
      <c r="C419" s="932" t="s">
        <v>1941</v>
      </c>
      <c r="D419" s="950" t="s">
        <v>950</v>
      </c>
      <c r="E419" s="953"/>
      <c r="F419" s="958">
        <v>3056</v>
      </c>
    </row>
    <row r="420" spans="1:6" ht="16.5" customHeight="1" x14ac:dyDescent="0.25">
      <c r="A420" s="915" t="s">
        <v>3167</v>
      </c>
      <c r="B420" s="926" t="s">
        <v>1942</v>
      </c>
      <c r="C420" s="932" t="s">
        <v>1943</v>
      </c>
      <c r="D420" s="950" t="s">
        <v>950</v>
      </c>
      <c r="E420" s="953"/>
      <c r="F420" s="958">
        <v>4632</v>
      </c>
    </row>
    <row r="421" spans="1:6" ht="16.5" customHeight="1" x14ac:dyDescent="0.25">
      <c r="A421" s="915" t="s">
        <v>3167</v>
      </c>
      <c r="B421" s="926" t="s">
        <v>1945</v>
      </c>
      <c r="C421" s="932" t="s">
        <v>1946</v>
      </c>
      <c r="D421" s="950" t="s">
        <v>950</v>
      </c>
      <c r="E421" s="953"/>
      <c r="F421" s="958">
        <v>3190</v>
      </c>
    </row>
    <row r="422" spans="1:6" ht="16.5" customHeight="1" x14ac:dyDescent="0.25">
      <c r="A422" s="915" t="s">
        <v>3167</v>
      </c>
      <c r="B422" s="926" t="s">
        <v>1947</v>
      </c>
      <c r="C422" s="932" t="s">
        <v>1948</v>
      </c>
      <c r="D422" s="950" t="s">
        <v>950</v>
      </c>
      <c r="E422" s="953"/>
      <c r="F422" s="958">
        <v>3693</v>
      </c>
    </row>
    <row r="423" spans="1:6" ht="16.5" customHeight="1" x14ac:dyDescent="0.25">
      <c r="A423" s="915" t="s">
        <v>3167</v>
      </c>
      <c r="B423" s="926" t="s">
        <v>1949</v>
      </c>
      <c r="C423" s="932" t="s">
        <v>1950</v>
      </c>
      <c r="D423" s="950" t="s">
        <v>950</v>
      </c>
      <c r="E423" s="953"/>
      <c r="F423" s="958">
        <v>4533</v>
      </c>
    </row>
    <row r="424" spans="1:6" ht="16.5" customHeight="1" x14ac:dyDescent="0.25">
      <c r="A424" s="915" t="s">
        <v>3167</v>
      </c>
      <c r="B424" s="926" t="s">
        <v>1953</v>
      </c>
      <c r="C424" s="932" t="s">
        <v>1954</v>
      </c>
      <c r="D424" s="950" t="s">
        <v>727</v>
      </c>
      <c r="E424" s="953"/>
      <c r="F424" s="958">
        <v>26719</v>
      </c>
    </row>
    <row r="425" spans="1:6" ht="16.5" customHeight="1" x14ac:dyDescent="0.25">
      <c r="A425" s="915" t="s">
        <v>3167</v>
      </c>
      <c r="B425" s="926" t="s">
        <v>1955</v>
      </c>
      <c r="C425" s="932" t="s">
        <v>1956</v>
      </c>
      <c r="D425" s="950" t="s">
        <v>1957</v>
      </c>
      <c r="E425" s="953"/>
      <c r="F425" s="958">
        <v>148940</v>
      </c>
    </row>
    <row r="426" spans="1:6" ht="16.5" customHeight="1" x14ac:dyDescent="0.25">
      <c r="A426" s="915" t="s">
        <v>3167</v>
      </c>
      <c r="B426" s="926" t="s">
        <v>1958</v>
      </c>
      <c r="C426" s="932" t="s">
        <v>1959</v>
      </c>
      <c r="D426" s="950" t="s">
        <v>950</v>
      </c>
      <c r="E426" s="953"/>
      <c r="F426" s="951">
        <v>410</v>
      </c>
    </row>
    <row r="427" spans="1:6" ht="16.5" customHeight="1" x14ac:dyDescent="0.25">
      <c r="A427" s="915" t="s">
        <v>3167</v>
      </c>
      <c r="B427" s="926" t="s">
        <v>1960</v>
      </c>
      <c r="C427" s="932" t="s">
        <v>1961</v>
      </c>
      <c r="D427" s="950" t="s">
        <v>950</v>
      </c>
      <c r="E427" s="953"/>
      <c r="F427" s="951">
        <v>423</v>
      </c>
    </row>
    <row r="428" spans="1:6" ht="16.5" customHeight="1" x14ac:dyDescent="0.25">
      <c r="A428" s="915" t="s">
        <v>3167</v>
      </c>
      <c r="B428" s="926" t="s">
        <v>1962</v>
      </c>
      <c r="C428" s="932" t="s">
        <v>1963</v>
      </c>
      <c r="D428" s="950" t="s">
        <v>950</v>
      </c>
      <c r="E428" s="953"/>
      <c r="F428" s="951">
        <v>567</v>
      </c>
    </row>
    <row r="429" spans="1:6" ht="16.5" customHeight="1" x14ac:dyDescent="0.25">
      <c r="A429" s="915" t="s">
        <v>3167</v>
      </c>
      <c r="B429" s="926" t="s">
        <v>1964</v>
      </c>
      <c r="C429" s="932" t="s">
        <v>1965</v>
      </c>
      <c r="D429" s="950" t="s">
        <v>950</v>
      </c>
      <c r="E429" s="953"/>
      <c r="F429" s="951">
        <v>635</v>
      </c>
    </row>
    <row r="430" spans="1:6" x14ac:dyDescent="0.25">
      <c r="A430" s="915" t="s">
        <v>3167</v>
      </c>
      <c r="B430" s="926" t="s">
        <v>1974</v>
      </c>
      <c r="C430" s="931" t="s">
        <v>1975</v>
      </c>
      <c r="D430" s="950"/>
      <c r="E430" s="953"/>
      <c r="F430" s="951"/>
    </row>
    <row r="431" spans="1:6" ht="34.5" x14ac:dyDescent="0.25">
      <c r="A431" s="915" t="s">
        <v>3167</v>
      </c>
      <c r="B431" s="926" t="s">
        <v>1976</v>
      </c>
      <c r="C431" s="932" t="s">
        <v>1977</v>
      </c>
      <c r="D431" s="950" t="s">
        <v>950</v>
      </c>
      <c r="E431" s="953"/>
      <c r="F431" s="958">
        <v>5372</v>
      </c>
    </row>
    <row r="432" spans="1:6" x14ac:dyDescent="0.25">
      <c r="A432" s="915" t="s">
        <v>3167</v>
      </c>
      <c r="B432" s="926" t="s">
        <v>1978</v>
      </c>
      <c r="C432" s="932" t="s">
        <v>1979</v>
      </c>
      <c r="D432" s="950" t="s">
        <v>727</v>
      </c>
      <c r="E432" s="953"/>
      <c r="F432" s="958">
        <v>53891</v>
      </c>
    </row>
    <row r="433" spans="1:6" x14ac:dyDescent="0.25">
      <c r="A433" s="915" t="s">
        <v>3167</v>
      </c>
      <c r="B433" s="926" t="s">
        <v>1980</v>
      </c>
      <c r="C433" s="932" t="s">
        <v>1981</v>
      </c>
      <c r="D433" s="950" t="s">
        <v>1957</v>
      </c>
      <c r="E433" s="953"/>
      <c r="F433" s="958">
        <v>125915</v>
      </c>
    </row>
    <row r="434" spans="1:6" x14ac:dyDescent="0.25">
      <c r="A434" s="915" t="s">
        <v>3167</v>
      </c>
      <c r="B434" s="926" t="s">
        <v>1982</v>
      </c>
      <c r="C434" s="931" t="s">
        <v>1983</v>
      </c>
      <c r="D434" s="950"/>
      <c r="E434" s="953"/>
      <c r="F434" s="951"/>
    </row>
    <row r="435" spans="1:6" x14ac:dyDescent="0.25">
      <c r="A435" s="915" t="s">
        <v>3167</v>
      </c>
      <c r="B435" s="926" t="s">
        <v>1984</v>
      </c>
      <c r="C435" s="932" t="s">
        <v>1985</v>
      </c>
      <c r="D435" s="950" t="s">
        <v>727</v>
      </c>
      <c r="E435" s="953"/>
      <c r="F435" s="958">
        <v>474024</v>
      </c>
    </row>
    <row r="436" spans="1:6" x14ac:dyDescent="0.25">
      <c r="A436" s="915" t="s">
        <v>3167</v>
      </c>
      <c r="B436" s="926" t="s">
        <v>1986</v>
      </c>
      <c r="C436" s="932" t="s">
        <v>1987</v>
      </c>
      <c r="D436" s="950" t="s">
        <v>727</v>
      </c>
      <c r="E436" s="953"/>
      <c r="F436" s="958">
        <v>155132</v>
      </c>
    </row>
    <row r="437" spans="1:6" x14ac:dyDescent="0.25">
      <c r="A437" s="915" t="s">
        <v>3167</v>
      </c>
      <c r="B437" s="926" t="s">
        <v>1988</v>
      </c>
      <c r="C437" s="932" t="s">
        <v>1989</v>
      </c>
      <c r="D437" s="950" t="s">
        <v>727</v>
      </c>
      <c r="E437" s="953"/>
      <c r="F437" s="958">
        <v>291584</v>
      </c>
    </row>
    <row r="438" spans="1:6" x14ac:dyDescent="0.25">
      <c r="A438" s="915" t="s">
        <v>3167</v>
      </c>
      <c r="B438" s="926" t="s">
        <v>1990</v>
      </c>
      <c r="C438" s="932" t="s">
        <v>1991</v>
      </c>
      <c r="D438" s="950" t="s">
        <v>727</v>
      </c>
      <c r="E438" s="953"/>
      <c r="F438" s="958">
        <v>297091</v>
      </c>
    </row>
    <row r="439" spans="1:6" x14ac:dyDescent="0.25">
      <c r="A439" s="915" t="s">
        <v>3167</v>
      </c>
      <c r="B439" s="926" t="s">
        <v>1992</v>
      </c>
      <c r="C439" s="932" t="s">
        <v>1993</v>
      </c>
      <c r="D439" s="950" t="s">
        <v>727</v>
      </c>
      <c r="E439" s="953"/>
      <c r="F439" s="958">
        <v>305860</v>
      </c>
    </row>
    <row r="440" spans="1:6" x14ac:dyDescent="0.25">
      <c r="A440" s="915" t="s">
        <v>3167</v>
      </c>
      <c r="B440" s="926" t="s">
        <v>1994</v>
      </c>
      <c r="C440" s="932" t="s">
        <v>1995</v>
      </c>
      <c r="D440" s="950" t="s">
        <v>727</v>
      </c>
      <c r="E440" s="953"/>
      <c r="F440" s="958">
        <v>163353</v>
      </c>
    </row>
    <row r="441" spans="1:6" x14ac:dyDescent="0.25">
      <c r="A441" s="915" t="s">
        <v>3167</v>
      </c>
      <c r="B441" s="926" t="s">
        <v>1996</v>
      </c>
      <c r="C441" s="932" t="s">
        <v>1997</v>
      </c>
      <c r="D441" s="950" t="s">
        <v>727</v>
      </c>
      <c r="E441" s="953"/>
      <c r="F441" s="958">
        <v>164901</v>
      </c>
    </row>
    <row r="442" spans="1:6" x14ac:dyDescent="0.25">
      <c r="A442" s="915" t="s">
        <v>3167</v>
      </c>
      <c r="B442" s="926" t="s">
        <v>1998</v>
      </c>
      <c r="C442" s="932" t="s">
        <v>1999</v>
      </c>
      <c r="D442" s="950" t="s">
        <v>727</v>
      </c>
      <c r="E442" s="953"/>
      <c r="F442" s="958">
        <v>484112</v>
      </c>
    </row>
    <row r="443" spans="1:6" x14ac:dyDescent="0.25">
      <c r="A443" s="915" t="s">
        <v>3167</v>
      </c>
      <c r="B443" s="926" t="s">
        <v>2000</v>
      </c>
      <c r="C443" s="932" t="s">
        <v>2001</v>
      </c>
      <c r="D443" s="950" t="s">
        <v>727</v>
      </c>
      <c r="E443" s="953"/>
      <c r="F443" s="958">
        <v>225108</v>
      </c>
    </row>
    <row r="444" spans="1:6" ht="33" x14ac:dyDescent="0.25">
      <c r="A444" s="915" t="s">
        <v>3167</v>
      </c>
      <c r="B444" s="926" t="s">
        <v>2002</v>
      </c>
      <c r="C444" s="932" t="s">
        <v>2003</v>
      </c>
      <c r="D444" s="950" t="s">
        <v>727</v>
      </c>
      <c r="E444" s="953"/>
      <c r="F444" s="958">
        <v>341823</v>
      </c>
    </row>
    <row r="445" spans="1:6" ht="33" x14ac:dyDescent="0.25">
      <c r="A445" s="915" t="s">
        <v>3167</v>
      </c>
      <c r="B445" s="926" t="s">
        <v>2004</v>
      </c>
      <c r="C445" s="932" t="s">
        <v>2005</v>
      </c>
      <c r="D445" s="950" t="s">
        <v>727</v>
      </c>
      <c r="E445" s="953"/>
      <c r="F445" s="958">
        <v>75549</v>
      </c>
    </row>
    <row r="446" spans="1:6" ht="33" x14ac:dyDescent="0.25">
      <c r="A446" s="915" t="s">
        <v>3167</v>
      </c>
      <c r="B446" s="926" t="s">
        <v>2006</v>
      </c>
      <c r="C446" s="932" t="s">
        <v>2007</v>
      </c>
      <c r="D446" s="950" t="s">
        <v>727</v>
      </c>
      <c r="E446" s="953"/>
      <c r="F446" s="958">
        <v>486554</v>
      </c>
    </row>
    <row r="447" spans="1:6" ht="33" x14ac:dyDescent="0.25">
      <c r="A447" s="915" t="s">
        <v>3167</v>
      </c>
      <c r="B447" s="926" t="s">
        <v>2008</v>
      </c>
      <c r="C447" s="932" t="s">
        <v>2009</v>
      </c>
      <c r="D447" s="950" t="s">
        <v>727</v>
      </c>
      <c r="E447" s="953"/>
      <c r="F447" s="958">
        <v>481566</v>
      </c>
    </row>
    <row r="448" spans="1:6" ht="33" x14ac:dyDescent="0.25">
      <c r="A448" s="915" t="s">
        <v>3167</v>
      </c>
      <c r="B448" s="926" t="s">
        <v>2010</v>
      </c>
      <c r="C448" s="932" t="s">
        <v>2011</v>
      </c>
      <c r="D448" s="950" t="s">
        <v>727</v>
      </c>
      <c r="E448" s="953"/>
      <c r="F448" s="958">
        <v>657458</v>
      </c>
    </row>
    <row r="449" spans="1:6" ht="33" x14ac:dyDescent="0.25">
      <c r="A449" s="915" t="s">
        <v>3167</v>
      </c>
      <c r="B449" s="926" t="s">
        <v>2012</v>
      </c>
      <c r="C449" s="932" t="s">
        <v>2013</v>
      </c>
      <c r="D449" s="950" t="s">
        <v>727</v>
      </c>
      <c r="E449" s="953"/>
      <c r="F449" s="958">
        <v>50440</v>
      </c>
    </row>
    <row r="450" spans="1:6" ht="33" x14ac:dyDescent="0.25">
      <c r="A450" s="915" t="s">
        <v>3167</v>
      </c>
      <c r="B450" s="926" t="s">
        <v>2014</v>
      </c>
      <c r="C450" s="932" t="s">
        <v>2015</v>
      </c>
      <c r="D450" s="950" t="s">
        <v>727</v>
      </c>
      <c r="E450" s="953"/>
      <c r="F450" s="958">
        <v>77601</v>
      </c>
    </row>
    <row r="451" spans="1:6" ht="33" x14ac:dyDescent="0.25">
      <c r="A451" s="915" t="s">
        <v>3167</v>
      </c>
      <c r="B451" s="926" t="s">
        <v>2016</v>
      </c>
      <c r="C451" s="932" t="s">
        <v>2017</v>
      </c>
      <c r="D451" s="950" t="s">
        <v>727</v>
      </c>
      <c r="E451" s="953"/>
      <c r="F451" s="958">
        <v>114628</v>
      </c>
    </row>
    <row r="452" spans="1:6" ht="33" x14ac:dyDescent="0.25">
      <c r="A452" s="915" t="s">
        <v>3167</v>
      </c>
      <c r="B452" s="926" t="s">
        <v>2018</v>
      </c>
      <c r="C452" s="932" t="s">
        <v>2019</v>
      </c>
      <c r="D452" s="950" t="s">
        <v>727</v>
      </c>
      <c r="E452" s="953"/>
      <c r="F452" s="958">
        <v>155201</v>
      </c>
    </row>
    <row r="453" spans="1:6" ht="33" x14ac:dyDescent="0.25">
      <c r="A453" s="915" t="s">
        <v>3167</v>
      </c>
      <c r="B453" s="926" t="s">
        <v>2020</v>
      </c>
      <c r="C453" s="932" t="s">
        <v>2021</v>
      </c>
      <c r="D453" s="950" t="s">
        <v>727</v>
      </c>
      <c r="E453" s="953"/>
      <c r="F453" s="958">
        <v>155201</v>
      </c>
    </row>
    <row r="454" spans="1:6" ht="33" x14ac:dyDescent="0.25">
      <c r="A454" s="915" t="s">
        <v>3167</v>
      </c>
      <c r="B454" s="926" t="s">
        <v>2022</v>
      </c>
      <c r="C454" s="932" t="s">
        <v>2023</v>
      </c>
      <c r="D454" s="950" t="s">
        <v>727</v>
      </c>
      <c r="E454" s="953"/>
      <c r="F454" s="958">
        <v>504404</v>
      </c>
    </row>
    <row r="455" spans="1:6" ht="33" x14ac:dyDescent="0.25">
      <c r="A455" s="915" t="s">
        <v>3167</v>
      </c>
      <c r="B455" s="926" t="s">
        <v>2024</v>
      </c>
      <c r="C455" s="932" t="s">
        <v>2025</v>
      </c>
      <c r="D455" s="950"/>
      <c r="E455" s="953"/>
      <c r="F455" s="958">
        <v>194002</v>
      </c>
    </row>
    <row r="456" spans="1:6" ht="33" x14ac:dyDescent="0.25">
      <c r="A456" s="915" t="s">
        <v>3167</v>
      </c>
      <c r="B456" s="926" t="s">
        <v>2026</v>
      </c>
      <c r="C456" s="932" t="s">
        <v>2027</v>
      </c>
      <c r="D456" s="950" t="s">
        <v>727</v>
      </c>
      <c r="E456" s="953"/>
      <c r="F456" s="958">
        <v>247158</v>
      </c>
    </row>
    <row r="457" spans="1:6" ht="33" x14ac:dyDescent="0.25">
      <c r="A457" s="915" t="s">
        <v>3167</v>
      </c>
      <c r="B457" s="926" t="s">
        <v>2028</v>
      </c>
      <c r="C457" s="932" t="s">
        <v>2029</v>
      </c>
      <c r="D457" s="950" t="s">
        <v>727</v>
      </c>
      <c r="E457" s="953"/>
      <c r="F457" s="958">
        <v>18654</v>
      </c>
    </row>
    <row r="458" spans="1:6" ht="33" x14ac:dyDescent="0.25">
      <c r="A458" s="915" t="s">
        <v>3167</v>
      </c>
      <c r="B458" s="926" t="s">
        <v>2030</v>
      </c>
      <c r="C458" s="932" t="s">
        <v>2031</v>
      </c>
      <c r="D458" s="950" t="s">
        <v>727</v>
      </c>
      <c r="E458" s="953"/>
      <c r="F458" s="958">
        <v>23465</v>
      </c>
    </row>
    <row r="459" spans="1:6" ht="33" x14ac:dyDescent="0.25">
      <c r="A459" s="915" t="s">
        <v>3167</v>
      </c>
      <c r="B459" s="926" t="s">
        <v>2032</v>
      </c>
      <c r="C459" s="932" t="s">
        <v>2033</v>
      </c>
      <c r="D459" s="950" t="s">
        <v>727</v>
      </c>
      <c r="E459" s="953"/>
      <c r="F459" s="958">
        <v>213402</v>
      </c>
    </row>
    <row r="460" spans="1:6" ht="33" x14ac:dyDescent="0.25">
      <c r="A460" s="915" t="s">
        <v>3167</v>
      </c>
      <c r="B460" s="926" t="s">
        <v>2034</v>
      </c>
      <c r="C460" s="932" t="s">
        <v>2035</v>
      </c>
      <c r="D460" s="950" t="s">
        <v>727</v>
      </c>
      <c r="E460" s="953"/>
      <c r="F460" s="958">
        <v>119087</v>
      </c>
    </row>
    <row r="461" spans="1:6" ht="33" x14ac:dyDescent="0.25">
      <c r="A461" s="915" t="s">
        <v>3167</v>
      </c>
      <c r="B461" s="926" t="s">
        <v>2036</v>
      </c>
      <c r="C461" s="932" t="s">
        <v>2037</v>
      </c>
      <c r="D461" s="950" t="s">
        <v>727</v>
      </c>
      <c r="E461" s="953"/>
      <c r="F461" s="958">
        <v>122436</v>
      </c>
    </row>
    <row r="462" spans="1:6" ht="33" x14ac:dyDescent="0.25">
      <c r="A462" s="915" t="s">
        <v>3167</v>
      </c>
      <c r="B462" s="926" t="s">
        <v>2038</v>
      </c>
      <c r="C462" s="932" t="s">
        <v>2039</v>
      </c>
      <c r="D462" s="950" t="s">
        <v>727</v>
      </c>
      <c r="E462" s="953"/>
      <c r="F462" s="958">
        <v>158484</v>
      </c>
    </row>
    <row r="463" spans="1:6" ht="33" x14ac:dyDescent="0.25">
      <c r="A463" s="915" t="s">
        <v>3167</v>
      </c>
      <c r="B463" s="926" t="s">
        <v>2040</v>
      </c>
      <c r="C463" s="932" t="s">
        <v>2041</v>
      </c>
      <c r="D463" s="950" t="s">
        <v>727</v>
      </c>
      <c r="E463" s="953"/>
      <c r="F463" s="958">
        <v>214297</v>
      </c>
    </row>
    <row r="464" spans="1:6" ht="33" x14ac:dyDescent="0.25">
      <c r="A464" s="915" t="s">
        <v>3167</v>
      </c>
      <c r="B464" s="926" t="s">
        <v>2042</v>
      </c>
      <c r="C464" s="932" t="s">
        <v>2043</v>
      </c>
      <c r="D464" s="950" t="s">
        <v>727</v>
      </c>
      <c r="E464" s="953"/>
      <c r="F464" s="958">
        <v>143561</v>
      </c>
    </row>
    <row r="465" spans="1:6" ht="33" x14ac:dyDescent="0.25">
      <c r="A465" s="915" t="s">
        <v>3167</v>
      </c>
      <c r="B465" s="926" t="s">
        <v>2044</v>
      </c>
      <c r="C465" s="932" t="s">
        <v>2045</v>
      </c>
      <c r="D465" s="950" t="s">
        <v>727</v>
      </c>
      <c r="E465" s="953"/>
      <c r="F465" s="958">
        <v>147441</v>
      </c>
    </row>
    <row r="466" spans="1:6" ht="33" x14ac:dyDescent="0.25">
      <c r="A466" s="915" t="s">
        <v>3167</v>
      </c>
      <c r="B466" s="926" t="s">
        <v>2046</v>
      </c>
      <c r="C466" s="932" t="s">
        <v>2047</v>
      </c>
      <c r="D466" s="950" t="s">
        <v>727</v>
      </c>
      <c r="E466" s="953"/>
      <c r="F466" s="958">
        <v>223117</v>
      </c>
    </row>
    <row r="467" spans="1:6" ht="33" x14ac:dyDescent="0.25">
      <c r="A467" s="915" t="s">
        <v>3167</v>
      </c>
      <c r="B467" s="926" t="s">
        <v>2048</v>
      </c>
      <c r="C467" s="932" t="s">
        <v>2049</v>
      </c>
      <c r="D467" s="950" t="s">
        <v>727</v>
      </c>
      <c r="E467" s="953"/>
      <c r="F467" s="958">
        <v>72789</v>
      </c>
    </row>
    <row r="468" spans="1:6" ht="33" x14ac:dyDescent="0.25">
      <c r="A468" s="915" t="s">
        <v>3167</v>
      </c>
      <c r="B468" s="926" t="s">
        <v>2050</v>
      </c>
      <c r="C468" s="932" t="s">
        <v>2051</v>
      </c>
      <c r="D468" s="950" t="s">
        <v>727</v>
      </c>
      <c r="E468" s="953"/>
      <c r="F468" s="958">
        <v>28045</v>
      </c>
    </row>
    <row r="469" spans="1:6" ht="33" x14ac:dyDescent="0.25">
      <c r="A469" s="915" t="s">
        <v>3167</v>
      </c>
      <c r="B469" s="926" t="s">
        <v>2052</v>
      </c>
      <c r="C469" s="932" t="s">
        <v>2053</v>
      </c>
      <c r="D469" s="950" t="s">
        <v>727</v>
      </c>
      <c r="E469" s="953"/>
      <c r="F469" s="958">
        <v>72024</v>
      </c>
    </row>
    <row r="470" spans="1:6" ht="33" x14ac:dyDescent="0.25">
      <c r="A470" s="915" t="s">
        <v>3167</v>
      </c>
      <c r="B470" s="926" t="s">
        <v>2054</v>
      </c>
      <c r="C470" s="932" t="s">
        <v>2055</v>
      </c>
      <c r="D470" s="950" t="s">
        <v>727</v>
      </c>
      <c r="E470" s="953"/>
      <c r="F470" s="958">
        <v>125560</v>
      </c>
    </row>
    <row r="471" spans="1:6" ht="33" x14ac:dyDescent="0.25">
      <c r="A471" s="915" t="s">
        <v>3167</v>
      </c>
      <c r="B471" s="926" t="s">
        <v>2056</v>
      </c>
      <c r="C471" s="932" t="s">
        <v>2057</v>
      </c>
      <c r="D471" s="950" t="s">
        <v>727</v>
      </c>
      <c r="E471" s="953"/>
      <c r="F471" s="958">
        <v>135177</v>
      </c>
    </row>
    <row r="472" spans="1:6" ht="33" x14ac:dyDescent="0.25">
      <c r="A472" s="915" t="s">
        <v>3167</v>
      </c>
      <c r="B472" s="926" t="s">
        <v>2058</v>
      </c>
      <c r="C472" s="932" t="s">
        <v>2059</v>
      </c>
      <c r="D472" s="950" t="s">
        <v>727</v>
      </c>
      <c r="E472" s="953"/>
      <c r="F472" s="958">
        <v>150555</v>
      </c>
    </row>
    <row r="473" spans="1:6" ht="33" x14ac:dyDescent="0.25">
      <c r="A473" s="915" t="s">
        <v>3167</v>
      </c>
      <c r="B473" s="926" t="s">
        <v>2060</v>
      </c>
      <c r="C473" s="932" t="s">
        <v>2061</v>
      </c>
      <c r="D473" s="950" t="s">
        <v>727</v>
      </c>
      <c r="E473" s="953"/>
      <c r="F473" s="958">
        <v>50366</v>
      </c>
    </row>
    <row r="474" spans="1:6" ht="33" x14ac:dyDescent="0.25">
      <c r="A474" s="915" t="s">
        <v>3167</v>
      </c>
      <c r="B474" s="926" t="s">
        <v>2062</v>
      </c>
      <c r="C474" s="932" t="s">
        <v>2063</v>
      </c>
      <c r="D474" s="950" t="s">
        <v>727</v>
      </c>
      <c r="E474" s="953"/>
      <c r="F474" s="958">
        <v>83943</v>
      </c>
    </row>
    <row r="475" spans="1:6" x14ac:dyDescent="0.25">
      <c r="A475" s="915" t="s">
        <v>3167</v>
      </c>
      <c r="B475" s="926" t="s">
        <v>2064</v>
      </c>
      <c r="C475" s="926" t="s">
        <v>2065</v>
      </c>
      <c r="D475" s="950"/>
      <c r="E475" s="953"/>
      <c r="F475" s="951"/>
    </row>
    <row r="476" spans="1:6" x14ac:dyDescent="0.25">
      <c r="A476" s="915" t="s">
        <v>3167</v>
      </c>
      <c r="B476" s="926" t="s">
        <v>2066</v>
      </c>
      <c r="C476" s="931" t="s">
        <v>2067</v>
      </c>
      <c r="D476" s="950"/>
      <c r="E476" s="953"/>
      <c r="F476" s="951"/>
    </row>
    <row r="477" spans="1:6" ht="18" x14ac:dyDescent="0.25">
      <c r="A477" s="915" t="s">
        <v>3167</v>
      </c>
      <c r="B477" s="926" t="s">
        <v>2068</v>
      </c>
      <c r="C477" s="932" t="s">
        <v>2069</v>
      </c>
      <c r="D477" s="950" t="s">
        <v>950</v>
      </c>
      <c r="E477" s="953"/>
      <c r="F477" s="958">
        <v>1276</v>
      </c>
    </row>
    <row r="478" spans="1:6" ht="18" x14ac:dyDescent="0.25">
      <c r="A478" s="915" t="s">
        <v>3167</v>
      </c>
      <c r="B478" s="926" t="s">
        <v>2070</v>
      </c>
      <c r="C478" s="932" t="s">
        <v>2071</v>
      </c>
      <c r="D478" s="950" t="s">
        <v>950</v>
      </c>
      <c r="E478" s="953"/>
      <c r="F478" s="958">
        <v>1612</v>
      </c>
    </row>
    <row r="479" spans="1:6" ht="18" x14ac:dyDescent="0.25">
      <c r="A479" s="915" t="s">
        <v>3167</v>
      </c>
      <c r="B479" s="926" t="s">
        <v>2072</v>
      </c>
      <c r="C479" s="932" t="s">
        <v>2073</v>
      </c>
      <c r="D479" s="950" t="s">
        <v>950</v>
      </c>
      <c r="E479" s="953"/>
      <c r="F479" s="958">
        <v>2216</v>
      </c>
    </row>
    <row r="480" spans="1:6" ht="18" x14ac:dyDescent="0.25">
      <c r="A480" s="915" t="s">
        <v>3167</v>
      </c>
      <c r="B480" s="926" t="s">
        <v>2074</v>
      </c>
      <c r="C480" s="932" t="s">
        <v>2075</v>
      </c>
      <c r="D480" s="950" t="s">
        <v>950</v>
      </c>
      <c r="E480" s="953"/>
      <c r="F480" s="958">
        <v>3156</v>
      </c>
    </row>
    <row r="481" spans="1:6" ht="18" x14ac:dyDescent="0.25">
      <c r="A481" s="915" t="s">
        <v>3167</v>
      </c>
      <c r="B481" s="926" t="s">
        <v>2076</v>
      </c>
      <c r="C481" s="932" t="s">
        <v>2077</v>
      </c>
      <c r="D481" s="950" t="s">
        <v>950</v>
      </c>
      <c r="E481" s="953"/>
      <c r="F481" s="958">
        <v>1427</v>
      </c>
    </row>
    <row r="482" spans="1:6" ht="18" x14ac:dyDescent="0.25">
      <c r="A482" s="915" t="s">
        <v>3167</v>
      </c>
      <c r="B482" s="926" t="s">
        <v>2078</v>
      </c>
      <c r="C482" s="932" t="s">
        <v>2079</v>
      </c>
      <c r="D482" s="950" t="s">
        <v>950</v>
      </c>
      <c r="E482" s="953"/>
      <c r="F482" s="958">
        <v>1931</v>
      </c>
    </row>
    <row r="483" spans="1:6" ht="18" x14ac:dyDescent="0.25">
      <c r="A483" s="915" t="s">
        <v>3167</v>
      </c>
      <c r="B483" s="926" t="s">
        <v>2080</v>
      </c>
      <c r="C483" s="932" t="s">
        <v>2081</v>
      </c>
      <c r="D483" s="950" t="s">
        <v>950</v>
      </c>
      <c r="E483" s="953"/>
      <c r="F483" s="958">
        <v>2787</v>
      </c>
    </row>
    <row r="484" spans="1:6" ht="18" x14ac:dyDescent="0.25">
      <c r="A484" s="915" t="s">
        <v>3167</v>
      </c>
      <c r="B484" s="926" t="s">
        <v>2082</v>
      </c>
      <c r="C484" s="932" t="s">
        <v>2083</v>
      </c>
      <c r="D484" s="950" t="s">
        <v>950</v>
      </c>
      <c r="E484" s="953"/>
      <c r="F484" s="958">
        <v>4281</v>
      </c>
    </row>
    <row r="485" spans="1:6" ht="18" x14ac:dyDescent="0.25">
      <c r="A485" s="915" t="s">
        <v>3167</v>
      </c>
      <c r="B485" s="926" t="s">
        <v>2084</v>
      </c>
      <c r="C485" s="932" t="s">
        <v>2085</v>
      </c>
      <c r="D485" s="950" t="s">
        <v>950</v>
      </c>
      <c r="E485" s="953"/>
      <c r="F485" s="958">
        <v>1746</v>
      </c>
    </row>
    <row r="486" spans="1:6" ht="33" x14ac:dyDescent="0.25">
      <c r="A486" s="915" t="s">
        <v>3167</v>
      </c>
      <c r="B486" s="926" t="s">
        <v>2086</v>
      </c>
      <c r="C486" s="932" t="s">
        <v>2087</v>
      </c>
      <c r="D486" s="950" t="s">
        <v>950</v>
      </c>
      <c r="E486" s="953"/>
      <c r="F486" s="958">
        <v>2401</v>
      </c>
    </row>
    <row r="487" spans="1:6" ht="33" x14ac:dyDescent="0.25">
      <c r="A487" s="915" t="s">
        <v>3167</v>
      </c>
      <c r="B487" s="926" t="s">
        <v>2088</v>
      </c>
      <c r="C487" s="932" t="s">
        <v>2089</v>
      </c>
      <c r="D487" s="950" t="s">
        <v>950</v>
      </c>
      <c r="E487" s="953"/>
      <c r="F487" s="958">
        <v>3492</v>
      </c>
    </row>
    <row r="488" spans="1:6" ht="33" x14ac:dyDescent="0.25">
      <c r="A488" s="915" t="s">
        <v>3167</v>
      </c>
      <c r="B488" s="926" t="s">
        <v>2090</v>
      </c>
      <c r="C488" s="932" t="s">
        <v>2091</v>
      </c>
      <c r="D488" s="950" t="s">
        <v>950</v>
      </c>
      <c r="E488" s="953"/>
      <c r="F488" s="958">
        <v>5389</v>
      </c>
    </row>
    <row r="489" spans="1:6" ht="33" x14ac:dyDescent="0.25">
      <c r="A489" s="915" t="s">
        <v>3167</v>
      </c>
      <c r="B489" s="926" t="s">
        <v>2092</v>
      </c>
      <c r="C489" s="932" t="s">
        <v>2093</v>
      </c>
      <c r="D489" s="950" t="s">
        <v>950</v>
      </c>
      <c r="E489" s="953"/>
      <c r="F489" s="958">
        <v>7891</v>
      </c>
    </row>
    <row r="490" spans="1:6" ht="33" x14ac:dyDescent="0.25">
      <c r="A490" s="915" t="s">
        <v>3167</v>
      </c>
      <c r="B490" s="926" t="s">
        <v>2094</v>
      </c>
      <c r="C490" s="932" t="s">
        <v>2095</v>
      </c>
      <c r="D490" s="950" t="s">
        <v>950</v>
      </c>
      <c r="E490" s="953"/>
      <c r="F490" s="958">
        <v>2183</v>
      </c>
    </row>
    <row r="491" spans="1:6" ht="33" x14ac:dyDescent="0.25">
      <c r="A491" s="915" t="s">
        <v>3167</v>
      </c>
      <c r="B491" s="926" t="s">
        <v>2096</v>
      </c>
      <c r="C491" s="932" t="s">
        <v>2097</v>
      </c>
      <c r="D491" s="950" t="s">
        <v>950</v>
      </c>
      <c r="E491" s="953"/>
      <c r="F491" s="958">
        <v>3039</v>
      </c>
    </row>
    <row r="492" spans="1:6" ht="33" x14ac:dyDescent="0.25">
      <c r="A492" s="915" t="s">
        <v>3167</v>
      </c>
      <c r="B492" s="926" t="s">
        <v>2098</v>
      </c>
      <c r="C492" s="932" t="s">
        <v>2099</v>
      </c>
      <c r="D492" s="950" t="s">
        <v>950</v>
      </c>
      <c r="E492" s="953"/>
      <c r="F492" s="958">
        <v>4449</v>
      </c>
    </row>
    <row r="493" spans="1:6" ht="33" x14ac:dyDescent="0.25">
      <c r="A493" s="915" t="s">
        <v>3167</v>
      </c>
      <c r="B493" s="926" t="s">
        <v>2100</v>
      </c>
      <c r="C493" s="932" t="s">
        <v>2101</v>
      </c>
      <c r="D493" s="950" t="s">
        <v>950</v>
      </c>
      <c r="E493" s="953"/>
      <c r="F493" s="958">
        <v>6749</v>
      </c>
    </row>
    <row r="494" spans="1:6" x14ac:dyDescent="0.25">
      <c r="A494" s="915" t="s">
        <v>3167</v>
      </c>
      <c r="B494" s="926" t="s">
        <v>2102</v>
      </c>
      <c r="C494" s="931" t="s">
        <v>2103</v>
      </c>
      <c r="D494" s="950"/>
      <c r="E494" s="953"/>
      <c r="F494" s="951"/>
    </row>
    <row r="495" spans="1:6" x14ac:dyDescent="0.25">
      <c r="A495" s="915" t="s">
        <v>3167</v>
      </c>
      <c r="B495" s="926" t="s">
        <v>2104</v>
      </c>
      <c r="C495" s="932" t="s">
        <v>2105</v>
      </c>
      <c r="D495" s="950" t="s">
        <v>727</v>
      </c>
      <c r="E495" s="953"/>
      <c r="F495" s="958">
        <v>29640</v>
      </c>
    </row>
    <row r="496" spans="1:6" x14ac:dyDescent="0.25">
      <c r="A496" s="915" t="s">
        <v>3167</v>
      </c>
      <c r="B496" s="926" t="s">
        <v>2106</v>
      </c>
      <c r="C496" s="932" t="s">
        <v>2107</v>
      </c>
      <c r="D496" s="950" t="s">
        <v>727</v>
      </c>
      <c r="E496" s="953"/>
      <c r="F496" s="958">
        <v>9396</v>
      </c>
    </row>
    <row r="497" spans="1:6" x14ac:dyDescent="0.25">
      <c r="A497" s="915" t="s">
        <v>3167</v>
      </c>
      <c r="B497" s="926" t="s">
        <v>2108</v>
      </c>
      <c r="C497" s="931" t="s">
        <v>2109</v>
      </c>
      <c r="D497" s="950"/>
      <c r="E497" s="953"/>
      <c r="F497" s="951"/>
    </row>
    <row r="498" spans="1:6" x14ac:dyDescent="0.25">
      <c r="A498" s="915" t="s">
        <v>3167</v>
      </c>
      <c r="B498" s="926" t="s">
        <v>2110</v>
      </c>
      <c r="C498" s="932" t="s">
        <v>2105</v>
      </c>
      <c r="D498" s="950" t="s">
        <v>727</v>
      </c>
      <c r="E498" s="953"/>
      <c r="F498" s="958">
        <v>42126</v>
      </c>
    </row>
    <row r="499" spans="1:6" x14ac:dyDescent="0.25">
      <c r="A499" s="915" t="s">
        <v>3167</v>
      </c>
      <c r="B499" s="926" t="s">
        <v>2111</v>
      </c>
      <c r="C499" s="932" t="s">
        <v>2107</v>
      </c>
      <c r="D499" s="950" t="s">
        <v>727</v>
      </c>
      <c r="E499" s="953"/>
      <c r="F499" s="958">
        <v>9396</v>
      </c>
    </row>
    <row r="500" spans="1:6" x14ac:dyDescent="0.25">
      <c r="A500" s="915" t="s">
        <v>3167</v>
      </c>
      <c r="B500" s="926" t="s">
        <v>2112</v>
      </c>
      <c r="C500" s="931" t="s">
        <v>2113</v>
      </c>
      <c r="D500" s="950"/>
      <c r="E500" s="953"/>
      <c r="F500" s="951"/>
    </row>
    <row r="501" spans="1:6" x14ac:dyDescent="0.25">
      <c r="A501" s="915" t="s">
        <v>3167</v>
      </c>
      <c r="B501" s="926" t="s">
        <v>2114</v>
      </c>
      <c r="C501" s="932" t="s">
        <v>2105</v>
      </c>
      <c r="D501" s="950" t="s">
        <v>727</v>
      </c>
      <c r="E501" s="953"/>
      <c r="F501" s="958">
        <v>39608</v>
      </c>
    </row>
    <row r="502" spans="1:6" x14ac:dyDescent="0.25">
      <c r="A502" s="915" t="s">
        <v>3167</v>
      </c>
      <c r="B502" s="926" t="s">
        <v>2115</v>
      </c>
      <c r="C502" s="932" t="s">
        <v>2107</v>
      </c>
      <c r="D502" s="950" t="s">
        <v>727</v>
      </c>
      <c r="E502" s="953"/>
      <c r="F502" s="958">
        <v>9396</v>
      </c>
    </row>
    <row r="503" spans="1:6" x14ac:dyDescent="0.25">
      <c r="A503" s="915" t="s">
        <v>3167</v>
      </c>
      <c r="B503" s="926" t="s">
        <v>2116</v>
      </c>
      <c r="C503" s="931" t="s">
        <v>2117</v>
      </c>
      <c r="D503" s="950"/>
      <c r="E503" s="953"/>
      <c r="F503" s="951"/>
    </row>
    <row r="504" spans="1:6" x14ac:dyDescent="0.25">
      <c r="A504" s="915" t="s">
        <v>3167</v>
      </c>
      <c r="B504" s="926" t="s">
        <v>2118</v>
      </c>
      <c r="C504" s="932" t="s">
        <v>2119</v>
      </c>
      <c r="D504" s="950" t="s">
        <v>727</v>
      </c>
      <c r="E504" s="953"/>
      <c r="F504" s="958">
        <v>44303</v>
      </c>
    </row>
    <row r="505" spans="1:6" x14ac:dyDescent="0.25">
      <c r="A505" s="915" t="s">
        <v>3167</v>
      </c>
      <c r="B505" s="926" t="s">
        <v>2120</v>
      </c>
      <c r="C505" s="932" t="s">
        <v>2121</v>
      </c>
      <c r="D505" s="950" t="s">
        <v>727</v>
      </c>
      <c r="E505" s="953"/>
      <c r="F505" s="958">
        <v>51243</v>
      </c>
    </row>
    <row r="506" spans="1:6" x14ac:dyDescent="0.25">
      <c r="A506" s="915" t="s">
        <v>3167</v>
      </c>
      <c r="B506" s="926" t="s">
        <v>2122</v>
      </c>
      <c r="C506" s="932" t="s">
        <v>2123</v>
      </c>
      <c r="D506" s="950" t="s">
        <v>727</v>
      </c>
      <c r="E506" s="953"/>
      <c r="F506" s="958">
        <v>48967</v>
      </c>
    </row>
    <row r="507" spans="1:6" x14ac:dyDescent="0.25">
      <c r="A507" s="915" t="s">
        <v>3167</v>
      </c>
      <c r="B507" s="926" t="s">
        <v>2124</v>
      </c>
      <c r="C507" s="932" t="s">
        <v>2125</v>
      </c>
      <c r="D507" s="950" t="s">
        <v>727</v>
      </c>
      <c r="E507" s="953"/>
      <c r="F507" s="958">
        <v>45396</v>
      </c>
    </row>
    <row r="508" spans="1:6" x14ac:dyDescent="0.25">
      <c r="A508" s="915" t="s">
        <v>3167</v>
      </c>
      <c r="B508" s="926" t="s">
        <v>2126</v>
      </c>
      <c r="C508" s="931" t="s">
        <v>1597</v>
      </c>
      <c r="D508" s="950"/>
      <c r="E508" s="953"/>
      <c r="F508" s="951"/>
    </row>
    <row r="509" spans="1:6" x14ac:dyDescent="0.25">
      <c r="A509" s="915" t="s">
        <v>3167</v>
      </c>
      <c r="B509" s="926" t="s">
        <v>2127</v>
      </c>
      <c r="C509" s="932" t="s">
        <v>2128</v>
      </c>
      <c r="D509" s="950" t="s">
        <v>727</v>
      </c>
      <c r="E509" s="953"/>
      <c r="F509" s="958">
        <v>14270</v>
      </c>
    </row>
    <row r="510" spans="1:6" x14ac:dyDescent="0.25">
      <c r="A510" s="915" t="s">
        <v>3167</v>
      </c>
      <c r="B510" s="926" t="s">
        <v>2129</v>
      </c>
      <c r="C510" s="932" t="s">
        <v>2130</v>
      </c>
      <c r="D510" s="950" t="s">
        <v>727</v>
      </c>
      <c r="E510" s="953"/>
      <c r="F510" s="958">
        <v>16852</v>
      </c>
    </row>
    <row r="511" spans="1:6" x14ac:dyDescent="0.25">
      <c r="A511" s="915" t="s">
        <v>3167</v>
      </c>
      <c r="B511" s="926" t="s">
        <v>2131</v>
      </c>
      <c r="C511" s="932" t="s">
        <v>2132</v>
      </c>
      <c r="D511" s="950" t="s">
        <v>727</v>
      </c>
      <c r="E511" s="953"/>
      <c r="F511" s="958">
        <v>8662</v>
      </c>
    </row>
    <row r="512" spans="1:6" x14ac:dyDescent="0.25">
      <c r="A512" s="915" t="s">
        <v>3167</v>
      </c>
      <c r="B512" s="926" t="s">
        <v>2133</v>
      </c>
      <c r="C512" s="932" t="s">
        <v>2134</v>
      </c>
      <c r="D512" s="950" t="s">
        <v>727</v>
      </c>
      <c r="E512" s="953"/>
      <c r="F512" s="958">
        <v>15949</v>
      </c>
    </row>
    <row r="513" spans="1:6" x14ac:dyDescent="0.25">
      <c r="A513" s="915" t="s">
        <v>3167</v>
      </c>
      <c r="B513" s="926" t="s">
        <v>2135</v>
      </c>
      <c r="C513" s="932" t="s">
        <v>2136</v>
      </c>
      <c r="D513" s="950" t="s">
        <v>727</v>
      </c>
      <c r="E513" s="953"/>
      <c r="F513" s="958">
        <v>16852</v>
      </c>
    </row>
    <row r="514" spans="1:6" x14ac:dyDescent="0.25">
      <c r="A514" s="915" t="s">
        <v>3167</v>
      </c>
      <c r="B514" s="926" t="s">
        <v>2137</v>
      </c>
      <c r="C514" s="932" t="s">
        <v>2138</v>
      </c>
      <c r="D514" s="950" t="s">
        <v>950</v>
      </c>
      <c r="E514" s="953"/>
      <c r="F514" s="958">
        <v>2292</v>
      </c>
    </row>
    <row r="515" spans="1:6" x14ac:dyDescent="0.25">
      <c r="A515" s="915" t="s">
        <v>3167</v>
      </c>
      <c r="B515" s="926" t="s">
        <v>2139</v>
      </c>
      <c r="C515" s="932" t="s">
        <v>2140</v>
      </c>
      <c r="D515" s="950" t="s">
        <v>950</v>
      </c>
      <c r="E515" s="953"/>
      <c r="F515" s="958">
        <v>19970</v>
      </c>
    </row>
    <row r="516" spans="1:6" x14ac:dyDescent="0.25">
      <c r="A516" s="915" t="s">
        <v>3167</v>
      </c>
      <c r="B516" s="926" t="s">
        <v>2141</v>
      </c>
      <c r="C516" s="932" t="s">
        <v>2142</v>
      </c>
      <c r="D516" s="950" t="s">
        <v>950</v>
      </c>
      <c r="E516" s="953"/>
      <c r="F516" s="958">
        <v>15949</v>
      </c>
    </row>
    <row r="517" spans="1:6" x14ac:dyDescent="0.25">
      <c r="A517" s="915" t="s">
        <v>3167</v>
      </c>
      <c r="B517" s="926" t="s">
        <v>2143</v>
      </c>
      <c r="C517" s="932" t="s">
        <v>2144</v>
      </c>
      <c r="D517" s="950" t="s">
        <v>950</v>
      </c>
      <c r="E517" s="953"/>
      <c r="F517" s="958">
        <v>19307</v>
      </c>
    </row>
    <row r="518" spans="1:6" ht="33" x14ac:dyDescent="0.25">
      <c r="A518" s="915" t="s">
        <v>3167</v>
      </c>
      <c r="B518" s="926" t="s">
        <v>2145</v>
      </c>
      <c r="C518" s="932" t="s">
        <v>2146</v>
      </c>
      <c r="D518" s="950" t="s">
        <v>950</v>
      </c>
      <c r="E518" s="953"/>
      <c r="F518" s="958">
        <v>20566</v>
      </c>
    </row>
    <row r="519" spans="1:6" ht="33" x14ac:dyDescent="0.25">
      <c r="A519" s="915" t="s">
        <v>3167</v>
      </c>
      <c r="B519" s="926" t="s">
        <v>2147</v>
      </c>
      <c r="C519" s="932" t="s">
        <v>2148</v>
      </c>
      <c r="D519" s="950" t="s">
        <v>950</v>
      </c>
      <c r="E519" s="953"/>
      <c r="F519" s="958">
        <v>14143</v>
      </c>
    </row>
    <row r="520" spans="1:6" x14ac:dyDescent="0.25">
      <c r="A520" s="915" t="s">
        <v>3167</v>
      </c>
      <c r="B520" s="926" t="s">
        <v>2149</v>
      </c>
      <c r="C520" s="926" t="s">
        <v>2150</v>
      </c>
      <c r="D520" s="950"/>
      <c r="E520" s="953"/>
      <c r="F520" s="951"/>
    </row>
    <row r="521" spans="1:6" x14ac:dyDescent="0.25">
      <c r="A521" s="915" t="s">
        <v>3167</v>
      </c>
      <c r="B521" s="926" t="s">
        <v>2151</v>
      </c>
      <c r="C521" s="931" t="s">
        <v>2152</v>
      </c>
      <c r="D521" s="950"/>
      <c r="E521" s="953"/>
      <c r="F521" s="951"/>
    </row>
    <row r="522" spans="1:6" x14ac:dyDescent="0.25">
      <c r="A522" s="915" t="s">
        <v>3167</v>
      </c>
      <c r="B522" s="926" t="s">
        <v>2153</v>
      </c>
      <c r="C522" s="932" t="s">
        <v>2154</v>
      </c>
      <c r="D522" s="950" t="s">
        <v>727</v>
      </c>
      <c r="E522" s="953"/>
      <c r="F522" s="958">
        <v>7857</v>
      </c>
    </row>
    <row r="523" spans="1:6" x14ac:dyDescent="0.25">
      <c r="A523" s="915" t="s">
        <v>3167</v>
      </c>
      <c r="B523" s="926" t="s">
        <v>2155</v>
      </c>
      <c r="C523" s="932" t="s">
        <v>2156</v>
      </c>
      <c r="D523" s="950" t="s">
        <v>727</v>
      </c>
      <c r="E523" s="953"/>
      <c r="F523" s="958">
        <v>10913</v>
      </c>
    </row>
    <row r="524" spans="1:6" x14ac:dyDescent="0.25">
      <c r="A524" s="915" t="s">
        <v>3167</v>
      </c>
      <c r="B524" s="926" t="s">
        <v>2157</v>
      </c>
      <c r="C524" s="932" t="s">
        <v>2158</v>
      </c>
      <c r="D524" s="950" t="s">
        <v>727</v>
      </c>
      <c r="E524" s="953"/>
      <c r="F524" s="951">
        <v>336</v>
      </c>
    </row>
    <row r="525" spans="1:6" x14ac:dyDescent="0.25">
      <c r="A525" s="915" t="s">
        <v>3167</v>
      </c>
      <c r="B525" s="926" t="s">
        <v>2159</v>
      </c>
      <c r="C525" s="931" t="s">
        <v>2160</v>
      </c>
      <c r="D525" s="950"/>
      <c r="E525" s="953"/>
      <c r="F525" s="951"/>
    </row>
    <row r="526" spans="1:6" x14ac:dyDescent="0.25">
      <c r="A526" s="915" t="s">
        <v>3167</v>
      </c>
      <c r="B526" s="926" t="s">
        <v>2161</v>
      </c>
      <c r="C526" s="932" t="s">
        <v>2162</v>
      </c>
      <c r="D526" s="950" t="s">
        <v>727</v>
      </c>
      <c r="E526" s="953"/>
      <c r="F526" s="958">
        <v>4244</v>
      </c>
    </row>
    <row r="527" spans="1:6" x14ac:dyDescent="0.25">
      <c r="A527" s="915" t="s">
        <v>3167</v>
      </c>
      <c r="B527" s="926" t="s">
        <v>2163</v>
      </c>
      <c r="C527" s="932" t="s">
        <v>2164</v>
      </c>
      <c r="D527" s="950" t="s">
        <v>727</v>
      </c>
      <c r="E527" s="953"/>
      <c r="F527" s="958">
        <v>5613</v>
      </c>
    </row>
    <row r="528" spans="1:6" x14ac:dyDescent="0.25">
      <c r="A528" s="915" t="s">
        <v>3167</v>
      </c>
      <c r="B528" s="926" t="s">
        <v>2165</v>
      </c>
      <c r="C528" s="932" t="s">
        <v>2166</v>
      </c>
      <c r="D528" s="950" t="s">
        <v>727</v>
      </c>
      <c r="E528" s="953"/>
      <c r="F528" s="958">
        <v>5613</v>
      </c>
    </row>
    <row r="529" spans="1:6" x14ac:dyDescent="0.25">
      <c r="A529" s="915" t="s">
        <v>3167</v>
      </c>
      <c r="B529" s="926" t="s">
        <v>2167</v>
      </c>
      <c r="C529" s="932" t="s">
        <v>2168</v>
      </c>
      <c r="D529" s="950" t="s">
        <v>727</v>
      </c>
      <c r="E529" s="953"/>
      <c r="F529" s="958">
        <v>15783</v>
      </c>
    </row>
    <row r="530" spans="1:6" x14ac:dyDescent="0.25">
      <c r="A530" s="915" t="s">
        <v>3167</v>
      </c>
      <c r="B530" s="926" t="s">
        <v>2169</v>
      </c>
      <c r="C530" s="932" t="s">
        <v>2170</v>
      </c>
      <c r="D530" s="950" t="s">
        <v>727</v>
      </c>
      <c r="E530" s="953"/>
      <c r="F530" s="958">
        <v>17152</v>
      </c>
    </row>
    <row r="531" spans="1:6" x14ac:dyDescent="0.25">
      <c r="A531" s="915" t="s">
        <v>3167</v>
      </c>
      <c r="B531" s="926" t="s">
        <v>2171</v>
      </c>
      <c r="C531" s="932" t="s">
        <v>2172</v>
      </c>
      <c r="D531" s="950" t="s">
        <v>727</v>
      </c>
      <c r="E531" s="953"/>
      <c r="F531" s="958">
        <v>17152</v>
      </c>
    </row>
    <row r="532" spans="1:6" x14ac:dyDescent="0.25">
      <c r="A532" s="915" t="s">
        <v>3167</v>
      </c>
      <c r="B532" s="926" t="s">
        <v>2173</v>
      </c>
      <c r="C532" s="932" t="s">
        <v>2174</v>
      </c>
      <c r="D532" s="950" t="s">
        <v>727</v>
      </c>
      <c r="E532" s="953"/>
      <c r="F532" s="958">
        <v>11907</v>
      </c>
    </row>
    <row r="533" spans="1:6" x14ac:dyDescent="0.25">
      <c r="A533" s="915" t="s">
        <v>3167</v>
      </c>
      <c r="B533" s="926" t="s">
        <v>2175</v>
      </c>
      <c r="C533" s="932" t="s">
        <v>2176</v>
      </c>
      <c r="D533" s="950" t="s">
        <v>727</v>
      </c>
      <c r="E533" s="953"/>
      <c r="F533" s="958">
        <v>11362</v>
      </c>
    </row>
    <row r="534" spans="1:6" x14ac:dyDescent="0.25">
      <c r="A534" s="915" t="s">
        <v>3167</v>
      </c>
      <c r="B534" s="926" t="s">
        <v>2177</v>
      </c>
      <c r="C534" s="932" t="s">
        <v>2178</v>
      </c>
      <c r="D534" s="950" t="s">
        <v>727</v>
      </c>
      <c r="E534" s="953"/>
      <c r="F534" s="958">
        <v>60469</v>
      </c>
    </row>
    <row r="535" spans="1:6" ht="33" x14ac:dyDescent="0.25">
      <c r="A535" s="915" t="s">
        <v>3167</v>
      </c>
      <c r="B535" s="926" t="s">
        <v>2179</v>
      </c>
      <c r="C535" s="932" t="s">
        <v>2180</v>
      </c>
      <c r="D535" s="950" t="s">
        <v>727</v>
      </c>
      <c r="E535" s="953"/>
      <c r="F535" s="958">
        <v>5674</v>
      </c>
    </row>
    <row r="536" spans="1:6" ht="33" x14ac:dyDescent="0.25">
      <c r="A536" s="915" t="s">
        <v>3167</v>
      </c>
      <c r="B536" s="926" t="s">
        <v>2181</v>
      </c>
      <c r="C536" s="932" t="s">
        <v>2182</v>
      </c>
      <c r="D536" s="950" t="s">
        <v>727</v>
      </c>
      <c r="E536" s="953"/>
      <c r="F536" s="958">
        <v>27757</v>
      </c>
    </row>
    <row r="537" spans="1:6" x14ac:dyDescent="0.25">
      <c r="A537" s="915" t="s">
        <v>3167</v>
      </c>
      <c r="B537" s="926" t="s">
        <v>2183</v>
      </c>
      <c r="C537" s="926" t="s">
        <v>2184</v>
      </c>
      <c r="D537" s="950"/>
      <c r="E537" s="953"/>
      <c r="F537" s="951"/>
    </row>
    <row r="538" spans="1:6" x14ac:dyDescent="0.25">
      <c r="A538" s="915" t="s">
        <v>3167</v>
      </c>
      <c r="B538" s="926" t="s">
        <v>2185</v>
      </c>
      <c r="C538" s="931" t="s">
        <v>2186</v>
      </c>
      <c r="D538" s="950"/>
      <c r="E538" s="953"/>
      <c r="F538" s="951"/>
    </row>
    <row r="539" spans="1:6" x14ac:dyDescent="0.25">
      <c r="A539" s="915" t="s">
        <v>3167</v>
      </c>
      <c r="B539" s="926" t="s">
        <v>2187</v>
      </c>
      <c r="C539" s="932" t="s">
        <v>2188</v>
      </c>
      <c r="D539" s="950" t="s">
        <v>727</v>
      </c>
      <c r="E539" s="953"/>
      <c r="F539" s="951">
        <v>970</v>
      </c>
    </row>
    <row r="540" spans="1:6" x14ac:dyDescent="0.25">
      <c r="A540" s="915" t="s">
        <v>3167</v>
      </c>
      <c r="B540" s="926" t="s">
        <v>2189</v>
      </c>
      <c r="C540" s="932" t="s">
        <v>2190</v>
      </c>
      <c r="D540" s="950" t="s">
        <v>727</v>
      </c>
      <c r="E540" s="953"/>
      <c r="F540" s="951">
        <v>757</v>
      </c>
    </row>
    <row r="541" spans="1:6" x14ac:dyDescent="0.25">
      <c r="A541" s="915" t="s">
        <v>3167</v>
      </c>
      <c r="B541" s="926" t="s">
        <v>2191</v>
      </c>
      <c r="C541" s="932" t="s">
        <v>2192</v>
      </c>
      <c r="D541" s="950" t="s">
        <v>727</v>
      </c>
      <c r="E541" s="953"/>
      <c r="F541" s="958">
        <v>22683</v>
      </c>
    </row>
    <row r="542" spans="1:6" x14ac:dyDescent="0.25">
      <c r="A542" s="915" t="s">
        <v>3167</v>
      </c>
      <c r="B542" s="926" t="s">
        <v>2193</v>
      </c>
      <c r="C542" s="932" t="s">
        <v>2194</v>
      </c>
      <c r="D542" s="950" t="s">
        <v>727</v>
      </c>
      <c r="E542" s="953"/>
      <c r="F542" s="958">
        <v>34249</v>
      </c>
    </row>
    <row r="543" spans="1:6" x14ac:dyDescent="0.25">
      <c r="A543" s="915" t="s">
        <v>3167</v>
      </c>
      <c r="B543" s="926" t="s">
        <v>2195</v>
      </c>
      <c r="C543" s="932" t="s">
        <v>2196</v>
      </c>
      <c r="D543" s="950" t="s">
        <v>727</v>
      </c>
      <c r="E543" s="953"/>
      <c r="F543" s="958">
        <v>8320</v>
      </c>
    </row>
    <row r="544" spans="1:6" x14ac:dyDescent="0.25">
      <c r="A544" s="915" t="s">
        <v>3167</v>
      </c>
      <c r="B544" s="926" t="s">
        <v>2197</v>
      </c>
      <c r="C544" s="932" t="s">
        <v>2198</v>
      </c>
      <c r="D544" s="950" t="s">
        <v>727</v>
      </c>
      <c r="E544" s="953"/>
      <c r="F544" s="958">
        <v>346218</v>
      </c>
    </row>
    <row r="545" spans="1:6" x14ac:dyDescent="0.25">
      <c r="A545" s="915" t="s">
        <v>3167</v>
      </c>
      <c r="B545" s="926" t="s">
        <v>2199</v>
      </c>
      <c r="C545" s="932" t="s">
        <v>2200</v>
      </c>
      <c r="D545" s="950" t="s">
        <v>727</v>
      </c>
      <c r="E545" s="953"/>
      <c r="F545" s="958">
        <v>161948</v>
      </c>
    </row>
    <row r="546" spans="1:6" x14ac:dyDescent="0.25">
      <c r="A546" s="915" t="s">
        <v>3167</v>
      </c>
      <c r="B546" s="926" t="s">
        <v>2201</v>
      </c>
      <c r="C546" s="932" t="s">
        <v>2202</v>
      </c>
      <c r="D546" s="950" t="s">
        <v>727</v>
      </c>
      <c r="E546" s="953"/>
      <c r="F546" s="958">
        <v>95485</v>
      </c>
    </row>
    <row r="547" spans="1:6" x14ac:dyDescent="0.25">
      <c r="A547" s="915" t="s">
        <v>3167</v>
      </c>
      <c r="B547" s="926" t="s">
        <v>2203</v>
      </c>
      <c r="C547" s="932" t="s">
        <v>2204</v>
      </c>
      <c r="D547" s="950" t="s">
        <v>727</v>
      </c>
      <c r="E547" s="953"/>
      <c r="F547" s="958">
        <v>2328</v>
      </c>
    </row>
    <row r="548" spans="1:6" ht="33" x14ac:dyDescent="0.25">
      <c r="A548" s="915" t="s">
        <v>3167</v>
      </c>
      <c r="B548" s="926" t="s">
        <v>2205</v>
      </c>
      <c r="C548" s="932" t="s">
        <v>2206</v>
      </c>
      <c r="D548" s="950" t="s">
        <v>727</v>
      </c>
      <c r="E548" s="953"/>
      <c r="F548" s="958">
        <v>1421</v>
      </c>
    </row>
    <row r="549" spans="1:6" ht="33" x14ac:dyDescent="0.25">
      <c r="A549" s="915" t="s">
        <v>3167</v>
      </c>
      <c r="B549" s="926" t="s">
        <v>2207</v>
      </c>
      <c r="C549" s="932" t="s">
        <v>2208</v>
      </c>
      <c r="D549" s="950" t="s">
        <v>727</v>
      </c>
      <c r="E549" s="953"/>
      <c r="F549" s="958">
        <v>11192</v>
      </c>
    </row>
    <row r="550" spans="1:6" ht="33" x14ac:dyDescent="0.25">
      <c r="A550" s="915" t="s">
        <v>3167</v>
      </c>
      <c r="B550" s="926" t="s">
        <v>2209</v>
      </c>
      <c r="C550" s="932" t="s">
        <v>2210</v>
      </c>
      <c r="D550" s="950" t="s">
        <v>727</v>
      </c>
      <c r="E550" s="953"/>
      <c r="F550" s="958">
        <v>13356</v>
      </c>
    </row>
    <row r="551" spans="1:6" ht="33" x14ac:dyDescent="0.25">
      <c r="A551" s="915" t="s">
        <v>3167</v>
      </c>
      <c r="B551" s="926" t="s">
        <v>2211</v>
      </c>
      <c r="C551" s="932" t="s">
        <v>2212</v>
      </c>
      <c r="D551" s="950" t="s">
        <v>727</v>
      </c>
      <c r="E551" s="953"/>
      <c r="F551" s="958">
        <v>19042</v>
      </c>
    </row>
    <row r="552" spans="1:6" ht="33" x14ac:dyDescent="0.25">
      <c r="A552" s="915" t="s">
        <v>3167</v>
      </c>
      <c r="B552" s="926" t="s">
        <v>2213</v>
      </c>
      <c r="C552" s="932" t="s">
        <v>2214</v>
      </c>
      <c r="D552" s="950" t="s">
        <v>727</v>
      </c>
      <c r="E552" s="953"/>
      <c r="F552" s="958">
        <v>24623</v>
      </c>
    </row>
    <row r="553" spans="1:6" ht="33" x14ac:dyDescent="0.25">
      <c r="A553" s="915" t="s">
        <v>3167</v>
      </c>
      <c r="B553" s="926" t="s">
        <v>2215</v>
      </c>
      <c r="C553" s="932" t="s">
        <v>2216</v>
      </c>
      <c r="D553" s="950" t="s">
        <v>727</v>
      </c>
      <c r="E553" s="953"/>
      <c r="F553" s="958">
        <v>14652</v>
      </c>
    </row>
    <row r="554" spans="1:6" ht="33" x14ac:dyDescent="0.25">
      <c r="A554" s="915" t="s">
        <v>3167</v>
      </c>
      <c r="B554" s="926" t="s">
        <v>2217</v>
      </c>
      <c r="C554" s="932" t="s">
        <v>2218</v>
      </c>
      <c r="D554" s="950" t="s">
        <v>727</v>
      </c>
      <c r="E554" s="953"/>
      <c r="F554" s="958">
        <v>12685</v>
      </c>
    </row>
    <row r="555" spans="1:6" ht="33" x14ac:dyDescent="0.25">
      <c r="A555" s="915" t="s">
        <v>3167</v>
      </c>
      <c r="B555" s="926" t="s">
        <v>2219</v>
      </c>
      <c r="C555" s="932" t="s">
        <v>2220</v>
      </c>
      <c r="D555" s="950" t="s">
        <v>727</v>
      </c>
      <c r="E555" s="953"/>
      <c r="F555" s="958">
        <v>23280</v>
      </c>
    </row>
    <row r="556" spans="1:6" ht="33" x14ac:dyDescent="0.25">
      <c r="A556" s="915" t="s">
        <v>3167</v>
      </c>
      <c r="B556" s="926" t="s">
        <v>2221</v>
      </c>
      <c r="C556" s="932" t="s">
        <v>2222</v>
      </c>
      <c r="D556" s="950" t="s">
        <v>727</v>
      </c>
      <c r="E556" s="953"/>
      <c r="F556" s="958">
        <v>2328</v>
      </c>
    </row>
    <row r="557" spans="1:6" ht="33" x14ac:dyDescent="0.25">
      <c r="A557" s="915" t="s">
        <v>3167</v>
      </c>
      <c r="B557" s="926" t="s">
        <v>2223</v>
      </c>
      <c r="C557" s="932" t="s">
        <v>2224</v>
      </c>
      <c r="D557" s="950" t="s">
        <v>727</v>
      </c>
      <c r="E557" s="953"/>
      <c r="F557" s="958">
        <v>2444</v>
      </c>
    </row>
    <row r="558" spans="1:6" ht="33" x14ac:dyDescent="0.25">
      <c r="A558" s="915" t="s">
        <v>3167</v>
      </c>
      <c r="B558" s="926" t="s">
        <v>2225</v>
      </c>
      <c r="C558" s="932" t="s">
        <v>2226</v>
      </c>
      <c r="D558" s="950" t="s">
        <v>727</v>
      </c>
      <c r="E558" s="953"/>
      <c r="F558" s="958">
        <v>3904</v>
      </c>
    </row>
    <row r="559" spans="1:6" ht="33" x14ac:dyDescent="0.25">
      <c r="A559" s="915" t="s">
        <v>3167</v>
      </c>
      <c r="B559" s="926" t="s">
        <v>2227</v>
      </c>
      <c r="C559" s="932" t="s">
        <v>2228</v>
      </c>
      <c r="D559" s="950" t="s">
        <v>727</v>
      </c>
      <c r="E559" s="953"/>
      <c r="F559" s="958">
        <v>8536</v>
      </c>
    </row>
    <row r="560" spans="1:6" ht="33" x14ac:dyDescent="0.25">
      <c r="A560" s="915" t="s">
        <v>3167</v>
      </c>
      <c r="B560" s="926" t="s">
        <v>2229</v>
      </c>
      <c r="C560" s="932" t="s">
        <v>2230</v>
      </c>
      <c r="D560" s="950" t="s">
        <v>727</v>
      </c>
      <c r="E560" s="953"/>
      <c r="F560" s="958">
        <v>2728</v>
      </c>
    </row>
    <row r="561" spans="1:6" ht="33" x14ac:dyDescent="0.25">
      <c r="A561" s="915" t="s">
        <v>3167</v>
      </c>
      <c r="B561" s="926" t="s">
        <v>2231</v>
      </c>
      <c r="C561" s="932" t="s">
        <v>2232</v>
      </c>
      <c r="D561" s="950" t="s">
        <v>727</v>
      </c>
      <c r="E561" s="953"/>
      <c r="F561" s="958">
        <v>86853</v>
      </c>
    </row>
    <row r="562" spans="1:6" ht="33" x14ac:dyDescent="0.25">
      <c r="A562" s="915" t="s">
        <v>3167</v>
      </c>
      <c r="B562" s="926" t="s">
        <v>2233</v>
      </c>
      <c r="C562" s="932" t="s">
        <v>2234</v>
      </c>
      <c r="D562" s="950" t="s">
        <v>727</v>
      </c>
      <c r="E562" s="953"/>
      <c r="F562" s="958">
        <v>78556</v>
      </c>
    </row>
    <row r="563" spans="1:6" ht="33" x14ac:dyDescent="0.25">
      <c r="A563" s="915" t="s">
        <v>3167</v>
      </c>
      <c r="B563" s="926" t="s">
        <v>2235</v>
      </c>
      <c r="C563" s="932" t="s">
        <v>2236</v>
      </c>
      <c r="D563" s="950" t="s">
        <v>727</v>
      </c>
      <c r="E563" s="953"/>
      <c r="F563" s="958">
        <v>68721</v>
      </c>
    </row>
    <row r="564" spans="1:6" ht="33" x14ac:dyDescent="0.25">
      <c r="A564" s="915" t="s">
        <v>3167</v>
      </c>
      <c r="B564" s="926" t="s">
        <v>2237</v>
      </c>
      <c r="C564" s="932" t="s">
        <v>2238</v>
      </c>
      <c r="D564" s="950" t="s">
        <v>727</v>
      </c>
      <c r="E564" s="953"/>
      <c r="F564" s="958">
        <v>37189</v>
      </c>
    </row>
    <row r="565" spans="1:6" ht="33" x14ac:dyDescent="0.25">
      <c r="A565" s="915" t="s">
        <v>3167</v>
      </c>
      <c r="B565" s="926" t="s">
        <v>2239</v>
      </c>
      <c r="C565" s="932" t="s">
        <v>2240</v>
      </c>
      <c r="D565" s="950" t="s">
        <v>727</v>
      </c>
      <c r="E565" s="953"/>
      <c r="F565" s="958">
        <v>37530</v>
      </c>
    </row>
    <row r="566" spans="1:6" ht="33" x14ac:dyDescent="0.25">
      <c r="A566" s="915" t="s">
        <v>3167</v>
      </c>
      <c r="B566" s="926" t="s">
        <v>2241</v>
      </c>
      <c r="C566" s="932" t="s">
        <v>2242</v>
      </c>
      <c r="D566" s="950" t="s">
        <v>727</v>
      </c>
      <c r="E566" s="953"/>
      <c r="F566" s="958">
        <v>48481</v>
      </c>
    </row>
    <row r="567" spans="1:6" ht="33" x14ac:dyDescent="0.25">
      <c r="A567" s="915" t="s">
        <v>3167</v>
      </c>
      <c r="B567" s="926" t="s">
        <v>2243</v>
      </c>
      <c r="C567" s="932" t="s">
        <v>2244</v>
      </c>
      <c r="D567" s="950" t="s">
        <v>727</v>
      </c>
      <c r="E567" s="953"/>
      <c r="F567" s="958">
        <v>16730</v>
      </c>
    </row>
    <row r="568" spans="1:6" ht="33" x14ac:dyDescent="0.25">
      <c r="A568" s="915" t="s">
        <v>3167</v>
      </c>
      <c r="B568" s="926" t="s">
        <v>2245</v>
      </c>
      <c r="C568" s="932" t="s">
        <v>2246</v>
      </c>
      <c r="D568" s="950" t="s">
        <v>727</v>
      </c>
      <c r="E568" s="953"/>
      <c r="F568" s="958">
        <v>19490</v>
      </c>
    </row>
    <row r="569" spans="1:6" ht="33" x14ac:dyDescent="0.25">
      <c r="A569" s="915" t="s">
        <v>3167</v>
      </c>
      <c r="B569" s="926" t="s">
        <v>2247</v>
      </c>
      <c r="C569" s="932" t="s">
        <v>2248</v>
      </c>
      <c r="D569" s="950" t="s">
        <v>727</v>
      </c>
      <c r="E569" s="953"/>
      <c r="F569" s="958">
        <v>15222</v>
      </c>
    </row>
    <row r="570" spans="1:6" ht="33" x14ac:dyDescent="0.25">
      <c r="A570" s="915" t="s">
        <v>3167</v>
      </c>
      <c r="B570" s="926" t="s">
        <v>2249</v>
      </c>
      <c r="C570" s="932" t="s">
        <v>2250</v>
      </c>
      <c r="D570" s="950" t="s">
        <v>727</v>
      </c>
      <c r="E570" s="953"/>
      <c r="F570" s="958">
        <v>77004</v>
      </c>
    </row>
    <row r="571" spans="1:6" ht="33" x14ac:dyDescent="0.25">
      <c r="A571" s="915" t="s">
        <v>3167</v>
      </c>
      <c r="B571" s="926" t="s">
        <v>2251</v>
      </c>
      <c r="C571" s="932" t="s">
        <v>2252</v>
      </c>
      <c r="D571" s="950" t="s">
        <v>727</v>
      </c>
      <c r="E571" s="953"/>
      <c r="F571" s="958">
        <v>23280</v>
      </c>
    </row>
    <row r="572" spans="1:6" ht="33" x14ac:dyDescent="0.25">
      <c r="A572" s="915" t="s">
        <v>3167</v>
      </c>
      <c r="B572" s="926" t="s">
        <v>2253</v>
      </c>
      <c r="C572" s="932" t="s">
        <v>2254</v>
      </c>
      <c r="D572" s="950" t="s">
        <v>727</v>
      </c>
      <c r="E572" s="953"/>
      <c r="F572" s="951">
        <v>791</v>
      </c>
    </row>
    <row r="573" spans="1:6" ht="33" x14ac:dyDescent="0.25">
      <c r="A573" s="915" t="s">
        <v>3167</v>
      </c>
      <c r="B573" s="926" t="s">
        <v>2255</v>
      </c>
      <c r="C573" s="932" t="s">
        <v>2256</v>
      </c>
      <c r="D573" s="950" t="s">
        <v>727</v>
      </c>
      <c r="E573" s="953"/>
      <c r="F573" s="958">
        <v>2328</v>
      </c>
    </row>
    <row r="574" spans="1:6" x14ac:dyDescent="0.25">
      <c r="A574" s="915" t="s">
        <v>3167</v>
      </c>
      <c r="B574" s="926"/>
      <c r="C574" s="932"/>
      <c r="D574" s="950"/>
      <c r="E574" s="953"/>
      <c r="F574" s="951"/>
    </row>
    <row r="575" spans="1:6" x14ac:dyDescent="0.25">
      <c r="A575" s="915" t="s">
        <v>3167</v>
      </c>
      <c r="B575" s="926"/>
      <c r="C575" s="947" t="s">
        <v>2257</v>
      </c>
      <c r="D575" s="951"/>
      <c r="E575" s="953"/>
      <c r="F575" s="951"/>
    </row>
    <row r="576" spans="1:6" x14ac:dyDescent="0.25">
      <c r="A576" s="915" t="s">
        <v>3167</v>
      </c>
      <c r="B576" s="926" t="s">
        <v>2258</v>
      </c>
      <c r="C576" s="926" t="s">
        <v>2259</v>
      </c>
      <c r="D576" s="950"/>
      <c r="E576" s="953"/>
      <c r="F576" s="951"/>
    </row>
    <row r="577" spans="1:6" ht="33" x14ac:dyDescent="0.25">
      <c r="A577" s="915" t="s">
        <v>3167</v>
      </c>
      <c r="B577" s="926" t="s">
        <v>2260</v>
      </c>
      <c r="C577" s="931" t="s">
        <v>2261</v>
      </c>
      <c r="D577" s="950"/>
      <c r="E577" s="953"/>
      <c r="F577" s="951"/>
    </row>
    <row r="578" spans="1:6" x14ac:dyDescent="0.25">
      <c r="A578" s="915" t="s">
        <v>3167</v>
      </c>
      <c r="B578" s="926" t="s">
        <v>2262</v>
      </c>
      <c r="C578" s="932" t="s">
        <v>2263</v>
      </c>
      <c r="D578" s="950" t="s">
        <v>727</v>
      </c>
      <c r="E578" s="953"/>
      <c r="F578" s="958">
        <v>100421</v>
      </c>
    </row>
    <row r="579" spans="1:6" x14ac:dyDescent="0.25">
      <c r="A579" s="915" t="s">
        <v>3167</v>
      </c>
      <c r="B579" s="926" t="s">
        <v>2264</v>
      </c>
      <c r="C579" s="932" t="s">
        <v>2265</v>
      </c>
      <c r="D579" s="950" t="s">
        <v>727</v>
      </c>
      <c r="E579" s="953"/>
      <c r="F579" s="958">
        <v>23318</v>
      </c>
    </row>
    <row r="580" spans="1:6" x14ac:dyDescent="0.25">
      <c r="A580" s="915" t="s">
        <v>3167</v>
      </c>
      <c r="B580" s="926" t="s">
        <v>2266</v>
      </c>
      <c r="C580" s="932" t="s">
        <v>2267</v>
      </c>
      <c r="D580" s="950" t="s">
        <v>727</v>
      </c>
      <c r="E580" s="953"/>
      <c r="F580" s="958">
        <v>131044</v>
      </c>
    </row>
    <row r="581" spans="1:6" x14ac:dyDescent="0.25">
      <c r="A581" s="915" t="s">
        <v>3167</v>
      </c>
      <c r="B581" s="926" t="s">
        <v>2268</v>
      </c>
      <c r="C581" s="932" t="s">
        <v>2269</v>
      </c>
      <c r="D581" s="950" t="s">
        <v>727</v>
      </c>
      <c r="E581" s="953"/>
      <c r="F581" s="958">
        <v>135863</v>
      </c>
    </row>
    <row r="582" spans="1:6" x14ac:dyDescent="0.25">
      <c r="A582" s="915" t="s">
        <v>3167</v>
      </c>
      <c r="B582" s="926" t="s">
        <v>2270</v>
      </c>
      <c r="C582" s="932" t="s">
        <v>2271</v>
      </c>
      <c r="D582" s="950" t="s">
        <v>727</v>
      </c>
      <c r="E582" s="953"/>
      <c r="F582" s="958">
        <v>147678</v>
      </c>
    </row>
    <row r="583" spans="1:6" x14ac:dyDescent="0.25">
      <c r="A583" s="915" t="s">
        <v>3167</v>
      </c>
      <c r="B583" s="926" t="s">
        <v>2272</v>
      </c>
      <c r="C583" s="932" t="s">
        <v>2273</v>
      </c>
      <c r="D583" s="950" t="s">
        <v>727</v>
      </c>
      <c r="E583" s="953"/>
      <c r="F583" s="958">
        <v>170995</v>
      </c>
    </row>
    <row r="584" spans="1:6" x14ac:dyDescent="0.25">
      <c r="A584" s="915" t="s">
        <v>3167</v>
      </c>
      <c r="B584" s="926" t="s">
        <v>2274</v>
      </c>
      <c r="C584" s="932" t="s">
        <v>2275</v>
      </c>
      <c r="D584" s="950" t="s">
        <v>727</v>
      </c>
      <c r="E584" s="953"/>
      <c r="F584" s="958">
        <v>163223</v>
      </c>
    </row>
    <row r="585" spans="1:6" x14ac:dyDescent="0.25">
      <c r="A585" s="915" t="s">
        <v>3167</v>
      </c>
      <c r="B585" s="926" t="s">
        <v>2276</v>
      </c>
      <c r="C585" s="932" t="s">
        <v>2277</v>
      </c>
      <c r="D585" s="950" t="s">
        <v>727</v>
      </c>
      <c r="E585" s="953"/>
      <c r="F585" s="958">
        <v>170995</v>
      </c>
    </row>
    <row r="586" spans="1:6" x14ac:dyDescent="0.25">
      <c r="A586" s="915" t="s">
        <v>3167</v>
      </c>
      <c r="B586" s="926" t="s">
        <v>2278</v>
      </c>
      <c r="C586" s="932" t="s">
        <v>2279</v>
      </c>
      <c r="D586" s="950" t="s">
        <v>727</v>
      </c>
      <c r="E586" s="953"/>
      <c r="F586" s="958">
        <v>3038457</v>
      </c>
    </row>
    <row r="587" spans="1:6" x14ac:dyDescent="0.25">
      <c r="A587" s="915" t="s">
        <v>3167</v>
      </c>
      <c r="B587" s="926" t="s">
        <v>2280</v>
      </c>
      <c r="C587" s="931" t="s">
        <v>2281</v>
      </c>
      <c r="D587" s="950"/>
      <c r="E587" s="953"/>
      <c r="F587" s="951"/>
    </row>
    <row r="588" spans="1:6" x14ac:dyDescent="0.25">
      <c r="A588" s="915" t="s">
        <v>3167</v>
      </c>
      <c r="B588" s="926" t="s">
        <v>2282</v>
      </c>
      <c r="C588" s="932" t="s">
        <v>2283</v>
      </c>
      <c r="D588" s="950" t="s">
        <v>727</v>
      </c>
      <c r="E588" s="953"/>
      <c r="F588" s="958">
        <v>113168</v>
      </c>
    </row>
    <row r="589" spans="1:6" x14ac:dyDescent="0.25">
      <c r="A589" s="915" t="s">
        <v>3167</v>
      </c>
      <c r="B589" s="926" t="s">
        <v>2284</v>
      </c>
      <c r="C589" s="932" t="s">
        <v>2285</v>
      </c>
      <c r="D589" s="950" t="s">
        <v>727</v>
      </c>
      <c r="E589" s="953"/>
      <c r="F589" s="958">
        <v>110642</v>
      </c>
    </row>
    <row r="590" spans="1:6" ht="18" x14ac:dyDescent="0.25">
      <c r="A590" s="915" t="s">
        <v>3167</v>
      </c>
      <c r="B590" s="926" t="s">
        <v>2286</v>
      </c>
      <c r="C590" s="932" t="s">
        <v>2287</v>
      </c>
      <c r="D590" s="950" t="s">
        <v>727</v>
      </c>
      <c r="E590" s="953"/>
      <c r="F590" s="958">
        <v>252101</v>
      </c>
    </row>
    <row r="591" spans="1:6" x14ac:dyDescent="0.25">
      <c r="A591" s="915" t="s">
        <v>3167</v>
      </c>
      <c r="B591" s="926" t="s">
        <v>2288</v>
      </c>
      <c r="C591" s="932" t="s">
        <v>2289</v>
      </c>
      <c r="D591" s="950" t="s">
        <v>727</v>
      </c>
      <c r="E591" s="953"/>
      <c r="F591" s="958">
        <v>907665</v>
      </c>
    </row>
    <row r="592" spans="1:6" x14ac:dyDescent="0.25">
      <c r="A592" s="915" t="s">
        <v>3167</v>
      </c>
      <c r="B592" s="926" t="s">
        <v>2290</v>
      </c>
      <c r="C592" s="932" t="s">
        <v>2291</v>
      </c>
      <c r="D592" s="950" t="s">
        <v>727</v>
      </c>
      <c r="E592" s="953"/>
      <c r="F592" s="958">
        <v>139905</v>
      </c>
    </row>
    <row r="593" spans="1:6" x14ac:dyDescent="0.25">
      <c r="A593" s="915" t="s">
        <v>3167</v>
      </c>
      <c r="B593" s="926" t="s">
        <v>2292</v>
      </c>
      <c r="C593" s="932" t="s">
        <v>2293</v>
      </c>
      <c r="D593" s="950" t="s">
        <v>727</v>
      </c>
      <c r="E593" s="953"/>
      <c r="F593" s="958">
        <v>194313</v>
      </c>
    </row>
    <row r="594" spans="1:6" x14ac:dyDescent="0.25">
      <c r="A594" s="915" t="s">
        <v>3167</v>
      </c>
      <c r="B594" s="926" t="s">
        <v>2294</v>
      </c>
      <c r="C594" s="931" t="s">
        <v>2295</v>
      </c>
      <c r="D594" s="950"/>
      <c r="E594" s="953"/>
      <c r="F594" s="951"/>
    </row>
    <row r="595" spans="1:6" x14ac:dyDescent="0.25">
      <c r="A595" s="915" t="s">
        <v>3167</v>
      </c>
      <c r="B595" s="926" t="s">
        <v>2296</v>
      </c>
      <c r="C595" s="932" t="s">
        <v>2297</v>
      </c>
      <c r="D595" s="950" t="s">
        <v>727</v>
      </c>
      <c r="E595" s="953"/>
      <c r="F595" s="958">
        <v>3109</v>
      </c>
    </row>
    <row r="596" spans="1:6" x14ac:dyDescent="0.25">
      <c r="A596" s="915" t="s">
        <v>3167</v>
      </c>
      <c r="B596" s="926" t="s">
        <v>2298</v>
      </c>
      <c r="C596" s="932" t="s">
        <v>2299</v>
      </c>
      <c r="D596" s="950" t="s">
        <v>727</v>
      </c>
      <c r="E596" s="953"/>
      <c r="F596" s="958">
        <v>54408</v>
      </c>
    </row>
    <row r="597" spans="1:6" x14ac:dyDescent="0.25">
      <c r="A597" s="915" t="s">
        <v>3167</v>
      </c>
      <c r="B597" s="926" t="s">
        <v>2300</v>
      </c>
      <c r="C597" s="932" t="s">
        <v>2301</v>
      </c>
      <c r="D597" s="950" t="s">
        <v>727</v>
      </c>
      <c r="E597" s="953"/>
      <c r="F597" s="958">
        <v>373080</v>
      </c>
    </row>
    <row r="598" spans="1:6" x14ac:dyDescent="0.25">
      <c r="A598" s="915" t="s">
        <v>3167</v>
      </c>
      <c r="B598" s="926"/>
      <c r="C598" s="932"/>
      <c r="D598" s="950"/>
      <c r="E598" s="953"/>
      <c r="F598" s="951"/>
    </row>
    <row r="599" spans="1:6" x14ac:dyDescent="0.25">
      <c r="A599" s="915" t="s">
        <v>3167</v>
      </c>
      <c r="B599" s="926"/>
      <c r="C599" s="947" t="s">
        <v>2302</v>
      </c>
      <c r="D599" s="951"/>
      <c r="E599" s="953"/>
      <c r="F599" s="951"/>
    </row>
    <row r="600" spans="1:6" x14ac:dyDescent="0.25">
      <c r="A600" s="915" t="s">
        <v>3167</v>
      </c>
      <c r="B600" s="926" t="s">
        <v>2303</v>
      </c>
      <c r="C600" s="926" t="s">
        <v>2304</v>
      </c>
      <c r="D600" s="950"/>
      <c r="E600" s="953"/>
      <c r="F600" s="951"/>
    </row>
    <row r="601" spans="1:6" x14ac:dyDescent="0.25">
      <c r="A601" s="915" t="s">
        <v>3167</v>
      </c>
      <c r="B601" s="926" t="s">
        <v>2305</v>
      </c>
      <c r="C601" s="931" t="s">
        <v>1364</v>
      </c>
      <c r="D601" s="950"/>
      <c r="E601" s="953"/>
      <c r="F601" s="951"/>
    </row>
    <row r="602" spans="1:6" x14ac:dyDescent="0.25">
      <c r="A602" s="915" t="s">
        <v>3167</v>
      </c>
      <c r="B602" s="926" t="s">
        <v>2306</v>
      </c>
      <c r="C602" s="932" t="s">
        <v>2307</v>
      </c>
      <c r="D602" s="950" t="s">
        <v>1367</v>
      </c>
      <c r="E602" s="953"/>
      <c r="F602" s="958">
        <v>45590</v>
      </c>
    </row>
    <row r="603" spans="1:6" x14ac:dyDescent="0.25">
      <c r="A603" s="915" t="s">
        <v>3167</v>
      </c>
      <c r="B603" s="926" t="s">
        <v>2308</v>
      </c>
      <c r="C603" s="931" t="s">
        <v>2309</v>
      </c>
      <c r="D603" s="950"/>
      <c r="E603" s="953"/>
      <c r="F603" s="951"/>
    </row>
    <row r="604" spans="1:6" x14ac:dyDescent="0.25">
      <c r="A604" s="915" t="s">
        <v>3167</v>
      </c>
      <c r="B604" s="926" t="s">
        <v>2310</v>
      </c>
      <c r="C604" s="932" t="s">
        <v>2311</v>
      </c>
      <c r="D604" s="950" t="s">
        <v>950</v>
      </c>
      <c r="E604" s="953"/>
      <c r="F604" s="958">
        <v>8643</v>
      </c>
    </row>
    <row r="605" spans="1:6" x14ac:dyDescent="0.25">
      <c r="A605" s="915" t="s">
        <v>3167</v>
      </c>
      <c r="B605" s="926" t="s">
        <v>2312</v>
      </c>
      <c r="C605" s="932" t="s">
        <v>2313</v>
      </c>
      <c r="D605" s="950" t="s">
        <v>950</v>
      </c>
      <c r="E605" s="953"/>
      <c r="F605" s="958">
        <v>7648</v>
      </c>
    </row>
    <row r="606" spans="1:6" x14ac:dyDescent="0.25">
      <c r="A606" s="915" t="s">
        <v>3167</v>
      </c>
      <c r="B606" s="926" t="s">
        <v>2314</v>
      </c>
      <c r="C606" s="932" t="s">
        <v>2315</v>
      </c>
      <c r="D606" s="950" t="s">
        <v>950</v>
      </c>
      <c r="E606" s="953"/>
      <c r="F606" s="958">
        <v>6063</v>
      </c>
    </row>
    <row r="607" spans="1:6" x14ac:dyDescent="0.25">
      <c r="A607" s="915" t="s">
        <v>3167</v>
      </c>
      <c r="B607" s="926" t="s">
        <v>2316</v>
      </c>
      <c r="C607" s="932" t="s">
        <v>2317</v>
      </c>
      <c r="D607" s="950" t="s">
        <v>950</v>
      </c>
      <c r="E607" s="953"/>
      <c r="F607" s="958">
        <v>2305</v>
      </c>
    </row>
    <row r="608" spans="1:6" x14ac:dyDescent="0.25">
      <c r="A608" s="915" t="s">
        <v>3167</v>
      </c>
      <c r="B608" s="926" t="s">
        <v>2318</v>
      </c>
      <c r="C608" s="932" t="s">
        <v>2319</v>
      </c>
      <c r="D608" s="950" t="s">
        <v>950</v>
      </c>
      <c r="E608" s="953"/>
      <c r="F608" s="958">
        <v>1865</v>
      </c>
    </row>
    <row r="609" spans="1:6" x14ac:dyDescent="0.25">
      <c r="A609" s="915" t="s">
        <v>3167</v>
      </c>
      <c r="B609" s="926" t="s">
        <v>2320</v>
      </c>
      <c r="C609" s="932" t="s">
        <v>2321</v>
      </c>
      <c r="D609" s="950" t="s">
        <v>950</v>
      </c>
      <c r="E609" s="953"/>
      <c r="F609" s="951">
        <v>808</v>
      </c>
    </row>
    <row r="610" spans="1:6" x14ac:dyDescent="0.25">
      <c r="A610" s="915" t="s">
        <v>3167</v>
      </c>
      <c r="B610" s="926" t="s">
        <v>2322</v>
      </c>
      <c r="C610" s="932" t="s">
        <v>2323</v>
      </c>
      <c r="D610" s="950" t="s">
        <v>950</v>
      </c>
      <c r="E610" s="953"/>
      <c r="F610" s="951">
        <v>622</v>
      </c>
    </row>
    <row r="611" spans="1:6" x14ac:dyDescent="0.25">
      <c r="A611" s="915" t="s">
        <v>3167</v>
      </c>
      <c r="B611" s="926" t="s">
        <v>2324</v>
      </c>
      <c r="C611" s="932" t="s">
        <v>2325</v>
      </c>
      <c r="D611" s="950" t="s">
        <v>950</v>
      </c>
      <c r="E611" s="953"/>
      <c r="F611" s="951">
        <v>480</v>
      </c>
    </row>
    <row r="612" spans="1:6" x14ac:dyDescent="0.25">
      <c r="A612" s="915" t="s">
        <v>3167</v>
      </c>
      <c r="B612" s="926" t="s">
        <v>2326</v>
      </c>
      <c r="C612" s="932" t="s">
        <v>2327</v>
      </c>
      <c r="D612" s="950" t="s">
        <v>727</v>
      </c>
      <c r="E612" s="953"/>
      <c r="F612" s="958">
        <v>122028</v>
      </c>
    </row>
    <row r="613" spans="1:6" ht="33" x14ac:dyDescent="0.25">
      <c r="A613" s="915" t="s">
        <v>3167</v>
      </c>
      <c r="B613" s="926" t="s">
        <v>2328</v>
      </c>
      <c r="C613" s="932" t="s">
        <v>2329</v>
      </c>
      <c r="D613" s="950" t="s">
        <v>727</v>
      </c>
      <c r="E613" s="953"/>
      <c r="F613" s="958">
        <v>504283</v>
      </c>
    </row>
    <row r="614" spans="1:6" ht="33" x14ac:dyDescent="0.25">
      <c r="A614" s="915" t="s">
        <v>3167</v>
      </c>
      <c r="B614" s="926" t="s">
        <v>2330</v>
      </c>
      <c r="C614" s="932" t="s">
        <v>2331</v>
      </c>
      <c r="D614" s="950" t="s">
        <v>950</v>
      </c>
      <c r="E614" s="953"/>
      <c r="F614" s="951">
        <v>378</v>
      </c>
    </row>
    <row r="615" spans="1:6" x14ac:dyDescent="0.25">
      <c r="A615" s="915" t="s">
        <v>3167</v>
      </c>
      <c r="B615" s="926" t="s">
        <v>2332</v>
      </c>
      <c r="C615" s="931" t="s">
        <v>2333</v>
      </c>
      <c r="D615" s="950"/>
      <c r="E615" s="953"/>
      <c r="F615" s="951"/>
    </row>
    <row r="616" spans="1:6" x14ac:dyDescent="0.25">
      <c r="A616" s="915" t="s">
        <v>3167</v>
      </c>
      <c r="B616" s="926" t="s">
        <v>2334</v>
      </c>
      <c r="C616" s="932" t="s">
        <v>2335</v>
      </c>
      <c r="D616" s="950" t="s">
        <v>727</v>
      </c>
      <c r="E616" s="953"/>
      <c r="F616" s="958">
        <v>525421</v>
      </c>
    </row>
    <row r="617" spans="1:6" x14ac:dyDescent="0.25">
      <c r="A617" s="915" t="s">
        <v>3167</v>
      </c>
      <c r="B617" s="926" t="s">
        <v>2336</v>
      </c>
      <c r="C617" s="932" t="s">
        <v>2337</v>
      </c>
      <c r="D617" s="950" t="s">
        <v>727</v>
      </c>
      <c r="E617" s="953"/>
      <c r="F617" s="958">
        <v>295355</v>
      </c>
    </row>
    <row r="618" spans="1:6" x14ac:dyDescent="0.25">
      <c r="A618" s="915" t="s">
        <v>3167</v>
      </c>
      <c r="B618" s="926" t="s">
        <v>2338</v>
      </c>
      <c r="C618" s="932" t="s">
        <v>2339</v>
      </c>
      <c r="D618" s="950" t="s">
        <v>727</v>
      </c>
      <c r="E618" s="953"/>
      <c r="F618" s="958">
        <v>264265</v>
      </c>
    </row>
    <row r="619" spans="1:6" x14ac:dyDescent="0.25">
      <c r="A619" s="915" t="s">
        <v>3167</v>
      </c>
      <c r="B619" s="926" t="s">
        <v>2340</v>
      </c>
      <c r="C619" s="932" t="s">
        <v>2341</v>
      </c>
      <c r="D619" s="950" t="s">
        <v>727</v>
      </c>
      <c r="E619" s="953"/>
      <c r="F619" s="958">
        <v>69953</v>
      </c>
    </row>
    <row r="620" spans="1:6" x14ac:dyDescent="0.25">
      <c r="A620" s="915" t="s">
        <v>3167</v>
      </c>
      <c r="B620" s="926" t="s">
        <v>2342</v>
      </c>
      <c r="C620" s="932" t="s">
        <v>2343</v>
      </c>
      <c r="D620" s="950" t="s">
        <v>727</v>
      </c>
      <c r="E620" s="953"/>
      <c r="F620" s="958">
        <v>1399</v>
      </c>
    </row>
    <row r="621" spans="1:6" x14ac:dyDescent="0.25">
      <c r="A621" s="915" t="s">
        <v>3167</v>
      </c>
      <c r="B621" s="926" t="s">
        <v>2344</v>
      </c>
      <c r="C621" s="932" t="s">
        <v>2345</v>
      </c>
      <c r="D621" s="950" t="s">
        <v>727</v>
      </c>
      <c r="E621" s="953"/>
      <c r="F621" s="958">
        <v>46635</v>
      </c>
    </row>
    <row r="622" spans="1:6" x14ac:dyDescent="0.25">
      <c r="A622" s="915" t="s">
        <v>3167</v>
      </c>
      <c r="B622" s="926" t="s">
        <v>2346</v>
      </c>
      <c r="C622" s="932" t="s">
        <v>2347</v>
      </c>
      <c r="D622" s="950" t="s">
        <v>727</v>
      </c>
      <c r="E622" s="953"/>
      <c r="F622" s="958">
        <v>233175</v>
      </c>
    </row>
    <row r="623" spans="1:6" x14ac:dyDescent="0.25">
      <c r="A623" s="915" t="s">
        <v>3167</v>
      </c>
      <c r="B623" s="926" t="s">
        <v>2348</v>
      </c>
      <c r="C623" s="932" t="s">
        <v>2349</v>
      </c>
      <c r="D623" s="950" t="s">
        <v>727</v>
      </c>
      <c r="E623" s="953"/>
      <c r="F623" s="958">
        <v>10726</v>
      </c>
    </row>
    <row r="624" spans="1:6" x14ac:dyDescent="0.25">
      <c r="A624" s="915" t="s">
        <v>3167</v>
      </c>
      <c r="B624" s="926"/>
      <c r="C624" s="932"/>
      <c r="D624" s="950"/>
      <c r="E624" s="953"/>
      <c r="F624" s="951"/>
    </row>
    <row r="625" spans="1:6" x14ac:dyDescent="0.25">
      <c r="A625" s="915" t="s">
        <v>3167</v>
      </c>
      <c r="B625" s="926"/>
      <c r="C625" s="947" t="s">
        <v>2350</v>
      </c>
      <c r="D625" s="951"/>
      <c r="E625" s="953"/>
      <c r="F625" s="951"/>
    </row>
    <row r="626" spans="1:6" x14ac:dyDescent="0.25">
      <c r="A626" s="915" t="s">
        <v>3167</v>
      </c>
      <c r="B626" s="926">
        <v>13</v>
      </c>
      <c r="C626" s="926" t="s">
        <v>2351</v>
      </c>
      <c r="D626" s="950"/>
      <c r="E626" s="953"/>
      <c r="F626" s="951"/>
    </row>
    <row r="627" spans="1:6" x14ac:dyDescent="0.25">
      <c r="A627" s="915" t="s">
        <v>3167</v>
      </c>
      <c r="B627" s="926" t="s">
        <v>2352</v>
      </c>
      <c r="C627" s="931" t="s">
        <v>2353</v>
      </c>
      <c r="D627" s="950"/>
      <c r="E627" s="953"/>
      <c r="F627" s="951"/>
    </row>
    <row r="628" spans="1:6" x14ac:dyDescent="0.25">
      <c r="A628" s="915" t="s">
        <v>3167</v>
      </c>
      <c r="B628" s="926" t="s">
        <v>2354</v>
      </c>
      <c r="C628" s="932" t="s">
        <v>2355</v>
      </c>
      <c r="D628" s="950" t="s">
        <v>727</v>
      </c>
      <c r="E628" s="953"/>
      <c r="F628" s="958">
        <v>234033</v>
      </c>
    </row>
    <row r="629" spans="1:6" x14ac:dyDescent="0.25">
      <c r="A629" s="915" t="s">
        <v>3167</v>
      </c>
      <c r="B629" s="926" t="s">
        <v>2356</v>
      </c>
      <c r="C629" s="932" t="s">
        <v>2357</v>
      </c>
      <c r="D629" s="950" t="s">
        <v>727</v>
      </c>
      <c r="E629" s="953"/>
      <c r="F629" s="958">
        <v>309750</v>
      </c>
    </row>
    <row r="630" spans="1:6" x14ac:dyDescent="0.25">
      <c r="A630" s="915" t="s">
        <v>3167</v>
      </c>
      <c r="B630" s="926" t="s">
        <v>2358</v>
      </c>
      <c r="C630" s="932" t="s">
        <v>2359</v>
      </c>
      <c r="D630" s="950" t="s">
        <v>727</v>
      </c>
      <c r="E630" s="953"/>
      <c r="F630" s="958">
        <v>385466</v>
      </c>
    </row>
    <row r="631" spans="1:6" x14ac:dyDescent="0.25">
      <c r="A631" s="915" t="s">
        <v>3167</v>
      </c>
      <c r="B631" s="926" t="s">
        <v>2360</v>
      </c>
      <c r="C631" s="931" t="s">
        <v>2361</v>
      </c>
      <c r="D631" s="950"/>
      <c r="E631" s="953"/>
      <c r="F631" s="951"/>
    </row>
    <row r="632" spans="1:6" x14ac:dyDescent="0.25">
      <c r="A632" s="915" t="s">
        <v>3167</v>
      </c>
      <c r="B632" s="926" t="s">
        <v>2362</v>
      </c>
      <c r="C632" s="932" t="s">
        <v>2363</v>
      </c>
      <c r="D632" s="950" t="s">
        <v>727</v>
      </c>
      <c r="E632" s="953"/>
      <c r="F632" s="958">
        <v>419715</v>
      </c>
    </row>
    <row r="633" spans="1:6" x14ac:dyDescent="0.25">
      <c r="A633" s="915" t="s">
        <v>3167</v>
      </c>
      <c r="B633" s="926" t="s">
        <v>2364</v>
      </c>
      <c r="C633" s="932" t="s">
        <v>2365</v>
      </c>
      <c r="D633" s="950" t="s">
        <v>727</v>
      </c>
      <c r="E633" s="953"/>
      <c r="F633" s="958">
        <v>520447</v>
      </c>
    </row>
    <row r="634" spans="1:6" x14ac:dyDescent="0.25">
      <c r="A634" s="915" t="s">
        <v>3167</v>
      </c>
      <c r="B634" s="926" t="s">
        <v>2366</v>
      </c>
      <c r="C634" s="932" t="s">
        <v>2367</v>
      </c>
      <c r="D634" s="950" t="s">
        <v>727</v>
      </c>
      <c r="E634" s="953"/>
      <c r="F634" s="958">
        <v>721910</v>
      </c>
    </row>
    <row r="635" spans="1:6" x14ac:dyDescent="0.25">
      <c r="A635" s="915" t="s">
        <v>3167</v>
      </c>
      <c r="B635" s="926" t="s">
        <v>2368</v>
      </c>
      <c r="C635" s="932" t="s">
        <v>2369</v>
      </c>
      <c r="D635" s="950" t="s">
        <v>727</v>
      </c>
      <c r="E635" s="953"/>
      <c r="F635" s="958">
        <v>856219</v>
      </c>
    </row>
    <row r="636" spans="1:6" x14ac:dyDescent="0.25">
      <c r="A636" s="915" t="s">
        <v>3167</v>
      </c>
      <c r="B636" s="926"/>
      <c r="C636" s="932"/>
      <c r="D636" s="950"/>
      <c r="E636" s="953"/>
      <c r="F636" s="951"/>
    </row>
    <row r="637" spans="1:6" x14ac:dyDescent="0.25">
      <c r="A637" s="915" t="s">
        <v>3167</v>
      </c>
      <c r="B637" s="926"/>
      <c r="C637" s="947" t="s">
        <v>2370</v>
      </c>
      <c r="D637" s="951"/>
      <c r="E637" s="953"/>
      <c r="F637" s="951"/>
    </row>
    <row r="638" spans="1:6" x14ac:dyDescent="0.25">
      <c r="A638" s="915" t="s">
        <v>3167</v>
      </c>
      <c r="B638" s="926" t="s">
        <v>2371</v>
      </c>
      <c r="C638" s="926" t="s">
        <v>2372</v>
      </c>
      <c r="D638" s="950"/>
      <c r="E638" s="953"/>
      <c r="F638" s="951"/>
    </row>
    <row r="639" spans="1:6" x14ac:dyDescent="0.25">
      <c r="A639" s="915" t="s">
        <v>3167</v>
      </c>
      <c r="B639" s="926" t="s">
        <v>2373</v>
      </c>
      <c r="C639" s="931" t="s">
        <v>2374</v>
      </c>
      <c r="D639" s="950"/>
      <c r="E639" s="953"/>
      <c r="F639" s="951"/>
    </row>
    <row r="640" spans="1:6" x14ac:dyDescent="0.25">
      <c r="A640" s="915" t="s">
        <v>3167</v>
      </c>
      <c r="B640" s="926" t="s">
        <v>2375</v>
      </c>
      <c r="C640" s="932" t="s">
        <v>2376</v>
      </c>
      <c r="D640" s="950" t="s">
        <v>861</v>
      </c>
      <c r="E640" s="953"/>
      <c r="F640" s="958">
        <v>10819</v>
      </c>
    </row>
    <row r="641" spans="1:6" x14ac:dyDescent="0.25">
      <c r="A641" s="915" t="s">
        <v>3167</v>
      </c>
      <c r="B641" s="926" t="s">
        <v>2377</v>
      </c>
      <c r="C641" s="932" t="s">
        <v>2378</v>
      </c>
      <c r="D641" s="950" t="s">
        <v>950</v>
      </c>
      <c r="E641" s="953"/>
      <c r="F641" s="958">
        <v>2164</v>
      </c>
    </row>
    <row r="642" spans="1:6" x14ac:dyDescent="0.25">
      <c r="A642" s="915" t="s">
        <v>3167</v>
      </c>
      <c r="B642" s="926" t="s">
        <v>2379</v>
      </c>
      <c r="C642" s="932" t="s">
        <v>2380</v>
      </c>
      <c r="D642" s="950" t="s">
        <v>950</v>
      </c>
      <c r="E642" s="953"/>
      <c r="F642" s="958">
        <v>2434</v>
      </c>
    </row>
    <row r="643" spans="1:6" x14ac:dyDescent="0.25">
      <c r="A643" s="915" t="s">
        <v>3167</v>
      </c>
      <c r="B643" s="926" t="s">
        <v>2381</v>
      </c>
      <c r="C643" s="931" t="s">
        <v>2382</v>
      </c>
      <c r="D643" s="950"/>
      <c r="E643" s="953"/>
      <c r="F643" s="951"/>
    </row>
    <row r="644" spans="1:6" x14ac:dyDescent="0.25">
      <c r="A644" s="915" t="s">
        <v>3167</v>
      </c>
      <c r="B644" s="926" t="s">
        <v>2383</v>
      </c>
      <c r="C644" s="932" t="s">
        <v>2384</v>
      </c>
      <c r="D644" s="950" t="s">
        <v>861</v>
      </c>
      <c r="E644" s="953"/>
      <c r="F644" s="958">
        <v>17852</v>
      </c>
    </row>
    <row r="645" spans="1:6" x14ac:dyDescent="0.25">
      <c r="A645" s="915" t="s">
        <v>3167</v>
      </c>
      <c r="B645" s="926" t="s">
        <v>2385</v>
      </c>
      <c r="C645" s="932" t="s">
        <v>2386</v>
      </c>
      <c r="D645" s="950" t="s">
        <v>861</v>
      </c>
      <c r="E645" s="953"/>
      <c r="F645" s="958">
        <v>16409</v>
      </c>
    </row>
    <row r="646" spans="1:6" x14ac:dyDescent="0.25">
      <c r="A646" s="915" t="s">
        <v>3167</v>
      </c>
      <c r="B646" s="926" t="s">
        <v>2387</v>
      </c>
      <c r="C646" s="932" t="s">
        <v>2388</v>
      </c>
      <c r="D646" s="950" t="s">
        <v>861</v>
      </c>
      <c r="E646" s="953"/>
      <c r="F646" s="958">
        <v>24343</v>
      </c>
    </row>
    <row r="647" spans="1:6" x14ac:dyDescent="0.25">
      <c r="A647" s="915" t="s">
        <v>3167</v>
      </c>
      <c r="B647" s="926" t="s">
        <v>2389</v>
      </c>
      <c r="C647" s="932" t="s">
        <v>2390</v>
      </c>
      <c r="D647" s="950" t="s">
        <v>861</v>
      </c>
      <c r="E647" s="953"/>
      <c r="F647" s="958">
        <v>19835</v>
      </c>
    </row>
    <row r="648" spans="1:6" x14ac:dyDescent="0.25">
      <c r="A648" s="915" t="s">
        <v>3167</v>
      </c>
      <c r="B648" s="926" t="s">
        <v>2391</v>
      </c>
      <c r="C648" s="932" t="s">
        <v>2392</v>
      </c>
      <c r="D648" s="950" t="s">
        <v>861</v>
      </c>
      <c r="E648" s="953"/>
      <c r="F648" s="958">
        <v>45261</v>
      </c>
    </row>
    <row r="649" spans="1:6" x14ac:dyDescent="0.25">
      <c r="A649" s="915" t="s">
        <v>3167</v>
      </c>
      <c r="B649" s="926" t="s">
        <v>2393</v>
      </c>
      <c r="C649" s="932" t="s">
        <v>2394</v>
      </c>
      <c r="D649" s="950" t="s">
        <v>950</v>
      </c>
      <c r="E649" s="953"/>
      <c r="F649" s="958">
        <v>2885</v>
      </c>
    </row>
    <row r="650" spans="1:6" x14ac:dyDescent="0.25">
      <c r="A650" s="915" t="s">
        <v>3167</v>
      </c>
      <c r="B650" s="926" t="s">
        <v>2395</v>
      </c>
      <c r="C650" s="932" t="s">
        <v>2378</v>
      </c>
      <c r="D650" s="950" t="s">
        <v>950</v>
      </c>
      <c r="E650" s="953"/>
      <c r="F650" s="958">
        <v>3065</v>
      </c>
    </row>
    <row r="651" spans="1:6" x14ac:dyDescent="0.25">
      <c r="A651" s="915" t="s">
        <v>3167</v>
      </c>
      <c r="B651" s="926" t="s">
        <v>2396</v>
      </c>
      <c r="C651" s="932" t="s">
        <v>2380</v>
      </c>
      <c r="D651" s="950" t="s">
        <v>950</v>
      </c>
      <c r="E651" s="953"/>
      <c r="F651" s="958">
        <v>3606</v>
      </c>
    </row>
    <row r="652" spans="1:6" x14ac:dyDescent="0.25">
      <c r="A652" s="915" t="s">
        <v>3167</v>
      </c>
      <c r="B652" s="926" t="s">
        <v>2397</v>
      </c>
      <c r="C652" s="931" t="s">
        <v>2398</v>
      </c>
      <c r="D652" s="950"/>
      <c r="E652" s="953"/>
      <c r="F652" s="951"/>
    </row>
    <row r="653" spans="1:6" x14ac:dyDescent="0.25">
      <c r="A653" s="915" t="s">
        <v>3167</v>
      </c>
      <c r="B653" s="926" t="s">
        <v>2399</v>
      </c>
      <c r="C653" s="932" t="s">
        <v>2400</v>
      </c>
      <c r="D653" s="950" t="s">
        <v>861</v>
      </c>
      <c r="E653" s="953"/>
      <c r="F653" s="958">
        <v>21458</v>
      </c>
    </row>
    <row r="654" spans="1:6" x14ac:dyDescent="0.25">
      <c r="A654" s="915" t="s">
        <v>3167</v>
      </c>
      <c r="B654" s="926" t="s">
        <v>2401</v>
      </c>
      <c r="C654" s="932" t="s">
        <v>2402</v>
      </c>
      <c r="D654" s="950" t="s">
        <v>861</v>
      </c>
      <c r="E654" s="953"/>
      <c r="F654" s="958">
        <v>18483</v>
      </c>
    </row>
    <row r="655" spans="1:6" x14ac:dyDescent="0.25">
      <c r="A655" s="915" t="s">
        <v>3167</v>
      </c>
      <c r="B655" s="926" t="s">
        <v>2403</v>
      </c>
      <c r="C655" s="932" t="s">
        <v>2404</v>
      </c>
      <c r="D655" s="950" t="s">
        <v>950</v>
      </c>
      <c r="E655" s="953"/>
      <c r="F655" s="958">
        <v>22721</v>
      </c>
    </row>
    <row r="656" spans="1:6" x14ac:dyDescent="0.25">
      <c r="A656" s="915" t="s">
        <v>3167</v>
      </c>
      <c r="B656" s="926" t="s">
        <v>2405</v>
      </c>
      <c r="C656" s="932" t="s">
        <v>2378</v>
      </c>
      <c r="D656" s="950" t="s">
        <v>950</v>
      </c>
      <c r="E656" s="953"/>
      <c r="F656" s="958">
        <v>3065</v>
      </c>
    </row>
    <row r="657" spans="1:6" x14ac:dyDescent="0.25">
      <c r="A657" s="915" t="s">
        <v>3167</v>
      </c>
      <c r="B657" s="926" t="s">
        <v>2406</v>
      </c>
      <c r="C657" s="932" t="s">
        <v>2380</v>
      </c>
      <c r="D657" s="950" t="s">
        <v>950</v>
      </c>
      <c r="E657" s="953"/>
      <c r="F657" s="958">
        <v>3606</v>
      </c>
    </row>
    <row r="658" spans="1:6" x14ac:dyDescent="0.25">
      <c r="A658" s="915" t="s">
        <v>3167</v>
      </c>
      <c r="B658" s="926" t="s">
        <v>2407</v>
      </c>
      <c r="C658" s="931" t="s">
        <v>2408</v>
      </c>
      <c r="D658" s="950"/>
      <c r="E658" s="953"/>
      <c r="F658" s="951"/>
    </row>
    <row r="659" spans="1:6" x14ac:dyDescent="0.25">
      <c r="A659" s="915" t="s">
        <v>3167</v>
      </c>
      <c r="B659" s="926" t="s">
        <v>2409</v>
      </c>
      <c r="C659" s="932" t="s">
        <v>2410</v>
      </c>
      <c r="D659" s="950" t="s">
        <v>861</v>
      </c>
      <c r="E659" s="953"/>
      <c r="F659" s="958">
        <v>39932</v>
      </c>
    </row>
    <row r="660" spans="1:6" x14ac:dyDescent="0.25">
      <c r="A660" s="915" t="s">
        <v>3167</v>
      </c>
      <c r="B660" s="926" t="s">
        <v>2411</v>
      </c>
      <c r="C660" s="932" t="s">
        <v>2412</v>
      </c>
      <c r="D660" s="950" t="s">
        <v>861</v>
      </c>
      <c r="E660" s="953"/>
      <c r="F660" s="958">
        <v>36375</v>
      </c>
    </row>
    <row r="661" spans="1:6" x14ac:dyDescent="0.25">
      <c r="A661" s="915" t="s">
        <v>3167</v>
      </c>
      <c r="B661" s="926" t="s">
        <v>2413</v>
      </c>
      <c r="C661" s="932" t="s">
        <v>2414</v>
      </c>
      <c r="D661" s="950" t="s">
        <v>950</v>
      </c>
      <c r="E661" s="953"/>
      <c r="F661" s="958">
        <v>9234</v>
      </c>
    </row>
    <row r="662" spans="1:6" x14ac:dyDescent="0.25">
      <c r="A662" s="915" t="s">
        <v>3167</v>
      </c>
      <c r="B662" s="926" t="s">
        <v>2415</v>
      </c>
      <c r="C662" s="931" t="s">
        <v>2416</v>
      </c>
      <c r="D662" s="950"/>
      <c r="E662" s="953"/>
      <c r="F662" s="951"/>
    </row>
    <row r="663" spans="1:6" x14ac:dyDescent="0.25">
      <c r="A663" s="915" t="s">
        <v>3167</v>
      </c>
      <c r="B663" s="926" t="s">
        <v>2417</v>
      </c>
      <c r="C663" s="932" t="s">
        <v>2418</v>
      </c>
      <c r="D663" s="950" t="s">
        <v>861</v>
      </c>
      <c r="E663" s="953"/>
      <c r="F663" s="958">
        <v>6311</v>
      </c>
    </row>
    <row r="664" spans="1:6" x14ac:dyDescent="0.25">
      <c r="A664" s="915" t="s">
        <v>3167</v>
      </c>
      <c r="B664" s="926" t="s">
        <v>2419</v>
      </c>
      <c r="C664" s="931" t="s">
        <v>2420</v>
      </c>
      <c r="D664" s="950"/>
      <c r="E664" s="953"/>
      <c r="F664" s="951"/>
    </row>
    <row r="665" spans="1:6" x14ac:dyDescent="0.25">
      <c r="A665" s="915" t="s">
        <v>3167</v>
      </c>
      <c r="B665" s="926" t="s">
        <v>2421</v>
      </c>
      <c r="C665" s="932" t="s">
        <v>2422</v>
      </c>
      <c r="D665" s="950" t="s">
        <v>861</v>
      </c>
      <c r="E665" s="953"/>
      <c r="F665" s="958">
        <v>17311</v>
      </c>
    </row>
    <row r="666" spans="1:6" x14ac:dyDescent="0.25">
      <c r="A666" s="915" t="s">
        <v>3167</v>
      </c>
      <c r="B666" s="926" t="s">
        <v>2423</v>
      </c>
      <c r="C666" s="931" t="s">
        <v>2424</v>
      </c>
      <c r="D666" s="950"/>
      <c r="E666" s="953"/>
      <c r="F666" s="951"/>
    </row>
    <row r="667" spans="1:6" x14ac:dyDescent="0.25">
      <c r="A667" s="915" t="s">
        <v>3167</v>
      </c>
      <c r="B667" s="926" t="s">
        <v>2425</v>
      </c>
      <c r="C667" s="932" t="s">
        <v>2418</v>
      </c>
      <c r="D667" s="950" t="s">
        <v>861</v>
      </c>
      <c r="E667" s="953"/>
      <c r="F667" s="958">
        <v>84796</v>
      </c>
    </row>
    <row r="668" spans="1:6" x14ac:dyDescent="0.25">
      <c r="A668" s="915" t="s">
        <v>3167</v>
      </c>
      <c r="B668" s="926" t="s">
        <v>2426</v>
      </c>
      <c r="C668" s="926" t="s">
        <v>2427</v>
      </c>
      <c r="D668" s="950"/>
      <c r="E668" s="953"/>
      <c r="F668" s="951"/>
    </row>
    <row r="669" spans="1:6" x14ac:dyDescent="0.25">
      <c r="A669" s="915" t="s">
        <v>3167</v>
      </c>
      <c r="B669" s="926" t="s">
        <v>2428</v>
      </c>
      <c r="C669" s="931" t="s">
        <v>2382</v>
      </c>
      <c r="D669" s="950"/>
      <c r="E669" s="953"/>
      <c r="F669" s="951"/>
    </row>
    <row r="670" spans="1:6" x14ac:dyDescent="0.25">
      <c r="A670" s="915" t="s">
        <v>3167</v>
      </c>
      <c r="B670" s="926" t="s">
        <v>2429</v>
      </c>
      <c r="C670" s="932" t="s">
        <v>2430</v>
      </c>
      <c r="D670" s="950" t="s">
        <v>861</v>
      </c>
      <c r="E670" s="953"/>
      <c r="F670" s="958">
        <v>6311</v>
      </c>
    </row>
    <row r="671" spans="1:6" x14ac:dyDescent="0.25">
      <c r="A671" s="915" t="s">
        <v>3167</v>
      </c>
      <c r="B671" s="926" t="s">
        <v>2431</v>
      </c>
      <c r="C671" s="932" t="s">
        <v>2432</v>
      </c>
      <c r="D671" s="950" t="s">
        <v>861</v>
      </c>
      <c r="E671" s="953"/>
      <c r="F671" s="958">
        <v>9918</v>
      </c>
    </row>
    <row r="672" spans="1:6" x14ac:dyDescent="0.25">
      <c r="A672" s="915" t="s">
        <v>3167</v>
      </c>
      <c r="B672" s="926" t="s">
        <v>2433</v>
      </c>
      <c r="C672" s="932" t="s">
        <v>2434</v>
      </c>
      <c r="D672" s="950" t="s">
        <v>861</v>
      </c>
      <c r="E672" s="953"/>
      <c r="F672" s="958">
        <v>17131</v>
      </c>
    </row>
    <row r="673" spans="1:6" x14ac:dyDescent="0.25">
      <c r="A673" s="915" t="s">
        <v>3167</v>
      </c>
      <c r="B673" s="926" t="s">
        <v>2435</v>
      </c>
      <c r="C673" s="931" t="s">
        <v>2408</v>
      </c>
      <c r="D673" s="950"/>
      <c r="E673" s="953"/>
      <c r="F673" s="951"/>
    </row>
    <row r="674" spans="1:6" x14ac:dyDescent="0.25">
      <c r="A674" s="915" t="s">
        <v>3167</v>
      </c>
      <c r="B674" s="926" t="s">
        <v>2436</v>
      </c>
      <c r="C674" s="932" t="s">
        <v>2437</v>
      </c>
      <c r="D674" s="950" t="s">
        <v>861</v>
      </c>
      <c r="E674" s="953"/>
      <c r="F674" s="958">
        <v>46884</v>
      </c>
    </row>
    <row r="675" spans="1:6" x14ac:dyDescent="0.25">
      <c r="A675" s="915" t="s">
        <v>3167</v>
      </c>
      <c r="B675" s="926" t="s">
        <v>2438</v>
      </c>
      <c r="C675" s="931" t="s">
        <v>2439</v>
      </c>
      <c r="D675" s="950"/>
      <c r="E675" s="953"/>
      <c r="F675" s="951"/>
    </row>
    <row r="676" spans="1:6" x14ac:dyDescent="0.25">
      <c r="A676" s="915" t="s">
        <v>3167</v>
      </c>
      <c r="B676" s="926" t="s">
        <v>2440</v>
      </c>
      <c r="C676" s="932" t="s">
        <v>2441</v>
      </c>
      <c r="D676" s="950" t="s">
        <v>861</v>
      </c>
      <c r="E676" s="953"/>
      <c r="F676" s="958">
        <v>160331</v>
      </c>
    </row>
    <row r="677" spans="1:6" x14ac:dyDescent="0.25">
      <c r="A677" s="915" t="s">
        <v>3167</v>
      </c>
      <c r="B677" s="926" t="s">
        <v>2442</v>
      </c>
      <c r="C677" s="926" t="s">
        <v>941</v>
      </c>
      <c r="D677" s="950"/>
      <c r="E677" s="953"/>
      <c r="F677" s="951"/>
    </row>
    <row r="678" spans="1:6" x14ac:dyDescent="0.25">
      <c r="A678" s="915" t="s">
        <v>3167</v>
      </c>
      <c r="B678" s="926" t="s">
        <v>2443</v>
      </c>
      <c r="C678" s="932" t="s">
        <v>2444</v>
      </c>
      <c r="D678" s="950" t="s">
        <v>727</v>
      </c>
      <c r="E678" s="953"/>
      <c r="F678" s="958">
        <v>2344</v>
      </c>
    </row>
    <row r="679" spans="1:6" x14ac:dyDescent="0.25">
      <c r="A679" s="915" t="s">
        <v>3167</v>
      </c>
      <c r="B679" s="926" t="s">
        <v>2445</v>
      </c>
      <c r="C679" s="932" t="s">
        <v>2446</v>
      </c>
      <c r="D679" s="950" t="s">
        <v>861</v>
      </c>
      <c r="E679" s="953"/>
      <c r="F679" s="958">
        <v>44900</v>
      </c>
    </row>
    <row r="680" spans="1:6" x14ac:dyDescent="0.25">
      <c r="A680" s="915" t="s">
        <v>3167</v>
      </c>
      <c r="B680" s="926" t="s">
        <v>2447</v>
      </c>
      <c r="C680" s="932" t="s">
        <v>2448</v>
      </c>
      <c r="D680" s="950" t="s">
        <v>950</v>
      </c>
      <c r="E680" s="953"/>
      <c r="F680" s="958">
        <v>8836</v>
      </c>
    </row>
    <row r="681" spans="1:6" x14ac:dyDescent="0.25">
      <c r="A681" s="915" t="s">
        <v>3167</v>
      </c>
      <c r="B681" s="926" t="s">
        <v>2449</v>
      </c>
      <c r="C681" s="932" t="s">
        <v>2450</v>
      </c>
      <c r="D681" s="950" t="s">
        <v>950</v>
      </c>
      <c r="E681" s="953"/>
      <c r="F681" s="958">
        <v>15327</v>
      </c>
    </row>
    <row r="682" spans="1:6" x14ac:dyDescent="0.25">
      <c r="A682" s="915" t="s">
        <v>3167</v>
      </c>
      <c r="B682" s="926" t="s">
        <v>2451</v>
      </c>
      <c r="C682" s="932" t="s">
        <v>2452</v>
      </c>
      <c r="D682" s="950" t="s">
        <v>950</v>
      </c>
      <c r="E682" s="953"/>
      <c r="F682" s="958">
        <v>12713</v>
      </c>
    </row>
    <row r="683" spans="1:6" x14ac:dyDescent="0.25">
      <c r="A683" s="915" t="s">
        <v>3167</v>
      </c>
      <c r="B683" s="926"/>
      <c r="C683" s="932"/>
      <c r="D683" s="950"/>
      <c r="E683" s="953"/>
      <c r="F683" s="951"/>
    </row>
    <row r="684" spans="1:6" x14ac:dyDescent="0.25">
      <c r="A684" s="915" t="s">
        <v>3167</v>
      </c>
      <c r="B684" s="926"/>
      <c r="C684" s="947" t="s">
        <v>2453</v>
      </c>
      <c r="D684" s="951"/>
      <c r="E684" s="953"/>
      <c r="F684" s="951"/>
    </row>
    <row r="685" spans="1:6" x14ac:dyDescent="0.25">
      <c r="A685" s="915" t="s">
        <v>3167</v>
      </c>
      <c r="B685" s="926" t="s">
        <v>2454</v>
      </c>
      <c r="C685" s="926" t="s">
        <v>2455</v>
      </c>
      <c r="D685" s="950"/>
      <c r="E685" s="953"/>
      <c r="F685" s="951"/>
    </row>
    <row r="686" spans="1:6" x14ac:dyDescent="0.25">
      <c r="A686" s="915" t="s">
        <v>3167</v>
      </c>
      <c r="B686" s="926" t="s">
        <v>2456</v>
      </c>
      <c r="C686" s="932" t="s">
        <v>2457</v>
      </c>
      <c r="D686" s="950" t="s">
        <v>861</v>
      </c>
      <c r="E686" s="953"/>
      <c r="F686" s="958">
        <v>6311</v>
      </c>
    </row>
    <row r="687" spans="1:6" x14ac:dyDescent="0.25">
      <c r="A687" s="915" t="s">
        <v>3167</v>
      </c>
      <c r="B687" s="926" t="s">
        <v>2458</v>
      </c>
      <c r="C687" s="932" t="s">
        <v>2459</v>
      </c>
      <c r="D687" s="950" t="s">
        <v>950</v>
      </c>
      <c r="E687" s="953"/>
      <c r="F687" s="958">
        <v>1352</v>
      </c>
    </row>
    <row r="688" spans="1:6" x14ac:dyDescent="0.25">
      <c r="A688" s="915" t="s">
        <v>3167</v>
      </c>
      <c r="B688" s="926" t="s">
        <v>2460</v>
      </c>
      <c r="C688" s="932" t="s">
        <v>2461</v>
      </c>
      <c r="D688" s="950" t="s">
        <v>950</v>
      </c>
      <c r="E688" s="953"/>
      <c r="F688" s="958">
        <v>3606</v>
      </c>
    </row>
    <row r="689" spans="1:6" x14ac:dyDescent="0.25">
      <c r="A689" s="915" t="s">
        <v>3167</v>
      </c>
      <c r="B689" s="926" t="s">
        <v>2462</v>
      </c>
      <c r="C689" s="926" t="s">
        <v>2463</v>
      </c>
      <c r="D689" s="950"/>
      <c r="E689" s="953"/>
      <c r="F689" s="951"/>
    </row>
    <row r="690" spans="1:6" x14ac:dyDescent="0.25">
      <c r="A690" s="915" t="s">
        <v>3167</v>
      </c>
      <c r="B690" s="926" t="s">
        <v>2464</v>
      </c>
      <c r="C690" s="932" t="s">
        <v>2465</v>
      </c>
      <c r="D690" s="950" t="s">
        <v>861</v>
      </c>
      <c r="E690" s="953"/>
      <c r="F690" s="958">
        <v>4508</v>
      </c>
    </row>
    <row r="691" spans="1:6" x14ac:dyDescent="0.25">
      <c r="A691" s="915" t="s">
        <v>3167</v>
      </c>
      <c r="B691" s="926" t="s">
        <v>2466</v>
      </c>
      <c r="C691" s="932" t="s">
        <v>2467</v>
      </c>
      <c r="D691" s="950" t="s">
        <v>861</v>
      </c>
      <c r="E691" s="953"/>
      <c r="F691" s="958">
        <v>10639</v>
      </c>
    </row>
    <row r="692" spans="1:6" x14ac:dyDescent="0.25">
      <c r="A692" s="915" t="s">
        <v>3167</v>
      </c>
      <c r="B692" s="926" t="s">
        <v>2468</v>
      </c>
      <c r="C692" s="932" t="s">
        <v>2469</v>
      </c>
      <c r="D692" s="950" t="s">
        <v>861</v>
      </c>
      <c r="E692" s="953"/>
      <c r="F692" s="958">
        <v>15508</v>
      </c>
    </row>
    <row r="693" spans="1:6" x14ac:dyDescent="0.25">
      <c r="A693" s="915" t="s">
        <v>3167</v>
      </c>
      <c r="B693" s="926" t="s">
        <v>2470</v>
      </c>
      <c r="C693" s="932" t="s">
        <v>2471</v>
      </c>
      <c r="D693" s="950" t="s">
        <v>950</v>
      </c>
      <c r="E693" s="953"/>
      <c r="F693" s="958">
        <v>3235</v>
      </c>
    </row>
    <row r="694" spans="1:6" x14ac:dyDescent="0.25">
      <c r="A694" s="915" t="s">
        <v>3167</v>
      </c>
      <c r="B694" s="926"/>
      <c r="C694" s="932"/>
      <c r="D694" s="950"/>
      <c r="E694" s="953"/>
      <c r="F694" s="951"/>
    </row>
    <row r="695" spans="1:6" x14ac:dyDescent="0.25">
      <c r="A695" s="915" t="s">
        <v>3167</v>
      </c>
      <c r="B695" s="926"/>
      <c r="C695" s="947" t="s">
        <v>2472</v>
      </c>
      <c r="D695" s="951"/>
      <c r="E695" s="953"/>
      <c r="F695" s="951"/>
    </row>
    <row r="696" spans="1:6" x14ac:dyDescent="0.25">
      <c r="A696" s="915" t="s">
        <v>3167</v>
      </c>
      <c r="B696" s="926" t="s">
        <v>2473</v>
      </c>
      <c r="C696" s="926" t="s">
        <v>2474</v>
      </c>
      <c r="D696" s="950"/>
      <c r="E696" s="953"/>
      <c r="F696" s="951"/>
    </row>
    <row r="697" spans="1:6" x14ac:dyDescent="0.25">
      <c r="A697" s="915" t="s">
        <v>3167</v>
      </c>
      <c r="B697" s="926" t="s">
        <v>2475</v>
      </c>
      <c r="C697" s="931" t="s">
        <v>2476</v>
      </c>
      <c r="D697" s="950"/>
      <c r="E697" s="953"/>
      <c r="F697" s="951"/>
    </row>
    <row r="698" spans="1:6" ht="33" x14ac:dyDescent="0.25">
      <c r="A698" s="915" t="s">
        <v>3167</v>
      </c>
      <c r="B698" s="926" t="s">
        <v>2477</v>
      </c>
      <c r="C698" s="932" t="s">
        <v>2478</v>
      </c>
      <c r="D698" s="950" t="s">
        <v>861</v>
      </c>
      <c r="E698" s="953"/>
      <c r="F698" s="958">
        <v>45682</v>
      </c>
    </row>
    <row r="699" spans="1:6" ht="33" x14ac:dyDescent="0.25">
      <c r="A699" s="915" t="s">
        <v>3167</v>
      </c>
      <c r="B699" s="926" t="s">
        <v>2479</v>
      </c>
      <c r="C699" s="932" t="s">
        <v>2480</v>
      </c>
      <c r="D699" s="950" t="s">
        <v>861</v>
      </c>
      <c r="E699" s="953"/>
      <c r="F699" s="958">
        <v>42075</v>
      </c>
    </row>
    <row r="700" spans="1:6" ht="33" x14ac:dyDescent="0.25">
      <c r="A700" s="915" t="s">
        <v>3167</v>
      </c>
      <c r="B700" s="926" t="s">
        <v>2481</v>
      </c>
      <c r="C700" s="932" t="s">
        <v>2482</v>
      </c>
      <c r="D700" s="950" t="s">
        <v>861</v>
      </c>
      <c r="E700" s="953"/>
      <c r="F700" s="958">
        <v>48086</v>
      </c>
    </row>
    <row r="701" spans="1:6" x14ac:dyDescent="0.25">
      <c r="A701" s="915" t="s">
        <v>3167</v>
      </c>
      <c r="B701" s="926" t="s">
        <v>2483</v>
      </c>
      <c r="C701" s="932" t="s">
        <v>2484</v>
      </c>
      <c r="D701" s="950" t="s">
        <v>861</v>
      </c>
      <c r="E701" s="953"/>
      <c r="F701" s="958">
        <v>12021</v>
      </c>
    </row>
    <row r="702" spans="1:6" x14ac:dyDescent="0.25">
      <c r="A702" s="915" t="s">
        <v>3167</v>
      </c>
      <c r="B702" s="926" t="s">
        <v>2485</v>
      </c>
      <c r="C702" s="931" t="s">
        <v>2486</v>
      </c>
      <c r="D702" s="950"/>
      <c r="E702" s="953"/>
      <c r="F702" s="951"/>
    </row>
    <row r="703" spans="1:6" x14ac:dyDescent="0.25">
      <c r="A703" s="915" t="s">
        <v>3167</v>
      </c>
      <c r="B703" s="926" t="s">
        <v>2487</v>
      </c>
      <c r="C703" s="932" t="s">
        <v>2488</v>
      </c>
      <c r="D703" s="950" t="s">
        <v>861</v>
      </c>
      <c r="E703" s="953"/>
      <c r="F703" s="958">
        <v>45081</v>
      </c>
    </row>
    <row r="704" spans="1:6" x14ac:dyDescent="0.25">
      <c r="A704" s="915" t="s">
        <v>3167</v>
      </c>
      <c r="B704" s="926" t="s">
        <v>2489</v>
      </c>
      <c r="C704" s="932" t="s">
        <v>2490</v>
      </c>
      <c r="D704" s="950" t="s">
        <v>861</v>
      </c>
      <c r="E704" s="953"/>
      <c r="F704" s="958">
        <v>46884</v>
      </c>
    </row>
    <row r="705" spans="1:6" x14ac:dyDescent="0.25">
      <c r="A705" s="915" t="s">
        <v>3167</v>
      </c>
      <c r="B705" s="926" t="s">
        <v>2491</v>
      </c>
      <c r="C705" s="932" t="s">
        <v>2492</v>
      </c>
      <c r="D705" s="950" t="s">
        <v>861</v>
      </c>
      <c r="E705" s="953"/>
      <c r="F705" s="958">
        <v>54097</v>
      </c>
    </row>
    <row r="706" spans="1:6" x14ac:dyDescent="0.25">
      <c r="A706" s="915" t="s">
        <v>3167</v>
      </c>
      <c r="B706" s="926" t="s">
        <v>2493</v>
      </c>
      <c r="C706" s="931" t="s">
        <v>2494</v>
      </c>
      <c r="D706" s="950"/>
      <c r="E706" s="953"/>
      <c r="F706" s="951"/>
    </row>
    <row r="707" spans="1:6" x14ac:dyDescent="0.25">
      <c r="A707" s="915" t="s">
        <v>3167</v>
      </c>
      <c r="B707" s="926" t="s">
        <v>2495</v>
      </c>
      <c r="C707" s="932" t="s">
        <v>2496</v>
      </c>
      <c r="D707" s="950" t="s">
        <v>861</v>
      </c>
      <c r="E707" s="953"/>
      <c r="F707" s="958">
        <v>24589</v>
      </c>
    </row>
    <row r="708" spans="1:6" x14ac:dyDescent="0.25">
      <c r="A708" s="915" t="s">
        <v>3167</v>
      </c>
      <c r="B708" s="926" t="s">
        <v>2497</v>
      </c>
      <c r="C708" s="932" t="s">
        <v>2498</v>
      </c>
      <c r="D708" s="950" t="s">
        <v>861</v>
      </c>
      <c r="E708" s="953"/>
      <c r="F708" s="958">
        <v>37567</v>
      </c>
    </row>
    <row r="709" spans="1:6" x14ac:dyDescent="0.25">
      <c r="A709" s="915" t="s">
        <v>3167</v>
      </c>
      <c r="B709" s="926" t="s">
        <v>2499</v>
      </c>
      <c r="C709" s="932" t="s">
        <v>2500</v>
      </c>
      <c r="D709" s="950" t="s">
        <v>861</v>
      </c>
      <c r="E709" s="953"/>
      <c r="F709" s="958">
        <v>15327</v>
      </c>
    </row>
    <row r="710" spans="1:6" x14ac:dyDescent="0.25">
      <c r="A710" s="915" t="s">
        <v>3167</v>
      </c>
      <c r="B710" s="926" t="s">
        <v>2501</v>
      </c>
      <c r="C710" s="931" t="s">
        <v>2502</v>
      </c>
      <c r="D710" s="950"/>
      <c r="E710" s="953"/>
      <c r="F710" s="951"/>
    </row>
    <row r="711" spans="1:6" x14ac:dyDescent="0.25">
      <c r="A711" s="915" t="s">
        <v>3167</v>
      </c>
      <c r="B711" s="926" t="s">
        <v>2503</v>
      </c>
      <c r="C711" s="932" t="s">
        <v>2504</v>
      </c>
      <c r="D711" s="950" t="s">
        <v>861</v>
      </c>
      <c r="E711" s="953"/>
      <c r="F711" s="958">
        <v>27048</v>
      </c>
    </row>
    <row r="712" spans="1:6" x14ac:dyDescent="0.25">
      <c r="A712" s="915" t="s">
        <v>3167</v>
      </c>
      <c r="B712" s="926" t="s">
        <v>2505</v>
      </c>
      <c r="C712" s="932" t="s">
        <v>2506</v>
      </c>
      <c r="D712" s="950" t="s">
        <v>861</v>
      </c>
      <c r="E712" s="953"/>
      <c r="F712" s="958">
        <v>31556</v>
      </c>
    </row>
    <row r="713" spans="1:6" x14ac:dyDescent="0.25">
      <c r="A713" s="915" t="s">
        <v>3167</v>
      </c>
      <c r="B713" s="926" t="s">
        <v>2507</v>
      </c>
      <c r="C713" s="932" t="s">
        <v>2508</v>
      </c>
      <c r="D713" s="950" t="s">
        <v>861</v>
      </c>
      <c r="E713" s="953"/>
      <c r="F713" s="958">
        <v>22540</v>
      </c>
    </row>
    <row r="714" spans="1:6" x14ac:dyDescent="0.25">
      <c r="A714" s="915" t="s">
        <v>3167</v>
      </c>
      <c r="B714" s="926" t="s">
        <v>2509</v>
      </c>
      <c r="C714" s="932" t="s">
        <v>2510</v>
      </c>
      <c r="D714" s="950" t="s">
        <v>861</v>
      </c>
      <c r="E714" s="953"/>
      <c r="F714" s="958">
        <v>37868</v>
      </c>
    </row>
    <row r="715" spans="1:6" x14ac:dyDescent="0.25">
      <c r="A715" s="915" t="s">
        <v>3167</v>
      </c>
      <c r="B715" s="926" t="s">
        <v>2511</v>
      </c>
      <c r="C715" s="931" t="s">
        <v>2512</v>
      </c>
      <c r="D715" s="950"/>
      <c r="E715" s="953"/>
      <c r="F715" s="951"/>
    </row>
    <row r="716" spans="1:6" x14ac:dyDescent="0.25">
      <c r="A716" s="915" t="s">
        <v>3167</v>
      </c>
      <c r="B716" s="926" t="s">
        <v>2513</v>
      </c>
      <c r="C716" s="932" t="s">
        <v>2514</v>
      </c>
      <c r="D716" s="950" t="s">
        <v>861</v>
      </c>
      <c r="E716" s="953"/>
      <c r="F716" s="958">
        <v>22540</v>
      </c>
    </row>
    <row r="717" spans="1:6" x14ac:dyDescent="0.25">
      <c r="A717" s="915" t="s">
        <v>3167</v>
      </c>
      <c r="B717" s="926" t="s">
        <v>2515</v>
      </c>
      <c r="C717" s="931" t="s">
        <v>2516</v>
      </c>
      <c r="D717" s="950"/>
      <c r="E717" s="953"/>
      <c r="F717" s="951"/>
    </row>
    <row r="718" spans="1:6" x14ac:dyDescent="0.25">
      <c r="A718" s="915" t="s">
        <v>3167</v>
      </c>
      <c r="B718" s="926" t="s">
        <v>2517</v>
      </c>
      <c r="C718" s="932" t="s">
        <v>2518</v>
      </c>
      <c r="D718" s="950" t="s">
        <v>861</v>
      </c>
      <c r="E718" s="953"/>
      <c r="F718" s="958">
        <v>17100</v>
      </c>
    </row>
    <row r="719" spans="1:6" x14ac:dyDescent="0.25">
      <c r="A719" s="915" t="s">
        <v>3167</v>
      </c>
      <c r="B719" s="926" t="s">
        <v>2519</v>
      </c>
      <c r="C719" s="932" t="s">
        <v>2520</v>
      </c>
      <c r="D719" s="950" t="s">
        <v>861</v>
      </c>
      <c r="E719" s="953"/>
      <c r="F719" s="958">
        <v>5441</v>
      </c>
    </row>
    <row r="720" spans="1:6" x14ac:dyDescent="0.25">
      <c r="A720" s="915" t="s">
        <v>3167</v>
      </c>
      <c r="B720" s="926" t="s">
        <v>2521</v>
      </c>
      <c r="C720" s="932" t="s">
        <v>2522</v>
      </c>
      <c r="D720" s="950" t="s">
        <v>861</v>
      </c>
      <c r="E720" s="953"/>
      <c r="F720" s="958">
        <v>38863</v>
      </c>
    </row>
    <row r="721" spans="1:6" x14ac:dyDescent="0.25">
      <c r="A721" s="915" t="s">
        <v>3167</v>
      </c>
      <c r="B721" s="926" t="s">
        <v>2523</v>
      </c>
      <c r="C721" s="926" t="s">
        <v>2524</v>
      </c>
      <c r="D721" s="950"/>
      <c r="E721" s="953"/>
      <c r="F721" s="951"/>
    </row>
    <row r="722" spans="1:6" x14ac:dyDescent="0.25">
      <c r="A722" s="915" t="s">
        <v>3167</v>
      </c>
      <c r="B722" s="926" t="s">
        <v>2525</v>
      </c>
      <c r="C722" s="932" t="s">
        <v>2526</v>
      </c>
      <c r="D722" s="950" t="s">
        <v>727</v>
      </c>
      <c r="E722" s="953"/>
      <c r="F722" s="958">
        <v>15545</v>
      </c>
    </row>
    <row r="723" spans="1:6" ht="18" x14ac:dyDescent="0.25">
      <c r="A723" s="915" t="s">
        <v>3167</v>
      </c>
      <c r="B723" s="926" t="s">
        <v>2527</v>
      </c>
      <c r="C723" s="932" t="s">
        <v>2528</v>
      </c>
      <c r="D723" s="950" t="s">
        <v>727</v>
      </c>
      <c r="E723" s="953"/>
      <c r="F723" s="958">
        <v>23318</v>
      </c>
    </row>
    <row r="724" spans="1:6" ht="18" x14ac:dyDescent="0.25">
      <c r="A724" s="915" t="s">
        <v>3167</v>
      </c>
      <c r="B724" s="926" t="s">
        <v>2529</v>
      </c>
      <c r="C724" s="932" t="s">
        <v>2530</v>
      </c>
      <c r="D724" s="950" t="s">
        <v>727</v>
      </c>
      <c r="E724" s="953"/>
      <c r="F724" s="958">
        <v>46635</v>
      </c>
    </row>
    <row r="725" spans="1:6" x14ac:dyDescent="0.25">
      <c r="A725" s="915" t="s">
        <v>3167</v>
      </c>
      <c r="B725" s="926" t="s">
        <v>2531</v>
      </c>
      <c r="C725" s="932" t="s">
        <v>2532</v>
      </c>
      <c r="D725" s="950" t="s">
        <v>727</v>
      </c>
      <c r="E725" s="953"/>
      <c r="F725" s="958">
        <v>69953</v>
      </c>
    </row>
    <row r="726" spans="1:6" x14ac:dyDescent="0.25">
      <c r="A726" s="915" t="s">
        <v>3167</v>
      </c>
      <c r="B726" s="926" t="s">
        <v>2533</v>
      </c>
      <c r="C726" s="932" t="s">
        <v>2534</v>
      </c>
      <c r="D726" s="950" t="s">
        <v>727</v>
      </c>
      <c r="E726" s="953"/>
      <c r="F726" s="958">
        <v>93270</v>
      </c>
    </row>
    <row r="727" spans="1:6" x14ac:dyDescent="0.25">
      <c r="A727" s="915" t="s">
        <v>3167</v>
      </c>
      <c r="B727" s="926" t="s">
        <v>2535</v>
      </c>
      <c r="C727" s="926" t="s">
        <v>2536</v>
      </c>
      <c r="D727" s="950"/>
      <c r="E727" s="953"/>
      <c r="F727" s="951"/>
    </row>
    <row r="728" spans="1:6" x14ac:dyDescent="0.25">
      <c r="A728" s="915" t="s">
        <v>3167</v>
      </c>
      <c r="B728" s="926" t="s">
        <v>2537</v>
      </c>
      <c r="C728" s="931" t="s">
        <v>2538</v>
      </c>
      <c r="D728" s="950"/>
      <c r="E728" s="953"/>
      <c r="F728" s="951"/>
    </row>
    <row r="729" spans="1:6" x14ac:dyDescent="0.25">
      <c r="A729" s="915" t="s">
        <v>3167</v>
      </c>
      <c r="B729" s="926" t="s">
        <v>2539</v>
      </c>
      <c r="C729" s="932" t="s">
        <v>2540</v>
      </c>
      <c r="D729" s="950" t="s">
        <v>861</v>
      </c>
      <c r="E729" s="953"/>
      <c r="F729" s="958">
        <v>321104</v>
      </c>
    </row>
    <row r="730" spans="1:6" x14ac:dyDescent="0.25">
      <c r="A730" s="915" t="s">
        <v>3167</v>
      </c>
      <c r="B730" s="926" t="s">
        <v>2541</v>
      </c>
      <c r="C730" s="932" t="s">
        <v>2542</v>
      </c>
      <c r="D730" s="950" t="s">
        <v>861</v>
      </c>
      <c r="E730" s="953"/>
      <c r="F730" s="958">
        <v>221113</v>
      </c>
    </row>
    <row r="731" spans="1:6" x14ac:dyDescent="0.25">
      <c r="A731" s="915" t="s">
        <v>3167</v>
      </c>
      <c r="B731" s="926" t="s">
        <v>2543</v>
      </c>
      <c r="C731" s="931" t="s">
        <v>1149</v>
      </c>
      <c r="D731" s="950"/>
      <c r="E731" s="953"/>
      <c r="F731" s="951"/>
    </row>
    <row r="732" spans="1:6" x14ac:dyDescent="0.25">
      <c r="A732" s="915" t="s">
        <v>3167</v>
      </c>
      <c r="B732" s="926" t="s">
        <v>2544</v>
      </c>
      <c r="C732" s="932" t="s">
        <v>2540</v>
      </c>
      <c r="D732" s="950" t="s">
        <v>861</v>
      </c>
      <c r="E732" s="953"/>
      <c r="F732" s="958">
        <v>201377</v>
      </c>
    </row>
    <row r="733" spans="1:6" x14ac:dyDescent="0.25">
      <c r="A733" s="915" t="s">
        <v>3167</v>
      </c>
      <c r="B733" s="926" t="s">
        <v>2545</v>
      </c>
      <c r="C733" s="932" t="s">
        <v>2542</v>
      </c>
      <c r="D733" s="950" t="s">
        <v>861</v>
      </c>
      <c r="E733" s="953"/>
      <c r="F733" s="958">
        <v>135004</v>
      </c>
    </row>
    <row r="734" spans="1:6" x14ac:dyDescent="0.25">
      <c r="A734" s="915" t="s">
        <v>3167</v>
      </c>
      <c r="B734" s="926" t="s">
        <v>2546</v>
      </c>
      <c r="C734" s="932" t="s">
        <v>2547</v>
      </c>
      <c r="D734" s="950" t="s">
        <v>861</v>
      </c>
      <c r="E734" s="953"/>
      <c r="F734" s="958">
        <v>67502</v>
      </c>
    </row>
    <row r="735" spans="1:6" x14ac:dyDescent="0.25">
      <c r="A735" s="915" t="s">
        <v>3167</v>
      </c>
      <c r="B735" s="926" t="s">
        <v>2548</v>
      </c>
      <c r="C735" s="932" t="s">
        <v>2549</v>
      </c>
      <c r="D735" s="950" t="s">
        <v>861</v>
      </c>
      <c r="E735" s="953"/>
      <c r="F735" s="958">
        <v>173576</v>
      </c>
    </row>
    <row r="736" spans="1:6" x14ac:dyDescent="0.25">
      <c r="A736" s="915" t="s">
        <v>3167</v>
      </c>
      <c r="B736" s="926" t="s">
        <v>2550</v>
      </c>
      <c r="C736" s="932" t="s">
        <v>2551</v>
      </c>
      <c r="D736" s="950" t="s">
        <v>861</v>
      </c>
      <c r="E736" s="953"/>
      <c r="F736" s="958">
        <v>60002</v>
      </c>
    </row>
    <row r="737" spans="1:6" x14ac:dyDescent="0.25">
      <c r="A737" s="915" t="s">
        <v>3167</v>
      </c>
      <c r="B737" s="926" t="s">
        <v>2552</v>
      </c>
      <c r="C737" s="932" t="s">
        <v>2553</v>
      </c>
      <c r="D737" s="950" t="s">
        <v>861</v>
      </c>
      <c r="E737" s="953"/>
      <c r="F737" s="958">
        <v>176790</v>
      </c>
    </row>
    <row r="738" spans="1:6" x14ac:dyDescent="0.25">
      <c r="A738" s="915" t="s">
        <v>3167</v>
      </c>
      <c r="B738" s="926" t="s">
        <v>2554</v>
      </c>
      <c r="C738" s="931" t="s">
        <v>2555</v>
      </c>
      <c r="D738" s="950"/>
      <c r="E738" s="953"/>
      <c r="F738" s="951"/>
    </row>
    <row r="739" spans="1:6" x14ac:dyDescent="0.25">
      <c r="A739" s="915" t="s">
        <v>3167</v>
      </c>
      <c r="B739" s="926" t="s">
        <v>2556</v>
      </c>
      <c r="C739" s="932" t="s">
        <v>2540</v>
      </c>
      <c r="D739" s="950"/>
      <c r="E739" s="953"/>
      <c r="F739" s="951"/>
    </row>
    <row r="740" spans="1:6" ht="16.5" customHeight="1" x14ac:dyDescent="0.25">
      <c r="A740" s="915" t="s">
        <v>3167</v>
      </c>
      <c r="B740" s="926" t="s">
        <v>2557</v>
      </c>
      <c r="C740" s="946" t="s">
        <v>2558</v>
      </c>
      <c r="D740" s="950" t="s">
        <v>727</v>
      </c>
      <c r="E740" s="953"/>
      <c r="F740" s="958">
        <v>569086</v>
      </c>
    </row>
    <row r="741" spans="1:6" ht="16.5" customHeight="1" x14ac:dyDescent="0.25">
      <c r="A741" s="915" t="s">
        <v>3167</v>
      </c>
      <c r="B741" s="926" t="s">
        <v>2559</v>
      </c>
      <c r="C741" s="946" t="s">
        <v>2560</v>
      </c>
      <c r="D741" s="950" t="s">
        <v>727</v>
      </c>
      <c r="E741" s="953"/>
      <c r="F741" s="958">
        <v>581056</v>
      </c>
    </row>
    <row r="742" spans="1:6" ht="16.5" customHeight="1" x14ac:dyDescent="0.25">
      <c r="A742" s="915" t="s">
        <v>3167</v>
      </c>
      <c r="B742" s="926" t="s">
        <v>2561</v>
      </c>
      <c r="C742" s="946" t="s">
        <v>2562</v>
      </c>
      <c r="D742" s="950" t="s">
        <v>727</v>
      </c>
      <c r="E742" s="953"/>
      <c r="F742" s="958">
        <v>593026</v>
      </c>
    </row>
    <row r="743" spans="1:6" ht="16.5" customHeight="1" x14ac:dyDescent="0.25">
      <c r="A743" s="915" t="s">
        <v>3167</v>
      </c>
      <c r="B743" s="926" t="s">
        <v>2563</v>
      </c>
      <c r="C743" s="932" t="s">
        <v>2564</v>
      </c>
      <c r="D743" s="950"/>
      <c r="E743" s="953"/>
      <c r="F743" s="951"/>
    </row>
    <row r="744" spans="1:6" ht="16.5" customHeight="1" x14ac:dyDescent="0.25">
      <c r="A744" s="915" t="s">
        <v>3167</v>
      </c>
      <c r="B744" s="926" t="s">
        <v>2565</v>
      </c>
      <c r="C744" s="946" t="s">
        <v>2566</v>
      </c>
      <c r="D744" s="950" t="s">
        <v>727</v>
      </c>
      <c r="E744" s="953"/>
      <c r="F744" s="958">
        <v>558325</v>
      </c>
    </row>
    <row r="745" spans="1:6" ht="16.5" customHeight="1" x14ac:dyDescent="0.25">
      <c r="A745" s="915" t="s">
        <v>3167</v>
      </c>
      <c r="B745" s="926" t="s">
        <v>2567</v>
      </c>
      <c r="C745" s="946" t="s">
        <v>2568</v>
      </c>
      <c r="D745" s="950" t="s">
        <v>727</v>
      </c>
      <c r="E745" s="953"/>
      <c r="F745" s="958">
        <v>576273</v>
      </c>
    </row>
    <row r="746" spans="1:6" ht="16.5" customHeight="1" x14ac:dyDescent="0.25">
      <c r="A746" s="915" t="s">
        <v>3167</v>
      </c>
      <c r="B746" s="926" t="s">
        <v>2569</v>
      </c>
      <c r="C746" s="946" t="s">
        <v>2570</v>
      </c>
      <c r="D746" s="950" t="s">
        <v>727</v>
      </c>
      <c r="E746" s="953"/>
      <c r="F746" s="958">
        <v>588232</v>
      </c>
    </row>
    <row r="747" spans="1:6" ht="16.5" customHeight="1" x14ac:dyDescent="0.25">
      <c r="A747" s="915" t="s">
        <v>3167</v>
      </c>
      <c r="B747" s="926" t="s">
        <v>2571</v>
      </c>
      <c r="C747" s="931" t="s">
        <v>2572</v>
      </c>
      <c r="D747" s="950"/>
      <c r="E747" s="953"/>
      <c r="F747" s="951"/>
    </row>
    <row r="748" spans="1:6" ht="16.5" customHeight="1" x14ac:dyDescent="0.25">
      <c r="A748" s="915" t="s">
        <v>3167</v>
      </c>
      <c r="B748" s="926" t="s">
        <v>2573</v>
      </c>
      <c r="C748" s="932" t="s">
        <v>2540</v>
      </c>
      <c r="D748" s="950"/>
      <c r="E748" s="953"/>
      <c r="F748" s="951"/>
    </row>
    <row r="749" spans="1:6" ht="16.5" customHeight="1" x14ac:dyDescent="0.25">
      <c r="A749" s="915" t="s">
        <v>3167</v>
      </c>
      <c r="B749" s="926" t="s">
        <v>2574</v>
      </c>
      <c r="C749" s="946" t="s">
        <v>2575</v>
      </c>
      <c r="D749" s="950" t="s">
        <v>727</v>
      </c>
      <c r="E749" s="953"/>
      <c r="F749" s="958">
        <v>349483</v>
      </c>
    </row>
    <row r="750" spans="1:6" ht="16.5" customHeight="1" x14ac:dyDescent="0.25">
      <c r="A750" s="915" t="s">
        <v>3167</v>
      </c>
      <c r="B750" s="926" t="s">
        <v>2576</v>
      </c>
      <c r="C750" s="946" t="s">
        <v>2577</v>
      </c>
      <c r="D750" s="950" t="s">
        <v>727</v>
      </c>
      <c r="E750" s="953"/>
      <c r="F750" s="958">
        <v>358452</v>
      </c>
    </row>
    <row r="751" spans="1:6" ht="16.5" customHeight="1" x14ac:dyDescent="0.25">
      <c r="A751" s="915" t="s">
        <v>3167</v>
      </c>
      <c r="B751" s="926" t="s">
        <v>2578</v>
      </c>
      <c r="C751" s="946" t="s">
        <v>2579</v>
      </c>
      <c r="D751" s="950" t="s">
        <v>727</v>
      </c>
      <c r="E751" s="953"/>
      <c r="F751" s="958">
        <v>375210</v>
      </c>
    </row>
    <row r="752" spans="1:6" ht="16.5" customHeight="1" x14ac:dyDescent="0.25">
      <c r="A752" s="915" t="s">
        <v>3167</v>
      </c>
      <c r="B752" s="926" t="s">
        <v>2580</v>
      </c>
      <c r="C752" s="946" t="s">
        <v>2581</v>
      </c>
      <c r="D752" s="950" t="s">
        <v>727</v>
      </c>
      <c r="E752" s="953"/>
      <c r="F752" s="958">
        <v>382993</v>
      </c>
    </row>
    <row r="753" spans="1:6" ht="16.5" customHeight="1" x14ac:dyDescent="0.25">
      <c r="A753" s="915" t="s">
        <v>3167</v>
      </c>
      <c r="B753" s="926" t="s">
        <v>2582</v>
      </c>
      <c r="C753" s="946" t="s">
        <v>1168</v>
      </c>
      <c r="D753" s="950" t="s">
        <v>727</v>
      </c>
      <c r="E753" s="953"/>
      <c r="F753" s="958">
        <v>390179</v>
      </c>
    </row>
    <row r="754" spans="1:6" x14ac:dyDescent="0.25">
      <c r="A754" s="915" t="s">
        <v>3167</v>
      </c>
      <c r="B754" s="926" t="s">
        <v>2583</v>
      </c>
      <c r="C754" s="931" t="s">
        <v>1176</v>
      </c>
      <c r="D754" s="950"/>
      <c r="E754" s="953"/>
      <c r="F754" s="951"/>
    </row>
    <row r="755" spans="1:6" x14ac:dyDescent="0.25">
      <c r="A755" s="915" t="s">
        <v>3167</v>
      </c>
      <c r="B755" s="926" t="s">
        <v>2584</v>
      </c>
      <c r="C755" s="932" t="s">
        <v>2585</v>
      </c>
      <c r="D755" s="950" t="s">
        <v>861</v>
      </c>
      <c r="E755" s="953"/>
      <c r="F755" s="958">
        <v>128639</v>
      </c>
    </row>
    <row r="756" spans="1:6" x14ac:dyDescent="0.25">
      <c r="A756" s="915" t="s">
        <v>3167</v>
      </c>
      <c r="B756" s="926" t="s">
        <v>2586</v>
      </c>
      <c r="C756" s="932" t="s">
        <v>1180</v>
      </c>
      <c r="D756" s="950" t="s">
        <v>727</v>
      </c>
      <c r="E756" s="953"/>
      <c r="F756" s="958">
        <v>346435</v>
      </c>
    </row>
    <row r="757" spans="1:6" x14ac:dyDescent="0.25">
      <c r="A757" s="915" t="s">
        <v>3167</v>
      </c>
      <c r="B757" s="926"/>
      <c r="C757" s="932"/>
      <c r="D757" s="950"/>
      <c r="E757" s="953"/>
      <c r="F757" s="951"/>
    </row>
    <row r="758" spans="1:6" x14ac:dyDescent="0.25">
      <c r="A758" s="915" t="s">
        <v>3167</v>
      </c>
      <c r="B758" s="926"/>
      <c r="C758" s="947" t="s">
        <v>2587</v>
      </c>
      <c r="D758" s="951"/>
      <c r="E758" s="953"/>
      <c r="F758" s="951"/>
    </row>
    <row r="759" spans="1:6" x14ac:dyDescent="0.25">
      <c r="A759" s="915" t="s">
        <v>3167</v>
      </c>
      <c r="B759" s="926" t="s">
        <v>2588</v>
      </c>
      <c r="C759" s="926" t="s">
        <v>2589</v>
      </c>
      <c r="D759" s="950"/>
      <c r="E759" s="953"/>
      <c r="F759" s="951"/>
    </row>
    <row r="760" spans="1:6" x14ac:dyDescent="0.25">
      <c r="A760" s="915" t="s">
        <v>3167</v>
      </c>
      <c r="B760" s="926" t="s">
        <v>2590</v>
      </c>
      <c r="C760" s="932" t="s">
        <v>2591</v>
      </c>
      <c r="D760" s="950" t="s">
        <v>861</v>
      </c>
      <c r="E760" s="953"/>
      <c r="F760" s="958">
        <v>7664</v>
      </c>
    </row>
    <row r="761" spans="1:6" x14ac:dyDescent="0.25">
      <c r="A761" s="915" t="s">
        <v>3167</v>
      </c>
      <c r="B761" s="926" t="s">
        <v>2592</v>
      </c>
      <c r="C761" s="932" t="s">
        <v>2593</v>
      </c>
      <c r="D761" s="950" t="s">
        <v>861</v>
      </c>
      <c r="E761" s="953"/>
      <c r="F761" s="958">
        <v>9918</v>
      </c>
    </row>
    <row r="762" spans="1:6" x14ac:dyDescent="0.25">
      <c r="A762" s="915" t="s">
        <v>3167</v>
      </c>
      <c r="B762" s="926" t="s">
        <v>2594</v>
      </c>
      <c r="C762" s="932" t="s">
        <v>2595</v>
      </c>
      <c r="D762" s="950" t="s">
        <v>861</v>
      </c>
      <c r="E762" s="953"/>
      <c r="F762" s="958">
        <v>10369</v>
      </c>
    </row>
    <row r="763" spans="1:6" x14ac:dyDescent="0.25">
      <c r="A763" s="915" t="s">
        <v>3167</v>
      </c>
      <c r="B763" s="926" t="s">
        <v>2596</v>
      </c>
      <c r="C763" s="932" t="s">
        <v>2597</v>
      </c>
      <c r="D763" s="950" t="s">
        <v>861</v>
      </c>
      <c r="E763" s="953"/>
      <c r="F763" s="958">
        <v>10098</v>
      </c>
    </row>
    <row r="764" spans="1:6" x14ac:dyDescent="0.25">
      <c r="A764" s="915" t="s">
        <v>3167</v>
      </c>
      <c r="B764" s="926" t="s">
        <v>2598</v>
      </c>
      <c r="C764" s="932" t="s">
        <v>2599</v>
      </c>
      <c r="D764" s="950" t="s">
        <v>861</v>
      </c>
      <c r="E764" s="953"/>
      <c r="F764" s="958">
        <v>11270</v>
      </c>
    </row>
    <row r="765" spans="1:6" x14ac:dyDescent="0.25">
      <c r="A765" s="915" t="s">
        <v>3167</v>
      </c>
      <c r="B765" s="926" t="s">
        <v>2600</v>
      </c>
      <c r="C765" s="932" t="s">
        <v>2601</v>
      </c>
      <c r="D765" s="950" t="s">
        <v>861</v>
      </c>
      <c r="E765" s="953"/>
      <c r="F765" s="958">
        <v>12623</v>
      </c>
    </row>
    <row r="766" spans="1:6" x14ac:dyDescent="0.25">
      <c r="A766" s="915" t="s">
        <v>3167</v>
      </c>
      <c r="B766" s="926" t="s">
        <v>2602</v>
      </c>
      <c r="C766" s="932" t="s">
        <v>2603</v>
      </c>
      <c r="D766" s="950" t="s">
        <v>861</v>
      </c>
      <c r="E766" s="953"/>
      <c r="F766" s="958">
        <v>16229</v>
      </c>
    </row>
    <row r="767" spans="1:6" x14ac:dyDescent="0.25">
      <c r="A767" s="915" t="s">
        <v>3167</v>
      </c>
      <c r="B767" s="926" t="s">
        <v>2604</v>
      </c>
      <c r="C767" s="932" t="s">
        <v>2605</v>
      </c>
      <c r="D767" s="950" t="s">
        <v>861</v>
      </c>
      <c r="E767" s="953"/>
      <c r="F767" s="958">
        <v>18934</v>
      </c>
    </row>
    <row r="768" spans="1:6" x14ac:dyDescent="0.25">
      <c r="A768" s="915" t="s">
        <v>3167</v>
      </c>
      <c r="B768" s="926" t="s">
        <v>2606</v>
      </c>
      <c r="C768" s="932" t="s">
        <v>2607</v>
      </c>
      <c r="D768" s="950" t="s">
        <v>861</v>
      </c>
      <c r="E768" s="953"/>
      <c r="F768" s="958">
        <v>21639</v>
      </c>
    </row>
    <row r="769" spans="1:6" x14ac:dyDescent="0.25">
      <c r="A769" s="915" t="s">
        <v>3167</v>
      </c>
      <c r="B769" s="926" t="s">
        <v>2608</v>
      </c>
      <c r="C769" s="932" t="s">
        <v>2609</v>
      </c>
      <c r="D769" s="950" t="s">
        <v>950</v>
      </c>
      <c r="E769" s="953"/>
      <c r="F769" s="951">
        <v>270</v>
      </c>
    </row>
    <row r="770" spans="1:6" x14ac:dyDescent="0.25">
      <c r="A770" s="915" t="s">
        <v>3167</v>
      </c>
      <c r="B770" s="926" t="s">
        <v>2610</v>
      </c>
      <c r="C770" s="932" t="s">
        <v>2611</v>
      </c>
      <c r="D770" s="950" t="s">
        <v>950</v>
      </c>
      <c r="E770" s="953"/>
      <c r="F770" s="951">
        <v>180</v>
      </c>
    </row>
    <row r="771" spans="1:6" x14ac:dyDescent="0.25">
      <c r="A771" s="915" t="s">
        <v>3167</v>
      </c>
      <c r="B771" s="926" t="s">
        <v>2612</v>
      </c>
      <c r="C771" s="932" t="s">
        <v>2613</v>
      </c>
      <c r="D771" s="950" t="s">
        <v>861</v>
      </c>
      <c r="E771" s="953"/>
      <c r="F771" s="958">
        <v>3116</v>
      </c>
    </row>
    <row r="772" spans="1:6" x14ac:dyDescent="0.25">
      <c r="A772" s="915" t="s">
        <v>3167</v>
      </c>
      <c r="B772" s="926" t="s">
        <v>2614</v>
      </c>
      <c r="C772" s="926" t="s">
        <v>2615</v>
      </c>
      <c r="D772" s="950"/>
      <c r="E772" s="953"/>
      <c r="F772" s="951"/>
    </row>
    <row r="773" spans="1:6" x14ac:dyDescent="0.25">
      <c r="A773" s="915" t="s">
        <v>3167</v>
      </c>
      <c r="B773" s="926" t="s">
        <v>2616</v>
      </c>
      <c r="C773" s="932" t="s">
        <v>2617</v>
      </c>
      <c r="D773" s="950" t="s">
        <v>861</v>
      </c>
      <c r="E773" s="953"/>
      <c r="F773" s="958">
        <v>15327</v>
      </c>
    </row>
    <row r="774" spans="1:6" x14ac:dyDescent="0.25">
      <c r="A774" s="915" t="s">
        <v>3167</v>
      </c>
      <c r="B774" s="926" t="s">
        <v>2618</v>
      </c>
      <c r="C774" s="932" t="s">
        <v>2619</v>
      </c>
      <c r="D774" s="950" t="s">
        <v>861</v>
      </c>
      <c r="E774" s="953"/>
      <c r="F774" s="958">
        <v>14426</v>
      </c>
    </row>
    <row r="775" spans="1:6" x14ac:dyDescent="0.25">
      <c r="A775" s="915" t="s">
        <v>3167</v>
      </c>
      <c r="B775" s="926" t="s">
        <v>2620</v>
      </c>
      <c r="C775" s="932" t="s">
        <v>2621</v>
      </c>
      <c r="D775" s="950" t="s">
        <v>861</v>
      </c>
      <c r="E775" s="953"/>
      <c r="F775" s="958">
        <v>31556</v>
      </c>
    </row>
    <row r="776" spans="1:6" x14ac:dyDescent="0.25">
      <c r="A776" s="915" t="s">
        <v>3167</v>
      </c>
      <c r="B776" s="926" t="s">
        <v>2622</v>
      </c>
      <c r="C776" s="932" t="s">
        <v>2623</v>
      </c>
      <c r="D776" s="950" t="s">
        <v>861</v>
      </c>
      <c r="E776" s="953"/>
      <c r="F776" s="958">
        <v>46884</v>
      </c>
    </row>
    <row r="777" spans="1:6" x14ac:dyDescent="0.25">
      <c r="A777" s="915" t="s">
        <v>3167</v>
      </c>
      <c r="B777" s="926" t="s">
        <v>2624</v>
      </c>
      <c r="C777" s="932" t="s">
        <v>2625</v>
      </c>
      <c r="D777" s="950" t="s">
        <v>861</v>
      </c>
      <c r="E777" s="953"/>
      <c r="F777" s="958">
        <v>17491</v>
      </c>
    </row>
    <row r="778" spans="1:6" x14ac:dyDescent="0.25">
      <c r="A778" s="915" t="s">
        <v>3167</v>
      </c>
      <c r="B778" s="926" t="s">
        <v>2626</v>
      </c>
      <c r="C778" s="932" t="s">
        <v>2627</v>
      </c>
      <c r="D778" s="950" t="s">
        <v>861</v>
      </c>
      <c r="E778" s="953"/>
      <c r="F778" s="958">
        <v>16229</v>
      </c>
    </row>
    <row r="779" spans="1:6" x14ac:dyDescent="0.25">
      <c r="A779" s="915" t="s">
        <v>3167</v>
      </c>
      <c r="B779" s="926" t="s">
        <v>2628</v>
      </c>
      <c r="C779" s="932" t="s">
        <v>2629</v>
      </c>
      <c r="D779" s="950" t="s">
        <v>861</v>
      </c>
      <c r="E779" s="953"/>
      <c r="F779" s="958">
        <v>17131</v>
      </c>
    </row>
    <row r="780" spans="1:6" x14ac:dyDescent="0.25">
      <c r="A780" s="915" t="s">
        <v>3167</v>
      </c>
      <c r="B780" s="926" t="s">
        <v>2630</v>
      </c>
      <c r="C780" s="932" t="s">
        <v>2631</v>
      </c>
      <c r="D780" s="950" t="s">
        <v>950</v>
      </c>
      <c r="E780" s="953"/>
      <c r="F780" s="958">
        <v>6311</v>
      </c>
    </row>
    <row r="781" spans="1:6" x14ac:dyDescent="0.25">
      <c r="A781" s="915" t="s">
        <v>3167</v>
      </c>
      <c r="B781" s="926" t="s">
        <v>2632</v>
      </c>
      <c r="C781" s="926" t="s">
        <v>941</v>
      </c>
      <c r="D781" s="950"/>
      <c r="E781" s="953"/>
      <c r="F781" s="951"/>
    </row>
    <row r="782" spans="1:6" x14ac:dyDescent="0.25">
      <c r="A782" s="915" t="s">
        <v>3167</v>
      </c>
      <c r="B782" s="926" t="s">
        <v>2633</v>
      </c>
      <c r="C782" s="932" t="s">
        <v>2634</v>
      </c>
      <c r="D782" s="950" t="s">
        <v>861</v>
      </c>
      <c r="E782" s="953"/>
      <c r="F782" s="958">
        <v>40572</v>
      </c>
    </row>
    <row r="783" spans="1:6" x14ac:dyDescent="0.25">
      <c r="A783" s="915" t="s">
        <v>3167</v>
      </c>
      <c r="B783" s="926" t="s">
        <v>2635</v>
      </c>
      <c r="C783" s="932" t="s">
        <v>2636</v>
      </c>
      <c r="D783" s="950" t="s">
        <v>727</v>
      </c>
      <c r="E783" s="953"/>
      <c r="F783" s="958">
        <v>13145</v>
      </c>
    </row>
    <row r="784" spans="1:6" x14ac:dyDescent="0.25">
      <c r="A784" s="915" t="s">
        <v>3167</v>
      </c>
      <c r="B784" s="926"/>
      <c r="C784" s="932"/>
      <c r="D784" s="950"/>
      <c r="E784" s="953"/>
      <c r="F784" s="951"/>
    </row>
    <row r="785" spans="1:6" x14ac:dyDescent="0.25">
      <c r="A785" s="915" t="s">
        <v>3167</v>
      </c>
      <c r="B785" s="926"/>
      <c r="C785" s="947" t="s">
        <v>2637</v>
      </c>
      <c r="D785" s="951"/>
      <c r="E785" s="953"/>
      <c r="F785" s="951"/>
    </row>
    <row r="786" spans="1:6" x14ac:dyDescent="0.25">
      <c r="A786" s="915" t="s">
        <v>3167</v>
      </c>
      <c r="B786" s="926" t="s">
        <v>2638</v>
      </c>
      <c r="C786" s="926" t="s">
        <v>2639</v>
      </c>
      <c r="D786" s="950"/>
      <c r="E786" s="953"/>
      <c r="F786" s="951"/>
    </row>
    <row r="787" spans="1:6" x14ac:dyDescent="0.25">
      <c r="A787" s="915" t="s">
        <v>3167</v>
      </c>
      <c r="B787" s="926" t="s">
        <v>2640</v>
      </c>
      <c r="C787" s="931" t="s">
        <v>2641</v>
      </c>
      <c r="D787" s="950"/>
      <c r="E787" s="953"/>
      <c r="F787" s="951"/>
    </row>
    <row r="788" spans="1:6" x14ac:dyDescent="0.25">
      <c r="A788" s="915" t="s">
        <v>3167</v>
      </c>
      <c r="B788" s="926" t="s">
        <v>2642</v>
      </c>
      <c r="C788" s="932" t="s">
        <v>2643</v>
      </c>
      <c r="D788" s="950" t="s">
        <v>861</v>
      </c>
      <c r="E788" s="953"/>
      <c r="F788" s="951">
        <v>235</v>
      </c>
    </row>
    <row r="789" spans="1:6" x14ac:dyDescent="0.25">
      <c r="A789" s="915" t="s">
        <v>3167</v>
      </c>
      <c r="B789" s="926" t="s">
        <v>2644</v>
      </c>
      <c r="C789" s="932" t="s">
        <v>2645</v>
      </c>
      <c r="D789" s="950" t="s">
        <v>861</v>
      </c>
      <c r="E789" s="953"/>
      <c r="F789" s="951">
        <v>141</v>
      </c>
    </row>
    <row r="790" spans="1:6" x14ac:dyDescent="0.25">
      <c r="A790" s="915" t="s">
        <v>3167</v>
      </c>
      <c r="B790" s="926" t="s">
        <v>2646</v>
      </c>
      <c r="C790" s="932" t="s">
        <v>2647</v>
      </c>
      <c r="D790" s="950" t="s">
        <v>861</v>
      </c>
      <c r="E790" s="953"/>
      <c r="F790" s="951">
        <v>242</v>
      </c>
    </row>
    <row r="791" spans="1:6" x14ac:dyDescent="0.25">
      <c r="A791" s="915" t="s">
        <v>3167</v>
      </c>
      <c r="B791" s="926" t="s">
        <v>2648</v>
      </c>
      <c r="C791" s="932" t="s">
        <v>2649</v>
      </c>
      <c r="D791" s="950" t="s">
        <v>861</v>
      </c>
      <c r="E791" s="953"/>
      <c r="F791" s="951">
        <v>141</v>
      </c>
    </row>
    <row r="792" spans="1:6" x14ac:dyDescent="0.25">
      <c r="A792" s="915" t="s">
        <v>3167</v>
      </c>
      <c r="B792" s="926" t="s">
        <v>2650</v>
      </c>
      <c r="C792" s="932" t="s">
        <v>2651</v>
      </c>
      <c r="D792" s="950" t="s">
        <v>861</v>
      </c>
      <c r="E792" s="953"/>
      <c r="F792" s="951">
        <v>161</v>
      </c>
    </row>
    <row r="793" spans="1:6" x14ac:dyDescent="0.25">
      <c r="A793" s="915" t="s">
        <v>3167</v>
      </c>
      <c r="B793" s="926" t="s">
        <v>2652</v>
      </c>
      <c r="C793" s="931" t="s">
        <v>2653</v>
      </c>
      <c r="D793" s="950"/>
      <c r="E793" s="953"/>
      <c r="F793" s="951"/>
    </row>
    <row r="794" spans="1:6" x14ac:dyDescent="0.25">
      <c r="A794" s="915" t="s">
        <v>3167</v>
      </c>
      <c r="B794" s="926" t="s">
        <v>2654</v>
      </c>
      <c r="C794" s="932" t="s">
        <v>2655</v>
      </c>
      <c r="D794" s="950" t="s">
        <v>861</v>
      </c>
      <c r="E794" s="953"/>
      <c r="F794" s="958">
        <v>2885</v>
      </c>
    </row>
    <row r="795" spans="1:6" x14ac:dyDescent="0.25">
      <c r="A795" s="915" t="s">
        <v>3167</v>
      </c>
      <c r="B795" s="926" t="s">
        <v>2656</v>
      </c>
      <c r="C795" s="932" t="s">
        <v>2657</v>
      </c>
      <c r="D795" s="950" t="s">
        <v>861</v>
      </c>
      <c r="E795" s="953"/>
      <c r="F795" s="958">
        <v>1848</v>
      </c>
    </row>
    <row r="796" spans="1:6" x14ac:dyDescent="0.25">
      <c r="A796" s="915" t="s">
        <v>3167</v>
      </c>
      <c r="B796" s="926" t="s">
        <v>2658</v>
      </c>
      <c r="C796" s="932" t="s">
        <v>2659</v>
      </c>
      <c r="D796" s="950" t="s">
        <v>861</v>
      </c>
      <c r="E796" s="953"/>
      <c r="F796" s="958">
        <v>1685</v>
      </c>
    </row>
    <row r="797" spans="1:6" x14ac:dyDescent="0.25">
      <c r="A797" s="915" t="s">
        <v>3167</v>
      </c>
      <c r="B797" s="926" t="s">
        <v>2660</v>
      </c>
      <c r="C797" s="932" t="s">
        <v>2661</v>
      </c>
      <c r="D797" s="950" t="s">
        <v>861</v>
      </c>
      <c r="E797" s="953"/>
      <c r="F797" s="958">
        <v>4647</v>
      </c>
    </row>
    <row r="798" spans="1:6" x14ac:dyDescent="0.25">
      <c r="A798" s="915" t="s">
        <v>3167</v>
      </c>
      <c r="B798" s="926" t="s">
        <v>2662</v>
      </c>
      <c r="C798" s="931" t="s">
        <v>2663</v>
      </c>
      <c r="D798" s="950"/>
      <c r="E798" s="953"/>
      <c r="F798" s="951"/>
    </row>
    <row r="799" spans="1:6" x14ac:dyDescent="0.25">
      <c r="A799" s="915" t="s">
        <v>3167</v>
      </c>
      <c r="B799" s="926" t="s">
        <v>2664</v>
      </c>
      <c r="C799" s="932" t="s">
        <v>2665</v>
      </c>
      <c r="D799" s="950" t="s">
        <v>861</v>
      </c>
      <c r="E799" s="953"/>
      <c r="F799" s="958">
        <v>1685</v>
      </c>
    </row>
    <row r="800" spans="1:6" x14ac:dyDescent="0.25">
      <c r="A800" s="915" t="s">
        <v>3167</v>
      </c>
      <c r="B800" s="926" t="s">
        <v>2666</v>
      </c>
      <c r="C800" s="932" t="s">
        <v>2667</v>
      </c>
      <c r="D800" s="950" t="s">
        <v>861</v>
      </c>
      <c r="E800" s="953"/>
      <c r="F800" s="951">
        <v>985</v>
      </c>
    </row>
    <row r="801" spans="1:6" x14ac:dyDescent="0.25">
      <c r="A801" s="915" t="s">
        <v>3167</v>
      </c>
      <c r="B801" s="926" t="s">
        <v>2668</v>
      </c>
      <c r="C801" s="926" t="s">
        <v>2669</v>
      </c>
      <c r="D801" s="950"/>
      <c r="E801" s="953"/>
      <c r="F801" s="951"/>
    </row>
    <row r="802" spans="1:6" x14ac:dyDescent="0.25">
      <c r="A802" s="915" t="s">
        <v>3167</v>
      </c>
      <c r="B802" s="926" t="s">
        <v>2670</v>
      </c>
      <c r="C802" s="931" t="s">
        <v>2671</v>
      </c>
      <c r="D802" s="950"/>
      <c r="E802" s="953"/>
      <c r="F802" s="951"/>
    </row>
    <row r="803" spans="1:6" x14ac:dyDescent="0.25">
      <c r="A803" s="915" t="s">
        <v>3167</v>
      </c>
      <c r="B803" s="926" t="s">
        <v>2672</v>
      </c>
      <c r="C803" s="932" t="s">
        <v>2673</v>
      </c>
      <c r="D803" s="950" t="s">
        <v>861</v>
      </c>
      <c r="E803" s="953"/>
      <c r="F803" s="958">
        <v>1127</v>
      </c>
    </row>
    <row r="804" spans="1:6" x14ac:dyDescent="0.25">
      <c r="A804" s="915" t="s">
        <v>3167</v>
      </c>
      <c r="B804" s="926" t="s">
        <v>2674</v>
      </c>
      <c r="C804" s="931" t="s">
        <v>2675</v>
      </c>
      <c r="D804" s="950"/>
      <c r="E804" s="953"/>
      <c r="F804" s="951"/>
    </row>
    <row r="805" spans="1:6" x14ac:dyDescent="0.25">
      <c r="A805" s="915" t="s">
        <v>3167</v>
      </c>
      <c r="B805" s="926" t="s">
        <v>2676</v>
      </c>
      <c r="C805" s="932" t="s">
        <v>2677</v>
      </c>
      <c r="D805" s="950" t="s">
        <v>861</v>
      </c>
      <c r="E805" s="953"/>
      <c r="F805" s="958">
        <v>1387</v>
      </c>
    </row>
    <row r="806" spans="1:6" x14ac:dyDescent="0.25">
      <c r="A806" s="915" t="s">
        <v>3167</v>
      </c>
      <c r="B806" s="926" t="s">
        <v>2678</v>
      </c>
      <c r="C806" s="932" t="s">
        <v>2679</v>
      </c>
      <c r="D806" s="950" t="s">
        <v>861</v>
      </c>
      <c r="E806" s="953"/>
      <c r="F806" s="958">
        <v>1550</v>
      </c>
    </row>
    <row r="807" spans="1:6" x14ac:dyDescent="0.25">
      <c r="A807" s="915" t="s">
        <v>3167</v>
      </c>
      <c r="B807" s="926" t="s">
        <v>2680</v>
      </c>
      <c r="C807" s="932" t="s">
        <v>2681</v>
      </c>
      <c r="D807" s="950" t="s">
        <v>861</v>
      </c>
      <c r="E807" s="953"/>
      <c r="F807" s="951">
        <v>750</v>
      </c>
    </row>
    <row r="808" spans="1:6" x14ac:dyDescent="0.25">
      <c r="A808" s="915" t="s">
        <v>3167</v>
      </c>
      <c r="B808" s="926" t="s">
        <v>2682</v>
      </c>
      <c r="C808" s="932" t="s">
        <v>2683</v>
      </c>
      <c r="D808" s="950" t="s">
        <v>861</v>
      </c>
      <c r="E808" s="953"/>
      <c r="F808" s="951">
        <v>827</v>
      </c>
    </row>
    <row r="809" spans="1:6" x14ac:dyDescent="0.25">
      <c r="A809" s="915" t="s">
        <v>3167</v>
      </c>
      <c r="B809" s="926" t="s">
        <v>2684</v>
      </c>
      <c r="C809" s="932" t="s">
        <v>2681</v>
      </c>
      <c r="D809" s="950" t="s">
        <v>861</v>
      </c>
      <c r="E809" s="953"/>
      <c r="F809" s="951">
        <v>980</v>
      </c>
    </row>
    <row r="810" spans="1:6" x14ac:dyDescent="0.25">
      <c r="A810" s="915" t="s">
        <v>3167</v>
      </c>
      <c r="B810" s="926" t="s">
        <v>2685</v>
      </c>
      <c r="C810" s="932" t="s">
        <v>2683</v>
      </c>
      <c r="D810" s="950" t="s">
        <v>861</v>
      </c>
      <c r="E810" s="953"/>
      <c r="F810" s="958">
        <v>1052</v>
      </c>
    </row>
    <row r="811" spans="1:6" x14ac:dyDescent="0.25">
      <c r="A811" s="915" t="s">
        <v>3167</v>
      </c>
      <c r="B811" s="926" t="s">
        <v>2686</v>
      </c>
      <c r="C811" s="931" t="s">
        <v>2687</v>
      </c>
      <c r="D811" s="950"/>
      <c r="E811" s="953"/>
      <c r="F811" s="951"/>
    </row>
    <row r="812" spans="1:6" x14ac:dyDescent="0.25">
      <c r="A812" s="915" t="s">
        <v>3167</v>
      </c>
      <c r="B812" s="926" t="s">
        <v>2688</v>
      </c>
      <c r="C812" s="932" t="s">
        <v>2689</v>
      </c>
      <c r="D812" s="950" t="s">
        <v>861</v>
      </c>
      <c r="E812" s="953"/>
      <c r="F812" s="958">
        <v>13058</v>
      </c>
    </row>
    <row r="813" spans="1:6" x14ac:dyDescent="0.25">
      <c r="A813" s="915" t="s">
        <v>3167</v>
      </c>
      <c r="B813" s="926" t="s">
        <v>2690</v>
      </c>
      <c r="C813" s="932" t="s">
        <v>2691</v>
      </c>
      <c r="D813" s="950" t="s">
        <v>861</v>
      </c>
      <c r="E813" s="953"/>
      <c r="F813" s="958">
        <v>3838</v>
      </c>
    </row>
    <row r="814" spans="1:6" x14ac:dyDescent="0.25">
      <c r="A814" s="915" t="s">
        <v>3167</v>
      </c>
      <c r="B814" s="926" t="s">
        <v>2692</v>
      </c>
      <c r="C814" s="932" t="s">
        <v>2693</v>
      </c>
      <c r="D814" s="950" t="s">
        <v>861</v>
      </c>
      <c r="E814" s="953"/>
      <c r="F814" s="958">
        <v>2096</v>
      </c>
    </row>
    <row r="815" spans="1:6" x14ac:dyDescent="0.25">
      <c r="A815" s="915" t="s">
        <v>3167</v>
      </c>
      <c r="B815" s="926" t="s">
        <v>2694</v>
      </c>
      <c r="C815" s="931" t="s">
        <v>2695</v>
      </c>
      <c r="D815" s="950"/>
      <c r="E815" s="953"/>
      <c r="F815" s="951"/>
    </row>
    <row r="816" spans="1:6" x14ac:dyDescent="0.25">
      <c r="A816" s="915" t="s">
        <v>3167</v>
      </c>
      <c r="B816" s="926" t="s">
        <v>2696</v>
      </c>
      <c r="C816" s="932" t="s">
        <v>2697</v>
      </c>
      <c r="D816" s="950" t="s">
        <v>861</v>
      </c>
      <c r="E816" s="953"/>
      <c r="F816" s="958">
        <v>1318</v>
      </c>
    </row>
    <row r="817" spans="1:6" x14ac:dyDescent="0.25">
      <c r="A817" s="915" t="s">
        <v>3167</v>
      </c>
      <c r="B817" s="926" t="s">
        <v>2698</v>
      </c>
      <c r="C817" s="932" t="s">
        <v>2699</v>
      </c>
      <c r="D817" s="950" t="s">
        <v>861</v>
      </c>
      <c r="E817" s="953"/>
      <c r="F817" s="958">
        <v>1512</v>
      </c>
    </row>
    <row r="818" spans="1:6" x14ac:dyDescent="0.25">
      <c r="A818" s="915" t="s">
        <v>3167</v>
      </c>
      <c r="B818" s="926" t="s">
        <v>2700</v>
      </c>
      <c r="C818" s="931" t="s">
        <v>2701</v>
      </c>
      <c r="D818" s="950"/>
      <c r="E818" s="953"/>
      <c r="F818" s="951"/>
    </row>
    <row r="819" spans="1:6" x14ac:dyDescent="0.25">
      <c r="A819" s="915" t="s">
        <v>3167</v>
      </c>
      <c r="B819" s="926" t="s">
        <v>2702</v>
      </c>
      <c r="C819" s="932" t="s">
        <v>2703</v>
      </c>
      <c r="D819" s="950" t="s">
        <v>861</v>
      </c>
      <c r="E819" s="953"/>
      <c r="F819" s="958">
        <v>4115</v>
      </c>
    </row>
    <row r="820" spans="1:6" x14ac:dyDescent="0.25">
      <c r="A820" s="915" t="s">
        <v>3167</v>
      </c>
      <c r="B820" s="926" t="s">
        <v>2704</v>
      </c>
      <c r="C820" s="932" t="s">
        <v>2705</v>
      </c>
      <c r="D820" s="950" t="s">
        <v>861</v>
      </c>
      <c r="E820" s="953"/>
      <c r="F820" s="958">
        <v>34917</v>
      </c>
    </row>
    <row r="821" spans="1:6" x14ac:dyDescent="0.25">
      <c r="A821" s="915" t="s">
        <v>3167</v>
      </c>
      <c r="B821" s="926" t="s">
        <v>2706</v>
      </c>
      <c r="C821" s="926" t="s">
        <v>2707</v>
      </c>
      <c r="D821" s="950"/>
      <c r="E821" s="953"/>
      <c r="F821" s="951"/>
    </row>
    <row r="822" spans="1:6" x14ac:dyDescent="0.25">
      <c r="A822" s="915" t="s">
        <v>3167</v>
      </c>
      <c r="B822" s="926" t="s">
        <v>2708</v>
      </c>
      <c r="C822" s="931" t="s">
        <v>2709</v>
      </c>
      <c r="D822" s="950"/>
      <c r="E822" s="953"/>
      <c r="F822" s="951"/>
    </row>
    <row r="823" spans="1:6" x14ac:dyDescent="0.25">
      <c r="A823" s="915" t="s">
        <v>3167</v>
      </c>
      <c r="B823" s="926" t="s">
        <v>2710</v>
      </c>
      <c r="C823" s="932" t="s">
        <v>2711</v>
      </c>
      <c r="D823" s="950" t="s">
        <v>861</v>
      </c>
      <c r="E823" s="953"/>
      <c r="F823" s="951">
        <v>518</v>
      </c>
    </row>
    <row r="824" spans="1:6" x14ac:dyDescent="0.25">
      <c r="A824" s="915" t="s">
        <v>3167</v>
      </c>
      <c r="B824" s="926" t="s">
        <v>2712</v>
      </c>
      <c r="C824" s="932" t="s">
        <v>2713</v>
      </c>
      <c r="D824" s="950" t="s">
        <v>861</v>
      </c>
      <c r="E824" s="953"/>
      <c r="F824" s="951">
        <v>741</v>
      </c>
    </row>
    <row r="825" spans="1:6" x14ac:dyDescent="0.25">
      <c r="A825" s="915" t="s">
        <v>3167</v>
      </c>
      <c r="B825" s="926" t="s">
        <v>2714</v>
      </c>
      <c r="C825" s="931" t="s">
        <v>2675</v>
      </c>
      <c r="D825" s="950"/>
      <c r="E825" s="953"/>
      <c r="F825" s="951"/>
    </row>
    <row r="826" spans="1:6" x14ac:dyDescent="0.25">
      <c r="A826" s="915" t="s">
        <v>3167</v>
      </c>
      <c r="B826" s="926" t="s">
        <v>2715</v>
      </c>
      <c r="C826" s="932" t="s">
        <v>2681</v>
      </c>
      <c r="D826" s="950" t="s">
        <v>861</v>
      </c>
      <c r="E826" s="953"/>
      <c r="F826" s="958">
        <v>1346</v>
      </c>
    </row>
    <row r="827" spans="1:6" x14ac:dyDescent="0.25">
      <c r="A827" s="915" t="s">
        <v>3167</v>
      </c>
      <c r="B827" s="926" t="s">
        <v>2716</v>
      </c>
      <c r="C827" s="932" t="s">
        <v>2683</v>
      </c>
      <c r="D827" s="950" t="s">
        <v>861</v>
      </c>
      <c r="E827" s="953"/>
      <c r="F827" s="958">
        <v>1543</v>
      </c>
    </row>
    <row r="828" spans="1:6" x14ac:dyDescent="0.25">
      <c r="A828" s="915" t="s">
        <v>3167</v>
      </c>
      <c r="B828" s="926" t="s">
        <v>2717</v>
      </c>
      <c r="C828" s="932" t="s">
        <v>2718</v>
      </c>
      <c r="D828" s="950" t="s">
        <v>861</v>
      </c>
      <c r="E828" s="953"/>
      <c r="F828" s="958">
        <v>1842</v>
      </c>
    </row>
    <row r="829" spans="1:6" x14ac:dyDescent="0.25">
      <c r="A829" s="915" t="s">
        <v>3167</v>
      </c>
      <c r="B829" s="926" t="s">
        <v>2719</v>
      </c>
      <c r="C829" s="931" t="s">
        <v>2695</v>
      </c>
      <c r="D829" s="950"/>
      <c r="E829" s="953"/>
      <c r="F829" s="951"/>
    </row>
    <row r="830" spans="1:6" x14ac:dyDescent="0.25">
      <c r="A830" s="915" t="s">
        <v>3167</v>
      </c>
      <c r="B830" s="926" t="s">
        <v>2720</v>
      </c>
      <c r="C830" s="932" t="s">
        <v>2721</v>
      </c>
      <c r="D830" s="950" t="s">
        <v>861</v>
      </c>
      <c r="E830" s="953"/>
      <c r="F830" s="958">
        <v>1217</v>
      </c>
    </row>
    <row r="831" spans="1:6" x14ac:dyDescent="0.25">
      <c r="A831" s="915" t="s">
        <v>3167</v>
      </c>
      <c r="B831" s="926" t="s">
        <v>2722</v>
      </c>
      <c r="C831" s="932" t="s">
        <v>2699</v>
      </c>
      <c r="D831" s="950" t="s">
        <v>861</v>
      </c>
      <c r="E831" s="953"/>
      <c r="F831" s="958">
        <v>1283</v>
      </c>
    </row>
    <row r="832" spans="1:6" x14ac:dyDescent="0.25">
      <c r="A832" s="915" t="s">
        <v>3167</v>
      </c>
      <c r="B832" s="926" t="s">
        <v>2723</v>
      </c>
      <c r="C832" s="932" t="s">
        <v>2724</v>
      </c>
      <c r="D832" s="950" t="s">
        <v>861</v>
      </c>
      <c r="E832" s="953"/>
      <c r="F832" s="958">
        <v>1414</v>
      </c>
    </row>
    <row r="833" spans="1:6" x14ac:dyDescent="0.25">
      <c r="A833" s="915" t="s">
        <v>3167</v>
      </c>
      <c r="B833" s="926" t="s">
        <v>2725</v>
      </c>
      <c r="C833" s="932" t="s">
        <v>2681</v>
      </c>
      <c r="D833" s="950" t="s">
        <v>861</v>
      </c>
      <c r="E833" s="953"/>
      <c r="F833" s="958">
        <v>1633</v>
      </c>
    </row>
    <row r="834" spans="1:6" x14ac:dyDescent="0.25">
      <c r="A834" s="915" t="s">
        <v>3167</v>
      </c>
      <c r="B834" s="926" t="s">
        <v>2726</v>
      </c>
      <c r="C834" s="932" t="s">
        <v>2683</v>
      </c>
      <c r="D834" s="950" t="s">
        <v>861</v>
      </c>
      <c r="E834" s="953"/>
      <c r="F834" s="958">
        <v>1917</v>
      </c>
    </row>
    <row r="835" spans="1:6" x14ac:dyDescent="0.25">
      <c r="A835" s="915" t="s">
        <v>3167</v>
      </c>
      <c r="B835" s="926" t="s">
        <v>2727</v>
      </c>
      <c r="C835" s="931" t="s">
        <v>2728</v>
      </c>
      <c r="D835" s="950"/>
      <c r="E835" s="953"/>
      <c r="F835" s="951"/>
    </row>
    <row r="836" spans="1:6" x14ac:dyDescent="0.25">
      <c r="A836" s="915" t="s">
        <v>3167</v>
      </c>
      <c r="B836" s="926" t="s">
        <v>2729</v>
      </c>
      <c r="C836" s="932" t="s">
        <v>2730</v>
      </c>
      <c r="D836" s="950" t="s">
        <v>861</v>
      </c>
      <c r="E836" s="953"/>
      <c r="F836" s="958">
        <v>1042</v>
      </c>
    </row>
    <row r="837" spans="1:6" x14ac:dyDescent="0.25">
      <c r="A837" s="915" t="s">
        <v>3167</v>
      </c>
      <c r="B837" s="926" t="s">
        <v>2731</v>
      </c>
      <c r="C837" s="932" t="s">
        <v>2732</v>
      </c>
      <c r="D837" s="950" t="s">
        <v>861</v>
      </c>
      <c r="E837" s="953"/>
      <c r="F837" s="958">
        <v>1121</v>
      </c>
    </row>
    <row r="838" spans="1:6" x14ac:dyDescent="0.25">
      <c r="A838" s="915" t="s">
        <v>3167</v>
      </c>
      <c r="B838" s="926" t="s">
        <v>2733</v>
      </c>
      <c r="C838" s="932" t="s">
        <v>2734</v>
      </c>
      <c r="D838" s="950" t="s">
        <v>861</v>
      </c>
      <c r="E838" s="953"/>
      <c r="F838" s="958">
        <v>1161</v>
      </c>
    </row>
    <row r="839" spans="1:6" x14ac:dyDescent="0.25">
      <c r="A839" s="915" t="s">
        <v>3167</v>
      </c>
      <c r="B839" s="926" t="s">
        <v>2735</v>
      </c>
      <c r="C839" s="932" t="s">
        <v>2736</v>
      </c>
      <c r="D839" s="950" t="s">
        <v>861</v>
      </c>
      <c r="E839" s="953"/>
      <c r="F839" s="958">
        <v>1109</v>
      </c>
    </row>
    <row r="840" spans="1:6" x14ac:dyDescent="0.25">
      <c r="A840" s="915" t="s">
        <v>3167</v>
      </c>
      <c r="B840" s="926" t="s">
        <v>2737</v>
      </c>
      <c r="C840" s="931" t="s">
        <v>2738</v>
      </c>
      <c r="D840" s="950"/>
      <c r="E840" s="953"/>
      <c r="F840" s="951"/>
    </row>
    <row r="841" spans="1:6" x14ac:dyDescent="0.25">
      <c r="A841" s="915" t="s">
        <v>3167</v>
      </c>
      <c r="B841" s="926" t="s">
        <v>2739</v>
      </c>
      <c r="C841" s="932" t="s">
        <v>2740</v>
      </c>
      <c r="D841" s="950" t="s">
        <v>861</v>
      </c>
      <c r="E841" s="953"/>
      <c r="F841" s="958">
        <v>1588</v>
      </c>
    </row>
    <row r="842" spans="1:6" x14ac:dyDescent="0.25">
      <c r="A842" s="915" t="s">
        <v>3167</v>
      </c>
      <c r="B842" s="926" t="s">
        <v>2741</v>
      </c>
      <c r="C842" s="932" t="s">
        <v>2742</v>
      </c>
      <c r="D842" s="950" t="s">
        <v>861</v>
      </c>
      <c r="E842" s="953"/>
      <c r="F842" s="958">
        <v>1625</v>
      </c>
    </row>
    <row r="843" spans="1:6" x14ac:dyDescent="0.25">
      <c r="A843" s="915" t="s">
        <v>3167</v>
      </c>
      <c r="B843" s="926" t="s">
        <v>2743</v>
      </c>
      <c r="C843" s="932" t="s">
        <v>2744</v>
      </c>
      <c r="D843" s="950" t="s">
        <v>861</v>
      </c>
      <c r="E843" s="953"/>
      <c r="F843" s="958">
        <v>1670</v>
      </c>
    </row>
    <row r="844" spans="1:6" x14ac:dyDescent="0.25">
      <c r="A844" s="915" t="s">
        <v>3167</v>
      </c>
      <c r="B844" s="926" t="s">
        <v>2745</v>
      </c>
      <c r="C844" s="926" t="s">
        <v>2746</v>
      </c>
      <c r="D844" s="950"/>
      <c r="E844" s="953"/>
      <c r="F844" s="951"/>
    </row>
    <row r="845" spans="1:6" x14ac:dyDescent="0.25">
      <c r="A845" s="915" t="s">
        <v>3167</v>
      </c>
      <c r="B845" s="926" t="s">
        <v>2747</v>
      </c>
      <c r="C845" s="931" t="s">
        <v>2748</v>
      </c>
      <c r="D845" s="950"/>
      <c r="E845" s="953"/>
      <c r="F845" s="951"/>
    </row>
    <row r="846" spans="1:6" x14ac:dyDescent="0.25">
      <c r="A846" s="915" t="s">
        <v>3167</v>
      </c>
      <c r="B846" s="926" t="s">
        <v>2749</v>
      </c>
      <c r="C846" s="932" t="s">
        <v>2711</v>
      </c>
      <c r="D846" s="950" t="s">
        <v>861</v>
      </c>
      <c r="E846" s="953"/>
      <c r="F846" s="951">
        <v>518</v>
      </c>
    </row>
    <row r="847" spans="1:6" x14ac:dyDescent="0.25">
      <c r="A847" s="915" t="s">
        <v>3167</v>
      </c>
      <c r="B847" s="926" t="s">
        <v>2750</v>
      </c>
      <c r="C847" s="932" t="s">
        <v>2713</v>
      </c>
      <c r="D847" s="950" t="s">
        <v>861</v>
      </c>
      <c r="E847" s="953"/>
      <c r="F847" s="951">
        <v>741</v>
      </c>
    </row>
    <row r="848" spans="1:6" x14ac:dyDescent="0.25">
      <c r="A848" s="915" t="s">
        <v>3167</v>
      </c>
      <c r="B848" s="926" t="s">
        <v>2751</v>
      </c>
      <c r="C848" s="931" t="s">
        <v>2752</v>
      </c>
      <c r="D848" s="950"/>
      <c r="E848" s="953"/>
      <c r="F848" s="951"/>
    </row>
    <row r="849" spans="1:6" x14ac:dyDescent="0.25">
      <c r="A849" s="915" t="s">
        <v>3167</v>
      </c>
      <c r="B849" s="926" t="s">
        <v>2753</v>
      </c>
      <c r="C849" s="932" t="s">
        <v>2754</v>
      </c>
      <c r="D849" s="950" t="s">
        <v>861</v>
      </c>
      <c r="E849" s="953"/>
      <c r="F849" s="958">
        <v>1999</v>
      </c>
    </row>
    <row r="850" spans="1:6" x14ac:dyDescent="0.25">
      <c r="A850" s="915" t="s">
        <v>3167</v>
      </c>
      <c r="B850" s="926" t="s">
        <v>2755</v>
      </c>
      <c r="C850" s="932" t="s">
        <v>2756</v>
      </c>
      <c r="D850" s="950" t="s">
        <v>861</v>
      </c>
      <c r="E850" s="953"/>
      <c r="F850" s="958">
        <v>1702</v>
      </c>
    </row>
    <row r="851" spans="1:6" x14ac:dyDescent="0.25">
      <c r="A851" s="915" t="s">
        <v>3167</v>
      </c>
      <c r="B851" s="926" t="s">
        <v>2757</v>
      </c>
      <c r="C851" s="931" t="s">
        <v>2758</v>
      </c>
      <c r="D851" s="950"/>
      <c r="E851" s="953"/>
      <c r="F851" s="951"/>
    </row>
    <row r="852" spans="1:6" x14ac:dyDescent="0.25">
      <c r="A852" s="915" t="s">
        <v>3167</v>
      </c>
      <c r="B852" s="926" t="s">
        <v>2759</v>
      </c>
      <c r="C852" s="932" t="s">
        <v>2760</v>
      </c>
      <c r="D852" s="950" t="s">
        <v>861</v>
      </c>
      <c r="E852" s="953"/>
      <c r="F852" s="958">
        <v>3391</v>
      </c>
    </row>
    <row r="853" spans="1:6" x14ac:dyDescent="0.25">
      <c r="A853" s="915" t="s">
        <v>3167</v>
      </c>
      <c r="B853" s="926" t="s">
        <v>2761</v>
      </c>
      <c r="C853" s="932" t="s">
        <v>2762</v>
      </c>
      <c r="D853" s="950" t="s">
        <v>861</v>
      </c>
      <c r="E853" s="953"/>
      <c r="F853" s="958">
        <v>6975</v>
      </c>
    </row>
    <row r="854" spans="1:6" x14ac:dyDescent="0.25">
      <c r="A854" s="915" t="s">
        <v>3167</v>
      </c>
      <c r="B854" s="926" t="s">
        <v>2763</v>
      </c>
      <c r="C854" s="931" t="s">
        <v>2764</v>
      </c>
      <c r="D854" s="950"/>
      <c r="E854" s="953"/>
      <c r="F854" s="951"/>
    </row>
    <row r="855" spans="1:6" x14ac:dyDescent="0.25">
      <c r="A855" s="915" t="s">
        <v>3167</v>
      </c>
      <c r="B855" s="926" t="s">
        <v>2765</v>
      </c>
      <c r="C855" s="932" t="s">
        <v>2766</v>
      </c>
      <c r="D855" s="950" t="s">
        <v>861</v>
      </c>
      <c r="E855" s="953"/>
      <c r="F855" s="958">
        <v>7068</v>
      </c>
    </row>
    <row r="856" spans="1:6" x14ac:dyDescent="0.25">
      <c r="A856" s="915" t="s">
        <v>3167</v>
      </c>
      <c r="B856" s="926" t="s">
        <v>2767</v>
      </c>
      <c r="C856" s="932" t="s">
        <v>2768</v>
      </c>
      <c r="D856" s="950" t="s">
        <v>861</v>
      </c>
      <c r="E856" s="953"/>
      <c r="F856" s="958">
        <v>2085</v>
      </c>
    </row>
    <row r="857" spans="1:6" x14ac:dyDescent="0.25">
      <c r="A857" s="915" t="s">
        <v>3167</v>
      </c>
      <c r="B857" s="926" t="s">
        <v>2769</v>
      </c>
      <c r="C857" s="932" t="s">
        <v>2770</v>
      </c>
      <c r="D857" s="950" t="s">
        <v>861</v>
      </c>
      <c r="E857" s="953"/>
      <c r="F857" s="958">
        <v>2178</v>
      </c>
    </row>
    <row r="858" spans="1:6" x14ac:dyDescent="0.25">
      <c r="A858" s="915" t="s">
        <v>3167</v>
      </c>
      <c r="B858" s="926" t="s">
        <v>2771</v>
      </c>
      <c r="C858" s="932" t="s">
        <v>2772</v>
      </c>
      <c r="D858" s="950" t="s">
        <v>861</v>
      </c>
      <c r="E858" s="953"/>
      <c r="F858" s="958">
        <v>2614</v>
      </c>
    </row>
    <row r="859" spans="1:6" x14ac:dyDescent="0.25">
      <c r="A859" s="915" t="s">
        <v>3167</v>
      </c>
      <c r="B859" s="926" t="s">
        <v>2773</v>
      </c>
      <c r="C859" s="932" t="s">
        <v>2774</v>
      </c>
      <c r="D859" s="950" t="s">
        <v>861</v>
      </c>
      <c r="E859" s="953"/>
      <c r="F859" s="958">
        <v>2103</v>
      </c>
    </row>
    <row r="860" spans="1:6" x14ac:dyDescent="0.25">
      <c r="A860" s="915" t="s">
        <v>3167</v>
      </c>
      <c r="B860" s="926" t="s">
        <v>2775</v>
      </c>
      <c r="C860" s="932" t="s">
        <v>2776</v>
      </c>
      <c r="D860" s="950" t="s">
        <v>861</v>
      </c>
      <c r="E860" s="953"/>
      <c r="F860" s="958">
        <v>2350</v>
      </c>
    </row>
    <row r="861" spans="1:6" x14ac:dyDescent="0.25">
      <c r="A861" s="915" t="s">
        <v>3167</v>
      </c>
      <c r="B861" s="926" t="s">
        <v>2777</v>
      </c>
      <c r="C861" s="932" t="s">
        <v>2778</v>
      </c>
      <c r="D861" s="950" t="s">
        <v>861</v>
      </c>
      <c r="E861" s="953"/>
      <c r="F861" s="958">
        <v>2573</v>
      </c>
    </row>
    <row r="862" spans="1:6" x14ac:dyDescent="0.25">
      <c r="A862" s="915" t="s">
        <v>3167</v>
      </c>
      <c r="B862" s="926" t="s">
        <v>2779</v>
      </c>
      <c r="C862" s="926" t="s">
        <v>2780</v>
      </c>
      <c r="D862" s="950"/>
      <c r="E862" s="953"/>
      <c r="F862" s="951"/>
    </row>
    <row r="863" spans="1:6" x14ac:dyDescent="0.25">
      <c r="A863" s="915" t="s">
        <v>3167</v>
      </c>
      <c r="B863" s="926" t="s">
        <v>2781</v>
      </c>
      <c r="C863" s="931" t="s">
        <v>2782</v>
      </c>
      <c r="D863" s="950"/>
      <c r="E863" s="953"/>
      <c r="F863" s="951"/>
    </row>
    <row r="864" spans="1:6" x14ac:dyDescent="0.25">
      <c r="A864" s="915" t="s">
        <v>3167</v>
      </c>
      <c r="B864" s="926" t="s">
        <v>2783</v>
      </c>
      <c r="C864" s="932" t="s">
        <v>2784</v>
      </c>
      <c r="D864" s="950" t="s">
        <v>861</v>
      </c>
      <c r="E864" s="953"/>
      <c r="F864" s="958">
        <v>4732</v>
      </c>
    </row>
    <row r="865" spans="1:6" x14ac:dyDescent="0.25">
      <c r="A865" s="915" t="s">
        <v>3167</v>
      </c>
      <c r="B865" s="926" t="s">
        <v>2785</v>
      </c>
      <c r="C865" s="932" t="s">
        <v>2786</v>
      </c>
      <c r="D865" s="950" t="s">
        <v>861</v>
      </c>
      <c r="E865" s="953"/>
      <c r="F865" s="958">
        <v>4110</v>
      </c>
    </row>
    <row r="866" spans="1:6" x14ac:dyDescent="0.25">
      <c r="A866" s="915" t="s">
        <v>3167</v>
      </c>
      <c r="B866" s="926" t="s">
        <v>2787</v>
      </c>
      <c r="C866" s="932" t="s">
        <v>2788</v>
      </c>
      <c r="D866" s="950" t="s">
        <v>861</v>
      </c>
      <c r="E866" s="953"/>
      <c r="F866" s="958">
        <v>3565</v>
      </c>
    </row>
    <row r="867" spans="1:6" x14ac:dyDescent="0.25">
      <c r="A867" s="915" t="s">
        <v>3167</v>
      </c>
      <c r="B867" s="926" t="s">
        <v>2789</v>
      </c>
      <c r="C867" s="931" t="s">
        <v>2790</v>
      </c>
      <c r="D867" s="950"/>
      <c r="E867" s="953"/>
      <c r="F867" s="951"/>
    </row>
    <row r="868" spans="1:6" x14ac:dyDescent="0.25">
      <c r="A868" s="915" t="s">
        <v>3167</v>
      </c>
      <c r="B868" s="926" t="s">
        <v>2791</v>
      </c>
      <c r="C868" s="932" t="s">
        <v>2792</v>
      </c>
      <c r="D868" s="950" t="s">
        <v>861</v>
      </c>
      <c r="E868" s="953"/>
      <c r="F868" s="958">
        <v>1459</v>
      </c>
    </row>
    <row r="869" spans="1:6" x14ac:dyDescent="0.25">
      <c r="A869" s="915" t="s">
        <v>3167</v>
      </c>
      <c r="B869" s="926" t="s">
        <v>2793</v>
      </c>
      <c r="C869" s="932" t="s">
        <v>2794</v>
      </c>
      <c r="D869" s="950" t="s">
        <v>861</v>
      </c>
      <c r="E869" s="953"/>
      <c r="F869" s="958">
        <v>2183</v>
      </c>
    </row>
    <row r="870" spans="1:6" x14ac:dyDescent="0.25">
      <c r="A870" s="915" t="s">
        <v>3167</v>
      </c>
      <c r="B870" s="926" t="s">
        <v>2795</v>
      </c>
      <c r="C870" s="931" t="s">
        <v>2796</v>
      </c>
      <c r="D870" s="950"/>
      <c r="E870" s="953"/>
      <c r="F870" s="951"/>
    </row>
    <row r="871" spans="1:6" x14ac:dyDescent="0.25">
      <c r="A871" s="915" t="s">
        <v>3167</v>
      </c>
      <c r="B871" s="926" t="s">
        <v>2797</v>
      </c>
      <c r="C871" s="932" t="s">
        <v>2798</v>
      </c>
      <c r="D871" s="950" t="s">
        <v>861</v>
      </c>
      <c r="E871" s="953"/>
      <c r="F871" s="958">
        <v>1833</v>
      </c>
    </row>
    <row r="872" spans="1:6" x14ac:dyDescent="0.25">
      <c r="A872" s="915" t="s">
        <v>3167</v>
      </c>
      <c r="B872" s="926" t="s">
        <v>2799</v>
      </c>
      <c r="C872" s="932" t="s">
        <v>2800</v>
      </c>
      <c r="D872" s="950" t="s">
        <v>861</v>
      </c>
      <c r="E872" s="953"/>
      <c r="F872" s="958">
        <v>1466</v>
      </c>
    </row>
    <row r="873" spans="1:6" x14ac:dyDescent="0.25">
      <c r="A873" s="915" t="s">
        <v>3167</v>
      </c>
      <c r="B873" s="926" t="s">
        <v>2801</v>
      </c>
      <c r="C873" s="931" t="s">
        <v>2802</v>
      </c>
      <c r="D873" s="950"/>
      <c r="E873" s="953"/>
      <c r="F873" s="951"/>
    </row>
    <row r="874" spans="1:6" x14ac:dyDescent="0.25">
      <c r="A874" s="915" t="s">
        <v>3167</v>
      </c>
      <c r="B874" s="926" t="s">
        <v>2803</v>
      </c>
      <c r="C874" s="932" t="s">
        <v>2804</v>
      </c>
      <c r="D874" s="950" t="s">
        <v>861</v>
      </c>
      <c r="E874" s="953"/>
      <c r="F874" s="958">
        <v>1289</v>
      </c>
    </row>
    <row r="875" spans="1:6" x14ac:dyDescent="0.25">
      <c r="A875" s="915" t="s">
        <v>3167</v>
      </c>
      <c r="B875" s="926" t="s">
        <v>2805</v>
      </c>
      <c r="C875" s="932" t="s">
        <v>2806</v>
      </c>
      <c r="D875" s="950" t="s">
        <v>861</v>
      </c>
      <c r="E875" s="953"/>
      <c r="F875" s="958">
        <v>1673</v>
      </c>
    </row>
    <row r="876" spans="1:6" x14ac:dyDescent="0.25">
      <c r="A876" s="915" t="s">
        <v>3167</v>
      </c>
      <c r="B876" s="926" t="s">
        <v>2807</v>
      </c>
      <c r="C876" s="932" t="s">
        <v>2808</v>
      </c>
      <c r="D876" s="950" t="s">
        <v>861</v>
      </c>
      <c r="E876" s="953"/>
      <c r="F876" s="958">
        <v>1724</v>
      </c>
    </row>
    <row r="877" spans="1:6" x14ac:dyDescent="0.25">
      <c r="A877" s="915" t="s">
        <v>3167</v>
      </c>
      <c r="B877" s="926" t="s">
        <v>2809</v>
      </c>
      <c r="C877" s="932" t="s">
        <v>2810</v>
      </c>
      <c r="D877" s="950" t="s">
        <v>861</v>
      </c>
      <c r="E877" s="953"/>
      <c r="F877" s="958">
        <v>1497</v>
      </c>
    </row>
    <row r="878" spans="1:6" x14ac:dyDescent="0.25">
      <c r="A878" s="915" t="s">
        <v>3167</v>
      </c>
      <c r="B878" s="926" t="s">
        <v>2811</v>
      </c>
      <c r="C878" s="932" t="s">
        <v>2812</v>
      </c>
      <c r="D878" s="950" t="s">
        <v>861</v>
      </c>
      <c r="E878" s="953"/>
      <c r="F878" s="958">
        <v>3056</v>
      </c>
    </row>
    <row r="879" spans="1:6" x14ac:dyDescent="0.25">
      <c r="A879" s="915" t="s">
        <v>3167</v>
      </c>
      <c r="B879" s="926" t="s">
        <v>2813</v>
      </c>
      <c r="C879" s="932" t="s">
        <v>2814</v>
      </c>
      <c r="D879" s="950" t="s">
        <v>861</v>
      </c>
      <c r="E879" s="953"/>
      <c r="F879" s="958">
        <v>3144</v>
      </c>
    </row>
    <row r="880" spans="1:6" x14ac:dyDescent="0.25">
      <c r="A880" s="915" t="s">
        <v>3167</v>
      </c>
      <c r="B880" s="926" t="s">
        <v>2815</v>
      </c>
      <c r="C880" s="931" t="s">
        <v>2816</v>
      </c>
      <c r="D880" s="950"/>
      <c r="E880" s="953"/>
      <c r="F880" s="951"/>
    </row>
    <row r="881" spans="1:6" x14ac:dyDescent="0.25">
      <c r="A881" s="915" t="s">
        <v>3167</v>
      </c>
      <c r="B881" s="926" t="s">
        <v>2817</v>
      </c>
      <c r="C881" s="932" t="s">
        <v>2818</v>
      </c>
      <c r="D881" s="950" t="s">
        <v>861</v>
      </c>
      <c r="E881" s="953"/>
      <c r="F881" s="958">
        <v>1740</v>
      </c>
    </row>
    <row r="882" spans="1:6" x14ac:dyDescent="0.25">
      <c r="A882" s="915" t="s">
        <v>3167</v>
      </c>
      <c r="B882" s="926" t="s">
        <v>2819</v>
      </c>
      <c r="C882" s="932" t="s">
        <v>2820</v>
      </c>
      <c r="D882" s="950" t="s">
        <v>861</v>
      </c>
      <c r="E882" s="953"/>
      <c r="F882" s="958">
        <v>3140</v>
      </c>
    </row>
    <row r="883" spans="1:6" x14ac:dyDescent="0.25">
      <c r="A883" s="915" t="s">
        <v>3167</v>
      </c>
      <c r="B883" s="926" t="s">
        <v>2821</v>
      </c>
      <c r="C883" s="926" t="s">
        <v>2822</v>
      </c>
      <c r="D883" s="950"/>
      <c r="E883" s="953"/>
      <c r="F883" s="951"/>
    </row>
    <row r="884" spans="1:6" x14ac:dyDescent="0.25">
      <c r="A884" s="915" t="s">
        <v>3167</v>
      </c>
      <c r="B884" s="926" t="s">
        <v>2823</v>
      </c>
      <c r="C884" s="932" t="s">
        <v>2824</v>
      </c>
      <c r="D884" s="950" t="s">
        <v>861</v>
      </c>
      <c r="E884" s="953"/>
      <c r="F884" s="958">
        <v>3155</v>
      </c>
    </row>
    <row r="885" spans="1:6" x14ac:dyDescent="0.25">
      <c r="A885" s="915" t="s">
        <v>3167</v>
      </c>
      <c r="B885" s="926" t="s">
        <v>2825</v>
      </c>
      <c r="C885" s="932" t="s">
        <v>2826</v>
      </c>
      <c r="D885" s="950" t="s">
        <v>861</v>
      </c>
      <c r="E885" s="953"/>
      <c r="F885" s="958">
        <v>2488</v>
      </c>
    </row>
    <row r="886" spans="1:6" x14ac:dyDescent="0.25">
      <c r="A886" s="915" t="s">
        <v>3167</v>
      </c>
      <c r="B886" s="926" t="s">
        <v>2827</v>
      </c>
      <c r="C886" s="932" t="s">
        <v>2828</v>
      </c>
      <c r="D886" s="950" t="s">
        <v>861</v>
      </c>
      <c r="E886" s="953"/>
      <c r="F886" s="958">
        <v>2066</v>
      </c>
    </row>
    <row r="887" spans="1:6" x14ac:dyDescent="0.25">
      <c r="A887" s="915" t="s">
        <v>3167</v>
      </c>
      <c r="B887" s="926" t="s">
        <v>2829</v>
      </c>
      <c r="C887" s="932" t="s">
        <v>2830</v>
      </c>
      <c r="D887" s="950" t="s">
        <v>861</v>
      </c>
      <c r="E887" s="953"/>
      <c r="F887" s="958">
        <v>6265</v>
      </c>
    </row>
    <row r="888" spans="1:6" x14ac:dyDescent="0.25">
      <c r="A888" s="915" t="s">
        <v>3167</v>
      </c>
      <c r="B888" s="926" t="s">
        <v>2831</v>
      </c>
      <c r="C888" s="932" t="s">
        <v>2832</v>
      </c>
      <c r="D888" s="950" t="s">
        <v>861</v>
      </c>
      <c r="E888" s="953"/>
      <c r="F888" s="958">
        <v>3768</v>
      </c>
    </row>
    <row r="889" spans="1:6" x14ac:dyDescent="0.25">
      <c r="A889" s="915" t="s">
        <v>3167</v>
      </c>
      <c r="B889" s="926" t="s">
        <v>2833</v>
      </c>
      <c r="C889" s="932" t="s">
        <v>2834</v>
      </c>
      <c r="D889" s="950" t="s">
        <v>861</v>
      </c>
      <c r="E889" s="953"/>
      <c r="F889" s="958">
        <v>1077</v>
      </c>
    </row>
    <row r="890" spans="1:6" x14ac:dyDescent="0.25">
      <c r="A890" s="915" t="s">
        <v>3167</v>
      </c>
      <c r="B890" s="926" t="s">
        <v>2835</v>
      </c>
      <c r="C890" s="932" t="s">
        <v>2836</v>
      </c>
      <c r="D890" s="950" t="s">
        <v>861</v>
      </c>
      <c r="E890" s="953"/>
      <c r="F890" s="958">
        <v>1077</v>
      </c>
    </row>
    <row r="891" spans="1:6" x14ac:dyDescent="0.25">
      <c r="A891" s="915" t="s">
        <v>3167</v>
      </c>
      <c r="B891" s="926" t="s">
        <v>2837</v>
      </c>
      <c r="C891" s="932" t="s">
        <v>2838</v>
      </c>
      <c r="D891" s="950" t="s">
        <v>861</v>
      </c>
      <c r="E891" s="953"/>
      <c r="F891" s="958">
        <v>1676</v>
      </c>
    </row>
    <row r="892" spans="1:6" x14ac:dyDescent="0.25">
      <c r="A892" s="915" t="s">
        <v>3167</v>
      </c>
      <c r="B892" s="926" t="s">
        <v>2839</v>
      </c>
      <c r="C892" s="932" t="s">
        <v>2840</v>
      </c>
      <c r="D892" s="950" t="s">
        <v>861</v>
      </c>
      <c r="E892" s="953"/>
      <c r="F892" s="958">
        <v>2127</v>
      </c>
    </row>
    <row r="893" spans="1:6" x14ac:dyDescent="0.25">
      <c r="A893" s="915" t="s">
        <v>3167</v>
      </c>
      <c r="B893" s="926" t="s">
        <v>2841</v>
      </c>
      <c r="C893" s="932" t="s">
        <v>2842</v>
      </c>
      <c r="D893" s="950" t="s">
        <v>861</v>
      </c>
      <c r="E893" s="953"/>
      <c r="F893" s="958">
        <v>8157</v>
      </c>
    </row>
    <row r="894" spans="1:6" x14ac:dyDescent="0.25">
      <c r="A894" s="915" t="s">
        <v>3167</v>
      </c>
      <c r="B894" s="926" t="s">
        <v>2843</v>
      </c>
      <c r="C894" s="932" t="s">
        <v>2844</v>
      </c>
      <c r="D894" s="950" t="s">
        <v>861</v>
      </c>
      <c r="E894" s="953"/>
      <c r="F894" s="958">
        <v>1827</v>
      </c>
    </row>
    <row r="895" spans="1:6" x14ac:dyDescent="0.25">
      <c r="A895" s="915" t="s">
        <v>3167</v>
      </c>
      <c r="B895" s="926" t="s">
        <v>2845</v>
      </c>
      <c r="C895" s="932" t="s">
        <v>2846</v>
      </c>
      <c r="D895" s="950" t="s">
        <v>861</v>
      </c>
      <c r="E895" s="953"/>
      <c r="F895" s="958">
        <v>3320</v>
      </c>
    </row>
    <row r="896" spans="1:6" x14ac:dyDescent="0.25">
      <c r="A896" s="915" t="s">
        <v>3167</v>
      </c>
      <c r="B896" s="926" t="s">
        <v>2847</v>
      </c>
      <c r="C896" s="932" t="s">
        <v>2848</v>
      </c>
      <c r="D896" s="950" t="s">
        <v>861</v>
      </c>
      <c r="E896" s="953"/>
      <c r="F896" s="958">
        <v>5228</v>
      </c>
    </row>
    <row r="897" spans="1:6" x14ac:dyDescent="0.25">
      <c r="A897" s="915" t="s">
        <v>3167</v>
      </c>
      <c r="B897" s="926"/>
      <c r="C897" s="932"/>
      <c r="D897" s="950"/>
      <c r="E897" s="953"/>
      <c r="F897" s="951"/>
    </row>
    <row r="898" spans="1:6" x14ac:dyDescent="0.25">
      <c r="A898" s="915" t="s">
        <v>3167</v>
      </c>
      <c r="B898" s="926"/>
      <c r="C898" s="947" t="s">
        <v>2849</v>
      </c>
      <c r="D898" s="951"/>
      <c r="E898" s="953"/>
      <c r="F898" s="951"/>
    </row>
    <row r="899" spans="1:6" x14ac:dyDescent="0.25">
      <c r="A899" s="915" t="s">
        <v>3167</v>
      </c>
      <c r="B899" s="926" t="s">
        <v>2850</v>
      </c>
      <c r="C899" s="926" t="s">
        <v>2851</v>
      </c>
      <c r="D899" s="950"/>
      <c r="E899" s="953"/>
      <c r="F899" s="951"/>
    </row>
    <row r="900" spans="1:6" x14ac:dyDescent="0.25">
      <c r="A900" s="915" t="s">
        <v>3167</v>
      </c>
      <c r="B900" s="926" t="s">
        <v>2852</v>
      </c>
      <c r="C900" s="931" t="s">
        <v>2853</v>
      </c>
      <c r="D900" s="950"/>
      <c r="E900" s="953"/>
      <c r="F900" s="951"/>
    </row>
    <row r="901" spans="1:6" ht="18" x14ac:dyDescent="0.25">
      <c r="A901" s="915" t="s">
        <v>3167</v>
      </c>
      <c r="B901" s="926" t="s">
        <v>2854</v>
      </c>
      <c r="C901" s="932" t="s">
        <v>2855</v>
      </c>
      <c r="D901" s="950" t="s">
        <v>738</v>
      </c>
      <c r="E901" s="953"/>
      <c r="F901" s="958">
        <v>259959</v>
      </c>
    </row>
    <row r="902" spans="1:6" ht="18" x14ac:dyDescent="0.25">
      <c r="A902" s="915" t="s">
        <v>3167</v>
      </c>
      <c r="B902" s="926" t="s">
        <v>2856</v>
      </c>
      <c r="C902" s="932" t="s">
        <v>2857</v>
      </c>
      <c r="D902" s="950" t="s">
        <v>738</v>
      </c>
      <c r="E902" s="953"/>
      <c r="F902" s="958">
        <v>290325</v>
      </c>
    </row>
    <row r="903" spans="1:6" ht="18" x14ac:dyDescent="0.25">
      <c r="A903" s="915" t="s">
        <v>3167</v>
      </c>
      <c r="B903" s="926" t="s">
        <v>2858</v>
      </c>
      <c r="C903" s="932" t="s">
        <v>2859</v>
      </c>
      <c r="D903" s="950" t="s">
        <v>738</v>
      </c>
      <c r="E903" s="953"/>
      <c r="F903" s="958">
        <v>4148</v>
      </c>
    </row>
    <row r="904" spans="1:6" x14ac:dyDescent="0.25">
      <c r="A904" s="915" t="s">
        <v>3167</v>
      </c>
      <c r="B904" s="926" t="s">
        <v>2860</v>
      </c>
      <c r="C904" s="931" t="s">
        <v>2861</v>
      </c>
      <c r="D904" s="950"/>
      <c r="E904" s="953"/>
      <c r="F904" s="951"/>
    </row>
    <row r="905" spans="1:6" ht="18" x14ac:dyDescent="0.25">
      <c r="A905" s="915" t="s">
        <v>3167</v>
      </c>
      <c r="B905" s="926" t="s">
        <v>2862</v>
      </c>
      <c r="C905" s="932" t="s">
        <v>2863</v>
      </c>
      <c r="D905" s="950" t="s">
        <v>738</v>
      </c>
      <c r="E905" s="953"/>
      <c r="F905" s="958">
        <v>759881</v>
      </c>
    </row>
    <row r="906" spans="1:6" ht="18" x14ac:dyDescent="0.25">
      <c r="A906" s="915" t="s">
        <v>3167</v>
      </c>
      <c r="B906" s="926" t="s">
        <v>2864</v>
      </c>
      <c r="C906" s="932" t="s">
        <v>2865</v>
      </c>
      <c r="D906" s="950" t="s">
        <v>738</v>
      </c>
      <c r="E906" s="953"/>
      <c r="F906" s="958">
        <v>359944</v>
      </c>
    </row>
    <row r="907" spans="1:6" x14ac:dyDescent="0.25">
      <c r="A907" s="915" t="s">
        <v>3167</v>
      </c>
      <c r="B907" s="926" t="s">
        <v>2866</v>
      </c>
      <c r="C907" s="932" t="s">
        <v>2867</v>
      </c>
      <c r="D907" s="950" t="s">
        <v>904</v>
      </c>
      <c r="E907" s="953"/>
      <c r="F907" s="958">
        <v>3499</v>
      </c>
    </row>
    <row r="908" spans="1:6" x14ac:dyDescent="0.25">
      <c r="A908" s="915" t="s">
        <v>3167</v>
      </c>
      <c r="B908" s="926" t="s">
        <v>2868</v>
      </c>
      <c r="C908" s="926" t="s">
        <v>2869</v>
      </c>
      <c r="D908" s="950"/>
      <c r="E908" s="953"/>
      <c r="F908" s="951"/>
    </row>
    <row r="909" spans="1:6" x14ac:dyDescent="0.25">
      <c r="A909" s="915" t="s">
        <v>3167</v>
      </c>
      <c r="B909" s="926" t="s">
        <v>2870</v>
      </c>
      <c r="C909" s="931" t="s">
        <v>2871</v>
      </c>
      <c r="D909" s="950"/>
      <c r="E909" s="953"/>
      <c r="F909" s="951"/>
    </row>
    <row r="910" spans="1:6" x14ac:dyDescent="0.25">
      <c r="A910" s="915" t="s">
        <v>3167</v>
      </c>
      <c r="B910" s="926" t="s">
        <v>2872</v>
      </c>
      <c r="C910" s="932" t="s">
        <v>2873</v>
      </c>
      <c r="D910" s="950" t="s">
        <v>904</v>
      </c>
      <c r="E910" s="953"/>
      <c r="F910" s="958">
        <v>2335</v>
      </c>
    </row>
    <row r="911" spans="1:6" x14ac:dyDescent="0.25">
      <c r="A911" s="915" t="s">
        <v>3167</v>
      </c>
      <c r="B911" s="926" t="s">
        <v>2874</v>
      </c>
      <c r="C911" s="932" t="s">
        <v>2875</v>
      </c>
      <c r="D911" s="950" t="s">
        <v>904</v>
      </c>
      <c r="E911" s="953"/>
      <c r="F911" s="958">
        <v>1808</v>
      </c>
    </row>
    <row r="912" spans="1:6" x14ac:dyDescent="0.25">
      <c r="A912" s="915" t="s">
        <v>3167</v>
      </c>
      <c r="B912" s="926" t="s">
        <v>2876</v>
      </c>
      <c r="C912" s="932" t="s">
        <v>2877</v>
      </c>
      <c r="D912" s="950" t="s">
        <v>904</v>
      </c>
      <c r="E912" s="953"/>
      <c r="F912" s="958">
        <v>1950</v>
      </c>
    </row>
    <row r="913" spans="1:6" x14ac:dyDescent="0.25">
      <c r="A913" s="915" t="s">
        <v>3167</v>
      </c>
      <c r="B913" s="926"/>
      <c r="C913" s="932"/>
      <c r="D913" s="950"/>
      <c r="E913" s="953"/>
      <c r="F913" s="951"/>
    </row>
    <row r="914" spans="1:6" x14ac:dyDescent="0.25">
      <c r="A914" s="915" t="s">
        <v>3167</v>
      </c>
      <c r="B914" s="926"/>
      <c r="C914" s="947" t="s">
        <v>2878</v>
      </c>
      <c r="D914" s="951"/>
      <c r="E914" s="953"/>
      <c r="F914" s="951"/>
    </row>
    <row r="915" spans="1:6" x14ac:dyDescent="0.25">
      <c r="A915" s="915" t="s">
        <v>3167</v>
      </c>
      <c r="B915" s="926" t="s">
        <v>2879</v>
      </c>
      <c r="C915" s="926" t="s">
        <v>2880</v>
      </c>
      <c r="D915" s="950"/>
      <c r="E915" s="953"/>
      <c r="F915" s="951"/>
    </row>
    <row r="916" spans="1:6" x14ac:dyDescent="0.25">
      <c r="A916" s="915" t="s">
        <v>3167</v>
      </c>
      <c r="B916" s="926" t="s">
        <v>2881</v>
      </c>
      <c r="C916" s="931" t="s">
        <v>2882</v>
      </c>
      <c r="D916" s="950"/>
      <c r="E916" s="953"/>
      <c r="F916" s="951"/>
    </row>
    <row r="917" spans="1:6" x14ac:dyDescent="0.25">
      <c r="A917" s="915" t="s">
        <v>3167</v>
      </c>
      <c r="B917" s="926" t="s">
        <v>2883</v>
      </c>
      <c r="C917" s="932" t="s">
        <v>2884</v>
      </c>
      <c r="D917" s="950" t="s">
        <v>861</v>
      </c>
      <c r="E917" s="953"/>
      <c r="F917" s="958">
        <v>4399</v>
      </c>
    </row>
    <row r="918" spans="1:6" x14ac:dyDescent="0.25">
      <c r="A918" s="915" t="s">
        <v>3167</v>
      </c>
      <c r="B918" s="926" t="s">
        <v>2885</v>
      </c>
      <c r="C918" s="932" t="s">
        <v>2886</v>
      </c>
      <c r="D918" s="950" t="s">
        <v>861</v>
      </c>
      <c r="E918" s="953"/>
      <c r="F918" s="958">
        <v>6599</v>
      </c>
    </row>
    <row r="919" spans="1:6" x14ac:dyDescent="0.25">
      <c r="A919" s="915" t="s">
        <v>3167</v>
      </c>
      <c r="B919" s="926" t="s">
        <v>2887</v>
      </c>
      <c r="C919" s="932" t="s">
        <v>2888</v>
      </c>
      <c r="D919" s="950" t="s">
        <v>861</v>
      </c>
      <c r="E919" s="953"/>
      <c r="F919" s="958">
        <v>6399</v>
      </c>
    </row>
    <row r="920" spans="1:6" x14ac:dyDescent="0.25">
      <c r="A920" s="915" t="s">
        <v>3167</v>
      </c>
      <c r="B920" s="926" t="s">
        <v>2889</v>
      </c>
      <c r="C920" s="932" t="s">
        <v>2890</v>
      </c>
      <c r="D920" s="950" t="s">
        <v>861</v>
      </c>
      <c r="E920" s="953"/>
      <c r="F920" s="958">
        <v>18997</v>
      </c>
    </row>
    <row r="921" spans="1:6" x14ac:dyDescent="0.25">
      <c r="A921" s="915" t="s">
        <v>3167</v>
      </c>
      <c r="B921" s="926" t="s">
        <v>2891</v>
      </c>
      <c r="C921" s="932" t="s">
        <v>2892</v>
      </c>
      <c r="D921" s="950" t="s">
        <v>861</v>
      </c>
      <c r="E921" s="953"/>
      <c r="F921" s="958">
        <v>6999</v>
      </c>
    </row>
    <row r="922" spans="1:6" x14ac:dyDescent="0.25">
      <c r="A922" s="915" t="s">
        <v>3167</v>
      </c>
      <c r="B922" s="926" t="s">
        <v>2893</v>
      </c>
      <c r="C922" s="932" t="s">
        <v>2894</v>
      </c>
      <c r="D922" s="950" t="s">
        <v>861</v>
      </c>
      <c r="E922" s="953"/>
      <c r="F922" s="958">
        <v>14795</v>
      </c>
    </row>
    <row r="923" spans="1:6" x14ac:dyDescent="0.25">
      <c r="A923" s="915" t="s">
        <v>3167</v>
      </c>
      <c r="B923" s="926" t="s">
        <v>2895</v>
      </c>
      <c r="C923" s="932" t="s">
        <v>2896</v>
      </c>
      <c r="D923" s="950" t="s">
        <v>861</v>
      </c>
      <c r="E923" s="953"/>
      <c r="F923" s="958">
        <v>17325</v>
      </c>
    </row>
    <row r="924" spans="1:6" x14ac:dyDescent="0.25">
      <c r="A924" s="915" t="s">
        <v>3167</v>
      </c>
      <c r="B924" s="926" t="s">
        <v>2897</v>
      </c>
      <c r="C924" s="932" t="s">
        <v>2898</v>
      </c>
      <c r="D924" s="950" t="s">
        <v>950</v>
      </c>
      <c r="E924" s="953"/>
      <c r="F924" s="958">
        <v>4770</v>
      </c>
    </row>
    <row r="925" spans="1:6" x14ac:dyDescent="0.25">
      <c r="A925" s="915" t="s">
        <v>3167</v>
      </c>
      <c r="B925" s="926" t="s">
        <v>2899</v>
      </c>
      <c r="C925" s="932" t="s">
        <v>2900</v>
      </c>
      <c r="D925" s="950" t="s">
        <v>950</v>
      </c>
      <c r="E925" s="953"/>
      <c r="F925" s="958">
        <v>5621</v>
      </c>
    </row>
    <row r="926" spans="1:6" x14ac:dyDescent="0.25">
      <c r="A926" s="915" t="s">
        <v>3167</v>
      </c>
      <c r="B926" s="926" t="s">
        <v>2901</v>
      </c>
      <c r="C926" s="931" t="s">
        <v>2902</v>
      </c>
      <c r="D926" s="950"/>
      <c r="E926" s="953"/>
      <c r="F926" s="951"/>
    </row>
    <row r="927" spans="1:6" x14ac:dyDescent="0.25">
      <c r="A927" s="915" t="s">
        <v>3167</v>
      </c>
      <c r="B927" s="926" t="s">
        <v>2903</v>
      </c>
      <c r="C927" s="932" t="s">
        <v>2904</v>
      </c>
      <c r="D927" s="950"/>
      <c r="E927" s="953"/>
      <c r="F927" s="951"/>
    </row>
    <row r="928" spans="1:6" ht="13.5" customHeight="1" x14ac:dyDescent="0.25">
      <c r="A928" s="915" t="s">
        <v>3167</v>
      </c>
      <c r="B928" s="926" t="s">
        <v>2905</v>
      </c>
      <c r="C928" s="946" t="s">
        <v>2906</v>
      </c>
      <c r="D928" s="950" t="s">
        <v>861</v>
      </c>
      <c r="E928" s="953"/>
      <c r="F928" s="958">
        <v>6081</v>
      </c>
    </row>
    <row r="929" spans="1:6" ht="13.5" customHeight="1" x14ac:dyDescent="0.25">
      <c r="A929" s="915" t="s">
        <v>3167</v>
      </c>
      <c r="B929" s="926" t="s">
        <v>2907</v>
      </c>
      <c r="C929" s="946" t="s">
        <v>2908</v>
      </c>
      <c r="D929" s="950" t="s">
        <v>861</v>
      </c>
      <c r="E929" s="953"/>
      <c r="F929" s="958">
        <v>8391</v>
      </c>
    </row>
    <row r="930" spans="1:6" ht="13.5" customHeight="1" x14ac:dyDescent="0.25">
      <c r="A930" s="915" t="s">
        <v>3167</v>
      </c>
      <c r="B930" s="926" t="s">
        <v>2909</v>
      </c>
      <c r="C930" s="946" t="s">
        <v>2910</v>
      </c>
      <c r="D930" s="950" t="s">
        <v>861</v>
      </c>
      <c r="E930" s="953"/>
      <c r="F930" s="958">
        <v>9375</v>
      </c>
    </row>
    <row r="931" spans="1:6" ht="13.5" customHeight="1" x14ac:dyDescent="0.25">
      <c r="A931" s="915" t="s">
        <v>3167</v>
      </c>
      <c r="B931" s="926" t="s">
        <v>2911</v>
      </c>
      <c r="C931" s="932" t="s">
        <v>2912</v>
      </c>
      <c r="D931" s="950"/>
      <c r="E931" s="953"/>
      <c r="F931" s="951"/>
    </row>
    <row r="932" spans="1:6" ht="13.5" customHeight="1" x14ac:dyDescent="0.25">
      <c r="A932" s="915" t="s">
        <v>3167</v>
      </c>
      <c r="B932" s="926" t="s">
        <v>2913</v>
      </c>
      <c r="C932" s="946" t="s">
        <v>2906</v>
      </c>
      <c r="D932" s="950" t="s">
        <v>861</v>
      </c>
      <c r="E932" s="953"/>
      <c r="F932" s="958">
        <v>13410</v>
      </c>
    </row>
    <row r="933" spans="1:6" ht="13.5" customHeight="1" x14ac:dyDescent="0.25">
      <c r="A933" s="915" t="s">
        <v>3167</v>
      </c>
      <c r="B933" s="926" t="s">
        <v>2914</v>
      </c>
      <c r="C933" s="946" t="s">
        <v>2908</v>
      </c>
      <c r="D933" s="950" t="s">
        <v>861</v>
      </c>
      <c r="E933" s="953"/>
      <c r="F933" s="958">
        <v>14563</v>
      </c>
    </row>
    <row r="934" spans="1:6" ht="13.5" customHeight="1" x14ac:dyDescent="0.25">
      <c r="A934" s="915" t="s">
        <v>3167</v>
      </c>
      <c r="B934" s="926" t="s">
        <v>2915</v>
      </c>
      <c r="C934" s="946" t="s">
        <v>2916</v>
      </c>
      <c r="D934" s="950" t="s">
        <v>861</v>
      </c>
      <c r="E934" s="953"/>
      <c r="F934" s="958">
        <v>17171</v>
      </c>
    </row>
    <row r="935" spans="1:6" ht="13.5" customHeight="1" x14ac:dyDescent="0.25">
      <c r="A935" s="915" t="s">
        <v>3167</v>
      </c>
      <c r="B935" s="926" t="s">
        <v>2917</v>
      </c>
      <c r="C935" s="946" t="s">
        <v>2910</v>
      </c>
      <c r="D935" s="950" t="s">
        <v>861</v>
      </c>
      <c r="E935" s="953"/>
      <c r="F935" s="958">
        <v>16423</v>
      </c>
    </row>
    <row r="936" spans="1:6" ht="13.5" customHeight="1" x14ac:dyDescent="0.25">
      <c r="A936" s="915" t="s">
        <v>3167</v>
      </c>
      <c r="B936" s="926" t="s">
        <v>2918</v>
      </c>
      <c r="C936" s="932" t="s">
        <v>2919</v>
      </c>
      <c r="D936" s="950"/>
      <c r="E936" s="953"/>
      <c r="F936" s="951"/>
    </row>
    <row r="937" spans="1:6" ht="13.5" customHeight="1" x14ac:dyDescent="0.25">
      <c r="A937" s="915" t="s">
        <v>3167</v>
      </c>
      <c r="B937" s="926" t="s">
        <v>2920</v>
      </c>
      <c r="C937" s="946" t="s">
        <v>2906</v>
      </c>
      <c r="D937" s="950" t="s">
        <v>950</v>
      </c>
      <c r="E937" s="953"/>
      <c r="F937" s="958">
        <v>11077</v>
      </c>
    </row>
    <row r="938" spans="1:6" ht="13.5" customHeight="1" x14ac:dyDescent="0.25">
      <c r="A938" s="915" t="s">
        <v>3167</v>
      </c>
      <c r="B938" s="926" t="s">
        <v>2921</v>
      </c>
      <c r="C938" s="946" t="s">
        <v>2908</v>
      </c>
      <c r="D938" s="950" t="s">
        <v>950</v>
      </c>
      <c r="E938" s="953"/>
      <c r="F938" s="958">
        <v>11711</v>
      </c>
    </row>
    <row r="939" spans="1:6" ht="13.5" customHeight="1" x14ac:dyDescent="0.25">
      <c r="A939" s="915" t="s">
        <v>3167</v>
      </c>
      <c r="B939" s="926" t="s">
        <v>2922</v>
      </c>
      <c r="C939" s="946" t="s">
        <v>2910</v>
      </c>
      <c r="D939" s="950" t="s">
        <v>950</v>
      </c>
      <c r="E939" s="953"/>
      <c r="F939" s="958">
        <v>12441</v>
      </c>
    </row>
    <row r="940" spans="1:6" x14ac:dyDescent="0.25">
      <c r="A940" s="915" t="s">
        <v>3167</v>
      </c>
      <c r="B940" s="926" t="s">
        <v>2923</v>
      </c>
      <c r="C940" s="931" t="s">
        <v>2924</v>
      </c>
      <c r="D940" s="950"/>
      <c r="E940" s="953"/>
      <c r="F940" s="951"/>
    </row>
    <row r="941" spans="1:6" x14ac:dyDescent="0.25">
      <c r="A941" s="915" t="s">
        <v>3167</v>
      </c>
      <c r="B941" s="926" t="s">
        <v>2925</v>
      </c>
      <c r="C941" s="932" t="s">
        <v>2926</v>
      </c>
      <c r="D941" s="950" t="s">
        <v>861</v>
      </c>
      <c r="E941" s="953"/>
      <c r="F941" s="958">
        <v>18142</v>
      </c>
    </row>
    <row r="942" spans="1:6" x14ac:dyDescent="0.25">
      <c r="A942" s="915" t="s">
        <v>3167</v>
      </c>
      <c r="B942" s="926" t="s">
        <v>2927</v>
      </c>
      <c r="C942" s="926" t="s">
        <v>2928</v>
      </c>
      <c r="D942" s="950"/>
      <c r="E942" s="953"/>
      <c r="F942" s="951"/>
    </row>
    <row r="943" spans="1:6" x14ac:dyDescent="0.25">
      <c r="A943" s="915" t="s">
        <v>3167</v>
      </c>
      <c r="B943" s="926" t="s">
        <v>2929</v>
      </c>
      <c r="C943" s="932" t="s">
        <v>2930</v>
      </c>
      <c r="D943" s="950" t="s">
        <v>950</v>
      </c>
      <c r="E943" s="953"/>
      <c r="F943" s="958">
        <v>2777</v>
      </c>
    </row>
    <row r="944" spans="1:6" x14ac:dyDescent="0.25">
      <c r="A944" s="915" t="s">
        <v>3167</v>
      </c>
      <c r="B944" s="926" t="s">
        <v>2931</v>
      </c>
      <c r="C944" s="932" t="s">
        <v>2932</v>
      </c>
      <c r="D944" s="950" t="s">
        <v>861</v>
      </c>
      <c r="E944" s="953"/>
      <c r="F944" s="958">
        <v>10184</v>
      </c>
    </row>
    <row r="945" spans="1:6" x14ac:dyDescent="0.25">
      <c r="A945" s="915" t="s">
        <v>3167</v>
      </c>
      <c r="B945" s="926" t="s">
        <v>2933</v>
      </c>
      <c r="C945" s="932" t="s">
        <v>2934</v>
      </c>
      <c r="D945" s="950" t="s">
        <v>861</v>
      </c>
      <c r="E945" s="953"/>
      <c r="F945" s="958">
        <v>10554</v>
      </c>
    </row>
    <row r="946" spans="1:6" x14ac:dyDescent="0.25">
      <c r="A946" s="915" t="s">
        <v>3167</v>
      </c>
      <c r="B946" s="926" t="s">
        <v>2935</v>
      </c>
      <c r="C946" s="932" t="s">
        <v>2936</v>
      </c>
      <c r="D946" s="950" t="s">
        <v>861</v>
      </c>
      <c r="E946" s="953"/>
      <c r="F946" s="958">
        <v>4073</v>
      </c>
    </row>
    <row r="947" spans="1:6" x14ac:dyDescent="0.25">
      <c r="A947" s="915" t="s">
        <v>3167</v>
      </c>
      <c r="B947" s="926" t="s">
        <v>2937</v>
      </c>
      <c r="C947" s="932" t="s">
        <v>2938</v>
      </c>
      <c r="D947" s="950" t="s">
        <v>950</v>
      </c>
      <c r="E947" s="953"/>
      <c r="F947" s="958">
        <v>77766</v>
      </c>
    </row>
    <row r="948" spans="1:6" x14ac:dyDescent="0.25">
      <c r="A948" s="915" t="s">
        <v>3167</v>
      </c>
      <c r="B948" s="926"/>
      <c r="C948" s="932"/>
      <c r="D948" s="950"/>
      <c r="E948" s="953"/>
      <c r="F948" s="951"/>
    </row>
    <row r="949" spans="1:6" x14ac:dyDescent="0.25">
      <c r="A949" s="915" t="s">
        <v>3167</v>
      </c>
      <c r="B949" s="926"/>
      <c r="C949" s="947" t="s">
        <v>2939</v>
      </c>
      <c r="D949" s="951"/>
      <c r="E949" s="953"/>
      <c r="F949" s="951"/>
    </row>
    <row r="950" spans="1:6" x14ac:dyDescent="0.25">
      <c r="A950" s="915" t="s">
        <v>3167</v>
      </c>
      <c r="B950" s="926" t="s">
        <v>2940</v>
      </c>
      <c r="C950" s="926" t="s">
        <v>2941</v>
      </c>
      <c r="D950" s="950"/>
      <c r="E950" s="953"/>
      <c r="F950" s="951"/>
    </row>
    <row r="951" spans="1:6" x14ac:dyDescent="0.25">
      <c r="A951" s="915" t="s">
        <v>3167</v>
      </c>
      <c r="B951" s="926" t="s">
        <v>2942</v>
      </c>
      <c r="C951" s="932" t="s">
        <v>2943</v>
      </c>
      <c r="D951" s="950" t="s">
        <v>861</v>
      </c>
      <c r="E951" s="953"/>
      <c r="F951" s="958">
        <v>1204</v>
      </c>
    </row>
    <row r="952" spans="1:6" x14ac:dyDescent="0.25">
      <c r="A952" s="915" t="s">
        <v>3167</v>
      </c>
      <c r="B952" s="926" t="s">
        <v>2944</v>
      </c>
      <c r="C952" s="932" t="s">
        <v>2945</v>
      </c>
      <c r="D952" s="950" t="s">
        <v>861</v>
      </c>
      <c r="E952" s="953"/>
      <c r="F952" s="958">
        <v>3888</v>
      </c>
    </row>
    <row r="953" spans="1:6" x14ac:dyDescent="0.25">
      <c r="A953" s="915" t="s">
        <v>3167</v>
      </c>
      <c r="B953" s="926" t="s">
        <v>2946</v>
      </c>
      <c r="C953" s="932" t="s">
        <v>2947</v>
      </c>
      <c r="D953" s="950" t="s">
        <v>861</v>
      </c>
      <c r="E953" s="953"/>
      <c r="F953" s="958">
        <v>6480</v>
      </c>
    </row>
    <row r="954" spans="1:6" x14ac:dyDescent="0.25">
      <c r="A954" s="915" t="s">
        <v>3167</v>
      </c>
      <c r="B954" s="926" t="s">
        <v>2948</v>
      </c>
      <c r="C954" s="932" t="s">
        <v>2949</v>
      </c>
      <c r="D954" s="950" t="s">
        <v>861</v>
      </c>
      <c r="E954" s="953"/>
      <c r="F954" s="958">
        <v>1574</v>
      </c>
    </row>
    <row r="955" spans="1:6" x14ac:dyDescent="0.25">
      <c r="A955" s="915" t="s">
        <v>3167</v>
      </c>
      <c r="B955" s="926" t="s">
        <v>2950</v>
      </c>
      <c r="C955" s="932" t="s">
        <v>2951</v>
      </c>
      <c r="D955" s="950" t="s">
        <v>861</v>
      </c>
      <c r="E955" s="953"/>
      <c r="F955" s="958">
        <v>8332</v>
      </c>
    </row>
    <row r="956" spans="1:6" x14ac:dyDescent="0.25">
      <c r="A956" s="915" t="s">
        <v>3167</v>
      </c>
      <c r="B956" s="926" t="s">
        <v>2952</v>
      </c>
      <c r="C956" s="932" t="s">
        <v>2953</v>
      </c>
      <c r="D956" s="950" t="s">
        <v>861</v>
      </c>
      <c r="E956" s="953"/>
      <c r="F956" s="958">
        <v>10184</v>
      </c>
    </row>
    <row r="957" spans="1:6" x14ac:dyDescent="0.25">
      <c r="A957" s="915" t="s">
        <v>3167</v>
      </c>
      <c r="B957" s="926" t="s">
        <v>2954</v>
      </c>
      <c r="C957" s="932" t="s">
        <v>2955</v>
      </c>
      <c r="D957" s="950" t="s">
        <v>861</v>
      </c>
      <c r="E957" s="953"/>
      <c r="F957" s="958">
        <v>15738</v>
      </c>
    </row>
    <row r="958" spans="1:6" x14ac:dyDescent="0.25">
      <c r="A958" s="915" t="s">
        <v>3167</v>
      </c>
      <c r="B958" s="926" t="s">
        <v>2956</v>
      </c>
      <c r="C958" s="932" t="s">
        <v>2957</v>
      </c>
      <c r="D958" s="950" t="s">
        <v>861</v>
      </c>
      <c r="E958" s="953"/>
      <c r="F958" s="958">
        <v>1389</v>
      </c>
    </row>
    <row r="959" spans="1:6" x14ac:dyDescent="0.25">
      <c r="A959" s="915" t="s">
        <v>3167</v>
      </c>
      <c r="B959" s="926" t="s">
        <v>2958</v>
      </c>
      <c r="C959" s="926" t="s">
        <v>2959</v>
      </c>
      <c r="D959" s="950"/>
      <c r="E959" s="953"/>
      <c r="F959" s="951"/>
    </row>
    <row r="960" spans="1:6" x14ac:dyDescent="0.25">
      <c r="A960" s="915" t="s">
        <v>3167</v>
      </c>
      <c r="B960" s="926" t="s">
        <v>2960</v>
      </c>
      <c r="C960" s="932" t="s">
        <v>2961</v>
      </c>
      <c r="D960" s="950" t="s">
        <v>950</v>
      </c>
      <c r="E960" s="953"/>
      <c r="F960" s="958">
        <v>6829</v>
      </c>
    </row>
    <row r="961" spans="1:6" x14ac:dyDescent="0.25">
      <c r="A961" s="915" t="s">
        <v>3167</v>
      </c>
      <c r="B961" s="926" t="s">
        <v>2962</v>
      </c>
      <c r="C961" s="932" t="s">
        <v>2963</v>
      </c>
      <c r="D961" s="950" t="s">
        <v>950</v>
      </c>
      <c r="E961" s="953"/>
      <c r="F961" s="958">
        <v>3703</v>
      </c>
    </row>
    <row r="962" spans="1:6" x14ac:dyDescent="0.25">
      <c r="A962" s="915" t="s">
        <v>3167</v>
      </c>
      <c r="B962" s="926" t="s">
        <v>2964</v>
      </c>
      <c r="C962" s="932" t="s">
        <v>2965</v>
      </c>
      <c r="D962" s="950" t="s">
        <v>950</v>
      </c>
      <c r="E962" s="953"/>
      <c r="F962" s="958">
        <v>2777</v>
      </c>
    </row>
    <row r="963" spans="1:6" x14ac:dyDescent="0.25">
      <c r="A963" s="915" t="s">
        <v>3167</v>
      </c>
      <c r="B963" s="926" t="s">
        <v>2966</v>
      </c>
      <c r="C963" s="926" t="s">
        <v>2967</v>
      </c>
      <c r="D963" s="950"/>
      <c r="E963" s="953"/>
      <c r="F963" s="951"/>
    </row>
    <row r="964" spans="1:6" x14ac:dyDescent="0.25">
      <c r="A964" s="915" t="s">
        <v>3167</v>
      </c>
      <c r="B964" s="926" t="s">
        <v>2968</v>
      </c>
      <c r="C964" s="932" t="s">
        <v>2969</v>
      </c>
      <c r="D964" s="950" t="s">
        <v>861</v>
      </c>
      <c r="E964" s="953"/>
      <c r="F964" s="958">
        <v>6480</v>
      </c>
    </row>
    <row r="965" spans="1:6" x14ac:dyDescent="0.25">
      <c r="A965" s="915" t="s">
        <v>3167</v>
      </c>
      <c r="B965" s="926" t="s">
        <v>2970</v>
      </c>
      <c r="C965" s="932" t="s">
        <v>2971</v>
      </c>
      <c r="D965" s="950" t="s">
        <v>861</v>
      </c>
      <c r="E965" s="953"/>
      <c r="F965" s="958">
        <v>7777</v>
      </c>
    </row>
    <row r="966" spans="1:6" x14ac:dyDescent="0.25">
      <c r="A966" s="915" t="s">
        <v>3167</v>
      </c>
      <c r="B966" s="926" t="s">
        <v>2972</v>
      </c>
      <c r="C966" s="932" t="s">
        <v>2973</v>
      </c>
      <c r="D966" s="950" t="s">
        <v>861</v>
      </c>
      <c r="E966" s="953"/>
      <c r="F966" s="958">
        <v>18238</v>
      </c>
    </row>
    <row r="967" spans="1:6" x14ac:dyDescent="0.25">
      <c r="A967" s="915" t="s">
        <v>3167</v>
      </c>
      <c r="B967" s="926" t="s">
        <v>2974</v>
      </c>
      <c r="C967" s="926" t="s">
        <v>2975</v>
      </c>
      <c r="D967" s="950"/>
      <c r="E967" s="953"/>
      <c r="F967" s="951"/>
    </row>
    <row r="968" spans="1:6" x14ac:dyDescent="0.25">
      <c r="A968" s="915" t="s">
        <v>3167</v>
      </c>
      <c r="B968" s="926" t="s">
        <v>2976</v>
      </c>
      <c r="C968" s="932" t="s">
        <v>2977</v>
      </c>
      <c r="D968" s="950" t="s">
        <v>861</v>
      </c>
      <c r="E968" s="953"/>
      <c r="F968" s="951">
        <v>648</v>
      </c>
    </row>
    <row r="969" spans="1:6" x14ac:dyDescent="0.25">
      <c r="A969" s="915" t="s">
        <v>3167</v>
      </c>
      <c r="B969" s="926" t="s">
        <v>2978</v>
      </c>
      <c r="C969" s="932" t="s">
        <v>2979</v>
      </c>
      <c r="D969" s="950" t="s">
        <v>861</v>
      </c>
      <c r="E969" s="953"/>
      <c r="F969" s="958">
        <v>6110</v>
      </c>
    </row>
    <row r="970" spans="1:6" x14ac:dyDescent="0.25">
      <c r="A970" s="915" t="s">
        <v>3167</v>
      </c>
      <c r="B970" s="926" t="s">
        <v>2980</v>
      </c>
      <c r="C970" s="932" t="s">
        <v>2981</v>
      </c>
      <c r="D970" s="950" t="s">
        <v>861</v>
      </c>
      <c r="E970" s="953"/>
      <c r="F970" s="958">
        <v>1204</v>
      </c>
    </row>
    <row r="971" spans="1:6" x14ac:dyDescent="0.25">
      <c r="A971" s="915" t="s">
        <v>3167</v>
      </c>
      <c r="B971" s="926" t="s">
        <v>2982</v>
      </c>
      <c r="C971" s="932" t="s">
        <v>2983</v>
      </c>
      <c r="D971" s="950" t="s">
        <v>727</v>
      </c>
      <c r="E971" s="953"/>
      <c r="F971" s="958">
        <v>19441</v>
      </c>
    </row>
    <row r="972" spans="1:6" x14ac:dyDescent="0.25">
      <c r="A972" s="915" t="s">
        <v>3167</v>
      </c>
      <c r="B972" s="926" t="s">
        <v>2984</v>
      </c>
      <c r="C972" s="932" t="s">
        <v>2985</v>
      </c>
      <c r="D972" s="950" t="s">
        <v>727</v>
      </c>
      <c r="E972" s="953"/>
      <c r="F972" s="958">
        <v>8332</v>
      </c>
    </row>
    <row r="973" spans="1:6" x14ac:dyDescent="0.25">
      <c r="A973" s="915" t="s">
        <v>3167</v>
      </c>
      <c r="B973" s="926" t="s">
        <v>2986</v>
      </c>
      <c r="C973" s="932" t="s">
        <v>2987</v>
      </c>
      <c r="D973" s="950" t="s">
        <v>950</v>
      </c>
      <c r="E973" s="953"/>
      <c r="F973" s="958">
        <v>10184</v>
      </c>
    </row>
    <row r="974" spans="1:6" x14ac:dyDescent="0.25">
      <c r="A974" s="915" t="s">
        <v>3167</v>
      </c>
    </row>
    <row r="975" spans="1:6" x14ac:dyDescent="0.25">
      <c r="A975" s="915" t="s">
        <v>3167</v>
      </c>
    </row>
    <row r="976" spans="1:6" x14ac:dyDescent="0.25">
      <c r="A976" s="915" t="s">
        <v>3167</v>
      </c>
    </row>
    <row r="977" spans="1:1" x14ac:dyDescent="0.25">
      <c r="A977" s="915" t="s">
        <v>3167</v>
      </c>
    </row>
    <row r="978" spans="1:1" x14ac:dyDescent="0.25">
      <c r="A978" s="915" t="s">
        <v>3167</v>
      </c>
    </row>
    <row r="979" spans="1:1" x14ac:dyDescent="0.25">
      <c r="A979" s="915" t="s">
        <v>3167</v>
      </c>
    </row>
    <row r="980" spans="1:1" x14ac:dyDescent="0.25">
      <c r="A980" s="915" t="s">
        <v>3167</v>
      </c>
    </row>
    <row r="981" spans="1:1" x14ac:dyDescent="0.25">
      <c r="A981" s="915" t="s">
        <v>3167</v>
      </c>
    </row>
    <row r="982" spans="1:1" x14ac:dyDescent="0.25">
      <c r="A982" s="915" t="s">
        <v>3167</v>
      </c>
    </row>
    <row r="983" spans="1:1" x14ac:dyDescent="0.25">
      <c r="A983" s="915" t="s">
        <v>3167</v>
      </c>
    </row>
    <row r="984" spans="1:1" x14ac:dyDescent="0.25">
      <c r="A984" s="915" t="s">
        <v>3167</v>
      </c>
    </row>
    <row r="985" spans="1:1" x14ac:dyDescent="0.25">
      <c r="A985" s="915" t="s">
        <v>3167</v>
      </c>
    </row>
    <row r="986" spans="1:1" x14ac:dyDescent="0.25">
      <c r="A986" s="915" t="s">
        <v>3167</v>
      </c>
    </row>
    <row r="987" spans="1:1" x14ac:dyDescent="0.25">
      <c r="A987" s="915" t="s">
        <v>3167</v>
      </c>
    </row>
    <row r="988" spans="1:1" x14ac:dyDescent="0.25">
      <c r="A988" s="915" t="s">
        <v>3167</v>
      </c>
    </row>
    <row r="989" spans="1:1" x14ac:dyDescent="0.25">
      <c r="A989" s="915" t="s">
        <v>3167</v>
      </c>
    </row>
    <row r="990" spans="1:1" x14ac:dyDescent="0.25">
      <c r="A990" s="915" t="s">
        <v>3167</v>
      </c>
    </row>
    <row r="991" spans="1:1" x14ac:dyDescent="0.25">
      <c r="A991" s="915" t="s">
        <v>3167</v>
      </c>
    </row>
    <row r="992" spans="1:1" x14ac:dyDescent="0.25">
      <c r="A992" s="915" t="s">
        <v>3167</v>
      </c>
    </row>
    <row r="993" spans="1:1" x14ac:dyDescent="0.25">
      <c r="A993" s="915" t="s">
        <v>3167</v>
      </c>
    </row>
    <row r="994" spans="1:1" x14ac:dyDescent="0.25">
      <c r="A994" s="915" t="s">
        <v>3167</v>
      </c>
    </row>
    <row r="995" spans="1:1" x14ac:dyDescent="0.25">
      <c r="A995" s="915" t="s">
        <v>3167</v>
      </c>
    </row>
    <row r="996" spans="1:1" x14ac:dyDescent="0.25">
      <c r="A996" s="915" t="s">
        <v>3167</v>
      </c>
    </row>
    <row r="997" spans="1:1" x14ac:dyDescent="0.25">
      <c r="A997" s="915" t="s">
        <v>3167</v>
      </c>
    </row>
    <row r="998" spans="1:1" x14ac:dyDescent="0.25">
      <c r="A998" s="915" t="s">
        <v>3167</v>
      </c>
    </row>
    <row r="999" spans="1:1" x14ac:dyDescent="0.25">
      <c r="A999" s="915" t="s">
        <v>3167</v>
      </c>
    </row>
    <row r="1000" spans="1:1" x14ac:dyDescent="0.25">
      <c r="A1000" s="915" t="s">
        <v>3167</v>
      </c>
    </row>
    <row r="1001" spans="1:1" x14ac:dyDescent="0.25">
      <c r="A1001" s="915" t="s">
        <v>3167</v>
      </c>
    </row>
  </sheetData>
  <mergeCells count="1">
    <mergeCell ref="I2:I4"/>
  </mergeCells>
  <hyperlinks>
    <hyperlink ref="K16:P16" location="DQE!A1" display="DQE"/>
    <hyperlink ref="I2:I4" location="DQE!A1" display="Clique pour aller vers DQE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5" r:id="rId4" name="Button 1">
              <controlPr defaultSize="0" print="0" autoFill="0" autoPict="0" macro="[0]!testtransfert">
                <anchor moveWithCells="1" sizeWithCells="1">
                  <from>
                    <xdr:col>8</xdr:col>
                    <xdr:colOff>0</xdr:colOff>
                    <xdr:row>5</xdr:row>
                    <xdr:rowOff>19050</xdr:rowOff>
                  </from>
                  <to>
                    <xdr:col>9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PUHT!$E$68:$E$71</xm:f>
          </x14:formula1>
          <xm:sqref>F19</xm:sqref>
        </x14:dataValidation>
        <x14:dataValidation type="list" allowBlank="1" showInputMessage="1" showErrorMessage="1">
          <x14:formula1>
            <xm:f>PUHT!$F$63:$F$66</xm:f>
          </x14:formula1>
          <xm:sqref>F18</xm:sqref>
        </x14:dataValidation>
        <x14:dataValidation type="list" allowBlank="1" showInputMessage="1" showErrorMessage="1">
          <x14:formula1>
            <xm:f>PUHT!$E$57:$E$61</xm:f>
          </x14:formula1>
          <xm:sqref>F17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Z2907"/>
  <sheetViews>
    <sheetView tabSelected="1" zoomScaleNormal="100" workbookViewId="0"/>
  </sheetViews>
  <sheetFormatPr baseColWidth="10" defaultRowHeight="14.25" x14ac:dyDescent="0.2"/>
  <cols>
    <col min="1" max="1" width="11.42578125" style="1004"/>
    <col min="2" max="2" width="8.28515625" style="970" customWidth="1"/>
    <col min="3" max="3" width="81.85546875" style="975" customWidth="1"/>
    <col min="4" max="4" width="9.5703125" style="984" customWidth="1"/>
    <col min="5" max="5" width="8" style="984" customWidth="1"/>
    <col min="6" max="6" width="12.28515625" style="984" customWidth="1"/>
    <col min="7" max="7" width="13" style="1004" customWidth="1"/>
    <col min="8" max="257" width="11.42578125" style="1004"/>
    <col min="258" max="258" width="19.28515625" style="1004" bestFit="1" customWidth="1"/>
    <col min="259" max="259" width="92.140625" style="1004" customWidth="1"/>
    <col min="260" max="260" width="19.85546875" style="1004" bestFit="1" customWidth="1"/>
    <col min="261" max="261" width="10.42578125" style="1004" bestFit="1" customWidth="1"/>
    <col min="262" max="262" width="6.42578125" style="1004" bestFit="1" customWidth="1"/>
    <col min="263" max="263" width="5.5703125" style="1004" bestFit="1" customWidth="1"/>
    <col min="264" max="513" width="11.42578125" style="1004"/>
    <col min="514" max="514" width="19.28515625" style="1004" bestFit="1" customWidth="1"/>
    <col min="515" max="515" width="92.140625" style="1004" customWidth="1"/>
    <col min="516" max="516" width="19.85546875" style="1004" bestFit="1" customWidth="1"/>
    <col min="517" max="517" width="10.42578125" style="1004" bestFit="1" customWidth="1"/>
    <col min="518" max="518" width="6.42578125" style="1004" bestFit="1" customWidth="1"/>
    <col min="519" max="519" width="5.5703125" style="1004" bestFit="1" customWidth="1"/>
    <col min="520" max="769" width="11.42578125" style="1004"/>
    <col min="770" max="770" width="19.28515625" style="1004" bestFit="1" customWidth="1"/>
    <col min="771" max="771" width="92.140625" style="1004" customWidth="1"/>
    <col min="772" max="772" width="19.85546875" style="1004" bestFit="1" customWidth="1"/>
    <col min="773" max="773" width="10.42578125" style="1004" bestFit="1" customWidth="1"/>
    <col min="774" max="774" width="6.42578125" style="1004" bestFit="1" customWidth="1"/>
    <col min="775" max="775" width="5.5703125" style="1004" bestFit="1" customWidth="1"/>
    <col min="776" max="1025" width="11.42578125" style="1004"/>
    <col min="1026" max="1026" width="19.28515625" style="1004" bestFit="1" customWidth="1"/>
    <col min="1027" max="1027" width="92.140625" style="1004" customWidth="1"/>
    <col min="1028" max="1028" width="19.85546875" style="1004" bestFit="1" customWidth="1"/>
    <col min="1029" max="1029" width="10.42578125" style="1004" bestFit="1" customWidth="1"/>
    <col min="1030" max="1030" width="6.42578125" style="1004" bestFit="1" customWidth="1"/>
    <col min="1031" max="1031" width="5.5703125" style="1004" bestFit="1" customWidth="1"/>
    <col min="1032" max="1281" width="11.42578125" style="1004"/>
    <col min="1282" max="1282" width="19.28515625" style="1004" bestFit="1" customWidth="1"/>
    <col min="1283" max="1283" width="92.140625" style="1004" customWidth="1"/>
    <col min="1284" max="1284" width="19.85546875" style="1004" bestFit="1" customWidth="1"/>
    <col min="1285" max="1285" width="10.42578125" style="1004" bestFit="1" customWidth="1"/>
    <col min="1286" max="1286" width="6.42578125" style="1004" bestFit="1" customWidth="1"/>
    <col min="1287" max="1287" width="5.5703125" style="1004" bestFit="1" customWidth="1"/>
    <col min="1288" max="1537" width="11.42578125" style="1004"/>
    <col min="1538" max="1538" width="19.28515625" style="1004" bestFit="1" customWidth="1"/>
    <col min="1539" max="1539" width="92.140625" style="1004" customWidth="1"/>
    <col min="1540" max="1540" width="19.85546875" style="1004" bestFit="1" customWidth="1"/>
    <col min="1541" max="1541" width="10.42578125" style="1004" bestFit="1" customWidth="1"/>
    <col min="1542" max="1542" width="6.42578125" style="1004" bestFit="1" customWidth="1"/>
    <col min="1543" max="1543" width="5.5703125" style="1004" bestFit="1" customWidth="1"/>
    <col min="1544" max="1793" width="11.42578125" style="1004"/>
    <col min="1794" max="1794" width="19.28515625" style="1004" bestFit="1" customWidth="1"/>
    <col min="1795" max="1795" width="92.140625" style="1004" customWidth="1"/>
    <col min="1796" max="1796" width="19.85546875" style="1004" bestFit="1" customWidth="1"/>
    <col min="1797" max="1797" width="10.42578125" style="1004" bestFit="1" customWidth="1"/>
    <col min="1798" max="1798" width="6.42578125" style="1004" bestFit="1" customWidth="1"/>
    <col min="1799" max="1799" width="5.5703125" style="1004" bestFit="1" customWidth="1"/>
    <col min="1800" max="2049" width="11.42578125" style="1004"/>
    <col min="2050" max="2050" width="19.28515625" style="1004" bestFit="1" customWidth="1"/>
    <col min="2051" max="2051" width="92.140625" style="1004" customWidth="1"/>
    <col min="2052" max="2052" width="19.85546875" style="1004" bestFit="1" customWidth="1"/>
    <col min="2053" max="2053" width="10.42578125" style="1004" bestFit="1" customWidth="1"/>
    <col min="2054" max="2054" width="6.42578125" style="1004" bestFit="1" customWidth="1"/>
    <col min="2055" max="2055" width="5.5703125" style="1004" bestFit="1" customWidth="1"/>
    <col min="2056" max="2305" width="11.42578125" style="1004"/>
    <col min="2306" max="2306" width="19.28515625" style="1004" bestFit="1" customWidth="1"/>
    <col min="2307" max="2307" width="92.140625" style="1004" customWidth="1"/>
    <col min="2308" max="2308" width="19.85546875" style="1004" bestFit="1" customWidth="1"/>
    <col min="2309" max="2309" width="10.42578125" style="1004" bestFit="1" customWidth="1"/>
    <col min="2310" max="2310" width="6.42578125" style="1004" bestFit="1" customWidth="1"/>
    <col min="2311" max="2311" width="5.5703125" style="1004" bestFit="1" customWidth="1"/>
    <col min="2312" max="2561" width="11.42578125" style="1004"/>
    <col min="2562" max="2562" width="19.28515625" style="1004" bestFit="1" customWidth="1"/>
    <col min="2563" max="2563" width="92.140625" style="1004" customWidth="1"/>
    <col min="2564" max="2564" width="19.85546875" style="1004" bestFit="1" customWidth="1"/>
    <col min="2565" max="2565" width="10.42578125" style="1004" bestFit="1" customWidth="1"/>
    <col min="2566" max="2566" width="6.42578125" style="1004" bestFit="1" customWidth="1"/>
    <col min="2567" max="2567" width="5.5703125" style="1004" bestFit="1" customWidth="1"/>
    <col min="2568" max="2817" width="11.42578125" style="1004"/>
    <col min="2818" max="2818" width="19.28515625" style="1004" bestFit="1" customWidth="1"/>
    <col min="2819" max="2819" width="92.140625" style="1004" customWidth="1"/>
    <col min="2820" max="2820" width="19.85546875" style="1004" bestFit="1" customWidth="1"/>
    <col min="2821" max="2821" width="10.42578125" style="1004" bestFit="1" customWidth="1"/>
    <col min="2822" max="2822" width="6.42578125" style="1004" bestFit="1" customWidth="1"/>
    <col min="2823" max="2823" width="5.5703125" style="1004" bestFit="1" customWidth="1"/>
    <col min="2824" max="3073" width="11.42578125" style="1004"/>
    <col min="3074" max="3074" width="19.28515625" style="1004" bestFit="1" customWidth="1"/>
    <col min="3075" max="3075" width="92.140625" style="1004" customWidth="1"/>
    <col min="3076" max="3076" width="19.85546875" style="1004" bestFit="1" customWidth="1"/>
    <col min="3077" max="3077" width="10.42578125" style="1004" bestFit="1" customWidth="1"/>
    <col min="3078" max="3078" width="6.42578125" style="1004" bestFit="1" customWidth="1"/>
    <col min="3079" max="3079" width="5.5703125" style="1004" bestFit="1" customWidth="1"/>
    <col min="3080" max="3329" width="11.42578125" style="1004"/>
    <col min="3330" max="3330" width="19.28515625" style="1004" bestFit="1" customWidth="1"/>
    <col min="3331" max="3331" width="92.140625" style="1004" customWidth="1"/>
    <col min="3332" max="3332" width="19.85546875" style="1004" bestFit="1" customWidth="1"/>
    <col min="3333" max="3333" width="10.42578125" style="1004" bestFit="1" customWidth="1"/>
    <col min="3334" max="3334" width="6.42578125" style="1004" bestFit="1" customWidth="1"/>
    <col min="3335" max="3335" width="5.5703125" style="1004" bestFit="1" customWidth="1"/>
    <col min="3336" max="3585" width="11.42578125" style="1004"/>
    <col min="3586" max="3586" width="19.28515625" style="1004" bestFit="1" customWidth="1"/>
    <col min="3587" max="3587" width="92.140625" style="1004" customWidth="1"/>
    <col min="3588" max="3588" width="19.85546875" style="1004" bestFit="1" customWidth="1"/>
    <col min="3589" max="3589" width="10.42578125" style="1004" bestFit="1" customWidth="1"/>
    <col min="3590" max="3590" width="6.42578125" style="1004" bestFit="1" customWidth="1"/>
    <col min="3591" max="3591" width="5.5703125" style="1004" bestFit="1" customWidth="1"/>
    <col min="3592" max="3841" width="11.42578125" style="1004"/>
    <col min="3842" max="3842" width="19.28515625" style="1004" bestFit="1" customWidth="1"/>
    <col min="3843" max="3843" width="92.140625" style="1004" customWidth="1"/>
    <col min="3844" max="3844" width="19.85546875" style="1004" bestFit="1" customWidth="1"/>
    <col min="3845" max="3845" width="10.42578125" style="1004" bestFit="1" customWidth="1"/>
    <col min="3846" max="3846" width="6.42578125" style="1004" bestFit="1" customWidth="1"/>
    <col min="3847" max="3847" width="5.5703125" style="1004" bestFit="1" customWidth="1"/>
    <col min="3848" max="4097" width="11.42578125" style="1004"/>
    <col min="4098" max="4098" width="19.28515625" style="1004" bestFit="1" customWidth="1"/>
    <col min="4099" max="4099" width="92.140625" style="1004" customWidth="1"/>
    <col min="4100" max="4100" width="19.85546875" style="1004" bestFit="1" customWidth="1"/>
    <col min="4101" max="4101" width="10.42578125" style="1004" bestFit="1" customWidth="1"/>
    <col min="4102" max="4102" width="6.42578125" style="1004" bestFit="1" customWidth="1"/>
    <col min="4103" max="4103" width="5.5703125" style="1004" bestFit="1" customWidth="1"/>
    <col min="4104" max="4353" width="11.42578125" style="1004"/>
    <col min="4354" max="4354" width="19.28515625" style="1004" bestFit="1" customWidth="1"/>
    <col min="4355" max="4355" width="92.140625" style="1004" customWidth="1"/>
    <col min="4356" max="4356" width="19.85546875" style="1004" bestFit="1" customWidth="1"/>
    <col min="4357" max="4357" width="10.42578125" style="1004" bestFit="1" customWidth="1"/>
    <col min="4358" max="4358" width="6.42578125" style="1004" bestFit="1" customWidth="1"/>
    <col min="4359" max="4359" width="5.5703125" style="1004" bestFit="1" customWidth="1"/>
    <col min="4360" max="4609" width="11.42578125" style="1004"/>
    <col min="4610" max="4610" width="19.28515625" style="1004" bestFit="1" customWidth="1"/>
    <col min="4611" max="4611" width="92.140625" style="1004" customWidth="1"/>
    <col min="4612" max="4612" width="19.85546875" style="1004" bestFit="1" customWidth="1"/>
    <col min="4613" max="4613" width="10.42578125" style="1004" bestFit="1" customWidth="1"/>
    <col min="4614" max="4614" width="6.42578125" style="1004" bestFit="1" customWidth="1"/>
    <col min="4615" max="4615" width="5.5703125" style="1004" bestFit="1" customWidth="1"/>
    <col min="4616" max="4865" width="11.42578125" style="1004"/>
    <col min="4866" max="4866" width="19.28515625" style="1004" bestFit="1" customWidth="1"/>
    <col min="4867" max="4867" width="92.140625" style="1004" customWidth="1"/>
    <col min="4868" max="4868" width="19.85546875" style="1004" bestFit="1" customWidth="1"/>
    <col min="4869" max="4869" width="10.42578125" style="1004" bestFit="1" customWidth="1"/>
    <col min="4870" max="4870" width="6.42578125" style="1004" bestFit="1" customWidth="1"/>
    <col min="4871" max="4871" width="5.5703125" style="1004" bestFit="1" customWidth="1"/>
    <col min="4872" max="5121" width="11.42578125" style="1004"/>
    <col min="5122" max="5122" width="19.28515625" style="1004" bestFit="1" customWidth="1"/>
    <col min="5123" max="5123" width="92.140625" style="1004" customWidth="1"/>
    <col min="5124" max="5124" width="19.85546875" style="1004" bestFit="1" customWidth="1"/>
    <col min="5125" max="5125" width="10.42578125" style="1004" bestFit="1" customWidth="1"/>
    <col min="5126" max="5126" width="6.42578125" style="1004" bestFit="1" customWidth="1"/>
    <col min="5127" max="5127" width="5.5703125" style="1004" bestFit="1" customWidth="1"/>
    <col min="5128" max="5377" width="11.42578125" style="1004"/>
    <col min="5378" max="5378" width="19.28515625" style="1004" bestFit="1" customWidth="1"/>
    <col min="5379" max="5379" width="92.140625" style="1004" customWidth="1"/>
    <col min="5380" max="5380" width="19.85546875" style="1004" bestFit="1" customWidth="1"/>
    <col min="5381" max="5381" width="10.42578125" style="1004" bestFit="1" customWidth="1"/>
    <col min="5382" max="5382" width="6.42578125" style="1004" bestFit="1" customWidth="1"/>
    <col min="5383" max="5383" width="5.5703125" style="1004" bestFit="1" customWidth="1"/>
    <col min="5384" max="5633" width="11.42578125" style="1004"/>
    <col min="5634" max="5634" width="19.28515625" style="1004" bestFit="1" customWidth="1"/>
    <col min="5635" max="5635" width="92.140625" style="1004" customWidth="1"/>
    <col min="5636" max="5636" width="19.85546875" style="1004" bestFit="1" customWidth="1"/>
    <col min="5637" max="5637" width="10.42578125" style="1004" bestFit="1" customWidth="1"/>
    <col min="5638" max="5638" width="6.42578125" style="1004" bestFit="1" customWidth="1"/>
    <col min="5639" max="5639" width="5.5703125" style="1004" bestFit="1" customWidth="1"/>
    <col min="5640" max="5889" width="11.42578125" style="1004"/>
    <col min="5890" max="5890" width="19.28515625" style="1004" bestFit="1" customWidth="1"/>
    <col min="5891" max="5891" width="92.140625" style="1004" customWidth="1"/>
    <col min="5892" max="5892" width="19.85546875" style="1004" bestFit="1" customWidth="1"/>
    <col min="5893" max="5893" width="10.42578125" style="1004" bestFit="1" customWidth="1"/>
    <col min="5894" max="5894" width="6.42578125" style="1004" bestFit="1" customWidth="1"/>
    <col min="5895" max="5895" width="5.5703125" style="1004" bestFit="1" customWidth="1"/>
    <col min="5896" max="6145" width="11.42578125" style="1004"/>
    <col min="6146" max="6146" width="19.28515625" style="1004" bestFit="1" customWidth="1"/>
    <col min="6147" max="6147" width="92.140625" style="1004" customWidth="1"/>
    <col min="6148" max="6148" width="19.85546875" style="1004" bestFit="1" customWidth="1"/>
    <col min="6149" max="6149" width="10.42578125" style="1004" bestFit="1" customWidth="1"/>
    <col min="6150" max="6150" width="6.42578125" style="1004" bestFit="1" customWidth="1"/>
    <col min="6151" max="6151" width="5.5703125" style="1004" bestFit="1" customWidth="1"/>
    <col min="6152" max="6401" width="11.42578125" style="1004"/>
    <col min="6402" max="6402" width="19.28515625" style="1004" bestFit="1" customWidth="1"/>
    <col min="6403" max="6403" width="92.140625" style="1004" customWidth="1"/>
    <col min="6404" max="6404" width="19.85546875" style="1004" bestFit="1" customWidth="1"/>
    <col min="6405" max="6405" width="10.42578125" style="1004" bestFit="1" customWidth="1"/>
    <col min="6406" max="6406" width="6.42578125" style="1004" bestFit="1" customWidth="1"/>
    <col min="6407" max="6407" width="5.5703125" style="1004" bestFit="1" customWidth="1"/>
    <col min="6408" max="6657" width="11.42578125" style="1004"/>
    <col min="6658" max="6658" width="19.28515625" style="1004" bestFit="1" customWidth="1"/>
    <col min="6659" max="6659" width="92.140625" style="1004" customWidth="1"/>
    <col min="6660" max="6660" width="19.85546875" style="1004" bestFit="1" customWidth="1"/>
    <col min="6661" max="6661" width="10.42578125" style="1004" bestFit="1" customWidth="1"/>
    <col min="6662" max="6662" width="6.42578125" style="1004" bestFit="1" customWidth="1"/>
    <col min="6663" max="6663" width="5.5703125" style="1004" bestFit="1" customWidth="1"/>
    <col min="6664" max="6913" width="11.42578125" style="1004"/>
    <col min="6914" max="6914" width="19.28515625" style="1004" bestFit="1" customWidth="1"/>
    <col min="6915" max="6915" width="92.140625" style="1004" customWidth="1"/>
    <col min="6916" max="6916" width="19.85546875" style="1004" bestFit="1" customWidth="1"/>
    <col min="6917" max="6917" width="10.42578125" style="1004" bestFit="1" customWidth="1"/>
    <col min="6918" max="6918" width="6.42578125" style="1004" bestFit="1" customWidth="1"/>
    <col min="6919" max="6919" width="5.5703125" style="1004" bestFit="1" customWidth="1"/>
    <col min="6920" max="7169" width="11.42578125" style="1004"/>
    <col min="7170" max="7170" width="19.28515625" style="1004" bestFit="1" customWidth="1"/>
    <col min="7171" max="7171" width="92.140625" style="1004" customWidth="1"/>
    <col min="7172" max="7172" width="19.85546875" style="1004" bestFit="1" customWidth="1"/>
    <col min="7173" max="7173" width="10.42578125" style="1004" bestFit="1" customWidth="1"/>
    <col min="7174" max="7174" width="6.42578125" style="1004" bestFit="1" customWidth="1"/>
    <col min="7175" max="7175" width="5.5703125" style="1004" bestFit="1" customWidth="1"/>
    <col min="7176" max="7425" width="11.42578125" style="1004"/>
    <col min="7426" max="7426" width="19.28515625" style="1004" bestFit="1" customWidth="1"/>
    <col min="7427" max="7427" width="92.140625" style="1004" customWidth="1"/>
    <col min="7428" max="7428" width="19.85546875" style="1004" bestFit="1" customWidth="1"/>
    <col min="7429" max="7429" width="10.42578125" style="1004" bestFit="1" customWidth="1"/>
    <col min="7430" max="7430" width="6.42578125" style="1004" bestFit="1" customWidth="1"/>
    <col min="7431" max="7431" width="5.5703125" style="1004" bestFit="1" customWidth="1"/>
    <col min="7432" max="7681" width="11.42578125" style="1004"/>
    <col min="7682" max="7682" width="19.28515625" style="1004" bestFit="1" customWidth="1"/>
    <col min="7683" max="7683" width="92.140625" style="1004" customWidth="1"/>
    <col min="7684" max="7684" width="19.85546875" style="1004" bestFit="1" customWidth="1"/>
    <col min="7685" max="7685" width="10.42578125" style="1004" bestFit="1" customWidth="1"/>
    <col min="7686" max="7686" width="6.42578125" style="1004" bestFit="1" customWidth="1"/>
    <col min="7687" max="7687" width="5.5703125" style="1004" bestFit="1" customWidth="1"/>
    <col min="7688" max="7937" width="11.42578125" style="1004"/>
    <col min="7938" max="7938" width="19.28515625" style="1004" bestFit="1" customWidth="1"/>
    <col min="7939" max="7939" width="92.140625" style="1004" customWidth="1"/>
    <col min="7940" max="7940" width="19.85546875" style="1004" bestFit="1" customWidth="1"/>
    <col min="7941" max="7941" width="10.42578125" style="1004" bestFit="1" customWidth="1"/>
    <col min="7942" max="7942" width="6.42578125" style="1004" bestFit="1" customWidth="1"/>
    <col min="7943" max="7943" width="5.5703125" style="1004" bestFit="1" customWidth="1"/>
    <col min="7944" max="8193" width="11.42578125" style="1004"/>
    <col min="8194" max="8194" width="19.28515625" style="1004" bestFit="1" customWidth="1"/>
    <col min="8195" max="8195" width="92.140625" style="1004" customWidth="1"/>
    <col min="8196" max="8196" width="19.85546875" style="1004" bestFit="1" customWidth="1"/>
    <col min="8197" max="8197" width="10.42578125" style="1004" bestFit="1" customWidth="1"/>
    <col min="8198" max="8198" width="6.42578125" style="1004" bestFit="1" customWidth="1"/>
    <col min="8199" max="8199" width="5.5703125" style="1004" bestFit="1" customWidth="1"/>
    <col min="8200" max="8449" width="11.42578125" style="1004"/>
    <col min="8450" max="8450" width="19.28515625" style="1004" bestFit="1" customWidth="1"/>
    <col min="8451" max="8451" width="92.140625" style="1004" customWidth="1"/>
    <col min="8452" max="8452" width="19.85546875" style="1004" bestFit="1" customWidth="1"/>
    <col min="8453" max="8453" width="10.42578125" style="1004" bestFit="1" customWidth="1"/>
    <col min="8454" max="8454" width="6.42578125" style="1004" bestFit="1" customWidth="1"/>
    <col min="8455" max="8455" width="5.5703125" style="1004" bestFit="1" customWidth="1"/>
    <col min="8456" max="8705" width="11.42578125" style="1004"/>
    <col min="8706" max="8706" width="19.28515625" style="1004" bestFit="1" customWidth="1"/>
    <col min="8707" max="8707" width="92.140625" style="1004" customWidth="1"/>
    <col min="8708" max="8708" width="19.85546875" style="1004" bestFit="1" customWidth="1"/>
    <col min="8709" max="8709" width="10.42578125" style="1004" bestFit="1" customWidth="1"/>
    <col min="8710" max="8710" width="6.42578125" style="1004" bestFit="1" customWidth="1"/>
    <col min="8711" max="8711" width="5.5703125" style="1004" bestFit="1" customWidth="1"/>
    <col min="8712" max="8961" width="11.42578125" style="1004"/>
    <col min="8962" max="8962" width="19.28515625" style="1004" bestFit="1" customWidth="1"/>
    <col min="8963" max="8963" width="92.140625" style="1004" customWidth="1"/>
    <col min="8964" max="8964" width="19.85546875" style="1004" bestFit="1" customWidth="1"/>
    <col min="8965" max="8965" width="10.42578125" style="1004" bestFit="1" customWidth="1"/>
    <col min="8966" max="8966" width="6.42578125" style="1004" bestFit="1" customWidth="1"/>
    <col min="8967" max="8967" width="5.5703125" style="1004" bestFit="1" customWidth="1"/>
    <col min="8968" max="9217" width="11.42578125" style="1004"/>
    <col min="9218" max="9218" width="19.28515625" style="1004" bestFit="1" customWidth="1"/>
    <col min="9219" max="9219" width="92.140625" style="1004" customWidth="1"/>
    <col min="9220" max="9220" width="19.85546875" style="1004" bestFit="1" customWidth="1"/>
    <col min="9221" max="9221" width="10.42578125" style="1004" bestFit="1" customWidth="1"/>
    <col min="9222" max="9222" width="6.42578125" style="1004" bestFit="1" customWidth="1"/>
    <col min="9223" max="9223" width="5.5703125" style="1004" bestFit="1" customWidth="1"/>
    <col min="9224" max="9473" width="11.42578125" style="1004"/>
    <col min="9474" max="9474" width="19.28515625" style="1004" bestFit="1" customWidth="1"/>
    <col min="9475" max="9475" width="92.140625" style="1004" customWidth="1"/>
    <col min="9476" max="9476" width="19.85546875" style="1004" bestFit="1" customWidth="1"/>
    <col min="9477" max="9477" width="10.42578125" style="1004" bestFit="1" customWidth="1"/>
    <col min="9478" max="9478" width="6.42578125" style="1004" bestFit="1" customWidth="1"/>
    <col min="9479" max="9479" width="5.5703125" style="1004" bestFit="1" customWidth="1"/>
    <col min="9480" max="9729" width="11.42578125" style="1004"/>
    <col min="9730" max="9730" width="19.28515625" style="1004" bestFit="1" customWidth="1"/>
    <col min="9731" max="9731" width="92.140625" style="1004" customWidth="1"/>
    <col min="9732" max="9732" width="19.85546875" style="1004" bestFit="1" customWidth="1"/>
    <col min="9733" max="9733" width="10.42578125" style="1004" bestFit="1" customWidth="1"/>
    <col min="9734" max="9734" width="6.42578125" style="1004" bestFit="1" customWidth="1"/>
    <col min="9735" max="9735" width="5.5703125" style="1004" bestFit="1" customWidth="1"/>
    <col min="9736" max="9985" width="11.42578125" style="1004"/>
    <col min="9986" max="9986" width="19.28515625" style="1004" bestFit="1" customWidth="1"/>
    <col min="9987" max="9987" width="92.140625" style="1004" customWidth="1"/>
    <col min="9988" max="9988" width="19.85546875" style="1004" bestFit="1" customWidth="1"/>
    <col min="9989" max="9989" width="10.42578125" style="1004" bestFit="1" customWidth="1"/>
    <col min="9990" max="9990" width="6.42578125" style="1004" bestFit="1" customWidth="1"/>
    <col min="9991" max="9991" width="5.5703125" style="1004" bestFit="1" customWidth="1"/>
    <col min="9992" max="10241" width="11.42578125" style="1004"/>
    <col min="10242" max="10242" width="19.28515625" style="1004" bestFit="1" customWidth="1"/>
    <col min="10243" max="10243" width="92.140625" style="1004" customWidth="1"/>
    <col min="10244" max="10244" width="19.85546875" style="1004" bestFit="1" customWidth="1"/>
    <col min="10245" max="10245" width="10.42578125" style="1004" bestFit="1" customWidth="1"/>
    <col min="10246" max="10246" width="6.42578125" style="1004" bestFit="1" customWidth="1"/>
    <col min="10247" max="10247" width="5.5703125" style="1004" bestFit="1" customWidth="1"/>
    <col min="10248" max="10497" width="11.42578125" style="1004"/>
    <col min="10498" max="10498" width="19.28515625" style="1004" bestFit="1" customWidth="1"/>
    <col min="10499" max="10499" width="92.140625" style="1004" customWidth="1"/>
    <col min="10500" max="10500" width="19.85546875" style="1004" bestFit="1" customWidth="1"/>
    <col min="10501" max="10501" width="10.42578125" style="1004" bestFit="1" customWidth="1"/>
    <col min="10502" max="10502" width="6.42578125" style="1004" bestFit="1" customWidth="1"/>
    <col min="10503" max="10503" width="5.5703125" style="1004" bestFit="1" customWidth="1"/>
    <col min="10504" max="10753" width="11.42578125" style="1004"/>
    <col min="10754" max="10754" width="19.28515625" style="1004" bestFit="1" customWidth="1"/>
    <col min="10755" max="10755" width="92.140625" style="1004" customWidth="1"/>
    <col min="10756" max="10756" width="19.85546875" style="1004" bestFit="1" customWidth="1"/>
    <col min="10757" max="10757" width="10.42578125" style="1004" bestFit="1" customWidth="1"/>
    <col min="10758" max="10758" width="6.42578125" style="1004" bestFit="1" customWidth="1"/>
    <col min="10759" max="10759" width="5.5703125" style="1004" bestFit="1" customWidth="1"/>
    <col min="10760" max="11009" width="11.42578125" style="1004"/>
    <col min="11010" max="11010" width="19.28515625" style="1004" bestFit="1" customWidth="1"/>
    <col min="11011" max="11011" width="92.140625" style="1004" customWidth="1"/>
    <col min="11012" max="11012" width="19.85546875" style="1004" bestFit="1" customWidth="1"/>
    <col min="11013" max="11013" width="10.42578125" style="1004" bestFit="1" customWidth="1"/>
    <col min="11014" max="11014" width="6.42578125" style="1004" bestFit="1" customWidth="1"/>
    <col min="11015" max="11015" width="5.5703125" style="1004" bestFit="1" customWidth="1"/>
    <col min="11016" max="11265" width="11.42578125" style="1004"/>
    <col min="11266" max="11266" width="19.28515625" style="1004" bestFit="1" customWidth="1"/>
    <col min="11267" max="11267" width="92.140625" style="1004" customWidth="1"/>
    <col min="11268" max="11268" width="19.85546875" style="1004" bestFit="1" customWidth="1"/>
    <col min="11269" max="11269" width="10.42578125" style="1004" bestFit="1" customWidth="1"/>
    <col min="11270" max="11270" width="6.42578125" style="1004" bestFit="1" customWidth="1"/>
    <col min="11271" max="11271" width="5.5703125" style="1004" bestFit="1" customWidth="1"/>
    <col min="11272" max="11521" width="11.42578125" style="1004"/>
    <col min="11522" max="11522" width="19.28515625" style="1004" bestFit="1" customWidth="1"/>
    <col min="11523" max="11523" width="92.140625" style="1004" customWidth="1"/>
    <col min="11524" max="11524" width="19.85546875" style="1004" bestFit="1" customWidth="1"/>
    <col min="11525" max="11525" width="10.42578125" style="1004" bestFit="1" customWidth="1"/>
    <col min="11526" max="11526" width="6.42578125" style="1004" bestFit="1" customWidth="1"/>
    <col min="11527" max="11527" width="5.5703125" style="1004" bestFit="1" customWidth="1"/>
    <col min="11528" max="11777" width="11.42578125" style="1004"/>
    <col min="11778" max="11778" width="19.28515625" style="1004" bestFit="1" customWidth="1"/>
    <col min="11779" max="11779" width="92.140625" style="1004" customWidth="1"/>
    <col min="11780" max="11780" width="19.85546875" style="1004" bestFit="1" customWidth="1"/>
    <col min="11781" max="11781" width="10.42578125" style="1004" bestFit="1" customWidth="1"/>
    <col min="11782" max="11782" width="6.42578125" style="1004" bestFit="1" customWidth="1"/>
    <col min="11783" max="11783" width="5.5703125" style="1004" bestFit="1" customWidth="1"/>
    <col min="11784" max="12033" width="11.42578125" style="1004"/>
    <col min="12034" max="12034" width="19.28515625" style="1004" bestFit="1" customWidth="1"/>
    <col min="12035" max="12035" width="92.140625" style="1004" customWidth="1"/>
    <col min="12036" max="12036" width="19.85546875" style="1004" bestFit="1" customWidth="1"/>
    <col min="12037" max="12037" width="10.42578125" style="1004" bestFit="1" customWidth="1"/>
    <col min="12038" max="12038" width="6.42578125" style="1004" bestFit="1" customWidth="1"/>
    <col min="12039" max="12039" width="5.5703125" style="1004" bestFit="1" customWidth="1"/>
    <col min="12040" max="12289" width="11.42578125" style="1004"/>
    <col min="12290" max="12290" width="19.28515625" style="1004" bestFit="1" customWidth="1"/>
    <col min="12291" max="12291" width="92.140625" style="1004" customWidth="1"/>
    <col min="12292" max="12292" width="19.85546875" style="1004" bestFit="1" customWidth="1"/>
    <col min="12293" max="12293" width="10.42578125" style="1004" bestFit="1" customWidth="1"/>
    <col min="12294" max="12294" width="6.42578125" style="1004" bestFit="1" customWidth="1"/>
    <col min="12295" max="12295" width="5.5703125" style="1004" bestFit="1" customWidth="1"/>
    <col min="12296" max="12545" width="11.42578125" style="1004"/>
    <col min="12546" max="12546" width="19.28515625" style="1004" bestFit="1" customWidth="1"/>
    <col min="12547" max="12547" width="92.140625" style="1004" customWidth="1"/>
    <col min="12548" max="12548" width="19.85546875" style="1004" bestFit="1" customWidth="1"/>
    <col min="12549" max="12549" width="10.42578125" style="1004" bestFit="1" customWidth="1"/>
    <col min="12550" max="12550" width="6.42578125" style="1004" bestFit="1" customWidth="1"/>
    <col min="12551" max="12551" width="5.5703125" style="1004" bestFit="1" customWidth="1"/>
    <col min="12552" max="12801" width="11.42578125" style="1004"/>
    <col min="12802" max="12802" width="19.28515625" style="1004" bestFit="1" customWidth="1"/>
    <col min="12803" max="12803" width="92.140625" style="1004" customWidth="1"/>
    <col min="12804" max="12804" width="19.85546875" style="1004" bestFit="1" customWidth="1"/>
    <col min="12805" max="12805" width="10.42578125" style="1004" bestFit="1" customWidth="1"/>
    <col min="12806" max="12806" width="6.42578125" style="1004" bestFit="1" customWidth="1"/>
    <col min="12807" max="12807" width="5.5703125" style="1004" bestFit="1" customWidth="1"/>
    <col min="12808" max="13057" width="11.42578125" style="1004"/>
    <col min="13058" max="13058" width="19.28515625" style="1004" bestFit="1" customWidth="1"/>
    <col min="13059" max="13059" width="92.140625" style="1004" customWidth="1"/>
    <col min="13060" max="13060" width="19.85546875" style="1004" bestFit="1" customWidth="1"/>
    <col min="13061" max="13061" width="10.42578125" style="1004" bestFit="1" customWidth="1"/>
    <col min="13062" max="13062" width="6.42578125" style="1004" bestFit="1" customWidth="1"/>
    <col min="13063" max="13063" width="5.5703125" style="1004" bestFit="1" customWidth="1"/>
    <col min="13064" max="13313" width="11.42578125" style="1004"/>
    <col min="13314" max="13314" width="19.28515625" style="1004" bestFit="1" customWidth="1"/>
    <col min="13315" max="13315" width="92.140625" style="1004" customWidth="1"/>
    <col min="13316" max="13316" width="19.85546875" style="1004" bestFit="1" customWidth="1"/>
    <col min="13317" max="13317" width="10.42578125" style="1004" bestFit="1" customWidth="1"/>
    <col min="13318" max="13318" width="6.42578125" style="1004" bestFit="1" customWidth="1"/>
    <col min="13319" max="13319" width="5.5703125" style="1004" bestFit="1" customWidth="1"/>
    <col min="13320" max="13569" width="11.42578125" style="1004"/>
    <col min="13570" max="13570" width="19.28515625" style="1004" bestFit="1" customWidth="1"/>
    <col min="13571" max="13571" width="92.140625" style="1004" customWidth="1"/>
    <col min="13572" max="13572" width="19.85546875" style="1004" bestFit="1" customWidth="1"/>
    <col min="13573" max="13573" width="10.42578125" style="1004" bestFit="1" customWidth="1"/>
    <col min="13574" max="13574" width="6.42578125" style="1004" bestFit="1" customWidth="1"/>
    <col min="13575" max="13575" width="5.5703125" style="1004" bestFit="1" customWidth="1"/>
    <col min="13576" max="13825" width="11.42578125" style="1004"/>
    <col min="13826" max="13826" width="19.28515625" style="1004" bestFit="1" customWidth="1"/>
    <col min="13827" max="13827" width="92.140625" style="1004" customWidth="1"/>
    <col min="13828" max="13828" width="19.85546875" style="1004" bestFit="1" customWidth="1"/>
    <col min="13829" max="13829" width="10.42578125" style="1004" bestFit="1" customWidth="1"/>
    <col min="13830" max="13830" width="6.42578125" style="1004" bestFit="1" customWidth="1"/>
    <col min="13831" max="13831" width="5.5703125" style="1004" bestFit="1" customWidth="1"/>
    <col min="13832" max="14081" width="11.42578125" style="1004"/>
    <col min="14082" max="14082" width="19.28515625" style="1004" bestFit="1" customWidth="1"/>
    <col min="14083" max="14083" width="92.140625" style="1004" customWidth="1"/>
    <col min="14084" max="14084" width="19.85546875" style="1004" bestFit="1" customWidth="1"/>
    <col min="14085" max="14085" width="10.42578125" style="1004" bestFit="1" customWidth="1"/>
    <col min="14086" max="14086" width="6.42578125" style="1004" bestFit="1" customWidth="1"/>
    <col min="14087" max="14087" width="5.5703125" style="1004" bestFit="1" customWidth="1"/>
    <col min="14088" max="14337" width="11.42578125" style="1004"/>
    <col min="14338" max="14338" width="19.28515625" style="1004" bestFit="1" customWidth="1"/>
    <col min="14339" max="14339" width="92.140625" style="1004" customWidth="1"/>
    <col min="14340" max="14340" width="19.85546875" style="1004" bestFit="1" customWidth="1"/>
    <col min="14341" max="14341" width="10.42578125" style="1004" bestFit="1" customWidth="1"/>
    <col min="14342" max="14342" width="6.42578125" style="1004" bestFit="1" customWidth="1"/>
    <col min="14343" max="14343" width="5.5703125" style="1004" bestFit="1" customWidth="1"/>
    <col min="14344" max="14593" width="11.42578125" style="1004"/>
    <col min="14594" max="14594" width="19.28515625" style="1004" bestFit="1" customWidth="1"/>
    <col min="14595" max="14595" width="92.140625" style="1004" customWidth="1"/>
    <col min="14596" max="14596" width="19.85546875" style="1004" bestFit="1" customWidth="1"/>
    <col min="14597" max="14597" width="10.42578125" style="1004" bestFit="1" customWidth="1"/>
    <col min="14598" max="14598" width="6.42578125" style="1004" bestFit="1" customWidth="1"/>
    <col min="14599" max="14599" width="5.5703125" style="1004" bestFit="1" customWidth="1"/>
    <col min="14600" max="14849" width="11.42578125" style="1004"/>
    <col min="14850" max="14850" width="19.28515625" style="1004" bestFit="1" customWidth="1"/>
    <col min="14851" max="14851" width="92.140625" style="1004" customWidth="1"/>
    <col min="14852" max="14852" width="19.85546875" style="1004" bestFit="1" customWidth="1"/>
    <col min="14853" max="14853" width="10.42578125" style="1004" bestFit="1" customWidth="1"/>
    <col min="14854" max="14854" width="6.42578125" style="1004" bestFit="1" customWidth="1"/>
    <col min="14855" max="14855" width="5.5703125" style="1004" bestFit="1" customWidth="1"/>
    <col min="14856" max="15105" width="11.42578125" style="1004"/>
    <col min="15106" max="15106" width="19.28515625" style="1004" bestFit="1" customWidth="1"/>
    <col min="15107" max="15107" width="92.140625" style="1004" customWidth="1"/>
    <col min="15108" max="15108" width="19.85546875" style="1004" bestFit="1" customWidth="1"/>
    <col min="15109" max="15109" width="10.42578125" style="1004" bestFit="1" customWidth="1"/>
    <col min="15110" max="15110" width="6.42578125" style="1004" bestFit="1" customWidth="1"/>
    <col min="15111" max="15111" width="5.5703125" style="1004" bestFit="1" customWidth="1"/>
    <col min="15112" max="15361" width="11.42578125" style="1004"/>
    <col min="15362" max="15362" width="19.28515625" style="1004" bestFit="1" customWidth="1"/>
    <col min="15363" max="15363" width="92.140625" style="1004" customWidth="1"/>
    <col min="15364" max="15364" width="19.85546875" style="1004" bestFit="1" customWidth="1"/>
    <col min="15365" max="15365" width="10.42578125" style="1004" bestFit="1" customWidth="1"/>
    <col min="15366" max="15366" width="6.42578125" style="1004" bestFit="1" customWidth="1"/>
    <col min="15367" max="15367" width="5.5703125" style="1004" bestFit="1" customWidth="1"/>
    <col min="15368" max="15617" width="11.42578125" style="1004"/>
    <col min="15618" max="15618" width="19.28515625" style="1004" bestFit="1" customWidth="1"/>
    <col min="15619" max="15619" width="92.140625" style="1004" customWidth="1"/>
    <col min="15620" max="15620" width="19.85546875" style="1004" bestFit="1" customWidth="1"/>
    <col min="15621" max="15621" width="10.42578125" style="1004" bestFit="1" customWidth="1"/>
    <col min="15622" max="15622" width="6.42578125" style="1004" bestFit="1" customWidth="1"/>
    <col min="15623" max="15623" width="5.5703125" style="1004" bestFit="1" customWidth="1"/>
    <col min="15624" max="15873" width="11.42578125" style="1004"/>
    <col min="15874" max="15874" width="19.28515625" style="1004" bestFit="1" customWidth="1"/>
    <col min="15875" max="15875" width="92.140625" style="1004" customWidth="1"/>
    <col min="15876" max="15876" width="19.85546875" style="1004" bestFit="1" customWidth="1"/>
    <col min="15877" max="15877" width="10.42578125" style="1004" bestFit="1" customWidth="1"/>
    <col min="15878" max="15878" width="6.42578125" style="1004" bestFit="1" customWidth="1"/>
    <col min="15879" max="15879" width="5.5703125" style="1004" bestFit="1" customWidth="1"/>
    <col min="15880" max="16129" width="11.42578125" style="1004"/>
    <col min="16130" max="16130" width="19.28515625" style="1004" bestFit="1" customWidth="1"/>
    <col min="16131" max="16131" width="92.140625" style="1004" customWidth="1"/>
    <col min="16132" max="16132" width="19.85546875" style="1004" bestFit="1" customWidth="1"/>
    <col min="16133" max="16133" width="10.42578125" style="1004" bestFit="1" customWidth="1"/>
    <col min="16134" max="16134" width="6.42578125" style="1004" bestFit="1" customWidth="1"/>
    <col min="16135" max="16135" width="5.5703125" style="1004" bestFit="1" customWidth="1"/>
    <col min="16136" max="16384" width="11.42578125" style="1004"/>
  </cols>
  <sheetData>
    <row r="1" spans="1:26" ht="15" thickBot="1" x14ac:dyDescent="0.25">
      <c r="B1" s="1001"/>
      <c r="C1" s="1002"/>
      <c r="D1" s="1003"/>
      <c r="E1" s="1003"/>
      <c r="F1" s="1003"/>
    </row>
    <row r="2" spans="1:26" ht="23.25" customHeight="1" thickBot="1" x14ac:dyDescent="0.35">
      <c r="A2" s="1012"/>
      <c r="B2" s="1013"/>
      <c r="C2" s="1183"/>
      <c r="D2" s="1184"/>
      <c r="E2" s="1184"/>
      <c r="F2" s="1185"/>
      <c r="G2" s="1009"/>
      <c r="H2" s="1010"/>
      <c r="I2" s="1002"/>
      <c r="J2" s="1007"/>
      <c r="K2" s="1007"/>
      <c r="L2" s="1007"/>
      <c r="M2" s="1007"/>
      <c r="N2" s="1007"/>
      <c r="O2" s="1007"/>
      <c r="P2" s="1007"/>
      <c r="Q2" s="1007"/>
      <c r="R2" s="1007"/>
      <c r="S2" s="1007"/>
      <c r="T2" s="1007"/>
      <c r="U2" s="1007"/>
      <c r="V2" s="1007"/>
      <c r="W2" s="1007"/>
      <c r="X2" s="1007"/>
      <c r="Y2" s="1007"/>
      <c r="Z2" s="1007"/>
    </row>
    <row r="3" spans="1:26" ht="17.25" thickBot="1" x14ac:dyDescent="0.25">
      <c r="B3" s="1008"/>
      <c r="C3" s="1005"/>
      <c r="D3" s="1003"/>
      <c r="E3" s="1003"/>
      <c r="F3" s="1003"/>
      <c r="H3" s="1001"/>
    </row>
    <row r="4" spans="1:26" ht="23.25" customHeight="1" thickBot="1" x14ac:dyDescent="0.25">
      <c r="B4" s="973" t="s">
        <v>519</v>
      </c>
      <c r="C4" s="962" t="s">
        <v>24</v>
      </c>
      <c r="D4" s="1020" t="s">
        <v>25</v>
      </c>
      <c r="E4" s="1021" t="s">
        <v>557</v>
      </c>
      <c r="F4" s="1022" t="s">
        <v>708</v>
      </c>
      <c r="G4" s="1023" t="s">
        <v>709</v>
      </c>
      <c r="H4" s="1001"/>
      <c r="I4" s="1001"/>
      <c r="J4" s="1001"/>
      <c r="K4" s="1001"/>
    </row>
    <row r="5" spans="1:26" ht="16.5" x14ac:dyDescent="0.25">
      <c r="B5" s="925"/>
      <c r="C5" s="930"/>
      <c r="D5" s="951"/>
      <c r="E5" s="953"/>
      <c r="F5" s="951"/>
      <c r="G5" s="928"/>
      <c r="H5" s="1009"/>
      <c r="I5" s="1011"/>
      <c r="J5" s="1002"/>
      <c r="K5" s="1002"/>
      <c r="L5" s="1002"/>
      <c r="M5" s="1002"/>
      <c r="N5" s="1007"/>
      <c r="O5" s="1007"/>
      <c r="P5" s="1007"/>
      <c r="Q5" s="1007"/>
      <c r="R5" s="1007"/>
      <c r="S5" s="1007"/>
      <c r="T5" s="1007"/>
      <c r="U5" s="1007"/>
      <c r="V5" s="1007"/>
      <c r="W5" s="1007"/>
      <c r="X5" s="1007"/>
      <c r="Y5" s="1007"/>
      <c r="Z5" s="1007"/>
    </row>
    <row r="6" spans="1:26" ht="16.5" x14ac:dyDescent="0.25">
      <c r="B6" s="926"/>
      <c r="C6" s="931"/>
      <c r="D6" s="950"/>
      <c r="E6" s="953"/>
      <c r="F6" s="951"/>
      <c r="G6" s="928"/>
      <c r="H6" s="1009"/>
      <c r="I6" s="1010"/>
      <c r="J6" s="1002"/>
      <c r="K6" s="1002"/>
      <c r="L6" s="1007"/>
      <c r="M6" s="1007"/>
      <c r="N6" s="1007"/>
      <c r="O6" s="1007"/>
      <c r="P6" s="1007"/>
      <c r="Q6" s="1007"/>
      <c r="R6" s="1007"/>
      <c r="S6" s="1007"/>
      <c r="T6" s="1007"/>
      <c r="U6" s="1007"/>
      <c r="V6" s="1007"/>
      <c r="W6" s="1007"/>
      <c r="X6" s="1007"/>
      <c r="Y6" s="1007"/>
      <c r="Z6" s="1007"/>
    </row>
    <row r="7" spans="1:26" ht="16.5" x14ac:dyDescent="0.25">
      <c r="B7" s="926"/>
      <c r="C7" s="932"/>
      <c r="D7" s="950"/>
      <c r="E7" s="953"/>
      <c r="F7" s="958"/>
      <c r="G7" s="928"/>
      <c r="H7" s="1009"/>
      <c r="I7" s="1011"/>
      <c r="J7" s="1002"/>
      <c r="K7" s="1002"/>
      <c r="L7" s="1007"/>
      <c r="M7" s="1007"/>
      <c r="N7" s="1007"/>
      <c r="O7" s="1007"/>
      <c r="P7" s="1007"/>
      <c r="Q7" s="1007"/>
      <c r="R7" s="1007"/>
      <c r="S7" s="1007"/>
      <c r="T7" s="1007"/>
      <c r="U7" s="1007"/>
      <c r="V7" s="1007"/>
      <c r="W7" s="1007"/>
      <c r="X7" s="1007"/>
      <c r="Y7" s="1007"/>
      <c r="Z7" s="1007"/>
    </row>
    <row r="8" spans="1:26" ht="16.5" x14ac:dyDescent="0.25">
      <c r="B8" s="926"/>
      <c r="C8" s="932"/>
      <c r="D8" s="950"/>
      <c r="E8" s="953"/>
      <c r="F8" s="958"/>
      <c r="G8" s="928"/>
      <c r="H8" s="1009"/>
      <c r="I8" s="1006"/>
      <c r="J8" s="1007"/>
      <c r="K8" s="1007"/>
      <c r="L8" s="1007"/>
      <c r="M8" s="1007"/>
      <c r="N8" s="1007"/>
      <c r="O8" s="1007"/>
      <c r="P8" s="1007"/>
      <c r="Q8" s="1007"/>
      <c r="R8" s="1007"/>
      <c r="S8" s="1007"/>
      <c r="T8" s="1007"/>
      <c r="U8" s="1007"/>
      <c r="V8" s="1007"/>
      <c r="W8" s="1007"/>
      <c r="X8" s="1007"/>
      <c r="Y8" s="1007"/>
      <c r="Z8" s="1007"/>
    </row>
    <row r="9" spans="1:26" ht="16.5" x14ac:dyDescent="0.25">
      <c r="B9" s="925"/>
      <c r="C9" s="926"/>
      <c r="D9" s="950"/>
      <c r="E9" s="953"/>
      <c r="F9" s="957"/>
      <c r="G9" s="928"/>
      <c r="H9" s="1009"/>
      <c r="I9" s="1006"/>
      <c r="J9" s="1007"/>
      <c r="K9" s="1007"/>
      <c r="L9" s="1007"/>
      <c r="M9" s="1007"/>
      <c r="N9" s="1007"/>
      <c r="O9" s="1007"/>
      <c r="P9" s="1007"/>
      <c r="Q9" s="1007"/>
      <c r="R9" s="1007"/>
      <c r="S9" s="1007"/>
      <c r="T9" s="1007"/>
      <c r="U9" s="1007"/>
      <c r="V9" s="1007"/>
      <c r="W9" s="1007"/>
      <c r="X9" s="1007"/>
      <c r="Y9" s="1007"/>
      <c r="Z9" s="1007"/>
    </row>
    <row r="10" spans="1:26" ht="16.5" x14ac:dyDescent="0.25">
      <c r="B10" s="963"/>
      <c r="C10" s="929"/>
      <c r="D10" s="950"/>
      <c r="E10" s="953"/>
      <c r="F10" s="950"/>
      <c r="G10" s="928"/>
      <c r="H10" s="1009"/>
      <c r="I10" s="1006"/>
      <c r="J10" s="1007"/>
      <c r="K10" s="1007"/>
      <c r="L10" s="1007"/>
      <c r="M10" s="1007"/>
      <c r="N10" s="1007"/>
      <c r="O10" s="1007"/>
      <c r="P10" s="1007"/>
      <c r="Q10" s="1007"/>
      <c r="R10" s="1007"/>
      <c r="S10" s="1007"/>
      <c r="T10" s="1007"/>
      <c r="U10" s="1007"/>
      <c r="V10" s="1007"/>
      <c r="W10" s="1007"/>
      <c r="X10" s="1007"/>
      <c r="Y10" s="1007"/>
      <c r="Z10" s="1007"/>
    </row>
    <row r="11" spans="1:26" ht="16.5" x14ac:dyDescent="0.25">
      <c r="B11" s="925"/>
      <c r="C11" s="926"/>
      <c r="D11" s="950"/>
      <c r="E11" s="953"/>
      <c r="F11" s="956"/>
      <c r="G11" s="928"/>
      <c r="H11" s="1009"/>
      <c r="I11" s="1006"/>
      <c r="J11" s="1007"/>
      <c r="K11" s="1007"/>
      <c r="L11" s="1007"/>
      <c r="M11" s="1007"/>
      <c r="N11" s="1007"/>
      <c r="O11" s="1007"/>
      <c r="P11" s="1007"/>
      <c r="Q11" s="1007"/>
      <c r="R11" s="1007"/>
      <c r="S11" s="1007"/>
      <c r="T11" s="1007"/>
      <c r="U11" s="1007"/>
      <c r="V11" s="1007"/>
      <c r="W11" s="1007"/>
      <c r="X11" s="1007"/>
      <c r="Y11" s="1007"/>
      <c r="Z11" s="1007"/>
    </row>
    <row r="12" spans="1:26" ht="16.5" x14ac:dyDescent="0.25">
      <c r="B12" s="925"/>
      <c r="C12" s="930"/>
      <c r="D12" s="951"/>
      <c r="E12" s="953"/>
      <c r="F12" s="951"/>
      <c r="G12" s="928"/>
      <c r="H12" s="1009"/>
      <c r="I12" s="1006"/>
      <c r="J12" s="1007"/>
      <c r="K12" s="1007"/>
      <c r="L12" s="1007"/>
      <c r="M12" s="1007"/>
      <c r="N12" s="1007"/>
      <c r="O12" s="1007"/>
      <c r="P12" s="1007"/>
      <c r="Q12" s="1007"/>
      <c r="R12" s="1007"/>
      <c r="S12" s="1007"/>
      <c r="T12" s="1007"/>
      <c r="U12" s="1007"/>
      <c r="V12" s="1007"/>
      <c r="W12" s="1007"/>
      <c r="X12" s="1007"/>
      <c r="Y12" s="1007"/>
      <c r="Z12" s="1007"/>
    </row>
    <row r="13" spans="1:26" ht="16.5" x14ac:dyDescent="0.25">
      <c r="B13" s="926"/>
      <c r="C13" s="931"/>
      <c r="D13" s="950"/>
      <c r="E13" s="953"/>
      <c r="F13" s="951"/>
      <c r="G13" s="928"/>
      <c r="H13" s="1009"/>
      <c r="I13" s="1006"/>
      <c r="J13" s="1007"/>
      <c r="K13" s="1007"/>
      <c r="L13" s="1007"/>
      <c r="M13" s="1007"/>
      <c r="N13" s="1007"/>
      <c r="O13" s="1007"/>
      <c r="P13" s="1007"/>
      <c r="Q13" s="1007"/>
      <c r="R13" s="1007"/>
      <c r="S13" s="1007"/>
      <c r="T13" s="1007"/>
      <c r="U13" s="1007"/>
      <c r="V13" s="1007"/>
      <c r="W13" s="1007"/>
      <c r="X13" s="1007"/>
      <c r="Y13" s="1007"/>
      <c r="Z13" s="1007"/>
    </row>
    <row r="14" spans="1:26" ht="16.5" x14ac:dyDescent="0.25">
      <c r="B14" s="926"/>
      <c r="C14" s="932"/>
      <c r="D14" s="950"/>
      <c r="E14" s="953"/>
      <c r="F14" s="958"/>
      <c r="G14" s="928"/>
      <c r="H14" s="1009"/>
      <c r="I14" s="1006"/>
      <c r="J14" s="1007"/>
      <c r="K14" s="1007"/>
      <c r="L14" s="1007"/>
      <c r="M14" s="1007"/>
      <c r="N14" s="1007"/>
      <c r="O14" s="1007"/>
      <c r="P14" s="1007"/>
      <c r="Q14" s="1007"/>
      <c r="R14" s="1007"/>
      <c r="S14" s="1007"/>
      <c r="T14" s="1007"/>
      <c r="U14" s="1007"/>
      <c r="V14" s="1007"/>
      <c r="W14" s="1007"/>
      <c r="X14" s="1007"/>
      <c r="Y14" s="1007"/>
      <c r="Z14" s="1007"/>
    </row>
    <row r="15" spans="1:26" ht="16.5" x14ac:dyDescent="0.25">
      <c r="B15" s="926"/>
      <c r="C15" s="932"/>
      <c r="D15" s="950"/>
      <c r="E15" s="953"/>
      <c r="F15" s="958"/>
      <c r="G15" s="928"/>
      <c r="H15" s="1009"/>
      <c r="I15" s="1006"/>
      <c r="J15" s="1007"/>
      <c r="K15" s="1007"/>
      <c r="L15" s="1007"/>
      <c r="M15" s="1007"/>
      <c r="N15" s="1007"/>
      <c r="O15" s="1007"/>
      <c r="P15" s="1007"/>
      <c r="Q15" s="1007"/>
      <c r="R15" s="1007"/>
      <c r="S15" s="1007"/>
      <c r="T15" s="1007"/>
      <c r="U15" s="1007"/>
      <c r="V15" s="1007"/>
      <c r="W15" s="1007"/>
      <c r="X15" s="1007"/>
      <c r="Y15" s="1007"/>
      <c r="Z15" s="1007"/>
    </row>
    <row r="16" spans="1:26" ht="16.5" x14ac:dyDescent="0.25">
      <c r="B16" s="926"/>
      <c r="C16" s="932"/>
      <c r="D16" s="950"/>
      <c r="E16" s="953"/>
      <c r="F16" s="958"/>
      <c r="G16" s="928"/>
      <c r="H16" s="1009"/>
      <c r="I16" s="1006"/>
      <c r="J16" s="1007"/>
      <c r="K16" s="1007"/>
      <c r="L16" s="1007"/>
      <c r="M16" s="1007"/>
      <c r="N16" s="1007"/>
      <c r="O16" s="1007"/>
      <c r="P16" s="1007"/>
      <c r="Q16" s="1007"/>
      <c r="R16" s="1007"/>
      <c r="S16" s="1007"/>
      <c r="T16" s="1007"/>
      <c r="U16" s="1007"/>
      <c r="V16" s="1007"/>
      <c r="W16" s="1007"/>
      <c r="X16" s="1007"/>
      <c r="Y16" s="1007"/>
      <c r="Z16" s="1007"/>
    </row>
    <row r="17" spans="2:26" ht="16.5" x14ac:dyDescent="0.25">
      <c r="B17" s="1027"/>
      <c r="C17" s="979"/>
      <c r="D17" s="1030"/>
      <c r="E17" s="1017"/>
      <c r="F17" s="1018"/>
      <c r="G17" s="1024"/>
      <c r="H17" s="1009"/>
      <c r="I17" s="1006"/>
      <c r="J17" s="1007"/>
      <c r="K17" s="1007"/>
      <c r="L17" s="1007"/>
      <c r="M17" s="1007"/>
      <c r="N17" s="1007"/>
      <c r="O17" s="1007"/>
      <c r="P17" s="1007"/>
      <c r="Q17" s="1007"/>
      <c r="R17" s="1007"/>
      <c r="S17" s="1007"/>
      <c r="T17" s="1007"/>
      <c r="U17" s="1007"/>
      <c r="V17" s="1007"/>
      <c r="W17" s="1007"/>
      <c r="X17" s="1007"/>
      <c r="Y17" s="1007"/>
      <c r="Z17" s="1007"/>
    </row>
    <row r="18" spans="2:26" ht="16.5" x14ac:dyDescent="0.25">
      <c r="B18" s="1027"/>
      <c r="C18" s="1000"/>
      <c r="D18" s="1030"/>
      <c r="E18" s="1017"/>
      <c r="F18" s="1018"/>
      <c r="G18" s="1024"/>
      <c r="H18" s="1009"/>
      <c r="I18" s="1006"/>
      <c r="J18" s="1007"/>
      <c r="K18" s="1007"/>
      <c r="L18" s="1007"/>
      <c r="M18" s="1007"/>
      <c r="N18" s="1007"/>
      <c r="O18" s="1007"/>
      <c r="P18" s="1007"/>
      <c r="Q18" s="1007"/>
      <c r="R18" s="1007"/>
      <c r="S18" s="1007"/>
      <c r="T18" s="1007"/>
      <c r="U18" s="1007"/>
      <c r="V18" s="1007"/>
      <c r="W18" s="1007"/>
      <c r="X18" s="1007"/>
      <c r="Y18" s="1007"/>
      <c r="Z18" s="1007"/>
    </row>
    <row r="19" spans="2:26" ht="16.5" x14ac:dyDescent="0.2">
      <c r="B19" s="1027"/>
      <c r="C19" s="978"/>
      <c r="D19" s="1031"/>
      <c r="E19" s="1019"/>
      <c r="F19" s="1019"/>
      <c r="G19" s="1025"/>
    </row>
    <row r="20" spans="2:26" ht="16.5" x14ac:dyDescent="0.2">
      <c r="B20" s="1027"/>
      <c r="C20" s="979"/>
      <c r="D20" s="1031"/>
      <c r="E20" s="1019"/>
      <c r="F20" s="1019"/>
      <c r="G20" s="1025"/>
    </row>
    <row r="21" spans="2:26" ht="16.5" x14ac:dyDescent="0.2">
      <c r="B21" s="1028"/>
      <c r="C21" s="976"/>
      <c r="D21" s="1031"/>
      <c r="E21" s="1019"/>
      <c r="F21" s="1019"/>
      <c r="G21" s="1025"/>
    </row>
    <row r="22" spans="2:26" ht="16.5" x14ac:dyDescent="0.2">
      <c r="B22" s="1027"/>
      <c r="C22" s="977"/>
      <c r="D22" s="1031"/>
      <c r="E22" s="1019"/>
      <c r="F22" s="1019"/>
      <c r="G22" s="1025"/>
    </row>
    <row r="23" spans="2:26" ht="16.5" x14ac:dyDescent="0.2">
      <c r="B23" s="1027"/>
      <c r="C23" s="980"/>
      <c r="D23" s="1031"/>
      <c r="E23" s="1019"/>
      <c r="F23" s="1019"/>
      <c r="G23" s="1025"/>
    </row>
    <row r="24" spans="2:26" ht="16.5" x14ac:dyDescent="0.2">
      <c r="B24" s="1027"/>
      <c r="C24" s="981"/>
      <c r="D24" s="1031"/>
      <c r="E24" s="1019"/>
      <c r="F24" s="1019"/>
      <c r="G24" s="1025"/>
    </row>
    <row r="25" spans="2:26" ht="16.5" x14ac:dyDescent="0.2">
      <c r="B25" s="1027"/>
      <c r="C25" s="981"/>
      <c r="D25" s="1031"/>
      <c r="E25" s="1019"/>
      <c r="F25" s="1019"/>
      <c r="G25" s="1025"/>
    </row>
    <row r="26" spans="2:26" ht="16.5" x14ac:dyDescent="0.2">
      <c r="B26" s="1027"/>
      <c r="C26" s="981"/>
      <c r="D26" s="1031"/>
      <c r="E26" s="1019"/>
      <c r="F26" s="1019"/>
      <c r="G26" s="1025"/>
    </row>
    <row r="27" spans="2:26" ht="16.5" x14ac:dyDescent="0.2">
      <c r="B27" s="1027"/>
      <c r="C27" s="981"/>
      <c r="D27" s="1031"/>
      <c r="E27" s="1019"/>
      <c r="F27" s="1019"/>
      <c r="G27" s="1025"/>
    </row>
    <row r="28" spans="2:26" ht="16.5" x14ac:dyDescent="0.2">
      <c r="B28" s="1027"/>
      <c r="C28" s="979"/>
      <c r="D28" s="1031"/>
      <c r="E28" s="1019"/>
      <c r="F28" s="1019"/>
      <c r="G28" s="1025"/>
    </row>
    <row r="29" spans="2:26" ht="16.5" x14ac:dyDescent="0.2">
      <c r="B29" s="1027"/>
      <c r="C29" s="981"/>
      <c r="D29" s="1031"/>
      <c r="E29" s="1019"/>
      <c r="F29" s="1019"/>
      <c r="G29" s="1025"/>
    </row>
    <row r="30" spans="2:26" ht="16.5" x14ac:dyDescent="0.2">
      <c r="B30" s="1027"/>
      <c r="C30" s="981"/>
      <c r="D30" s="1031"/>
      <c r="E30" s="1019"/>
      <c r="F30" s="1019"/>
      <c r="G30" s="1025"/>
    </row>
    <row r="31" spans="2:26" ht="16.5" x14ac:dyDescent="0.2">
      <c r="B31" s="1027"/>
      <c r="C31" s="979"/>
      <c r="D31" s="1031"/>
      <c r="E31" s="1019"/>
      <c r="F31" s="1019"/>
      <c r="G31" s="1025"/>
    </row>
    <row r="32" spans="2:26" ht="16.5" x14ac:dyDescent="0.2">
      <c r="B32" s="1027"/>
      <c r="C32" s="978"/>
      <c r="D32" s="1031"/>
      <c r="E32" s="1019"/>
      <c r="F32" s="1019"/>
      <c r="G32" s="1025"/>
    </row>
    <row r="33" spans="2:7" ht="16.5" x14ac:dyDescent="0.2">
      <c r="B33" s="1027"/>
      <c r="C33" s="979"/>
      <c r="D33" s="1031"/>
      <c r="E33" s="1019"/>
      <c r="F33" s="1019"/>
      <c r="G33" s="1025"/>
    </row>
    <row r="34" spans="2:7" ht="16.5" x14ac:dyDescent="0.2">
      <c r="B34" s="1027"/>
      <c r="C34" s="981"/>
      <c r="D34" s="1031"/>
      <c r="E34" s="1019"/>
      <c r="F34" s="1019"/>
      <c r="G34" s="1025"/>
    </row>
    <row r="35" spans="2:7" ht="16.5" x14ac:dyDescent="0.2">
      <c r="B35" s="1027"/>
      <c r="C35" s="981"/>
      <c r="D35" s="1031"/>
      <c r="E35" s="1019"/>
      <c r="F35" s="1019"/>
      <c r="G35" s="1025"/>
    </row>
    <row r="36" spans="2:7" ht="16.5" x14ac:dyDescent="0.2">
      <c r="B36" s="1027"/>
      <c r="C36" s="981"/>
      <c r="D36" s="1031"/>
      <c r="E36" s="1019"/>
      <c r="F36" s="1019"/>
      <c r="G36" s="1025"/>
    </row>
    <row r="37" spans="2:7" ht="16.5" x14ac:dyDescent="0.2">
      <c r="B37" s="1027"/>
      <c r="C37" s="981"/>
      <c r="D37" s="1031"/>
      <c r="E37" s="1019"/>
      <c r="F37" s="1019"/>
      <c r="G37" s="1025"/>
    </row>
    <row r="38" spans="2:7" ht="16.5" x14ac:dyDescent="0.2">
      <c r="B38" s="1027"/>
      <c r="C38" s="981"/>
      <c r="D38" s="1031"/>
      <c r="E38" s="1019"/>
      <c r="F38" s="1019"/>
      <c r="G38" s="1025"/>
    </row>
    <row r="39" spans="2:7" ht="16.5" x14ac:dyDescent="0.2">
      <c r="B39" s="1027"/>
      <c r="C39" s="981"/>
      <c r="D39" s="1031"/>
      <c r="E39" s="1019"/>
      <c r="F39" s="1019"/>
      <c r="G39" s="1025"/>
    </row>
    <row r="40" spans="2:7" ht="16.5" x14ac:dyDescent="0.2">
      <c r="B40" s="1027"/>
      <c r="C40" s="981"/>
      <c r="D40" s="1031"/>
      <c r="E40" s="1019"/>
      <c r="F40" s="1019"/>
      <c r="G40" s="1025"/>
    </row>
    <row r="41" spans="2:7" ht="16.5" x14ac:dyDescent="0.2">
      <c r="B41" s="1027"/>
      <c r="C41" s="981"/>
      <c r="D41" s="1031"/>
      <c r="E41" s="1019"/>
      <c r="F41" s="1019"/>
      <c r="G41" s="1025"/>
    </row>
    <row r="42" spans="2:7" ht="16.5" x14ac:dyDescent="0.2">
      <c r="B42" s="1027"/>
      <c r="C42" s="981"/>
      <c r="D42" s="1031"/>
      <c r="E42" s="1019"/>
      <c r="F42" s="1019"/>
      <c r="G42" s="1025"/>
    </row>
    <row r="43" spans="2:7" ht="16.5" x14ac:dyDescent="0.2">
      <c r="B43" s="1027"/>
      <c r="C43" s="981"/>
      <c r="D43" s="1031"/>
      <c r="E43" s="1019"/>
      <c r="F43" s="1019"/>
      <c r="G43" s="1025"/>
    </row>
    <row r="44" spans="2:7" ht="16.5" x14ac:dyDescent="0.2">
      <c r="B44" s="1027"/>
      <c r="C44" s="978"/>
      <c r="D44" s="1031"/>
      <c r="E44" s="1019"/>
      <c r="F44" s="1019"/>
      <c r="G44" s="1025"/>
    </row>
    <row r="45" spans="2:7" ht="16.5" x14ac:dyDescent="0.2">
      <c r="B45" s="1027"/>
      <c r="C45" s="979"/>
      <c r="D45" s="1031"/>
      <c r="E45" s="1019"/>
      <c r="F45" s="1019"/>
      <c r="G45" s="1025"/>
    </row>
    <row r="46" spans="2:7" ht="16.5" x14ac:dyDescent="0.2">
      <c r="B46" s="1027"/>
      <c r="C46" s="981"/>
      <c r="D46" s="1031"/>
      <c r="E46" s="1019"/>
      <c r="F46" s="1019"/>
      <c r="G46" s="1025"/>
    </row>
    <row r="47" spans="2:7" ht="16.5" x14ac:dyDescent="0.2">
      <c r="B47" s="1027"/>
      <c r="C47" s="981"/>
      <c r="D47" s="1031"/>
      <c r="E47" s="1019"/>
      <c r="F47" s="1019"/>
      <c r="G47" s="1025"/>
    </row>
    <row r="48" spans="2:7" ht="16.5" x14ac:dyDescent="0.2">
      <c r="B48" s="1027"/>
      <c r="C48" s="981"/>
      <c r="D48" s="1031"/>
      <c r="E48" s="1019"/>
      <c r="F48" s="1019"/>
      <c r="G48" s="1025"/>
    </row>
    <row r="49" spans="2:7" ht="16.5" x14ac:dyDescent="0.2">
      <c r="B49" s="1027"/>
      <c r="C49" s="981"/>
      <c r="D49" s="1031"/>
      <c r="E49" s="1019"/>
      <c r="F49" s="1019"/>
      <c r="G49" s="1025"/>
    </row>
    <row r="50" spans="2:7" ht="16.5" x14ac:dyDescent="0.2">
      <c r="B50" s="1027"/>
      <c r="C50" s="981"/>
      <c r="D50" s="1031"/>
      <c r="E50" s="1019"/>
      <c r="F50" s="1019"/>
      <c r="G50" s="1025"/>
    </row>
    <row r="51" spans="2:7" ht="16.5" x14ac:dyDescent="0.2">
      <c r="B51" s="1027"/>
      <c r="C51" s="979"/>
      <c r="D51" s="1031"/>
      <c r="E51" s="1019"/>
      <c r="F51" s="1019"/>
      <c r="G51" s="1025"/>
    </row>
    <row r="52" spans="2:7" ht="16.5" x14ac:dyDescent="0.2">
      <c r="B52" s="1027"/>
      <c r="C52" s="974"/>
      <c r="D52" s="1031"/>
      <c r="E52" s="1019"/>
      <c r="F52" s="1019"/>
      <c r="G52" s="1025"/>
    </row>
    <row r="53" spans="2:7" ht="16.5" x14ac:dyDescent="0.2">
      <c r="B53" s="1027"/>
      <c r="C53" s="978"/>
      <c r="D53" s="1031"/>
      <c r="E53" s="1019"/>
      <c r="F53" s="1019"/>
      <c r="G53" s="1025"/>
    </row>
    <row r="54" spans="2:7" ht="16.5" x14ac:dyDescent="0.2">
      <c r="B54" s="1027"/>
      <c r="C54" s="979"/>
      <c r="D54" s="1031"/>
      <c r="E54" s="1019"/>
      <c r="F54" s="1019"/>
      <c r="G54" s="1025"/>
    </row>
    <row r="55" spans="2:7" ht="16.5" x14ac:dyDescent="0.2">
      <c r="B55" s="1027"/>
      <c r="C55" s="979"/>
      <c r="D55" s="1031"/>
      <c r="E55" s="1019"/>
      <c r="F55" s="1019"/>
      <c r="G55" s="1025"/>
    </row>
    <row r="56" spans="2:7" ht="16.5" x14ac:dyDescent="0.2">
      <c r="B56" s="1027"/>
      <c r="C56" s="979"/>
      <c r="D56" s="1031"/>
      <c r="E56" s="1019"/>
      <c r="F56" s="1019"/>
      <c r="G56" s="1025"/>
    </row>
    <row r="57" spans="2:7" ht="16.5" x14ac:dyDescent="0.2">
      <c r="B57" s="1027"/>
      <c r="C57" s="979"/>
      <c r="D57" s="1031"/>
      <c r="E57" s="1019"/>
      <c r="F57" s="1019"/>
      <c r="G57" s="1025"/>
    </row>
    <row r="58" spans="2:7" ht="16.5" x14ac:dyDescent="0.2">
      <c r="B58" s="1027"/>
      <c r="C58" s="979"/>
      <c r="D58" s="1031"/>
      <c r="E58" s="1019"/>
      <c r="F58" s="1019"/>
      <c r="G58" s="1025"/>
    </row>
    <row r="59" spans="2:7" ht="16.5" x14ac:dyDescent="0.2">
      <c r="B59" s="1027"/>
      <c r="C59" s="978"/>
      <c r="D59" s="1031"/>
      <c r="E59" s="1019"/>
      <c r="F59" s="1019"/>
      <c r="G59" s="1025"/>
    </row>
    <row r="60" spans="2:7" ht="16.5" x14ac:dyDescent="0.2">
      <c r="B60" s="1027"/>
      <c r="C60" s="979"/>
      <c r="D60" s="1031"/>
      <c r="E60" s="1019"/>
      <c r="F60" s="1019"/>
      <c r="G60" s="1025"/>
    </row>
    <row r="61" spans="2:7" ht="16.5" x14ac:dyDescent="0.2">
      <c r="B61" s="1027"/>
      <c r="C61" s="979"/>
      <c r="D61" s="1031"/>
      <c r="E61" s="1019"/>
      <c r="F61" s="1019"/>
      <c r="G61" s="1025"/>
    </row>
    <row r="62" spans="2:7" ht="16.5" x14ac:dyDescent="0.2">
      <c r="B62" s="1027"/>
      <c r="C62" s="979"/>
      <c r="D62" s="1031"/>
      <c r="E62" s="1019"/>
      <c r="F62" s="1019"/>
      <c r="G62" s="1025"/>
    </row>
    <row r="63" spans="2:7" ht="16.5" x14ac:dyDescent="0.2">
      <c r="B63" s="1027"/>
      <c r="C63" s="979"/>
      <c r="D63" s="1031"/>
      <c r="E63" s="1019"/>
      <c r="F63" s="1019"/>
      <c r="G63" s="1025"/>
    </row>
    <row r="64" spans="2:7" ht="16.5" x14ac:dyDescent="0.2">
      <c r="B64" s="1027"/>
      <c r="C64" s="979"/>
      <c r="D64" s="1031"/>
      <c r="E64" s="1019"/>
      <c r="F64" s="1019"/>
      <c r="G64" s="1025"/>
    </row>
    <row r="65" spans="2:7" ht="16.5" x14ac:dyDescent="0.2">
      <c r="B65" s="1027"/>
      <c r="C65" s="979"/>
      <c r="D65" s="1031"/>
      <c r="E65" s="1019"/>
      <c r="F65" s="1019"/>
      <c r="G65" s="1025"/>
    </row>
    <row r="66" spans="2:7" ht="16.5" x14ac:dyDescent="0.2">
      <c r="B66" s="1027"/>
      <c r="C66" s="979"/>
      <c r="D66" s="1031"/>
      <c r="E66" s="1019"/>
      <c r="F66" s="1019"/>
      <c r="G66" s="1025"/>
    </row>
    <row r="67" spans="2:7" ht="16.5" x14ac:dyDescent="0.2">
      <c r="B67" s="1027"/>
      <c r="C67" s="979"/>
      <c r="D67" s="1031"/>
      <c r="E67" s="1019"/>
      <c r="F67" s="1019"/>
      <c r="G67" s="1025"/>
    </row>
    <row r="68" spans="2:7" ht="16.5" x14ac:dyDescent="0.2">
      <c r="B68" s="1027"/>
      <c r="C68" s="979"/>
      <c r="D68" s="1031"/>
      <c r="E68" s="1019"/>
      <c r="F68" s="1019"/>
      <c r="G68" s="1025"/>
    </row>
    <row r="69" spans="2:7" ht="16.5" x14ac:dyDescent="0.2">
      <c r="B69" s="1027"/>
      <c r="C69" s="979"/>
      <c r="D69" s="1031"/>
      <c r="E69" s="1019"/>
      <c r="F69" s="1019"/>
      <c r="G69" s="1025"/>
    </row>
    <row r="70" spans="2:7" ht="16.5" x14ac:dyDescent="0.2">
      <c r="B70" s="1027"/>
      <c r="C70" s="979"/>
      <c r="D70" s="1031"/>
      <c r="E70" s="1019"/>
      <c r="F70" s="1019"/>
      <c r="G70" s="1025"/>
    </row>
    <row r="71" spans="2:7" ht="16.5" x14ac:dyDescent="0.2">
      <c r="B71" s="1027"/>
      <c r="C71" s="979"/>
      <c r="D71" s="1031"/>
      <c r="E71" s="1019"/>
      <c r="F71" s="1019"/>
      <c r="G71" s="1025"/>
    </row>
    <row r="72" spans="2:7" ht="16.5" x14ac:dyDescent="0.2">
      <c r="B72" s="1027"/>
      <c r="C72" s="979"/>
      <c r="D72" s="1031"/>
      <c r="E72" s="1019"/>
      <c r="F72" s="1019"/>
      <c r="G72" s="1025"/>
    </row>
    <row r="73" spans="2:7" ht="16.5" x14ac:dyDescent="0.2">
      <c r="B73" s="1027"/>
      <c r="C73" s="979"/>
      <c r="D73" s="1031"/>
      <c r="E73" s="1019"/>
      <c r="F73" s="1019"/>
      <c r="G73" s="1025"/>
    </row>
    <row r="74" spans="2:7" ht="16.5" x14ac:dyDescent="0.2">
      <c r="B74" s="1027"/>
      <c r="C74" s="979"/>
      <c r="D74" s="1031"/>
      <c r="E74" s="1019"/>
      <c r="F74" s="1019"/>
      <c r="G74" s="1025"/>
    </row>
    <row r="75" spans="2:7" ht="16.5" x14ac:dyDescent="0.2">
      <c r="B75" s="1027"/>
      <c r="C75" s="979"/>
      <c r="D75" s="1031"/>
      <c r="E75" s="1019"/>
      <c r="F75" s="1019"/>
      <c r="G75" s="1025"/>
    </row>
    <row r="76" spans="2:7" ht="16.5" x14ac:dyDescent="0.2">
      <c r="B76" s="1027"/>
      <c r="C76" s="979"/>
      <c r="D76" s="1031"/>
      <c r="E76" s="1019"/>
      <c r="F76" s="1019"/>
      <c r="G76" s="1025"/>
    </row>
    <row r="77" spans="2:7" ht="16.5" x14ac:dyDescent="0.2">
      <c r="B77" s="1027"/>
      <c r="C77" s="979"/>
      <c r="D77" s="1031"/>
      <c r="E77" s="1019"/>
      <c r="F77" s="1019"/>
      <c r="G77" s="1025"/>
    </row>
    <row r="78" spans="2:7" ht="16.5" x14ac:dyDescent="0.2">
      <c r="B78" s="1027"/>
      <c r="C78" s="979"/>
      <c r="D78" s="1031"/>
      <c r="E78" s="1019"/>
      <c r="F78" s="1019"/>
      <c r="G78" s="1025"/>
    </row>
    <row r="79" spans="2:7" ht="16.5" x14ac:dyDescent="0.2">
      <c r="B79" s="1027"/>
      <c r="C79" s="979"/>
      <c r="D79" s="1031"/>
      <c r="E79" s="1019"/>
      <c r="F79" s="1019"/>
      <c r="G79" s="1025"/>
    </row>
    <row r="80" spans="2:7" ht="16.5" x14ac:dyDescent="0.2">
      <c r="B80" s="1027"/>
      <c r="C80" s="979"/>
      <c r="D80" s="1031"/>
      <c r="E80" s="1019"/>
      <c r="F80" s="1019"/>
      <c r="G80" s="1025"/>
    </row>
    <row r="81" spans="2:7" ht="16.5" x14ac:dyDescent="0.2">
      <c r="B81" s="1027"/>
      <c r="C81" s="979"/>
      <c r="D81" s="1031"/>
      <c r="E81" s="1019"/>
      <c r="F81" s="1019"/>
      <c r="G81" s="1025"/>
    </row>
    <row r="82" spans="2:7" ht="16.5" x14ac:dyDescent="0.2">
      <c r="B82" s="1027"/>
      <c r="C82" s="979"/>
      <c r="D82" s="1031"/>
      <c r="E82" s="1019"/>
      <c r="F82" s="1019"/>
      <c r="G82" s="1025"/>
    </row>
    <row r="83" spans="2:7" ht="16.5" x14ac:dyDescent="0.2">
      <c r="B83" s="1027"/>
      <c r="C83" s="979"/>
      <c r="D83" s="1031"/>
      <c r="E83" s="1019"/>
      <c r="F83" s="1019"/>
      <c r="G83" s="1025"/>
    </row>
    <row r="84" spans="2:7" ht="16.5" x14ac:dyDescent="0.2">
      <c r="B84" s="1027"/>
      <c r="C84" s="979"/>
      <c r="D84" s="1031"/>
      <c r="E84" s="1019"/>
      <c r="F84" s="1019"/>
      <c r="G84" s="1025"/>
    </row>
    <row r="85" spans="2:7" ht="16.5" x14ac:dyDescent="0.2">
      <c r="B85" s="1027"/>
      <c r="C85" s="979"/>
      <c r="D85" s="1031"/>
      <c r="E85" s="1019"/>
      <c r="F85" s="1019"/>
      <c r="G85" s="1025"/>
    </row>
    <row r="86" spans="2:7" ht="16.5" x14ac:dyDescent="0.2">
      <c r="B86" s="1027"/>
      <c r="C86" s="979"/>
      <c r="D86" s="1031"/>
      <c r="E86" s="1019"/>
      <c r="F86" s="1019"/>
      <c r="G86" s="1025"/>
    </row>
    <row r="87" spans="2:7" ht="16.5" x14ac:dyDescent="0.2">
      <c r="B87" s="1027"/>
      <c r="C87" s="979"/>
      <c r="D87" s="1031"/>
      <c r="E87" s="1019"/>
      <c r="F87" s="1019"/>
      <c r="G87" s="1025"/>
    </row>
    <row r="88" spans="2:7" ht="16.5" x14ac:dyDescent="0.2">
      <c r="B88" s="1027"/>
      <c r="C88" s="979"/>
      <c r="D88" s="1031"/>
      <c r="E88" s="1019"/>
      <c r="F88" s="1019"/>
      <c r="G88" s="1025"/>
    </row>
    <row r="89" spans="2:7" ht="16.5" x14ac:dyDescent="0.2">
      <c r="B89" s="1027"/>
      <c r="C89" s="979"/>
      <c r="D89" s="1031"/>
      <c r="E89" s="1019"/>
      <c r="F89" s="1019"/>
      <c r="G89" s="1025"/>
    </row>
    <row r="90" spans="2:7" ht="16.5" x14ac:dyDescent="0.2">
      <c r="B90" s="1027"/>
      <c r="C90" s="979"/>
      <c r="D90" s="1031"/>
      <c r="E90" s="1019"/>
      <c r="F90" s="1019"/>
      <c r="G90" s="1025"/>
    </row>
    <row r="91" spans="2:7" ht="16.5" x14ac:dyDescent="0.2">
      <c r="B91" s="1027"/>
      <c r="C91" s="979"/>
      <c r="D91" s="1031"/>
      <c r="E91" s="1019"/>
      <c r="F91" s="1019"/>
      <c r="G91" s="1025"/>
    </row>
    <row r="92" spans="2:7" ht="16.5" x14ac:dyDescent="0.2">
      <c r="B92" s="1027"/>
      <c r="C92" s="979"/>
      <c r="D92" s="1031"/>
      <c r="E92" s="1019"/>
      <c r="F92" s="1019"/>
      <c r="G92" s="1025"/>
    </row>
    <row r="93" spans="2:7" ht="16.5" x14ac:dyDescent="0.2">
      <c r="B93" s="1027"/>
      <c r="C93" s="979"/>
      <c r="D93" s="1031"/>
      <c r="E93" s="1019"/>
      <c r="F93" s="1019"/>
      <c r="G93" s="1025"/>
    </row>
    <row r="94" spans="2:7" ht="16.5" x14ac:dyDescent="0.2">
      <c r="B94" s="1027"/>
      <c r="C94" s="979"/>
      <c r="D94" s="1031"/>
      <c r="E94" s="1019"/>
      <c r="F94" s="1019"/>
      <c r="G94" s="1025"/>
    </row>
    <row r="95" spans="2:7" ht="16.5" x14ac:dyDescent="0.2">
      <c r="B95" s="1027"/>
      <c r="C95" s="979"/>
      <c r="D95" s="1031"/>
      <c r="E95" s="1019"/>
      <c r="F95" s="1019"/>
      <c r="G95" s="1025"/>
    </row>
    <row r="96" spans="2:7" ht="16.5" x14ac:dyDescent="0.2">
      <c r="B96" s="1027"/>
      <c r="C96" s="979"/>
      <c r="D96" s="1031"/>
      <c r="E96" s="1019"/>
      <c r="F96" s="1019"/>
      <c r="G96" s="1025"/>
    </row>
    <row r="97" spans="2:7" ht="16.5" x14ac:dyDescent="0.2">
      <c r="B97" s="1027"/>
      <c r="C97" s="979"/>
      <c r="D97" s="1031"/>
      <c r="E97" s="1019"/>
      <c r="F97" s="1019"/>
      <c r="G97" s="1025"/>
    </row>
    <row r="98" spans="2:7" ht="16.5" x14ac:dyDescent="0.2">
      <c r="B98" s="1027"/>
      <c r="C98" s="979"/>
      <c r="D98" s="1031"/>
      <c r="E98" s="1019"/>
      <c r="F98" s="1019"/>
      <c r="G98" s="1025"/>
    </row>
    <row r="99" spans="2:7" ht="16.5" x14ac:dyDescent="0.2">
      <c r="B99" s="1027"/>
      <c r="C99" s="979"/>
      <c r="D99" s="1031"/>
      <c r="E99" s="1019"/>
      <c r="F99" s="1019"/>
      <c r="G99" s="1025"/>
    </row>
    <row r="100" spans="2:7" ht="16.5" x14ac:dyDescent="0.2">
      <c r="B100" s="1027"/>
      <c r="C100" s="979"/>
      <c r="D100" s="1031"/>
      <c r="E100" s="1019"/>
      <c r="F100" s="1019"/>
      <c r="G100" s="1025"/>
    </row>
    <row r="101" spans="2:7" ht="16.5" x14ac:dyDescent="0.2">
      <c r="B101" s="1027"/>
      <c r="C101" s="979"/>
      <c r="D101" s="1031"/>
      <c r="E101" s="1019"/>
      <c r="F101" s="1019"/>
      <c r="G101" s="1025"/>
    </row>
    <row r="102" spans="2:7" ht="16.5" x14ac:dyDescent="0.2">
      <c r="B102" s="1027"/>
      <c r="C102" s="979"/>
      <c r="D102" s="1031"/>
      <c r="E102" s="1019"/>
      <c r="F102" s="1019"/>
      <c r="G102" s="1025"/>
    </row>
    <row r="103" spans="2:7" ht="16.5" x14ac:dyDescent="0.2">
      <c r="B103" s="1027"/>
      <c r="C103" s="979"/>
      <c r="D103" s="1031"/>
      <c r="E103" s="1019"/>
      <c r="F103" s="1019"/>
      <c r="G103" s="1025"/>
    </row>
    <row r="104" spans="2:7" ht="16.5" x14ac:dyDescent="0.2">
      <c r="B104" s="1027"/>
      <c r="C104" s="979"/>
      <c r="D104" s="1031"/>
      <c r="E104" s="1019"/>
      <c r="F104" s="1019"/>
      <c r="G104" s="1025"/>
    </row>
    <row r="105" spans="2:7" ht="16.5" x14ac:dyDescent="0.2">
      <c r="B105" s="1027"/>
      <c r="C105" s="979"/>
      <c r="D105" s="1031"/>
      <c r="E105" s="1019"/>
      <c r="F105" s="1019"/>
      <c r="G105" s="1025"/>
    </row>
    <row r="106" spans="2:7" ht="16.5" x14ac:dyDescent="0.2">
      <c r="B106" s="1027"/>
      <c r="C106" s="979"/>
      <c r="D106" s="1031"/>
      <c r="E106" s="1019"/>
      <c r="F106" s="1019"/>
      <c r="G106" s="1025"/>
    </row>
    <row r="107" spans="2:7" ht="16.5" x14ac:dyDescent="0.2">
      <c r="B107" s="1027"/>
      <c r="C107" s="979"/>
      <c r="D107" s="1031"/>
      <c r="E107" s="1019"/>
      <c r="F107" s="1019"/>
      <c r="G107" s="1025"/>
    </row>
    <row r="108" spans="2:7" ht="16.5" x14ac:dyDescent="0.2">
      <c r="B108" s="1027"/>
      <c r="C108" s="979"/>
      <c r="D108" s="1031"/>
      <c r="E108" s="1019"/>
      <c r="F108" s="1019"/>
      <c r="G108" s="1025"/>
    </row>
    <row r="109" spans="2:7" ht="16.5" x14ac:dyDescent="0.2">
      <c r="B109" s="1027"/>
      <c r="C109" s="979"/>
      <c r="D109" s="1031"/>
      <c r="E109" s="1019"/>
      <c r="F109" s="1019"/>
      <c r="G109" s="1025"/>
    </row>
    <row r="110" spans="2:7" ht="16.5" x14ac:dyDescent="0.2">
      <c r="B110" s="1027"/>
      <c r="C110" s="979"/>
      <c r="D110" s="1031"/>
      <c r="E110" s="1019"/>
      <c r="F110" s="1019"/>
      <c r="G110" s="1025"/>
    </row>
    <row r="111" spans="2:7" ht="16.5" x14ac:dyDescent="0.2">
      <c r="B111" s="1027"/>
      <c r="C111" s="979"/>
      <c r="D111" s="1031"/>
      <c r="E111" s="1019"/>
      <c r="F111" s="1019"/>
      <c r="G111" s="1025"/>
    </row>
    <row r="112" spans="2:7" ht="16.5" x14ac:dyDescent="0.2">
      <c r="B112" s="1027"/>
      <c r="C112" s="979"/>
      <c r="D112" s="1031"/>
      <c r="E112" s="1019"/>
      <c r="F112" s="1019"/>
      <c r="G112" s="1025"/>
    </row>
    <row r="113" spans="2:7" ht="16.5" x14ac:dyDescent="0.2">
      <c r="B113" s="1027"/>
      <c r="C113" s="979"/>
      <c r="D113" s="1031"/>
      <c r="E113" s="1019"/>
      <c r="F113" s="1019"/>
      <c r="G113" s="1025"/>
    </row>
    <row r="114" spans="2:7" ht="16.5" x14ac:dyDescent="0.2">
      <c r="B114" s="1027"/>
      <c r="C114" s="979"/>
      <c r="D114" s="1031"/>
      <c r="E114" s="1019"/>
      <c r="F114" s="1019"/>
      <c r="G114" s="1025"/>
    </row>
    <row r="115" spans="2:7" ht="16.5" x14ac:dyDescent="0.2">
      <c r="B115" s="1027"/>
      <c r="C115" s="979"/>
      <c r="D115" s="1031"/>
      <c r="E115" s="1019"/>
      <c r="F115" s="1019"/>
      <c r="G115" s="1025"/>
    </row>
    <row r="116" spans="2:7" ht="16.5" x14ac:dyDescent="0.2">
      <c r="B116" s="1027"/>
      <c r="C116" s="979"/>
      <c r="D116" s="1031"/>
      <c r="E116" s="1019"/>
      <c r="F116" s="1019"/>
      <c r="G116" s="1025"/>
    </row>
    <row r="117" spans="2:7" ht="16.5" x14ac:dyDescent="0.2">
      <c r="B117" s="1027"/>
      <c r="C117" s="979"/>
      <c r="D117" s="1031"/>
      <c r="E117" s="1019"/>
      <c r="F117" s="1019"/>
      <c r="G117" s="1025"/>
    </row>
    <row r="118" spans="2:7" ht="16.5" x14ac:dyDescent="0.2">
      <c r="B118" s="1027"/>
      <c r="C118" s="979"/>
      <c r="D118" s="1031"/>
      <c r="E118" s="1019"/>
      <c r="F118" s="1019"/>
      <c r="G118" s="1025"/>
    </row>
    <row r="119" spans="2:7" ht="16.5" x14ac:dyDescent="0.2">
      <c r="B119" s="1027"/>
      <c r="C119" s="979"/>
      <c r="D119" s="1031"/>
      <c r="E119" s="1019"/>
      <c r="F119" s="1019"/>
      <c r="G119" s="1025"/>
    </row>
    <row r="120" spans="2:7" ht="16.5" x14ac:dyDescent="0.2">
      <c r="B120" s="1027"/>
      <c r="C120" s="979"/>
      <c r="D120" s="1031"/>
      <c r="E120" s="1019"/>
      <c r="F120" s="1019"/>
      <c r="G120" s="1025"/>
    </row>
    <row r="121" spans="2:7" ht="16.5" x14ac:dyDescent="0.2">
      <c r="B121" s="1027"/>
      <c r="C121" s="979"/>
      <c r="D121" s="1031"/>
      <c r="E121" s="1019"/>
      <c r="F121" s="1019"/>
      <c r="G121" s="1025"/>
    </row>
    <row r="122" spans="2:7" ht="16.5" x14ac:dyDescent="0.2">
      <c r="B122" s="1027"/>
      <c r="C122" s="978"/>
      <c r="D122" s="1031"/>
      <c r="E122" s="1019"/>
      <c r="F122" s="1019"/>
      <c r="G122" s="1025"/>
    </row>
    <row r="123" spans="2:7" ht="16.5" x14ac:dyDescent="0.2">
      <c r="B123" s="1027"/>
      <c r="C123" s="979"/>
      <c r="D123" s="1031"/>
      <c r="E123" s="1019"/>
      <c r="F123" s="1019"/>
      <c r="G123" s="1025"/>
    </row>
    <row r="124" spans="2:7" ht="16.5" x14ac:dyDescent="0.2">
      <c r="B124" s="1027"/>
      <c r="C124" s="979"/>
      <c r="D124" s="1031"/>
      <c r="E124" s="1019"/>
      <c r="F124" s="1019"/>
      <c r="G124" s="1025"/>
    </row>
    <row r="125" spans="2:7" ht="16.5" x14ac:dyDescent="0.2">
      <c r="B125" s="1027"/>
      <c r="C125" s="979"/>
      <c r="D125" s="1031"/>
      <c r="E125" s="1019"/>
      <c r="F125" s="1019"/>
      <c r="G125" s="1025"/>
    </row>
    <row r="126" spans="2:7" ht="16.5" x14ac:dyDescent="0.2">
      <c r="B126" s="1027"/>
      <c r="C126" s="978"/>
      <c r="D126" s="1031"/>
      <c r="E126" s="1019"/>
      <c r="F126" s="1019"/>
      <c r="G126" s="1025"/>
    </row>
    <row r="127" spans="2:7" ht="16.5" x14ac:dyDescent="0.2">
      <c r="B127" s="1027"/>
      <c r="C127" s="979"/>
      <c r="D127" s="1031"/>
      <c r="E127" s="1019"/>
      <c r="F127" s="1019"/>
      <c r="G127" s="1025"/>
    </row>
    <row r="128" spans="2:7" ht="16.5" x14ac:dyDescent="0.2">
      <c r="B128" s="1027"/>
      <c r="C128" s="979"/>
      <c r="D128" s="1031"/>
      <c r="E128" s="1019"/>
      <c r="F128" s="1019"/>
      <c r="G128" s="1025"/>
    </row>
    <row r="129" spans="2:7" ht="16.5" x14ac:dyDescent="0.2">
      <c r="B129" s="1027"/>
      <c r="C129" s="979"/>
      <c r="D129" s="1031"/>
      <c r="E129" s="1019"/>
      <c r="F129" s="1019"/>
      <c r="G129" s="1025"/>
    </row>
    <row r="130" spans="2:7" ht="16.5" x14ac:dyDescent="0.2">
      <c r="B130" s="1027"/>
      <c r="C130" s="979"/>
      <c r="D130" s="1031"/>
      <c r="E130" s="1019"/>
      <c r="F130" s="1019"/>
      <c r="G130" s="1025"/>
    </row>
    <row r="131" spans="2:7" ht="16.5" x14ac:dyDescent="0.2">
      <c r="B131" s="1027"/>
      <c r="C131" s="979"/>
      <c r="D131" s="1031"/>
      <c r="E131" s="1019"/>
      <c r="F131" s="1019"/>
      <c r="G131" s="1025"/>
    </row>
    <row r="132" spans="2:7" ht="16.5" x14ac:dyDescent="0.2">
      <c r="B132" s="1027"/>
      <c r="C132" s="979"/>
      <c r="D132" s="1031"/>
      <c r="E132" s="1019"/>
      <c r="F132" s="1019"/>
      <c r="G132" s="1025"/>
    </row>
    <row r="133" spans="2:7" ht="16.5" x14ac:dyDescent="0.2">
      <c r="B133" s="1027"/>
      <c r="C133" s="979"/>
      <c r="D133" s="1031"/>
      <c r="E133" s="1019"/>
      <c r="F133" s="1019"/>
      <c r="G133" s="1025"/>
    </row>
    <row r="134" spans="2:7" ht="16.5" x14ac:dyDescent="0.2">
      <c r="B134" s="1027"/>
      <c r="C134" s="979"/>
      <c r="D134" s="1031"/>
      <c r="E134" s="1019"/>
      <c r="F134" s="1019"/>
      <c r="G134" s="1025"/>
    </row>
    <row r="135" spans="2:7" ht="16.5" x14ac:dyDescent="0.2">
      <c r="B135" s="1027"/>
      <c r="C135" s="979"/>
      <c r="D135" s="1031"/>
      <c r="E135" s="1019"/>
      <c r="F135" s="1019"/>
      <c r="G135" s="1025"/>
    </row>
    <row r="136" spans="2:7" ht="16.5" x14ac:dyDescent="0.2">
      <c r="B136" s="1027"/>
      <c r="C136" s="979"/>
      <c r="D136" s="1031"/>
      <c r="E136" s="1019"/>
      <c r="F136" s="1019"/>
      <c r="G136" s="1025"/>
    </row>
    <row r="137" spans="2:7" ht="16.5" x14ac:dyDescent="0.2">
      <c r="B137" s="1027"/>
      <c r="C137" s="979"/>
      <c r="D137" s="1031"/>
      <c r="E137" s="1019"/>
      <c r="F137" s="1019"/>
      <c r="G137" s="1025"/>
    </row>
    <row r="138" spans="2:7" ht="16.5" x14ac:dyDescent="0.2">
      <c r="B138" s="1027"/>
      <c r="C138" s="979"/>
      <c r="D138" s="1031"/>
      <c r="E138" s="1019"/>
      <c r="F138" s="1019"/>
      <c r="G138" s="1025"/>
    </row>
    <row r="139" spans="2:7" ht="16.5" x14ac:dyDescent="0.2">
      <c r="B139" s="1027"/>
      <c r="C139" s="979"/>
      <c r="D139" s="1031"/>
      <c r="E139" s="1019"/>
      <c r="F139" s="1019"/>
      <c r="G139" s="1025"/>
    </row>
    <row r="140" spans="2:7" ht="16.5" x14ac:dyDescent="0.2">
      <c r="B140" s="1027"/>
      <c r="C140" s="979"/>
      <c r="D140" s="1031"/>
      <c r="E140" s="1019"/>
      <c r="F140" s="1019"/>
      <c r="G140" s="1025"/>
    </row>
    <row r="141" spans="2:7" ht="16.5" x14ac:dyDescent="0.2">
      <c r="B141" s="1027"/>
      <c r="C141" s="979"/>
      <c r="D141" s="1031"/>
      <c r="E141" s="1019"/>
      <c r="F141" s="1019"/>
      <c r="G141" s="1025"/>
    </row>
    <row r="142" spans="2:7" ht="16.5" x14ac:dyDescent="0.2">
      <c r="B142" s="1027"/>
      <c r="C142" s="979"/>
      <c r="D142" s="1031"/>
      <c r="E142" s="1019"/>
      <c r="F142" s="1019"/>
      <c r="G142" s="1025"/>
    </row>
    <row r="143" spans="2:7" ht="16.5" x14ac:dyDescent="0.2">
      <c r="B143" s="1027"/>
      <c r="C143" s="979"/>
      <c r="D143" s="1031"/>
      <c r="E143" s="1019"/>
      <c r="F143" s="1019"/>
      <c r="G143" s="1025"/>
    </row>
    <row r="144" spans="2:7" ht="16.5" x14ac:dyDescent="0.2">
      <c r="B144" s="1027"/>
      <c r="C144" s="979"/>
      <c r="D144" s="1031"/>
      <c r="E144" s="1019"/>
      <c r="F144" s="1019"/>
      <c r="G144" s="1025"/>
    </row>
    <row r="145" spans="2:7" ht="16.5" x14ac:dyDescent="0.2">
      <c r="B145" s="1027"/>
      <c r="C145" s="979"/>
      <c r="D145" s="1031"/>
      <c r="E145" s="1019"/>
      <c r="F145" s="1019"/>
      <c r="G145" s="1025"/>
    </row>
    <row r="146" spans="2:7" ht="16.5" x14ac:dyDescent="0.2">
      <c r="B146" s="1027"/>
      <c r="C146" s="979"/>
      <c r="D146" s="1031"/>
      <c r="E146" s="1019"/>
      <c r="F146" s="1019"/>
      <c r="G146" s="1025"/>
    </row>
    <row r="147" spans="2:7" ht="16.5" x14ac:dyDescent="0.2">
      <c r="B147" s="1027"/>
      <c r="C147" s="979"/>
      <c r="D147" s="1031"/>
      <c r="E147" s="1019"/>
      <c r="F147" s="1019"/>
      <c r="G147" s="1025"/>
    </row>
    <row r="148" spans="2:7" ht="16.5" x14ac:dyDescent="0.2">
      <c r="B148" s="1027"/>
      <c r="C148" s="979"/>
      <c r="D148" s="1031"/>
      <c r="E148" s="1019"/>
      <c r="F148" s="1019"/>
      <c r="G148" s="1025"/>
    </row>
    <row r="149" spans="2:7" ht="16.5" x14ac:dyDescent="0.2">
      <c r="B149" s="1027"/>
      <c r="C149" s="979"/>
      <c r="D149" s="1031"/>
      <c r="E149" s="1019"/>
      <c r="F149" s="1019"/>
      <c r="G149" s="1025"/>
    </row>
    <row r="150" spans="2:7" ht="16.5" x14ac:dyDescent="0.2">
      <c r="B150" s="1027"/>
      <c r="C150" s="979"/>
      <c r="D150" s="1031"/>
      <c r="E150" s="1019"/>
      <c r="F150" s="1019"/>
      <c r="G150" s="1025"/>
    </row>
    <row r="151" spans="2:7" ht="16.5" x14ac:dyDescent="0.2">
      <c r="B151" s="1027"/>
      <c r="C151" s="979"/>
      <c r="D151" s="1031"/>
      <c r="E151" s="1019"/>
      <c r="F151" s="1019"/>
      <c r="G151" s="1025"/>
    </row>
    <row r="152" spans="2:7" ht="16.5" x14ac:dyDescent="0.2">
      <c r="B152" s="1027"/>
      <c r="C152" s="979"/>
      <c r="D152" s="1031"/>
      <c r="E152" s="1019"/>
      <c r="F152" s="1019"/>
      <c r="G152" s="1025"/>
    </row>
    <row r="153" spans="2:7" ht="16.5" x14ac:dyDescent="0.2">
      <c r="B153" s="1027"/>
      <c r="C153" s="979"/>
      <c r="D153" s="1031"/>
      <c r="E153" s="1019"/>
      <c r="F153" s="1019"/>
      <c r="G153" s="1025"/>
    </row>
    <row r="154" spans="2:7" ht="16.5" x14ac:dyDescent="0.2">
      <c r="B154" s="1027"/>
      <c r="C154" s="979"/>
      <c r="D154" s="1031"/>
      <c r="E154" s="1019"/>
      <c r="F154" s="1019"/>
      <c r="G154" s="1025"/>
    </row>
    <row r="155" spans="2:7" ht="16.5" x14ac:dyDescent="0.2">
      <c r="B155" s="1027"/>
      <c r="C155" s="979"/>
      <c r="D155" s="1031"/>
      <c r="E155" s="1019"/>
      <c r="F155" s="1019"/>
      <c r="G155" s="1025"/>
    </row>
    <row r="156" spans="2:7" ht="16.5" x14ac:dyDescent="0.2">
      <c r="B156" s="1027"/>
      <c r="C156" s="979"/>
      <c r="D156" s="1031"/>
      <c r="E156" s="1019"/>
      <c r="F156" s="1019"/>
      <c r="G156" s="1025"/>
    </row>
    <row r="157" spans="2:7" ht="16.5" x14ac:dyDescent="0.2">
      <c r="B157" s="1027"/>
      <c r="C157" s="979"/>
      <c r="D157" s="1031"/>
      <c r="E157" s="1019"/>
      <c r="F157" s="1019"/>
      <c r="G157" s="1025"/>
    </row>
    <row r="158" spans="2:7" ht="16.5" x14ac:dyDescent="0.2">
      <c r="B158" s="1027"/>
      <c r="C158" s="979"/>
      <c r="D158" s="1031"/>
      <c r="E158" s="1019"/>
      <c r="F158" s="1019"/>
      <c r="G158" s="1025"/>
    </row>
    <row r="159" spans="2:7" ht="16.5" x14ac:dyDescent="0.2">
      <c r="B159" s="1027"/>
      <c r="C159" s="979"/>
      <c r="D159" s="1031"/>
      <c r="E159" s="1019"/>
      <c r="F159" s="1019"/>
      <c r="G159" s="1025"/>
    </row>
    <row r="160" spans="2:7" ht="16.5" x14ac:dyDescent="0.2">
      <c r="B160" s="1027"/>
      <c r="C160" s="979"/>
      <c r="D160" s="1031"/>
      <c r="E160" s="1019"/>
      <c r="F160" s="1019"/>
      <c r="G160" s="1025"/>
    </row>
    <row r="161" spans="2:7" ht="16.5" x14ac:dyDescent="0.2">
      <c r="B161" s="1027"/>
      <c r="C161" s="979"/>
      <c r="D161" s="1031"/>
      <c r="E161" s="1019"/>
      <c r="F161" s="1019"/>
      <c r="G161" s="1025"/>
    </row>
    <row r="162" spans="2:7" ht="16.5" x14ac:dyDescent="0.2">
      <c r="B162" s="1027"/>
      <c r="C162" s="979"/>
      <c r="D162" s="1031"/>
      <c r="E162" s="1019"/>
      <c r="F162" s="1019"/>
      <c r="G162" s="1025"/>
    </row>
    <row r="163" spans="2:7" ht="16.5" x14ac:dyDescent="0.2">
      <c r="B163" s="1027"/>
      <c r="C163" s="979"/>
      <c r="D163" s="1031"/>
      <c r="E163" s="1019"/>
      <c r="F163" s="1019"/>
      <c r="G163" s="1025"/>
    </row>
    <row r="164" spans="2:7" ht="16.5" x14ac:dyDescent="0.2">
      <c r="B164" s="1027"/>
      <c r="C164" s="979"/>
      <c r="D164" s="1031"/>
      <c r="E164" s="1019"/>
      <c r="F164" s="1019"/>
      <c r="G164" s="1025"/>
    </row>
    <row r="165" spans="2:7" ht="16.5" x14ac:dyDescent="0.2">
      <c r="B165" s="1027"/>
      <c r="C165" s="979"/>
      <c r="D165" s="1031"/>
      <c r="E165" s="1019"/>
      <c r="F165" s="1019"/>
      <c r="G165" s="1025"/>
    </row>
    <row r="166" spans="2:7" ht="16.5" x14ac:dyDescent="0.2">
      <c r="B166" s="1027"/>
      <c r="C166" s="979"/>
      <c r="D166" s="1031"/>
      <c r="E166" s="1019"/>
      <c r="F166" s="1019"/>
      <c r="G166" s="1025"/>
    </row>
    <row r="167" spans="2:7" ht="16.5" x14ac:dyDescent="0.2">
      <c r="B167" s="1027"/>
      <c r="C167" s="974"/>
      <c r="D167" s="1031"/>
      <c r="E167" s="1019"/>
      <c r="F167" s="1019"/>
      <c r="G167" s="1025"/>
    </row>
    <row r="168" spans="2:7" ht="16.5" x14ac:dyDescent="0.2">
      <c r="B168" s="1027"/>
      <c r="C168" s="978"/>
      <c r="D168" s="1031"/>
      <c r="E168" s="1019"/>
      <c r="F168" s="1019"/>
      <c r="G168" s="1025"/>
    </row>
    <row r="169" spans="2:7" ht="16.5" x14ac:dyDescent="0.2">
      <c r="B169" s="1027"/>
      <c r="C169" s="979"/>
      <c r="D169" s="1031"/>
      <c r="E169" s="1019"/>
      <c r="F169" s="1019"/>
      <c r="G169" s="1025"/>
    </row>
    <row r="170" spans="2:7" ht="16.5" x14ac:dyDescent="0.2">
      <c r="B170" s="1027"/>
      <c r="C170" s="979"/>
      <c r="D170" s="1031"/>
      <c r="E170" s="1019"/>
      <c r="F170" s="1019"/>
      <c r="G170" s="1025"/>
    </row>
    <row r="171" spans="2:7" ht="16.5" x14ac:dyDescent="0.2">
      <c r="B171" s="1027"/>
      <c r="C171" s="979"/>
      <c r="D171" s="1031"/>
      <c r="E171" s="1019"/>
      <c r="F171" s="1019"/>
      <c r="G171" s="1025"/>
    </row>
    <row r="172" spans="2:7" ht="16.5" x14ac:dyDescent="0.2">
      <c r="B172" s="1027"/>
      <c r="C172" s="979"/>
      <c r="D172" s="1031"/>
      <c r="E172" s="1019"/>
      <c r="F172" s="1019"/>
      <c r="G172" s="1025"/>
    </row>
    <row r="173" spans="2:7" ht="16.5" x14ac:dyDescent="0.2">
      <c r="B173" s="1027"/>
      <c r="C173" s="979"/>
      <c r="D173" s="1031"/>
      <c r="E173" s="1019"/>
      <c r="F173" s="1019"/>
      <c r="G173" s="1025"/>
    </row>
    <row r="174" spans="2:7" ht="16.5" x14ac:dyDescent="0.2">
      <c r="B174" s="1027"/>
      <c r="C174" s="979"/>
      <c r="D174" s="1031"/>
      <c r="E174" s="1019"/>
      <c r="F174" s="1019"/>
      <c r="G174" s="1025"/>
    </row>
    <row r="175" spans="2:7" ht="16.5" x14ac:dyDescent="0.2">
      <c r="B175" s="1027"/>
      <c r="C175" s="979"/>
      <c r="D175" s="1031"/>
      <c r="E175" s="1019"/>
      <c r="F175" s="1019"/>
      <c r="G175" s="1025"/>
    </row>
    <row r="176" spans="2:7" ht="16.5" x14ac:dyDescent="0.2">
      <c r="B176" s="1027"/>
      <c r="C176" s="979"/>
      <c r="D176" s="1031"/>
      <c r="E176" s="1019"/>
      <c r="F176" s="1019"/>
      <c r="G176" s="1025"/>
    </row>
    <row r="177" spans="2:7" ht="16.5" x14ac:dyDescent="0.2">
      <c r="B177" s="1027"/>
      <c r="C177" s="979"/>
      <c r="D177" s="1031"/>
      <c r="E177" s="1019"/>
      <c r="F177" s="1019"/>
      <c r="G177" s="1025"/>
    </row>
    <row r="178" spans="2:7" ht="16.5" x14ac:dyDescent="0.2">
      <c r="B178" s="1027"/>
      <c r="C178" s="979"/>
      <c r="D178" s="1031"/>
      <c r="E178" s="1019"/>
      <c r="F178" s="1019"/>
      <c r="G178" s="1025"/>
    </row>
    <row r="179" spans="2:7" ht="16.5" x14ac:dyDescent="0.2">
      <c r="B179" s="1027"/>
      <c r="C179" s="979"/>
      <c r="D179" s="1031"/>
      <c r="E179" s="1019"/>
      <c r="F179" s="1019"/>
      <c r="G179" s="1025"/>
    </row>
    <row r="180" spans="2:7" ht="16.5" x14ac:dyDescent="0.2">
      <c r="B180" s="1027"/>
      <c r="C180" s="979"/>
      <c r="D180" s="1031"/>
      <c r="E180" s="1019"/>
      <c r="F180" s="1019"/>
      <c r="G180" s="1025"/>
    </row>
    <row r="181" spans="2:7" ht="16.5" x14ac:dyDescent="0.2">
      <c r="B181" s="1027"/>
      <c r="C181" s="979"/>
      <c r="D181" s="1031"/>
      <c r="E181" s="1019"/>
      <c r="F181" s="1019"/>
      <c r="G181" s="1025"/>
    </row>
    <row r="182" spans="2:7" ht="16.5" x14ac:dyDescent="0.2">
      <c r="B182" s="1027"/>
      <c r="C182" s="979"/>
      <c r="D182" s="1031"/>
      <c r="E182" s="1019"/>
      <c r="F182" s="1019"/>
      <c r="G182" s="1025"/>
    </row>
    <row r="183" spans="2:7" ht="16.5" x14ac:dyDescent="0.2">
      <c r="B183" s="1027"/>
      <c r="C183" s="979"/>
      <c r="D183" s="1031"/>
      <c r="E183" s="1019"/>
      <c r="F183" s="1019"/>
      <c r="G183" s="1025"/>
    </row>
    <row r="184" spans="2:7" ht="16.5" x14ac:dyDescent="0.2">
      <c r="B184" s="1027"/>
      <c r="C184" s="979"/>
      <c r="D184" s="1031"/>
      <c r="E184" s="1019"/>
      <c r="F184" s="1019"/>
      <c r="G184" s="1025"/>
    </row>
    <row r="185" spans="2:7" ht="16.5" x14ac:dyDescent="0.2">
      <c r="B185" s="1027"/>
      <c r="C185" s="979"/>
      <c r="D185" s="1031"/>
      <c r="E185" s="1019"/>
      <c r="F185" s="1019"/>
      <c r="G185" s="1025"/>
    </row>
    <row r="186" spans="2:7" ht="16.5" x14ac:dyDescent="0.2">
      <c r="B186" s="1027"/>
      <c r="C186" s="978"/>
      <c r="D186" s="1031"/>
      <c r="E186" s="1019"/>
      <c r="F186" s="1019"/>
      <c r="G186" s="1025"/>
    </row>
    <row r="187" spans="2:7" ht="16.5" x14ac:dyDescent="0.2">
      <c r="B187" s="1027"/>
      <c r="C187" s="979"/>
      <c r="D187" s="1031"/>
      <c r="E187" s="1019"/>
      <c r="F187" s="1019"/>
      <c r="G187" s="1025"/>
    </row>
    <row r="188" spans="2:7" ht="16.5" x14ac:dyDescent="0.2">
      <c r="B188" s="1027"/>
      <c r="C188" s="979"/>
      <c r="D188" s="1031"/>
      <c r="E188" s="1019"/>
      <c r="F188" s="1019"/>
      <c r="G188" s="1025"/>
    </row>
    <row r="189" spans="2:7" ht="16.5" x14ac:dyDescent="0.2">
      <c r="B189" s="1027"/>
      <c r="C189" s="978"/>
      <c r="D189" s="1031"/>
      <c r="E189" s="1019"/>
      <c r="F189" s="1019"/>
      <c r="G189" s="1025"/>
    </row>
    <row r="190" spans="2:7" ht="16.5" x14ac:dyDescent="0.2">
      <c r="B190" s="1027"/>
      <c r="C190" s="979"/>
      <c r="D190" s="1031"/>
      <c r="E190" s="1019"/>
      <c r="F190" s="1019"/>
      <c r="G190" s="1025"/>
    </row>
    <row r="191" spans="2:7" ht="16.5" x14ac:dyDescent="0.2">
      <c r="B191" s="1027"/>
      <c r="C191" s="979"/>
      <c r="D191" s="1031"/>
      <c r="E191" s="1019"/>
      <c r="F191" s="1019"/>
      <c r="G191" s="1025"/>
    </row>
    <row r="192" spans="2:7" ht="16.5" x14ac:dyDescent="0.2">
      <c r="B192" s="1027"/>
      <c r="C192" s="978"/>
      <c r="D192" s="1031"/>
      <c r="E192" s="1019"/>
      <c r="F192" s="1019"/>
      <c r="G192" s="1025"/>
    </row>
    <row r="193" spans="2:7" ht="16.5" x14ac:dyDescent="0.2">
      <c r="B193" s="1027"/>
      <c r="C193" s="979"/>
      <c r="D193" s="1031"/>
      <c r="E193" s="1019"/>
      <c r="F193" s="1019"/>
      <c r="G193" s="1025"/>
    </row>
    <row r="194" spans="2:7" ht="16.5" x14ac:dyDescent="0.2">
      <c r="B194" s="1027"/>
      <c r="C194" s="979"/>
      <c r="D194" s="1031"/>
      <c r="E194" s="1019"/>
      <c r="F194" s="1019"/>
      <c r="G194" s="1025"/>
    </row>
    <row r="195" spans="2:7" ht="16.5" x14ac:dyDescent="0.2">
      <c r="B195" s="1027"/>
      <c r="C195" s="978"/>
      <c r="D195" s="1031"/>
      <c r="E195" s="1019"/>
      <c r="F195" s="1019"/>
      <c r="G195" s="1025"/>
    </row>
    <row r="196" spans="2:7" ht="16.5" x14ac:dyDescent="0.2">
      <c r="B196" s="1027"/>
      <c r="C196" s="979"/>
      <c r="D196" s="1031"/>
      <c r="E196" s="1019"/>
      <c r="F196" s="1019"/>
      <c r="G196" s="1025"/>
    </row>
    <row r="197" spans="2:7" ht="16.5" x14ac:dyDescent="0.2">
      <c r="B197" s="1027"/>
      <c r="C197" s="979"/>
      <c r="D197" s="1031"/>
      <c r="E197" s="1019"/>
      <c r="F197" s="1019"/>
      <c r="G197" s="1025"/>
    </row>
    <row r="198" spans="2:7" ht="16.5" x14ac:dyDescent="0.2">
      <c r="B198" s="1027"/>
      <c r="C198" s="979"/>
      <c r="D198" s="1031"/>
      <c r="E198" s="1019"/>
      <c r="F198" s="1019"/>
      <c r="G198" s="1025"/>
    </row>
    <row r="199" spans="2:7" ht="16.5" x14ac:dyDescent="0.2">
      <c r="B199" s="1027"/>
      <c r="C199" s="979"/>
      <c r="D199" s="1031"/>
      <c r="E199" s="1019"/>
      <c r="F199" s="1019"/>
      <c r="G199" s="1025"/>
    </row>
    <row r="200" spans="2:7" ht="16.5" x14ac:dyDescent="0.2">
      <c r="B200" s="1027"/>
      <c r="C200" s="978"/>
      <c r="D200" s="1031"/>
      <c r="E200" s="1019"/>
      <c r="F200" s="1019"/>
      <c r="G200" s="1025"/>
    </row>
    <row r="201" spans="2:7" ht="16.5" x14ac:dyDescent="0.2">
      <c r="B201" s="1027"/>
      <c r="C201" s="979"/>
      <c r="D201" s="1031"/>
      <c r="E201" s="1019"/>
      <c r="F201" s="1019"/>
      <c r="G201" s="1025"/>
    </row>
    <row r="202" spans="2:7" ht="16.5" x14ac:dyDescent="0.2">
      <c r="B202" s="1027"/>
      <c r="C202" s="979"/>
      <c r="D202" s="1031"/>
      <c r="E202" s="1019"/>
      <c r="F202" s="1019"/>
      <c r="G202" s="1025"/>
    </row>
    <row r="203" spans="2:7" ht="16.5" x14ac:dyDescent="0.2">
      <c r="B203" s="1027"/>
      <c r="C203" s="979"/>
      <c r="D203" s="1031"/>
      <c r="E203" s="1019"/>
      <c r="F203" s="1019"/>
      <c r="G203" s="1025"/>
    </row>
    <row r="204" spans="2:7" ht="16.5" x14ac:dyDescent="0.2">
      <c r="B204" s="1027"/>
      <c r="C204" s="979"/>
      <c r="D204" s="1031"/>
      <c r="E204" s="1019"/>
      <c r="F204" s="1019"/>
      <c r="G204" s="1025"/>
    </row>
    <row r="205" spans="2:7" ht="16.5" x14ac:dyDescent="0.2">
      <c r="B205" s="1027"/>
      <c r="C205" s="979"/>
      <c r="D205" s="1031"/>
      <c r="E205" s="1019"/>
      <c r="F205" s="1019"/>
      <c r="G205" s="1025"/>
    </row>
    <row r="206" spans="2:7" ht="16.5" x14ac:dyDescent="0.2">
      <c r="B206" s="1027"/>
      <c r="C206" s="979"/>
      <c r="D206" s="1031"/>
      <c r="E206" s="1019"/>
      <c r="F206" s="1019"/>
      <c r="G206" s="1025"/>
    </row>
    <row r="207" spans="2:7" ht="16.5" x14ac:dyDescent="0.2">
      <c r="B207" s="1027"/>
      <c r="C207" s="979"/>
      <c r="D207" s="1031"/>
      <c r="E207" s="1019"/>
      <c r="F207" s="1019"/>
      <c r="G207" s="1025"/>
    </row>
    <row r="208" spans="2:7" ht="16.5" x14ac:dyDescent="0.2">
      <c r="B208" s="1027"/>
      <c r="C208" s="979"/>
      <c r="D208" s="1031"/>
      <c r="E208" s="1019"/>
      <c r="F208" s="1019"/>
      <c r="G208" s="1025"/>
    </row>
    <row r="209" spans="2:7" ht="16.5" x14ac:dyDescent="0.2">
      <c r="B209" s="1027"/>
      <c r="C209" s="979"/>
      <c r="D209" s="1031"/>
      <c r="E209" s="1019"/>
      <c r="F209" s="1019"/>
      <c r="G209" s="1025"/>
    </row>
    <row r="210" spans="2:7" ht="16.5" x14ac:dyDescent="0.2">
      <c r="B210" s="1027"/>
      <c r="C210" s="979"/>
      <c r="D210" s="1031"/>
      <c r="E210" s="1019"/>
      <c r="F210" s="1019"/>
      <c r="G210" s="1025"/>
    </row>
    <row r="211" spans="2:7" ht="16.5" x14ac:dyDescent="0.2">
      <c r="B211" s="1027"/>
      <c r="C211" s="979"/>
      <c r="D211" s="1031"/>
      <c r="E211" s="1019"/>
      <c r="F211" s="1019"/>
      <c r="G211" s="1025"/>
    </row>
    <row r="212" spans="2:7" ht="16.5" x14ac:dyDescent="0.2">
      <c r="B212" s="1027"/>
      <c r="C212" s="974"/>
      <c r="D212" s="1031"/>
      <c r="E212" s="1019"/>
      <c r="F212" s="1019"/>
      <c r="G212" s="1025"/>
    </row>
    <row r="213" spans="2:7" ht="16.5" x14ac:dyDescent="0.2">
      <c r="B213" s="1027"/>
      <c r="C213" s="978"/>
      <c r="D213" s="1031"/>
      <c r="E213" s="1019"/>
      <c r="F213" s="1019"/>
      <c r="G213" s="1025"/>
    </row>
    <row r="214" spans="2:7" ht="16.5" x14ac:dyDescent="0.2">
      <c r="B214" s="1027"/>
      <c r="C214" s="979"/>
      <c r="D214" s="1031"/>
      <c r="E214" s="1019"/>
      <c r="F214" s="1019"/>
      <c r="G214" s="1025"/>
    </row>
    <row r="215" spans="2:7" ht="16.5" x14ac:dyDescent="0.2">
      <c r="B215" s="1027"/>
      <c r="C215" s="979"/>
      <c r="D215" s="1031"/>
      <c r="E215" s="1019"/>
      <c r="F215" s="1019"/>
      <c r="G215" s="1025"/>
    </row>
    <row r="216" spans="2:7" ht="16.5" x14ac:dyDescent="0.2">
      <c r="B216" s="1027"/>
      <c r="C216" s="979"/>
      <c r="D216" s="1031"/>
      <c r="E216" s="1019"/>
      <c r="F216" s="1019"/>
      <c r="G216" s="1025"/>
    </row>
    <row r="217" spans="2:7" ht="16.5" x14ac:dyDescent="0.2">
      <c r="B217" s="1027"/>
      <c r="C217" s="978"/>
      <c r="D217" s="1031"/>
      <c r="E217" s="1019"/>
      <c r="F217" s="1019"/>
      <c r="G217" s="1025"/>
    </row>
    <row r="218" spans="2:7" ht="16.5" x14ac:dyDescent="0.2">
      <c r="B218" s="1027"/>
      <c r="C218" s="979"/>
      <c r="D218" s="1031"/>
      <c r="E218" s="1019"/>
      <c r="F218" s="1019"/>
      <c r="G218" s="1025"/>
    </row>
    <row r="219" spans="2:7" ht="16.5" x14ac:dyDescent="0.2">
      <c r="B219" s="1027"/>
      <c r="C219" s="979"/>
      <c r="D219" s="1031"/>
      <c r="E219" s="1019"/>
      <c r="F219" s="1019"/>
      <c r="G219" s="1025"/>
    </row>
    <row r="220" spans="2:7" ht="16.5" x14ac:dyDescent="0.2">
      <c r="B220" s="1027"/>
      <c r="C220" s="979"/>
      <c r="D220" s="1031"/>
      <c r="E220" s="1019"/>
      <c r="F220" s="1019"/>
      <c r="G220" s="1025"/>
    </row>
    <row r="221" spans="2:7" ht="16.5" x14ac:dyDescent="0.2">
      <c r="B221" s="1027"/>
      <c r="C221" s="979"/>
      <c r="D221" s="1031"/>
      <c r="E221" s="1019"/>
      <c r="F221" s="1019"/>
      <c r="G221" s="1025"/>
    </row>
    <row r="222" spans="2:7" ht="16.5" x14ac:dyDescent="0.2">
      <c r="B222" s="1027"/>
      <c r="C222" s="979"/>
      <c r="D222" s="1031"/>
      <c r="E222" s="1019"/>
      <c r="F222" s="1019"/>
      <c r="G222" s="1025"/>
    </row>
    <row r="223" spans="2:7" ht="16.5" x14ac:dyDescent="0.2">
      <c r="B223" s="1027"/>
      <c r="C223" s="979"/>
      <c r="D223" s="1031"/>
      <c r="E223" s="1019"/>
      <c r="F223" s="1019"/>
      <c r="G223" s="1025"/>
    </row>
    <row r="224" spans="2:7" ht="16.5" x14ac:dyDescent="0.2">
      <c r="B224" s="1027"/>
      <c r="C224" s="979"/>
      <c r="D224" s="1031"/>
      <c r="E224" s="1019"/>
      <c r="F224" s="1019"/>
      <c r="G224" s="1025"/>
    </row>
    <row r="225" spans="2:7" ht="16.5" x14ac:dyDescent="0.2">
      <c r="B225" s="1027"/>
      <c r="C225" s="979"/>
      <c r="D225" s="1031"/>
      <c r="E225" s="1019"/>
      <c r="F225" s="1019"/>
      <c r="G225" s="1025"/>
    </row>
    <row r="226" spans="2:7" ht="16.5" x14ac:dyDescent="0.2">
      <c r="B226" s="1027"/>
      <c r="C226" s="979"/>
      <c r="D226" s="1031"/>
      <c r="E226" s="1019"/>
      <c r="F226" s="1019"/>
      <c r="G226" s="1025"/>
    </row>
    <row r="227" spans="2:7" ht="16.5" x14ac:dyDescent="0.2">
      <c r="B227" s="1027"/>
      <c r="C227" s="979"/>
      <c r="D227" s="1031"/>
      <c r="E227" s="1019"/>
      <c r="F227" s="1019"/>
      <c r="G227" s="1025"/>
    </row>
    <row r="228" spans="2:7" ht="16.5" x14ac:dyDescent="0.2">
      <c r="B228" s="1027"/>
      <c r="C228" s="979"/>
      <c r="D228" s="1031"/>
      <c r="E228" s="1019"/>
      <c r="F228" s="1019"/>
      <c r="G228" s="1025"/>
    </row>
    <row r="229" spans="2:7" ht="16.5" x14ac:dyDescent="0.2">
      <c r="B229" s="1027"/>
      <c r="C229" s="974"/>
      <c r="D229" s="1031"/>
      <c r="E229" s="1019"/>
      <c r="F229" s="1019"/>
      <c r="G229" s="1025"/>
    </row>
    <row r="230" spans="2:7" ht="16.5" x14ac:dyDescent="0.2">
      <c r="B230" s="1027"/>
      <c r="C230" s="978"/>
      <c r="D230" s="1031"/>
      <c r="E230" s="1019"/>
      <c r="F230" s="1019"/>
      <c r="G230" s="1025"/>
    </row>
    <row r="231" spans="2:7" ht="16.5" x14ac:dyDescent="0.2">
      <c r="B231" s="1027"/>
      <c r="C231" s="979"/>
      <c r="D231" s="1031"/>
      <c r="E231" s="1019"/>
      <c r="F231" s="1019"/>
      <c r="G231" s="1025"/>
    </row>
    <row r="232" spans="2:7" ht="16.5" x14ac:dyDescent="0.2">
      <c r="B232" s="1027"/>
      <c r="C232" s="979"/>
      <c r="D232" s="1031"/>
      <c r="E232" s="1019"/>
      <c r="F232" s="1019"/>
      <c r="G232" s="1025"/>
    </row>
    <row r="233" spans="2:7" ht="16.5" x14ac:dyDescent="0.2">
      <c r="B233" s="1027"/>
      <c r="C233" s="979"/>
      <c r="D233" s="1031"/>
      <c r="E233" s="1019"/>
      <c r="F233" s="1019"/>
      <c r="G233" s="1025"/>
    </row>
    <row r="234" spans="2:7" ht="16.5" x14ac:dyDescent="0.2">
      <c r="B234" s="1027"/>
      <c r="C234" s="979"/>
      <c r="D234" s="1031"/>
      <c r="E234" s="1019"/>
      <c r="F234" s="1019"/>
      <c r="G234" s="1025"/>
    </row>
    <row r="235" spans="2:7" ht="16.5" x14ac:dyDescent="0.2">
      <c r="B235" s="1027"/>
      <c r="C235" s="979"/>
      <c r="D235" s="1031"/>
      <c r="E235" s="1019"/>
      <c r="F235" s="1019"/>
      <c r="G235" s="1025"/>
    </row>
    <row r="236" spans="2:7" ht="16.5" x14ac:dyDescent="0.2">
      <c r="B236" s="1027"/>
      <c r="C236" s="979"/>
      <c r="D236" s="1031"/>
      <c r="E236" s="1019"/>
      <c r="F236" s="1019"/>
      <c r="G236" s="1025"/>
    </row>
    <row r="237" spans="2:7" ht="16.5" x14ac:dyDescent="0.2">
      <c r="B237" s="1027"/>
      <c r="C237" s="979"/>
      <c r="D237" s="1031"/>
      <c r="E237" s="1019"/>
      <c r="F237" s="1019"/>
      <c r="G237" s="1025"/>
    </row>
    <row r="238" spans="2:7" ht="16.5" x14ac:dyDescent="0.2">
      <c r="B238" s="1027"/>
      <c r="C238" s="979"/>
      <c r="D238" s="1031"/>
      <c r="E238" s="1019"/>
      <c r="F238" s="1019"/>
      <c r="G238" s="1025"/>
    </row>
    <row r="239" spans="2:7" ht="16.5" x14ac:dyDescent="0.2">
      <c r="B239" s="1027"/>
      <c r="C239" s="979"/>
      <c r="D239" s="1031"/>
      <c r="E239" s="1019"/>
      <c r="F239" s="1019"/>
      <c r="G239" s="1025"/>
    </row>
    <row r="240" spans="2:7" ht="16.5" x14ac:dyDescent="0.2">
      <c r="B240" s="1027"/>
      <c r="C240" s="979"/>
      <c r="D240" s="1031"/>
      <c r="E240" s="1019"/>
      <c r="F240" s="1019"/>
      <c r="G240" s="1025"/>
    </row>
    <row r="241" spans="2:7" ht="16.5" x14ac:dyDescent="0.2">
      <c r="B241" s="1027"/>
      <c r="C241" s="979"/>
      <c r="D241" s="1031"/>
      <c r="E241" s="1019"/>
      <c r="F241" s="1019"/>
      <c r="G241" s="1025"/>
    </row>
    <row r="242" spans="2:7" ht="16.5" x14ac:dyDescent="0.2">
      <c r="B242" s="1027"/>
      <c r="C242" s="979"/>
      <c r="D242" s="1031"/>
      <c r="E242" s="1019"/>
      <c r="F242" s="1019"/>
      <c r="G242" s="1025"/>
    </row>
    <row r="243" spans="2:7" ht="16.5" x14ac:dyDescent="0.2">
      <c r="B243" s="1027"/>
      <c r="C243" s="979"/>
      <c r="D243" s="1031"/>
      <c r="E243" s="1019"/>
      <c r="F243" s="1019"/>
      <c r="G243" s="1025"/>
    </row>
    <row r="244" spans="2:7" ht="16.5" x14ac:dyDescent="0.2">
      <c r="B244" s="1027"/>
      <c r="C244" s="979"/>
      <c r="D244" s="1031"/>
      <c r="E244" s="1019"/>
      <c r="F244" s="1019"/>
      <c r="G244" s="1025"/>
    </row>
    <row r="245" spans="2:7" ht="16.5" x14ac:dyDescent="0.2">
      <c r="B245" s="1027"/>
      <c r="C245" s="979"/>
      <c r="D245" s="1031"/>
      <c r="E245" s="1019"/>
      <c r="F245" s="1019"/>
      <c r="G245" s="1025"/>
    </row>
    <row r="246" spans="2:7" ht="16.5" x14ac:dyDescent="0.2">
      <c r="B246" s="1027"/>
      <c r="C246" s="979"/>
      <c r="D246" s="1031"/>
      <c r="E246" s="1019"/>
      <c r="F246" s="1019"/>
      <c r="G246" s="1025"/>
    </row>
    <row r="247" spans="2:7" ht="16.5" x14ac:dyDescent="0.2">
      <c r="B247" s="1027"/>
      <c r="C247" s="979"/>
      <c r="D247" s="1031"/>
      <c r="E247" s="1019"/>
      <c r="F247" s="1019"/>
      <c r="G247" s="1025"/>
    </row>
    <row r="248" spans="2:7" ht="16.5" x14ac:dyDescent="0.2">
      <c r="B248" s="1027"/>
      <c r="C248" s="979"/>
      <c r="D248" s="1031"/>
      <c r="E248" s="1019"/>
      <c r="F248" s="1019"/>
      <c r="G248" s="1025"/>
    </row>
    <row r="249" spans="2:7" ht="16.5" x14ac:dyDescent="0.2">
      <c r="B249" s="1027"/>
      <c r="C249" s="979"/>
      <c r="D249" s="1031"/>
      <c r="E249" s="1019"/>
      <c r="F249" s="1019"/>
      <c r="G249" s="1025"/>
    </row>
    <row r="250" spans="2:7" ht="16.5" x14ac:dyDescent="0.2">
      <c r="B250" s="1027"/>
      <c r="C250" s="979"/>
      <c r="D250" s="1031"/>
      <c r="E250" s="1019"/>
      <c r="F250" s="1019"/>
      <c r="G250" s="1025"/>
    </row>
    <row r="251" spans="2:7" ht="16.5" x14ac:dyDescent="0.2">
      <c r="B251" s="1027"/>
      <c r="C251" s="979"/>
      <c r="D251" s="1031"/>
      <c r="E251" s="1019"/>
      <c r="F251" s="1019"/>
      <c r="G251" s="1025"/>
    </row>
    <row r="252" spans="2:7" ht="16.5" x14ac:dyDescent="0.2">
      <c r="B252" s="1027"/>
      <c r="C252" s="979"/>
      <c r="D252" s="1031"/>
      <c r="E252" s="1019"/>
      <c r="F252" s="1019"/>
      <c r="G252" s="1025"/>
    </row>
    <row r="253" spans="2:7" ht="16.5" x14ac:dyDescent="0.2">
      <c r="B253" s="1027"/>
      <c r="C253" s="979"/>
      <c r="D253" s="1031"/>
      <c r="E253" s="1019"/>
      <c r="F253" s="1019"/>
      <c r="G253" s="1025"/>
    </row>
    <row r="254" spans="2:7" ht="16.5" x14ac:dyDescent="0.2">
      <c r="B254" s="1027"/>
      <c r="C254" s="979"/>
      <c r="D254" s="1031"/>
      <c r="E254" s="1019"/>
      <c r="F254" s="1019"/>
      <c r="G254" s="1025"/>
    </row>
    <row r="255" spans="2:7" ht="16.5" x14ac:dyDescent="0.2">
      <c r="B255" s="1027"/>
      <c r="C255" s="979"/>
      <c r="D255" s="1031"/>
      <c r="E255" s="1019"/>
      <c r="F255" s="1019"/>
      <c r="G255" s="1025"/>
    </row>
    <row r="256" spans="2:7" ht="16.5" x14ac:dyDescent="0.2">
      <c r="B256" s="1027"/>
      <c r="C256" s="979"/>
      <c r="D256" s="1031"/>
      <c r="E256" s="1019"/>
      <c r="F256" s="1019"/>
      <c r="G256" s="1025"/>
    </row>
    <row r="257" spans="2:7" ht="16.5" x14ac:dyDescent="0.2">
      <c r="B257" s="1027"/>
      <c r="C257" s="979"/>
      <c r="D257" s="1031"/>
      <c r="E257" s="1019"/>
      <c r="F257" s="1019"/>
      <c r="G257" s="1025"/>
    </row>
    <row r="258" spans="2:7" ht="16.5" x14ac:dyDescent="0.2">
      <c r="B258" s="1027"/>
      <c r="C258" s="979"/>
      <c r="D258" s="1031"/>
      <c r="E258" s="1019"/>
      <c r="F258" s="1019"/>
      <c r="G258" s="1025"/>
    </row>
    <row r="259" spans="2:7" ht="16.5" x14ac:dyDescent="0.2">
      <c r="B259" s="1027"/>
      <c r="C259" s="979"/>
      <c r="D259" s="1031"/>
      <c r="E259" s="1019"/>
      <c r="F259" s="1019"/>
      <c r="G259" s="1025"/>
    </row>
    <row r="260" spans="2:7" ht="16.5" x14ac:dyDescent="0.2">
      <c r="B260" s="1027"/>
      <c r="C260" s="979"/>
      <c r="D260" s="1031"/>
      <c r="E260" s="1019"/>
      <c r="F260" s="1019"/>
      <c r="G260" s="1025"/>
    </row>
    <row r="261" spans="2:7" ht="16.5" x14ac:dyDescent="0.2">
      <c r="B261" s="1027"/>
      <c r="C261" s="979"/>
      <c r="D261" s="1031"/>
      <c r="E261" s="1019"/>
      <c r="F261" s="1019"/>
      <c r="G261" s="1025"/>
    </row>
    <row r="262" spans="2:7" ht="16.5" x14ac:dyDescent="0.2">
      <c r="B262" s="1027"/>
      <c r="C262" s="979"/>
      <c r="D262" s="1031"/>
      <c r="E262" s="1019"/>
      <c r="F262" s="1019"/>
      <c r="G262" s="1025"/>
    </row>
    <row r="263" spans="2:7" ht="16.5" x14ac:dyDescent="0.2">
      <c r="B263" s="1027"/>
      <c r="C263" s="979"/>
      <c r="D263" s="1031"/>
      <c r="E263" s="1019"/>
      <c r="F263" s="1019"/>
      <c r="G263" s="1025"/>
    </row>
    <row r="264" spans="2:7" ht="16.5" x14ac:dyDescent="0.2">
      <c r="B264" s="1027"/>
      <c r="C264" s="979"/>
      <c r="D264" s="1031"/>
      <c r="E264" s="1019"/>
      <c r="F264" s="1019"/>
      <c r="G264" s="1025"/>
    </row>
    <row r="265" spans="2:7" ht="16.5" x14ac:dyDescent="0.2">
      <c r="B265" s="1027"/>
      <c r="C265" s="979"/>
      <c r="D265" s="1031"/>
      <c r="E265" s="1019"/>
      <c r="F265" s="1019"/>
      <c r="G265" s="1025"/>
    </row>
    <row r="266" spans="2:7" ht="16.5" x14ac:dyDescent="0.2">
      <c r="B266" s="1027"/>
      <c r="C266" s="974"/>
      <c r="D266" s="1031"/>
      <c r="E266" s="1019"/>
      <c r="F266" s="1019"/>
      <c r="G266" s="1025"/>
    </row>
    <row r="267" spans="2:7" ht="16.5" x14ac:dyDescent="0.2">
      <c r="B267" s="1027"/>
      <c r="C267" s="978"/>
      <c r="D267" s="1031"/>
      <c r="E267" s="1019"/>
      <c r="F267" s="1019"/>
      <c r="G267" s="1025"/>
    </row>
    <row r="268" spans="2:7" ht="16.5" x14ac:dyDescent="0.2">
      <c r="B268" s="1027"/>
      <c r="C268" s="979"/>
      <c r="D268" s="1031"/>
      <c r="E268" s="1019"/>
      <c r="F268" s="1019"/>
      <c r="G268" s="1025"/>
    </row>
    <row r="269" spans="2:7" ht="16.5" x14ac:dyDescent="0.2">
      <c r="B269" s="1027"/>
      <c r="C269" s="979"/>
      <c r="D269" s="1031"/>
      <c r="E269" s="1019"/>
      <c r="F269" s="1019"/>
      <c r="G269" s="1025"/>
    </row>
    <row r="270" spans="2:7" ht="16.5" x14ac:dyDescent="0.2">
      <c r="B270" s="1027"/>
      <c r="C270" s="979"/>
      <c r="D270" s="1031"/>
      <c r="E270" s="1019"/>
      <c r="F270" s="1019"/>
      <c r="G270" s="1025"/>
    </row>
    <row r="271" spans="2:7" ht="16.5" x14ac:dyDescent="0.2">
      <c r="B271" s="1027"/>
      <c r="C271" s="979"/>
      <c r="D271" s="1031"/>
      <c r="E271" s="1019"/>
      <c r="F271" s="1019"/>
      <c r="G271" s="1025"/>
    </row>
    <row r="272" spans="2:7" ht="16.5" x14ac:dyDescent="0.2">
      <c r="B272" s="1027"/>
      <c r="C272" s="979"/>
      <c r="D272" s="1031"/>
      <c r="E272" s="1019"/>
      <c r="F272" s="1019"/>
      <c r="G272" s="1025"/>
    </row>
    <row r="273" spans="2:7" ht="16.5" x14ac:dyDescent="0.2">
      <c r="B273" s="1027"/>
      <c r="C273" s="979"/>
      <c r="D273" s="1031"/>
      <c r="E273" s="1019"/>
      <c r="F273" s="1019"/>
      <c r="G273" s="1025"/>
    </row>
    <row r="274" spans="2:7" ht="16.5" x14ac:dyDescent="0.2">
      <c r="B274" s="1027"/>
      <c r="C274" s="979"/>
      <c r="D274" s="1031"/>
      <c r="E274" s="1019"/>
      <c r="F274" s="1019"/>
      <c r="G274" s="1025"/>
    </row>
    <row r="275" spans="2:7" ht="16.5" x14ac:dyDescent="0.2">
      <c r="B275" s="1027"/>
      <c r="C275" s="979"/>
      <c r="D275" s="1031"/>
      <c r="E275" s="1019"/>
      <c r="F275" s="1019"/>
      <c r="G275" s="1025"/>
    </row>
    <row r="276" spans="2:7" ht="16.5" x14ac:dyDescent="0.2">
      <c r="B276" s="1027"/>
      <c r="C276" s="979"/>
      <c r="D276" s="1031"/>
      <c r="E276" s="1019"/>
      <c r="F276" s="1019"/>
      <c r="G276" s="1025"/>
    </row>
    <row r="277" spans="2:7" ht="16.5" x14ac:dyDescent="0.2">
      <c r="B277" s="1027"/>
      <c r="C277" s="978"/>
      <c r="D277" s="1031"/>
      <c r="E277" s="1019"/>
      <c r="F277" s="1019"/>
      <c r="G277" s="1025"/>
    </row>
    <row r="278" spans="2:7" ht="16.5" x14ac:dyDescent="0.2">
      <c r="B278" s="1027"/>
      <c r="C278" s="979"/>
      <c r="D278" s="1031"/>
      <c r="E278" s="1019"/>
      <c r="F278" s="1019"/>
      <c r="G278" s="1025"/>
    </row>
    <row r="279" spans="2:7" ht="16.5" x14ac:dyDescent="0.2">
      <c r="B279" s="1027"/>
      <c r="C279" s="979"/>
      <c r="D279" s="1031"/>
      <c r="E279" s="1019"/>
      <c r="F279" s="1019"/>
      <c r="G279" s="1025"/>
    </row>
    <row r="280" spans="2:7" ht="16.5" x14ac:dyDescent="0.2">
      <c r="B280" s="1027"/>
      <c r="C280" s="979"/>
      <c r="D280" s="1031"/>
      <c r="E280" s="1019"/>
      <c r="F280" s="1019"/>
      <c r="G280" s="1025"/>
    </row>
    <row r="281" spans="2:7" ht="16.5" x14ac:dyDescent="0.2">
      <c r="B281" s="1027"/>
      <c r="C281" s="979"/>
      <c r="D281" s="1031"/>
      <c r="E281" s="1019"/>
      <c r="F281" s="1019"/>
      <c r="G281" s="1025"/>
    </row>
    <row r="282" spans="2:7" ht="16.5" x14ac:dyDescent="0.2">
      <c r="B282" s="1027"/>
      <c r="C282" s="979"/>
      <c r="D282" s="1031"/>
      <c r="E282" s="1019"/>
      <c r="F282" s="1019"/>
      <c r="G282" s="1025"/>
    </row>
    <row r="283" spans="2:7" ht="16.5" x14ac:dyDescent="0.2">
      <c r="B283" s="1027"/>
      <c r="C283" s="979"/>
      <c r="D283" s="1031"/>
      <c r="E283" s="1019"/>
      <c r="F283" s="1019"/>
      <c r="G283" s="1025"/>
    </row>
    <row r="284" spans="2:7" ht="16.5" x14ac:dyDescent="0.2">
      <c r="B284" s="1027"/>
      <c r="C284" s="978"/>
      <c r="D284" s="1031"/>
      <c r="E284" s="1019"/>
      <c r="F284" s="1019"/>
      <c r="G284" s="1025"/>
    </row>
    <row r="285" spans="2:7" ht="16.5" x14ac:dyDescent="0.2">
      <c r="B285" s="1027"/>
      <c r="C285" s="979"/>
      <c r="D285" s="1031"/>
      <c r="E285" s="1019"/>
      <c r="F285" s="1019"/>
      <c r="G285" s="1025"/>
    </row>
    <row r="286" spans="2:7" ht="16.5" x14ac:dyDescent="0.2">
      <c r="B286" s="1027"/>
      <c r="C286" s="979"/>
      <c r="D286" s="1031"/>
      <c r="E286" s="1019"/>
      <c r="F286" s="1019"/>
      <c r="G286" s="1025"/>
    </row>
    <row r="287" spans="2:7" ht="16.5" x14ac:dyDescent="0.2">
      <c r="B287" s="1027"/>
      <c r="C287" s="979"/>
      <c r="D287" s="1031"/>
      <c r="E287" s="1019"/>
      <c r="F287" s="1019"/>
      <c r="G287" s="1025"/>
    </row>
    <row r="288" spans="2:7" ht="16.5" x14ac:dyDescent="0.2">
      <c r="B288" s="1027"/>
      <c r="C288" s="974"/>
      <c r="D288" s="1031"/>
      <c r="E288" s="1019"/>
      <c r="F288" s="1019"/>
      <c r="G288" s="1025"/>
    </row>
    <row r="289" spans="2:7" ht="16.5" x14ac:dyDescent="0.2">
      <c r="B289" s="1027"/>
      <c r="C289" s="978"/>
      <c r="D289" s="1031"/>
      <c r="E289" s="1019"/>
      <c r="F289" s="1019"/>
      <c r="G289" s="1025"/>
    </row>
    <row r="290" spans="2:7" ht="16.5" x14ac:dyDescent="0.2">
      <c r="B290" s="1027"/>
      <c r="C290" s="979"/>
      <c r="D290" s="1031"/>
      <c r="E290" s="1019"/>
      <c r="F290" s="1019"/>
      <c r="G290" s="1025"/>
    </row>
    <row r="291" spans="2:7" ht="16.5" x14ac:dyDescent="0.2">
      <c r="B291" s="1027"/>
      <c r="C291" s="978"/>
      <c r="D291" s="1031"/>
      <c r="E291" s="1019"/>
      <c r="F291" s="1019"/>
      <c r="G291" s="1025"/>
    </row>
    <row r="292" spans="2:7" ht="16.5" x14ac:dyDescent="0.2">
      <c r="B292" s="1027"/>
      <c r="C292" s="979"/>
      <c r="D292" s="1031"/>
      <c r="E292" s="1019"/>
      <c r="F292" s="1019"/>
      <c r="G292" s="1025"/>
    </row>
    <row r="293" spans="2:7" ht="16.5" x14ac:dyDescent="0.2">
      <c r="B293" s="1027"/>
      <c r="C293" s="979"/>
      <c r="D293" s="1031"/>
      <c r="E293" s="1019"/>
      <c r="F293" s="1019"/>
      <c r="G293" s="1025"/>
    </row>
    <row r="294" spans="2:7" ht="16.5" x14ac:dyDescent="0.2">
      <c r="B294" s="1027"/>
      <c r="C294" s="979"/>
      <c r="D294" s="1031"/>
      <c r="E294" s="1019"/>
      <c r="F294" s="1019"/>
      <c r="G294" s="1025"/>
    </row>
    <row r="295" spans="2:7" ht="16.5" x14ac:dyDescent="0.2">
      <c r="B295" s="1027"/>
      <c r="C295" s="979"/>
      <c r="D295" s="1031"/>
      <c r="E295" s="1019"/>
      <c r="F295" s="1019"/>
      <c r="G295" s="1025"/>
    </row>
    <row r="296" spans="2:7" ht="16.5" x14ac:dyDescent="0.2">
      <c r="B296" s="1027"/>
      <c r="C296" s="979"/>
      <c r="D296" s="1031"/>
      <c r="E296" s="1019"/>
      <c r="F296" s="1019"/>
      <c r="G296" s="1025"/>
    </row>
    <row r="297" spans="2:7" ht="16.5" x14ac:dyDescent="0.2">
      <c r="B297" s="1027"/>
      <c r="C297" s="979"/>
      <c r="D297" s="1031"/>
      <c r="E297" s="1019"/>
      <c r="F297" s="1019"/>
      <c r="G297" s="1025"/>
    </row>
    <row r="298" spans="2:7" ht="16.5" x14ac:dyDescent="0.2">
      <c r="B298" s="1027"/>
      <c r="C298" s="979"/>
      <c r="D298" s="1031"/>
      <c r="E298" s="1019"/>
      <c r="F298" s="1019"/>
      <c r="G298" s="1025"/>
    </row>
    <row r="299" spans="2:7" ht="16.5" x14ac:dyDescent="0.2">
      <c r="B299" s="1027"/>
      <c r="C299" s="979"/>
      <c r="D299" s="1031"/>
      <c r="E299" s="1019"/>
      <c r="F299" s="1019"/>
      <c r="G299" s="1025"/>
    </row>
    <row r="300" spans="2:7" ht="16.5" x14ac:dyDescent="0.2">
      <c r="B300" s="1027"/>
      <c r="C300" s="979"/>
      <c r="D300" s="1031"/>
      <c r="E300" s="1019"/>
      <c r="F300" s="1019"/>
      <c r="G300" s="1025"/>
    </row>
    <row r="301" spans="2:7" ht="16.5" x14ac:dyDescent="0.2">
      <c r="B301" s="1027"/>
      <c r="C301" s="979"/>
      <c r="D301" s="1031"/>
      <c r="E301" s="1019"/>
      <c r="F301" s="1019"/>
      <c r="G301" s="1025"/>
    </row>
    <row r="302" spans="2:7" ht="16.5" x14ac:dyDescent="0.2">
      <c r="B302" s="1027"/>
      <c r="C302" s="979"/>
      <c r="D302" s="1031"/>
      <c r="E302" s="1019"/>
      <c r="F302" s="1019"/>
      <c r="G302" s="1025"/>
    </row>
    <row r="303" spans="2:7" ht="16.5" x14ac:dyDescent="0.2">
      <c r="B303" s="1027"/>
      <c r="C303" s="978"/>
      <c r="D303" s="1031"/>
      <c r="E303" s="1019"/>
      <c r="F303" s="1019"/>
      <c r="G303" s="1025"/>
    </row>
    <row r="304" spans="2:7" ht="16.5" x14ac:dyDescent="0.2">
      <c r="B304" s="1027"/>
      <c r="C304" s="979"/>
      <c r="D304" s="1031"/>
      <c r="E304" s="1019"/>
      <c r="F304" s="1019"/>
      <c r="G304" s="1025"/>
    </row>
    <row r="305" spans="2:7" ht="16.5" x14ac:dyDescent="0.2">
      <c r="B305" s="1027"/>
      <c r="C305" s="979"/>
      <c r="D305" s="1031"/>
      <c r="E305" s="1019"/>
      <c r="F305" s="1019"/>
      <c r="G305" s="1025"/>
    </row>
    <row r="306" spans="2:7" ht="16.5" x14ac:dyDescent="0.2">
      <c r="B306" s="1027"/>
      <c r="C306" s="979"/>
      <c r="D306" s="1031"/>
      <c r="E306" s="1019"/>
      <c r="F306" s="1019"/>
      <c r="G306" s="1025"/>
    </row>
    <row r="307" spans="2:7" ht="16.5" x14ac:dyDescent="0.2">
      <c r="B307" s="1027"/>
      <c r="C307" s="979"/>
      <c r="D307" s="1031"/>
      <c r="E307" s="1019"/>
      <c r="F307" s="1019"/>
      <c r="G307" s="1025"/>
    </row>
    <row r="308" spans="2:7" ht="16.5" x14ac:dyDescent="0.2">
      <c r="B308" s="1027"/>
      <c r="C308" s="979"/>
      <c r="D308" s="1031"/>
      <c r="E308" s="1019"/>
      <c r="F308" s="1019"/>
      <c r="G308" s="1025"/>
    </row>
    <row r="309" spans="2:7" ht="16.5" x14ac:dyDescent="0.2">
      <c r="B309" s="1027"/>
      <c r="C309" s="979"/>
      <c r="D309" s="1031"/>
      <c r="E309" s="1019"/>
      <c r="F309" s="1019"/>
      <c r="G309" s="1025"/>
    </row>
    <row r="310" spans="2:7" ht="16.5" x14ac:dyDescent="0.2">
      <c r="B310" s="1027"/>
      <c r="C310" s="979"/>
      <c r="D310" s="1031"/>
      <c r="E310" s="1019"/>
      <c r="F310" s="1019"/>
      <c r="G310" s="1025"/>
    </row>
    <row r="311" spans="2:7" ht="16.5" x14ac:dyDescent="0.2">
      <c r="B311" s="1027"/>
      <c r="C311" s="979"/>
      <c r="D311" s="1031"/>
      <c r="E311" s="1019"/>
      <c r="F311" s="1019"/>
      <c r="G311" s="1025"/>
    </row>
    <row r="312" spans="2:7" ht="16.5" x14ac:dyDescent="0.2">
      <c r="B312" s="1027"/>
      <c r="C312" s="974"/>
      <c r="D312" s="1031"/>
      <c r="E312" s="1019"/>
      <c r="F312" s="1019"/>
      <c r="G312" s="1025"/>
    </row>
    <row r="313" spans="2:7" ht="16.5" x14ac:dyDescent="0.2">
      <c r="B313" s="1027"/>
      <c r="C313" s="978"/>
      <c r="D313" s="1031"/>
      <c r="E313" s="1019"/>
      <c r="F313" s="1019"/>
      <c r="G313" s="1025"/>
    </row>
    <row r="314" spans="2:7" ht="16.5" x14ac:dyDescent="0.2">
      <c r="B314" s="1027"/>
      <c r="C314" s="979"/>
      <c r="D314" s="1031"/>
      <c r="E314" s="1019"/>
      <c r="F314" s="1019"/>
      <c r="G314" s="1025"/>
    </row>
    <row r="315" spans="2:7" ht="16.5" x14ac:dyDescent="0.2">
      <c r="B315" s="1027"/>
      <c r="C315" s="979"/>
      <c r="D315" s="1031"/>
      <c r="E315" s="1019"/>
      <c r="F315" s="1019"/>
      <c r="G315" s="1025"/>
    </row>
    <row r="316" spans="2:7" ht="16.5" x14ac:dyDescent="0.2">
      <c r="B316" s="1027"/>
      <c r="C316" s="979"/>
      <c r="D316" s="1031"/>
      <c r="E316" s="1019"/>
      <c r="F316" s="1019"/>
      <c r="G316" s="1025"/>
    </row>
    <row r="317" spans="2:7" ht="16.5" x14ac:dyDescent="0.2">
      <c r="B317" s="1027"/>
      <c r="C317" s="978"/>
      <c r="D317" s="1031"/>
      <c r="E317" s="1019"/>
      <c r="F317" s="1019"/>
      <c r="G317" s="1025"/>
    </row>
    <row r="318" spans="2:7" ht="16.5" x14ac:dyDescent="0.2">
      <c r="B318" s="1027"/>
      <c r="C318" s="979"/>
      <c r="D318" s="1031"/>
      <c r="E318" s="1019"/>
      <c r="F318" s="1019"/>
      <c r="G318" s="1025"/>
    </row>
    <row r="319" spans="2:7" ht="16.5" x14ac:dyDescent="0.2">
      <c r="B319" s="1027"/>
      <c r="C319" s="979"/>
      <c r="D319" s="1031"/>
      <c r="E319" s="1019"/>
      <c r="F319" s="1019"/>
      <c r="G319" s="1025"/>
    </row>
    <row r="320" spans="2:7" ht="16.5" x14ac:dyDescent="0.2">
      <c r="B320" s="1027"/>
      <c r="C320" s="979"/>
      <c r="D320" s="1031"/>
      <c r="E320" s="1019"/>
      <c r="F320" s="1019"/>
      <c r="G320" s="1025"/>
    </row>
    <row r="321" spans="2:7" ht="16.5" x14ac:dyDescent="0.2">
      <c r="B321" s="1027"/>
      <c r="C321" s="979"/>
      <c r="D321" s="1031"/>
      <c r="E321" s="1019"/>
      <c r="F321" s="1019"/>
      <c r="G321" s="1025"/>
    </row>
    <row r="322" spans="2:7" ht="16.5" x14ac:dyDescent="0.2">
      <c r="B322" s="1027"/>
      <c r="C322" s="974"/>
      <c r="D322" s="1031"/>
      <c r="E322" s="1019"/>
      <c r="F322" s="1019"/>
      <c r="G322" s="1025"/>
    </row>
    <row r="323" spans="2:7" ht="16.5" x14ac:dyDescent="0.2">
      <c r="B323" s="1027"/>
      <c r="C323" s="978"/>
      <c r="D323" s="1031"/>
      <c r="E323" s="1019"/>
      <c r="F323" s="1019"/>
      <c r="G323" s="1025"/>
    </row>
    <row r="324" spans="2:7" ht="16.5" x14ac:dyDescent="0.2">
      <c r="B324" s="1027"/>
      <c r="C324" s="979"/>
      <c r="D324" s="1031"/>
      <c r="E324" s="1019"/>
      <c r="F324" s="1019"/>
      <c r="G324" s="1025"/>
    </row>
    <row r="325" spans="2:7" ht="16.5" x14ac:dyDescent="0.2">
      <c r="B325" s="1027"/>
      <c r="C325" s="979"/>
      <c r="D325" s="1031"/>
      <c r="E325" s="1019"/>
      <c r="F325" s="1019"/>
      <c r="G325" s="1025"/>
    </row>
    <row r="326" spans="2:7" ht="16.5" x14ac:dyDescent="0.2">
      <c r="B326" s="1027"/>
      <c r="C326" s="979"/>
      <c r="D326" s="1031"/>
      <c r="E326" s="1019"/>
      <c r="F326" s="1019"/>
      <c r="G326" s="1025"/>
    </row>
    <row r="327" spans="2:7" ht="16.5" x14ac:dyDescent="0.2">
      <c r="B327" s="1027"/>
      <c r="C327" s="978"/>
      <c r="D327" s="1031"/>
      <c r="E327" s="1019"/>
      <c r="F327" s="1019"/>
      <c r="G327" s="1025"/>
    </row>
    <row r="328" spans="2:7" ht="16.5" x14ac:dyDescent="0.2">
      <c r="B328" s="1027"/>
      <c r="C328" s="979"/>
      <c r="D328" s="1031"/>
      <c r="E328" s="1019"/>
      <c r="F328" s="1019"/>
      <c r="G328" s="1025"/>
    </row>
    <row r="329" spans="2:7" ht="16.5" x14ac:dyDescent="0.2">
      <c r="B329" s="1027"/>
      <c r="C329" s="979"/>
      <c r="D329" s="1031"/>
      <c r="E329" s="1019"/>
      <c r="F329" s="1019"/>
      <c r="G329" s="1025"/>
    </row>
    <row r="330" spans="2:7" ht="16.5" x14ac:dyDescent="0.2">
      <c r="B330" s="1027"/>
      <c r="C330" s="979"/>
      <c r="D330" s="1031"/>
      <c r="E330" s="1019"/>
      <c r="F330" s="1019"/>
      <c r="G330" s="1025"/>
    </row>
    <row r="331" spans="2:7" ht="16.5" x14ac:dyDescent="0.2">
      <c r="B331" s="1027"/>
      <c r="C331" s="979"/>
      <c r="D331" s="1031"/>
      <c r="E331" s="1019"/>
      <c r="F331" s="1019"/>
      <c r="G331" s="1025"/>
    </row>
    <row r="332" spans="2:7" ht="16.5" x14ac:dyDescent="0.2">
      <c r="B332" s="1027"/>
      <c r="C332" s="979"/>
      <c r="D332" s="1031"/>
      <c r="E332" s="1019"/>
      <c r="F332" s="1019"/>
      <c r="G332" s="1025"/>
    </row>
    <row r="333" spans="2:7" ht="16.5" x14ac:dyDescent="0.2">
      <c r="B333" s="1027"/>
      <c r="C333" s="979"/>
      <c r="D333" s="1031"/>
      <c r="E333" s="1019"/>
      <c r="F333" s="1019"/>
      <c r="G333" s="1025"/>
    </row>
    <row r="334" spans="2:7" ht="16.5" x14ac:dyDescent="0.2">
      <c r="B334" s="1027"/>
      <c r="C334" s="979"/>
      <c r="D334" s="1031"/>
      <c r="E334" s="1019"/>
      <c r="F334" s="1019"/>
      <c r="G334" s="1025"/>
    </row>
    <row r="335" spans="2:7" ht="16.5" x14ac:dyDescent="0.2">
      <c r="B335" s="1027"/>
      <c r="C335" s="979"/>
      <c r="D335" s="1031"/>
      <c r="E335" s="1019"/>
      <c r="F335" s="1019"/>
      <c r="G335" s="1025"/>
    </row>
    <row r="336" spans="2:7" ht="16.5" x14ac:dyDescent="0.2">
      <c r="B336" s="1027"/>
      <c r="C336" s="978"/>
      <c r="D336" s="1031"/>
      <c r="E336" s="1019"/>
      <c r="F336" s="1019"/>
      <c r="G336" s="1025"/>
    </row>
    <row r="337" spans="2:7" ht="16.5" x14ac:dyDescent="0.2">
      <c r="B337" s="1027"/>
      <c r="C337" s="979"/>
      <c r="D337" s="1031"/>
      <c r="E337" s="1019"/>
      <c r="F337" s="1019"/>
      <c r="G337" s="1025"/>
    </row>
    <row r="338" spans="2:7" ht="16.5" x14ac:dyDescent="0.2">
      <c r="B338" s="1027"/>
      <c r="C338" s="979"/>
      <c r="D338" s="1031"/>
      <c r="E338" s="1019"/>
      <c r="F338" s="1019"/>
      <c r="G338" s="1025"/>
    </row>
    <row r="339" spans="2:7" ht="16.5" x14ac:dyDescent="0.2">
      <c r="B339" s="1027"/>
      <c r="C339" s="979"/>
      <c r="D339" s="1031"/>
      <c r="E339" s="1019"/>
      <c r="F339" s="1019"/>
      <c r="G339" s="1025"/>
    </row>
    <row r="340" spans="2:7" ht="16.5" x14ac:dyDescent="0.2">
      <c r="B340" s="1027"/>
      <c r="C340" s="979"/>
      <c r="D340" s="1031"/>
      <c r="E340" s="1019"/>
      <c r="F340" s="1019"/>
      <c r="G340" s="1025"/>
    </row>
    <row r="341" spans="2:7" ht="16.5" x14ac:dyDescent="0.2">
      <c r="B341" s="1027"/>
      <c r="C341" s="979"/>
      <c r="D341" s="1031"/>
      <c r="E341" s="1019"/>
      <c r="F341" s="1019"/>
      <c r="G341" s="1025"/>
    </row>
    <row r="342" spans="2:7" ht="16.5" x14ac:dyDescent="0.2">
      <c r="B342" s="1027"/>
      <c r="C342" s="978"/>
      <c r="D342" s="1031"/>
      <c r="E342" s="1019"/>
      <c r="F342" s="1019"/>
      <c r="G342" s="1025"/>
    </row>
    <row r="343" spans="2:7" ht="16.5" x14ac:dyDescent="0.2">
      <c r="B343" s="1027"/>
      <c r="C343" s="979"/>
      <c r="D343" s="1031"/>
      <c r="E343" s="1019"/>
      <c r="F343" s="1019"/>
      <c r="G343" s="1025"/>
    </row>
    <row r="344" spans="2:7" ht="16.5" x14ac:dyDescent="0.2">
      <c r="B344" s="1027"/>
      <c r="C344" s="979"/>
      <c r="D344" s="1031"/>
      <c r="E344" s="1019"/>
      <c r="F344" s="1019"/>
      <c r="G344" s="1025"/>
    </row>
    <row r="345" spans="2:7" ht="16.5" x14ac:dyDescent="0.2">
      <c r="B345" s="1027"/>
      <c r="C345" s="979"/>
      <c r="D345" s="1031"/>
      <c r="E345" s="1019"/>
      <c r="F345" s="1019"/>
      <c r="G345" s="1025"/>
    </row>
    <row r="346" spans="2:7" ht="16.5" x14ac:dyDescent="0.2">
      <c r="B346" s="1027"/>
      <c r="C346" s="978"/>
      <c r="D346" s="1031"/>
      <c r="E346" s="1019"/>
      <c r="F346" s="1019"/>
      <c r="G346" s="1025"/>
    </row>
    <row r="347" spans="2:7" ht="16.5" x14ac:dyDescent="0.2">
      <c r="B347" s="1027"/>
      <c r="C347" s="979"/>
      <c r="D347" s="1031"/>
      <c r="E347" s="1019"/>
      <c r="F347" s="1019"/>
      <c r="G347" s="1025"/>
    </row>
    <row r="348" spans="2:7" ht="16.5" x14ac:dyDescent="0.2">
      <c r="B348" s="1027"/>
      <c r="C348" s="978"/>
      <c r="D348" s="1031"/>
      <c r="E348" s="1019"/>
      <c r="F348" s="1019"/>
      <c r="G348" s="1025"/>
    </row>
    <row r="349" spans="2:7" ht="16.5" x14ac:dyDescent="0.2">
      <c r="B349" s="1027"/>
      <c r="C349" s="979"/>
      <c r="D349" s="1031"/>
      <c r="E349" s="1019"/>
      <c r="F349" s="1019"/>
      <c r="G349" s="1025"/>
    </row>
    <row r="350" spans="2:7" ht="16.5" x14ac:dyDescent="0.2">
      <c r="B350" s="1027"/>
      <c r="C350" s="978"/>
      <c r="D350" s="1031"/>
      <c r="E350" s="1019"/>
      <c r="F350" s="1019"/>
      <c r="G350" s="1025"/>
    </row>
    <row r="351" spans="2:7" ht="16.5" x14ac:dyDescent="0.2">
      <c r="B351" s="1027"/>
      <c r="C351" s="979"/>
      <c r="D351" s="1031"/>
      <c r="E351" s="1019"/>
      <c r="F351" s="1019"/>
      <c r="G351" s="1025"/>
    </row>
    <row r="352" spans="2:7" ht="16.5" x14ac:dyDescent="0.2">
      <c r="B352" s="1027"/>
      <c r="C352" s="974"/>
      <c r="D352" s="1031"/>
      <c r="E352" s="1019"/>
      <c r="F352" s="1019"/>
      <c r="G352" s="1025"/>
    </row>
    <row r="353" spans="2:7" ht="16.5" x14ac:dyDescent="0.2">
      <c r="B353" s="1027"/>
      <c r="C353" s="978"/>
      <c r="D353" s="1031"/>
      <c r="E353" s="1019"/>
      <c r="F353" s="1019"/>
      <c r="G353" s="1025"/>
    </row>
    <row r="354" spans="2:7" ht="16.5" x14ac:dyDescent="0.2">
      <c r="B354" s="1027"/>
      <c r="C354" s="979"/>
      <c r="D354" s="1031"/>
      <c r="E354" s="1019"/>
      <c r="F354" s="1019"/>
      <c r="G354" s="1025"/>
    </row>
    <row r="355" spans="2:7" ht="16.5" x14ac:dyDescent="0.2">
      <c r="B355" s="1027"/>
      <c r="C355" s="979"/>
      <c r="D355" s="1031"/>
      <c r="E355" s="1019"/>
      <c r="F355" s="1019"/>
      <c r="G355" s="1025"/>
    </row>
    <row r="356" spans="2:7" ht="16.5" x14ac:dyDescent="0.2">
      <c r="B356" s="1027"/>
      <c r="C356" s="979"/>
      <c r="D356" s="1031"/>
      <c r="E356" s="1019"/>
      <c r="F356" s="1019"/>
      <c r="G356" s="1025"/>
    </row>
    <row r="357" spans="2:7" ht="16.5" x14ac:dyDescent="0.2">
      <c r="B357" s="1027"/>
      <c r="C357" s="978"/>
      <c r="D357" s="1031"/>
      <c r="E357" s="1019"/>
      <c r="F357" s="1019"/>
      <c r="G357" s="1025"/>
    </row>
    <row r="358" spans="2:7" ht="16.5" x14ac:dyDescent="0.2">
      <c r="B358" s="1027"/>
      <c r="C358" s="979"/>
      <c r="D358" s="1031"/>
      <c r="E358" s="1019"/>
      <c r="F358" s="1019"/>
      <c r="G358" s="1025"/>
    </row>
    <row r="359" spans="2:7" ht="16.5" x14ac:dyDescent="0.2">
      <c r="B359" s="1027"/>
      <c r="C359" s="978"/>
      <c r="D359" s="1031"/>
      <c r="E359" s="1019"/>
      <c r="F359" s="1019"/>
      <c r="G359" s="1025"/>
    </row>
    <row r="360" spans="2:7" ht="16.5" x14ac:dyDescent="0.2">
      <c r="B360" s="1027"/>
      <c r="C360" s="979"/>
      <c r="D360" s="1031"/>
      <c r="E360" s="1019"/>
      <c r="F360" s="1019"/>
      <c r="G360" s="1025"/>
    </row>
    <row r="361" spans="2:7" ht="16.5" x14ac:dyDescent="0.2">
      <c r="B361" s="1027"/>
      <c r="C361" s="974"/>
      <c r="D361" s="1031"/>
      <c r="E361" s="1019"/>
      <c r="F361" s="1019"/>
      <c r="G361" s="1025"/>
    </row>
    <row r="362" spans="2:7" ht="17.25" thickBot="1" x14ac:dyDescent="0.25">
      <c r="B362" s="1029"/>
      <c r="C362" s="1033"/>
      <c r="D362" s="1032"/>
      <c r="E362" s="1026"/>
      <c r="F362" s="1026"/>
      <c r="G362" s="1034"/>
    </row>
    <row r="363" spans="2:7" ht="16.5" x14ac:dyDescent="0.2">
      <c r="B363" s="1035"/>
      <c r="C363" s="1036"/>
      <c r="D363" s="1003"/>
      <c r="E363" s="1003"/>
      <c r="F363" s="1037"/>
    </row>
    <row r="364" spans="2:7" ht="16.5" x14ac:dyDescent="0.2">
      <c r="B364" s="1035"/>
      <c r="C364" s="1036"/>
      <c r="D364" s="1003"/>
      <c r="E364" s="1003"/>
      <c r="F364" s="1037"/>
    </row>
    <row r="365" spans="2:7" ht="16.5" x14ac:dyDescent="0.2">
      <c r="B365" s="1035"/>
      <c r="C365" s="1036"/>
      <c r="D365" s="1003"/>
      <c r="E365" s="1003"/>
      <c r="F365" s="1037"/>
    </row>
    <row r="366" spans="2:7" ht="16.5" x14ac:dyDescent="0.2">
      <c r="B366" s="1035"/>
      <c r="C366" s="1036"/>
      <c r="D366" s="1003"/>
      <c r="E366" s="1003"/>
      <c r="F366" s="1037"/>
    </row>
    <row r="367" spans="2:7" ht="16.5" x14ac:dyDescent="0.2">
      <c r="B367" s="1035"/>
      <c r="C367" s="1035"/>
      <c r="D367" s="1003"/>
      <c r="E367" s="1003"/>
      <c r="F367" s="1037"/>
    </row>
    <row r="368" spans="2:7" ht="16.5" x14ac:dyDescent="0.2">
      <c r="B368" s="1035"/>
      <c r="C368" s="1036"/>
      <c r="D368" s="1003"/>
      <c r="E368" s="1003"/>
      <c r="F368" s="1037"/>
    </row>
    <row r="369" spans="2:6" ht="16.5" x14ac:dyDescent="0.2">
      <c r="B369" s="1035"/>
      <c r="C369" s="1036"/>
      <c r="D369" s="1003"/>
      <c r="E369" s="1003"/>
      <c r="F369" s="1037"/>
    </row>
    <row r="370" spans="2:6" ht="16.5" x14ac:dyDescent="0.2">
      <c r="B370" s="1035"/>
      <c r="C370" s="1036"/>
      <c r="D370" s="1003"/>
      <c r="E370" s="1003"/>
      <c r="F370" s="1037"/>
    </row>
    <row r="371" spans="2:6" ht="16.5" x14ac:dyDescent="0.2">
      <c r="B371" s="1035"/>
      <c r="C371" s="1035"/>
      <c r="D371" s="1003"/>
      <c r="E371" s="1003"/>
      <c r="F371" s="1037"/>
    </row>
    <row r="372" spans="2:6" ht="16.5" x14ac:dyDescent="0.2">
      <c r="B372" s="1035"/>
      <c r="C372" s="1036"/>
      <c r="D372" s="1003"/>
      <c r="E372" s="1003"/>
      <c r="F372" s="1037"/>
    </row>
    <row r="373" spans="2:6" ht="16.5" x14ac:dyDescent="0.2">
      <c r="B373" s="1035"/>
      <c r="C373" s="1036"/>
      <c r="D373" s="1003"/>
      <c r="E373" s="1003"/>
      <c r="F373" s="1037"/>
    </row>
    <row r="374" spans="2:6" ht="16.5" x14ac:dyDescent="0.2">
      <c r="B374" s="1035"/>
      <c r="C374" s="1036"/>
      <c r="D374" s="1003"/>
      <c r="E374" s="1003"/>
      <c r="F374" s="1037"/>
    </row>
    <row r="375" spans="2:6" ht="16.5" x14ac:dyDescent="0.2">
      <c r="B375" s="1035"/>
      <c r="C375" s="1036"/>
      <c r="D375" s="1003"/>
      <c r="E375" s="1003"/>
      <c r="F375" s="1037"/>
    </row>
    <row r="376" spans="2:6" ht="16.5" x14ac:dyDescent="0.2">
      <c r="B376" s="1035"/>
      <c r="C376" s="1035"/>
      <c r="D376" s="1003"/>
      <c r="E376" s="1003"/>
      <c r="F376" s="1037"/>
    </row>
    <row r="377" spans="2:6" ht="16.5" x14ac:dyDescent="0.2">
      <c r="B377" s="1035"/>
      <c r="C377" s="1038"/>
      <c r="D377" s="1003"/>
      <c r="E377" s="1003"/>
      <c r="F377" s="1037"/>
    </row>
    <row r="378" spans="2:6" ht="16.5" x14ac:dyDescent="0.2">
      <c r="B378" s="1035"/>
      <c r="C378" s="1036"/>
      <c r="D378" s="1003"/>
      <c r="E378" s="1003"/>
      <c r="F378" s="1037"/>
    </row>
    <row r="379" spans="2:6" ht="16.5" x14ac:dyDescent="0.2">
      <c r="B379" s="1035"/>
      <c r="C379" s="1036"/>
      <c r="D379" s="1003"/>
      <c r="E379" s="1003"/>
      <c r="F379" s="1037"/>
    </row>
    <row r="380" spans="2:6" ht="16.5" x14ac:dyDescent="0.2">
      <c r="B380" s="1035"/>
      <c r="C380" s="1036"/>
      <c r="D380" s="1003"/>
      <c r="E380" s="1003"/>
      <c r="F380" s="1037"/>
    </row>
    <row r="381" spans="2:6" ht="16.5" x14ac:dyDescent="0.2">
      <c r="B381" s="1035"/>
      <c r="C381" s="1036"/>
      <c r="D381" s="1003"/>
      <c r="E381" s="1003"/>
      <c r="F381" s="1037"/>
    </row>
    <row r="382" spans="2:6" ht="16.5" x14ac:dyDescent="0.2">
      <c r="B382" s="1035"/>
      <c r="C382" s="1038"/>
      <c r="D382" s="1003"/>
      <c r="E382" s="1003"/>
      <c r="F382" s="1037"/>
    </row>
    <row r="383" spans="2:6" ht="16.5" x14ac:dyDescent="0.2">
      <c r="B383" s="1035"/>
      <c r="C383" s="1036"/>
      <c r="D383" s="1003"/>
      <c r="E383" s="1003"/>
      <c r="F383" s="1037"/>
    </row>
    <row r="384" spans="2:6" ht="16.5" x14ac:dyDescent="0.2">
      <c r="B384" s="982"/>
      <c r="C384" s="985"/>
      <c r="D384" s="969"/>
      <c r="E384" s="969"/>
    </row>
    <row r="385" spans="2:5" ht="16.5" x14ac:dyDescent="0.2">
      <c r="B385" s="982"/>
      <c r="C385" s="985"/>
      <c r="D385" s="969"/>
      <c r="E385" s="969"/>
    </row>
    <row r="386" spans="2:5" ht="16.5" x14ac:dyDescent="0.2">
      <c r="B386" s="982"/>
      <c r="C386" s="983"/>
      <c r="D386" s="969"/>
      <c r="E386" s="969"/>
    </row>
    <row r="387" spans="2:5" ht="16.5" x14ac:dyDescent="0.2">
      <c r="B387" s="982"/>
      <c r="C387" s="985"/>
      <c r="D387" s="969"/>
      <c r="E387" s="969"/>
    </row>
    <row r="388" spans="2:5" ht="16.5" x14ac:dyDescent="0.2">
      <c r="B388" s="982"/>
      <c r="C388" s="985"/>
      <c r="D388" s="969"/>
      <c r="E388" s="969"/>
    </row>
    <row r="389" spans="2:5" ht="16.5" x14ac:dyDescent="0.2">
      <c r="B389" s="982"/>
      <c r="C389" s="985"/>
      <c r="D389" s="969"/>
      <c r="E389" s="969"/>
    </row>
    <row r="390" spans="2:5" ht="16.5" x14ac:dyDescent="0.2">
      <c r="B390" s="982"/>
      <c r="C390" s="983"/>
      <c r="D390" s="969"/>
      <c r="E390" s="969"/>
    </row>
    <row r="391" spans="2:5" ht="16.5" x14ac:dyDescent="0.2">
      <c r="B391" s="982"/>
      <c r="C391" s="985"/>
      <c r="D391" s="969"/>
      <c r="E391" s="969"/>
    </row>
    <row r="392" spans="2:5" ht="16.5" x14ac:dyDescent="0.2">
      <c r="B392" s="982"/>
      <c r="C392" s="985"/>
      <c r="D392" s="969"/>
      <c r="E392" s="969"/>
    </row>
    <row r="393" spans="2:5" ht="16.5" x14ac:dyDescent="0.2">
      <c r="B393" s="982"/>
      <c r="C393" s="985"/>
      <c r="D393" s="969"/>
      <c r="E393" s="969"/>
    </row>
    <row r="394" spans="2:5" ht="16.5" x14ac:dyDescent="0.2">
      <c r="B394" s="982"/>
      <c r="C394" s="985"/>
      <c r="D394" s="969"/>
      <c r="E394" s="969"/>
    </row>
    <row r="395" spans="2:5" ht="16.5" x14ac:dyDescent="0.2">
      <c r="B395" s="982"/>
      <c r="C395" s="983"/>
      <c r="D395" s="969"/>
      <c r="E395" s="969"/>
    </row>
    <row r="396" spans="2:5" ht="16.5" x14ac:dyDescent="0.2">
      <c r="B396" s="982"/>
      <c r="C396" s="985"/>
      <c r="D396" s="969"/>
      <c r="E396" s="969"/>
    </row>
    <row r="397" spans="2:5" ht="16.5" x14ac:dyDescent="0.2">
      <c r="B397" s="982"/>
      <c r="C397" s="983"/>
      <c r="D397" s="969"/>
      <c r="E397" s="969"/>
    </row>
    <row r="398" spans="2:5" ht="16.5" x14ac:dyDescent="0.2">
      <c r="B398" s="982"/>
      <c r="C398" s="985"/>
      <c r="D398" s="969"/>
      <c r="E398" s="969"/>
    </row>
    <row r="399" spans="2:5" ht="16.5" x14ac:dyDescent="0.2">
      <c r="B399" s="982"/>
      <c r="C399" s="985"/>
      <c r="D399" s="969"/>
      <c r="E399" s="969"/>
    </row>
    <row r="400" spans="2:5" ht="16.5" x14ac:dyDescent="0.2">
      <c r="B400" s="982"/>
      <c r="C400" s="985"/>
      <c r="D400" s="969"/>
      <c r="E400" s="969"/>
    </row>
    <row r="401" spans="2:5" ht="16.5" x14ac:dyDescent="0.2">
      <c r="B401" s="982"/>
      <c r="C401" s="982"/>
      <c r="D401" s="969"/>
      <c r="E401" s="969"/>
    </row>
    <row r="402" spans="2:5" ht="16.5" x14ac:dyDescent="0.2">
      <c r="B402" s="982"/>
      <c r="C402" s="985"/>
      <c r="D402" s="969"/>
      <c r="E402" s="969"/>
    </row>
    <row r="403" spans="2:5" ht="16.5" x14ac:dyDescent="0.2">
      <c r="B403" s="982"/>
      <c r="C403" s="985"/>
      <c r="D403" s="969"/>
      <c r="E403" s="969"/>
    </row>
    <row r="404" spans="2:5" ht="16.5" x14ac:dyDescent="0.2">
      <c r="B404" s="982"/>
      <c r="C404" s="985"/>
      <c r="D404" s="969"/>
      <c r="E404" s="969"/>
    </row>
    <row r="405" spans="2:5" ht="16.5" x14ac:dyDescent="0.2">
      <c r="B405" s="982"/>
      <c r="C405" s="985"/>
      <c r="D405" s="969"/>
      <c r="E405" s="969"/>
    </row>
    <row r="406" spans="2:5" ht="16.5" x14ac:dyDescent="0.2">
      <c r="B406" s="982"/>
      <c r="C406" s="985"/>
      <c r="D406" s="969"/>
      <c r="E406" s="969"/>
    </row>
    <row r="407" spans="2:5" ht="16.5" x14ac:dyDescent="0.2">
      <c r="B407" s="982"/>
      <c r="C407" s="982"/>
      <c r="D407" s="969"/>
      <c r="E407" s="969"/>
    </row>
    <row r="408" spans="2:5" ht="16.5" x14ac:dyDescent="0.2">
      <c r="B408" s="982"/>
      <c r="C408" s="983"/>
      <c r="D408" s="969"/>
      <c r="E408" s="969"/>
    </row>
    <row r="409" spans="2:5" ht="16.5" x14ac:dyDescent="0.2">
      <c r="B409" s="982"/>
      <c r="C409" s="985"/>
      <c r="D409" s="969"/>
      <c r="E409" s="969"/>
    </row>
    <row r="410" spans="2:5" ht="16.5" x14ac:dyDescent="0.2">
      <c r="B410" s="982"/>
      <c r="C410" s="985"/>
      <c r="D410" s="969"/>
      <c r="E410" s="969"/>
    </row>
    <row r="411" spans="2:5" ht="16.5" x14ac:dyDescent="0.2">
      <c r="B411" s="982"/>
      <c r="C411" s="983"/>
      <c r="D411" s="969"/>
      <c r="E411" s="969"/>
    </row>
    <row r="412" spans="2:5" ht="16.5" x14ac:dyDescent="0.2">
      <c r="B412" s="982"/>
      <c r="C412" s="985"/>
      <c r="D412" s="969"/>
      <c r="E412" s="969"/>
    </row>
    <row r="413" spans="2:5" ht="16.5" x14ac:dyDescent="0.2">
      <c r="B413" s="982"/>
      <c r="C413" s="985"/>
      <c r="D413" s="969"/>
      <c r="E413" s="969"/>
    </row>
    <row r="414" spans="2:5" ht="16.5" x14ac:dyDescent="0.2">
      <c r="B414" s="982"/>
      <c r="C414" s="985"/>
      <c r="D414" s="969"/>
      <c r="E414" s="969"/>
    </row>
    <row r="415" spans="2:5" ht="16.5" x14ac:dyDescent="0.2">
      <c r="B415" s="982"/>
      <c r="C415" s="985"/>
      <c r="D415" s="969"/>
      <c r="E415" s="969"/>
    </row>
    <row r="416" spans="2:5" ht="16.5" x14ac:dyDescent="0.2">
      <c r="B416" s="982"/>
      <c r="C416" s="985"/>
      <c r="D416" s="969"/>
      <c r="E416" s="969"/>
    </row>
    <row r="417" spans="2:5" ht="16.5" x14ac:dyDescent="0.2">
      <c r="B417" s="982"/>
      <c r="C417" s="985"/>
      <c r="D417" s="969"/>
      <c r="E417" s="969"/>
    </row>
    <row r="418" spans="2:5" ht="16.5" x14ac:dyDescent="0.2">
      <c r="B418" s="982"/>
      <c r="C418" s="983"/>
      <c r="D418" s="969"/>
      <c r="E418" s="969"/>
    </row>
    <row r="419" spans="2:5" ht="16.5" x14ac:dyDescent="0.2">
      <c r="B419" s="982"/>
      <c r="C419" s="985"/>
      <c r="D419" s="969"/>
      <c r="E419" s="969"/>
    </row>
    <row r="420" spans="2:5" ht="16.5" x14ac:dyDescent="0.2">
      <c r="B420" s="982"/>
      <c r="C420" s="986"/>
      <c r="D420" s="969"/>
      <c r="E420" s="969"/>
    </row>
    <row r="421" spans="2:5" ht="16.5" x14ac:dyDescent="0.2">
      <c r="B421" s="982"/>
      <c r="C421" s="986"/>
      <c r="D421" s="969"/>
      <c r="E421" s="969"/>
    </row>
    <row r="422" spans="2:5" ht="16.5" x14ac:dyDescent="0.2">
      <c r="B422" s="982"/>
      <c r="C422" s="986"/>
      <c r="D422" s="969"/>
      <c r="E422" s="969"/>
    </row>
    <row r="423" spans="2:5" ht="16.5" x14ac:dyDescent="0.2">
      <c r="B423" s="982"/>
      <c r="C423" s="985"/>
      <c r="D423" s="969"/>
      <c r="E423" s="969"/>
    </row>
    <row r="424" spans="2:5" ht="16.5" x14ac:dyDescent="0.2">
      <c r="B424" s="982"/>
      <c r="C424" s="986"/>
      <c r="D424" s="969"/>
      <c r="E424" s="969"/>
    </row>
    <row r="425" spans="2:5" ht="16.5" x14ac:dyDescent="0.2">
      <c r="B425" s="982"/>
      <c r="C425" s="986"/>
      <c r="D425" s="969"/>
      <c r="E425" s="969"/>
    </row>
    <row r="426" spans="2:5" ht="16.5" x14ac:dyDescent="0.2">
      <c r="B426" s="982"/>
      <c r="C426" s="986"/>
      <c r="D426" s="969"/>
      <c r="E426" s="969"/>
    </row>
    <row r="427" spans="2:5" ht="16.5" x14ac:dyDescent="0.2">
      <c r="B427" s="982"/>
      <c r="C427" s="983"/>
      <c r="D427" s="969"/>
      <c r="E427" s="969"/>
    </row>
    <row r="428" spans="2:5" ht="16.5" x14ac:dyDescent="0.2">
      <c r="B428" s="982"/>
      <c r="C428" s="985"/>
      <c r="D428" s="969"/>
      <c r="E428" s="969"/>
    </row>
    <row r="429" spans="2:5" ht="16.5" x14ac:dyDescent="0.2">
      <c r="B429" s="982"/>
      <c r="C429" s="986"/>
      <c r="D429" s="969"/>
      <c r="E429" s="969"/>
    </row>
    <row r="430" spans="2:5" ht="16.5" x14ac:dyDescent="0.2">
      <c r="B430" s="982"/>
      <c r="C430" s="986"/>
      <c r="D430" s="969"/>
      <c r="E430" s="969"/>
    </row>
    <row r="431" spans="2:5" ht="16.5" x14ac:dyDescent="0.2">
      <c r="B431" s="982"/>
      <c r="C431" s="986"/>
      <c r="D431" s="969"/>
      <c r="E431" s="969"/>
    </row>
    <row r="432" spans="2:5" ht="16.5" x14ac:dyDescent="0.2">
      <c r="B432" s="982"/>
      <c r="C432" s="986"/>
      <c r="D432" s="969"/>
      <c r="E432" s="969"/>
    </row>
    <row r="433" spans="2:5" ht="16.5" x14ac:dyDescent="0.2">
      <c r="B433" s="982"/>
      <c r="C433" s="986"/>
      <c r="D433" s="969"/>
      <c r="E433" s="969"/>
    </row>
    <row r="434" spans="2:5" ht="16.5" x14ac:dyDescent="0.2">
      <c r="B434" s="982"/>
      <c r="C434" s="983"/>
      <c r="D434" s="969"/>
      <c r="E434" s="969"/>
    </row>
    <row r="435" spans="2:5" ht="16.5" x14ac:dyDescent="0.2">
      <c r="B435" s="982"/>
      <c r="C435" s="985"/>
      <c r="D435" s="969"/>
      <c r="E435" s="969"/>
    </row>
    <row r="436" spans="2:5" ht="16.5" x14ac:dyDescent="0.2">
      <c r="B436" s="982"/>
      <c r="C436" s="985"/>
      <c r="D436" s="969"/>
      <c r="E436" s="969"/>
    </row>
    <row r="437" spans="2:5" ht="16.5" x14ac:dyDescent="0.2">
      <c r="B437" s="982"/>
      <c r="C437" s="982"/>
      <c r="D437" s="969"/>
      <c r="E437" s="969"/>
    </row>
    <row r="438" spans="2:5" ht="16.5" x14ac:dyDescent="0.2">
      <c r="B438" s="982"/>
      <c r="C438" s="985"/>
      <c r="D438" s="969"/>
      <c r="E438" s="969"/>
    </row>
    <row r="439" spans="2:5" ht="16.5" x14ac:dyDescent="0.2">
      <c r="B439" s="982"/>
      <c r="C439" s="985"/>
      <c r="D439" s="969"/>
      <c r="E439" s="969"/>
    </row>
    <row r="440" spans="2:5" ht="16.5" x14ac:dyDescent="0.2">
      <c r="B440" s="982"/>
      <c r="C440" s="985"/>
      <c r="D440" s="969"/>
      <c r="E440" s="969"/>
    </row>
    <row r="441" spans="2:5" ht="16.5" x14ac:dyDescent="0.2">
      <c r="B441" s="982"/>
      <c r="C441" s="985"/>
      <c r="D441" s="969"/>
      <c r="E441" s="969"/>
    </row>
    <row r="442" spans="2:5" ht="16.5" x14ac:dyDescent="0.2">
      <c r="B442" s="982"/>
      <c r="C442" s="985"/>
      <c r="D442" s="969"/>
      <c r="E442" s="969"/>
    </row>
    <row r="443" spans="2:5" ht="16.5" x14ac:dyDescent="0.2">
      <c r="B443" s="982"/>
      <c r="C443" s="985"/>
      <c r="D443" s="969"/>
      <c r="E443" s="969"/>
    </row>
    <row r="444" spans="2:5" ht="16.5" x14ac:dyDescent="0.2">
      <c r="B444" s="982"/>
      <c r="C444" s="985"/>
      <c r="D444" s="969"/>
      <c r="E444" s="969"/>
    </row>
    <row r="445" spans="2:5" ht="16.5" x14ac:dyDescent="0.2">
      <c r="B445" s="982"/>
      <c r="C445" s="985"/>
      <c r="D445" s="969"/>
      <c r="E445" s="969"/>
    </row>
    <row r="446" spans="2:5" ht="16.5" x14ac:dyDescent="0.2">
      <c r="B446" s="982"/>
      <c r="C446" s="985"/>
      <c r="D446" s="969"/>
      <c r="E446" s="969"/>
    </row>
    <row r="447" spans="2:5" ht="16.5" x14ac:dyDescent="0.2">
      <c r="B447" s="982"/>
      <c r="C447" s="985"/>
      <c r="D447" s="969"/>
      <c r="E447" s="969"/>
    </row>
    <row r="448" spans="2:5" ht="16.5" x14ac:dyDescent="0.2">
      <c r="B448" s="982"/>
      <c r="C448" s="985"/>
      <c r="D448" s="969"/>
      <c r="E448" s="969"/>
    </row>
    <row r="449" spans="2:5" ht="16.5" x14ac:dyDescent="0.2">
      <c r="B449" s="982"/>
      <c r="C449" s="985"/>
      <c r="D449" s="969"/>
      <c r="E449" s="969"/>
    </row>
    <row r="450" spans="2:5" ht="16.5" x14ac:dyDescent="0.2">
      <c r="B450" s="982"/>
      <c r="C450" s="982"/>
      <c r="D450" s="969"/>
      <c r="E450" s="969"/>
    </row>
    <row r="451" spans="2:5" ht="16.5" x14ac:dyDescent="0.2">
      <c r="B451" s="982"/>
      <c r="C451" s="985"/>
      <c r="D451" s="969"/>
      <c r="E451" s="969"/>
    </row>
    <row r="452" spans="2:5" ht="16.5" x14ac:dyDescent="0.2">
      <c r="B452" s="982"/>
      <c r="C452" s="985"/>
      <c r="D452" s="969"/>
      <c r="E452" s="969"/>
    </row>
    <row r="453" spans="2:5" ht="16.5" x14ac:dyDescent="0.2">
      <c r="B453" s="982"/>
      <c r="C453" s="985"/>
      <c r="D453" s="969"/>
      <c r="E453" s="969"/>
    </row>
    <row r="454" spans="2:5" ht="16.5" x14ac:dyDescent="0.2">
      <c r="B454" s="982"/>
      <c r="C454" s="985"/>
      <c r="D454" s="969"/>
      <c r="E454" s="969"/>
    </row>
    <row r="455" spans="2:5" ht="16.5" x14ac:dyDescent="0.2">
      <c r="B455" s="982"/>
      <c r="C455" s="985"/>
      <c r="D455" s="969"/>
      <c r="E455" s="969"/>
    </row>
    <row r="456" spans="2:5" ht="16.5" x14ac:dyDescent="0.2">
      <c r="B456" s="982"/>
      <c r="C456" s="985"/>
      <c r="D456" s="969"/>
      <c r="E456" s="969"/>
    </row>
    <row r="457" spans="2:5" ht="16.5" x14ac:dyDescent="0.2">
      <c r="B457" s="982"/>
      <c r="C457" s="985"/>
      <c r="D457" s="969"/>
      <c r="E457" s="969"/>
    </row>
    <row r="458" spans="2:5" ht="16.5" x14ac:dyDescent="0.2">
      <c r="B458" s="982"/>
      <c r="C458" s="985"/>
      <c r="D458" s="969"/>
      <c r="E458" s="969"/>
    </row>
    <row r="459" spans="2:5" ht="16.5" x14ac:dyDescent="0.2">
      <c r="B459" s="982"/>
      <c r="C459" s="982"/>
      <c r="D459" s="969"/>
      <c r="E459" s="969"/>
    </row>
    <row r="460" spans="2:5" ht="16.5" x14ac:dyDescent="0.2">
      <c r="B460" s="982"/>
      <c r="C460" s="985"/>
      <c r="D460" s="969"/>
      <c r="E460" s="969"/>
    </row>
    <row r="461" spans="2:5" ht="16.5" x14ac:dyDescent="0.2">
      <c r="B461" s="982"/>
      <c r="C461" s="985"/>
      <c r="D461" s="969"/>
      <c r="E461" s="969"/>
    </row>
    <row r="462" spans="2:5" ht="16.5" x14ac:dyDescent="0.2">
      <c r="B462" s="982"/>
      <c r="C462" s="982"/>
      <c r="D462" s="969"/>
      <c r="E462" s="969"/>
    </row>
    <row r="463" spans="2:5" ht="16.5" x14ac:dyDescent="0.2">
      <c r="B463" s="982"/>
      <c r="C463" s="983"/>
      <c r="D463" s="969"/>
      <c r="E463" s="969"/>
    </row>
    <row r="464" spans="2:5" ht="16.5" x14ac:dyDescent="0.2">
      <c r="B464" s="982"/>
      <c r="C464" s="985"/>
      <c r="D464" s="969"/>
      <c r="E464" s="969"/>
    </row>
    <row r="465" spans="2:5" ht="16.5" x14ac:dyDescent="0.2">
      <c r="B465" s="982"/>
      <c r="C465" s="985"/>
      <c r="D465" s="969"/>
      <c r="E465" s="969"/>
    </row>
    <row r="466" spans="2:5" ht="16.5" x14ac:dyDescent="0.2">
      <c r="B466" s="982"/>
      <c r="C466" s="985"/>
      <c r="D466" s="969"/>
      <c r="E466" s="969"/>
    </row>
    <row r="467" spans="2:5" ht="16.5" x14ac:dyDescent="0.2">
      <c r="B467" s="982"/>
      <c r="C467" s="985"/>
      <c r="D467" s="969"/>
      <c r="E467" s="969"/>
    </row>
    <row r="468" spans="2:5" ht="16.5" x14ac:dyDescent="0.2">
      <c r="B468" s="982"/>
      <c r="C468" s="985"/>
      <c r="D468" s="969"/>
      <c r="E468" s="969"/>
    </row>
    <row r="469" spans="2:5" ht="16.5" x14ac:dyDescent="0.2">
      <c r="B469" s="982"/>
      <c r="C469" s="983"/>
      <c r="D469" s="969"/>
      <c r="E469" s="969"/>
    </row>
    <row r="470" spans="2:5" ht="16.5" x14ac:dyDescent="0.2">
      <c r="B470" s="982"/>
      <c r="C470" s="985"/>
      <c r="D470" s="969"/>
      <c r="E470" s="969"/>
    </row>
    <row r="471" spans="2:5" ht="16.5" x14ac:dyDescent="0.2">
      <c r="B471" s="982"/>
      <c r="C471" s="985"/>
      <c r="D471" s="969"/>
      <c r="E471" s="969"/>
    </row>
    <row r="472" spans="2:5" ht="16.5" x14ac:dyDescent="0.2">
      <c r="B472" s="982"/>
      <c r="C472" s="985"/>
      <c r="D472" s="969"/>
      <c r="E472" s="969"/>
    </row>
    <row r="473" spans="2:5" ht="16.5" x14ac:dyDescent="0.2">
      <c r="B473" s="982"/>
      <c r="C473" s="985"/>
      <c r="D473" s="969"/>
      <c r="E473" s="969"/>
    </row>
    <row r="474" spans="2:5" ht="16.5" x14ac:dyDescent="0.2">
      <c r="B474" s="982"/>
      <c r="C474" s="983"/>
      <c r="D474" s="969"/>
      <c r="E474" s="969"/>
    </row>
    <row r="475" spans="2:5" ht="16.5" x14ac:dyDescent="0.2">
      <c r="B475" s="982"/>
      <c r="C475" s="985"/>
      <c r="D475" s="969"/>
      <c r="E475" s="969"/>
    </row>
    <row r="476" spans="2:5" ht="16.5" x14ac:dyDescent="0.2">
      <c r="B476" s="982"/>
      <c r="C476" s="985"/>
      <c r="D476" s="969"/>
      <c r="E476" s="969"/>
    </row>
    <row r="477" spans="2:5" ht="16.5" x14ac:dyDescent="0.2">
      <c r="B477" s="982"/>
      <c r="C477" s="982"/>
      <c r="D477" s="969"/>
      <c r="E477" s="969"/>
    </row>
    <row r="478" spans="2:5" ht="16.5" x14ac:dyDescent="0.2">
      <c r="B478" s="982"/>
      <c r="C478" s="983"/>
      <c r="D478" s="969"/>
      <c r="E478" s="969"/>
    </row>
    <row r="479" spans="2:5" ht="16.5" x14ac:dyDescent="0.2">
      <c r="B479" s="982"/>
      <c r="C479" s="985"/>
      <c r="D479" s="969"/>
      <c r="E479" s="969"/>
    </row>
    <row r="480" spans="2:5" ht="16.5" x14ac:dyDescent="0.2">
      <c r="B480" s="982"/>
      <c r="C480" s="983"/>
      <c r="D480" s="969"/>
      <c r="E480" s="969"/>
    </row>
    <row r="481" spans="2:5" ht="16.5" x14ac:dyDescent="0.2">
      <c r="B481" s="982"/>
      <c r="C481" s="985"/>
      <c r="D481" s="969"/>
      <c r="E481" s="969"/>
    </row>
    <row r="482" spans="2:5" ht="16.5" x14ac:dyDescent="0.2">
      <c r="B482" s="982"/>
      <c r="C482" s="985"/>
      <c r="D482" s="969"/>
      <c r="E482" s="969"/>
    </row>
    <row r="483" spans="2:5" ht="16.5" x14ac:dyDescent="0.2">
      <c r="B483" s="982"/>
      <c r="C483" s="985"/>
      <c r="D483" s="969"/>
      <c r="E483" s="969"/>
    </row>
    <row r="484" spans="2:5" ht="16.5" x14ac:dyDescent="0.2">
      <c r="B484" s="982"/>
      <c r="C484" s="985"/>
      <c r="D484" s="969"/>
      <c r="E484" s="969"/>
    </row>
    <row r="485" spans="2:5" ht="16.5" x14ac:dyDescent="0.2">
      <c r="B485" s="982"/>
      <c r="C485" s="985"/>
      <c r="D485" s="969"/>
      <c r="E485" s="969"/>
    </row>
    <row r="486" spans="2:5" ht="16.5" x14ac:dyDescent="0.2">
      <c r="B486" s="982"/>
      <c r="C486" s="985"/>
      <c r="D486" s="969"/>
      <c r="E486" s="969"/>
    </row>
    <row r="487" spans="2:5" ht="16.5" x14ac:dyDescent="0.2">
      <c r="B487" s="982"/>
      <c r="C487" s="983"/>
      <c r="D487" s="969"/>
      <c r="E487" s="969"/>
    </row>
    <row r="488" spans="2:5" ht="16.5" x14ac:dyDescent="0.2">
      <c r="B488" s="982"/>
      <c r="C488" s="985"/>
      <c r="D488" s="969"/>
      <c r="E488" s="969"/>
    </row>
    <row r="489" spans="2:5" ht="16.5" x14ac:dyDescent="0.2">
      <c r="B489" s="982"/>
      <c r="C489" s="985"/>
      <c r="D489" s="969"/>
      <c r="E489" s="969"/>
    </row>
    <row r="490" spans="2:5" ht="16.5" x14ac:dyDescent="0.2">
      <c r="B490" s="982"/>
      <c r="C490" s="985"/>
      <c r="D490" s="969"/>
      <c r="E490" s="969"/>
    </row>
    <row r="491" spans="2:5" ht="16.5" x14ac:dyDescent="0.2">
      <c r="B491" s="982"/>
      <c r="C491" s="983"/>
      <c r="D491" s="969"/>
      <c r="E491" s="969"/>
    </row>
    <row r="492" spans="2:5" ht="16.5" x14ac:dyDescent="0.2">
      <c r="B492" s="982"/>
      <c r="C492" s="985"/>
      <c r="D492" s="969"/>
      <c r="E492" s="969"/>
    </row>
    <row r="493" spans="2:5" ht="16.5" x14ac:dyDescent="0.2">
      <c r="B493" s="982"/>
      <c r="C493" s="985"/>
      <c r="D493" s="969"/>
      <c r="E493" s="969"/>
    </row>
    <row r="494" spans="2:5" ht="16.5" x14ac:dyDescent="0.2">
      <c r="B494" s="982"/>
      <c r="C494" s="983"/>
      <c r="D494" s="969"/>
      <c r="E494" s="969"/>
    </row>
    <row r="495" spans="2:5" ht="16.5" x14ac:dyDescent="0.2">
      <c r="B495" s="982"/>
      <c r="C495" s="985"/>
      <c r="D495" s="969"/>
      <c r="E495" s="969"/>
    </row>
    <row r="496" spans="2:5" ht="16.5" x14ac:dyDescent="0.2">
      <c r="B496" s="982"/>
      <c r="C496" s="985"/>
      <c r="D496" s="969"/>
      <c r="E496" s="969"/>
    </row>
    <row r="497" spans="2:5" ht="16.5" x14ac:dyDescent="0.2">
      <c r="B497" s="982"/>
      <c r="C497" s="982"/>
      <c r="D497" s="969"/>
      <c r="E497" s="969"/>
    </row>
    <row r="498" spans="2:5" ht="16.5" x14ac:dyDescent="0.2">
      <c r="B498" s="982"/>
      <c r="C498" s="983"/>
      <c r="D498" s="969"/>
      <c r="E498" s="969"/>
    </row>
    <row r="499" spans="2:5" ht="16.5" x14ac:dyDescent="0.2">
      <c r="B499" s="982"/>
      <c r="C499" s="985"/>
      <c r="D499" s="969"/>
      <c r="E499" s="969"/>
    </row>
    <row r="500" spans="2:5" ht="16.5" x14ac:dyDescent="0.2">
      <c r="B500" s="982"/>
      <c r="C500" s="985"/>
      <c r="D500" s="969"/>
      <c r="E500" s="969"/>
    </row>
    <row r="501" spans="2:5" ht="16.5" x14ac:dyDescent="0.2">
      <c r="B501" s="982"/>
      <c r="C501" s="983"/>
      <c r="D501" s="969"/>
      <c r="E501" s="969"/>
    </row>
    <row r="502" spans="2:5" ht="16.5" x14ac:dyDescent="0.2">
      <c r="B502" s="982"/>
      <c r="C502" s="985"/>
      <c r="D502" s="969"/>
      <c r="E502" s="969"/>
    </row>
    <row r="503" spans="2:5" ht="16.5" x14ac:dyDescent="0.2">
      <c r="B503" s="982"/>
      <c r="C503" s="985"/>
      <c r="D503" s="969"/>
      <c r="E503" s="969"/>
    </row>
    <row r="504" spans="2:5" ht="16.5" x14ac:dyDescent="0.2">
      <c r="B504" s="982"/>
      <c r="C504" s="985"/>
      <c r="D504" s="969"/>
      <c r="E504" s="969"/>
    </row>
    <row r="505" spans="2:5" ht="16.5" x14ac:dyDescent="0.2">
      <c r="B505" s="982"/>
      <c r="C505" s="983"/>
      <c r="D505" s="969"/>
      <c r="E505" s="969"/>
    </row>
    <row r="506" spans="2:5" ht="16.5" x14ac:dyDescent="0.2">
      <c r="B506" s="982"/>
      <c r="C506" s="985"/>
      <c r="D506" s="969"/>
      <c r="E506" s="969"/>
    </row>
    <row r="507" spans="2:5" ht="16.5" x14ac:dyDescent="0.2">
      <c r="B507" s="982"/>
      <c r="C507" s="985"/>
      <c r="D507" s="969"/>
      <c r="E507" s="969"/>
    </row>
    <row r="508" spans="2:5" ht="16.5" x14ac:dyDescent="0.2">
      <c r="B508" s="982"/>
      <c r="C508" s="985"/>
      <c r="D508" s="969"/>
      <c r="E508" s="969"/>
    </row>
    <row r="509" spans="2:5" ht="16.5" x14ac:dyDescent="0.2">
      <c r="B509" s="982"/>
      <c r="C509" s="985"/>
      <c r="D509" s="969"/>
      <c r="E509" s="969"/>
    </row>
    <row r="510" spans="2:5" ht="16.5" x14ac:dyDescent="0.2">
      <c r="B510" s="982"/>
      <c r="C510" s="985"/>
      <c r="D510" s="969"/>
      <c r="E510" s="969"/>
    </row>
    <row r="511" spans="2:5" ht="16.5" x14ac:dyDescent="0.2">
      <c r="B511" s="982"/>
      <c r="C511" s="983"/>
      <c r="D511" s="969"/>
      <c r="E511" s="969"/>
    </row>
    <row r="512" spans="2:5" ht="16.5" x14ac:dyDescent="0.2">
      <c r="B512" s="982"/>
      <c r="C512" s="985"/>
      <c r="D512" s="969"/>
      <c r="E512" s="969"/>
    </row>
    <row r="513" spans="2:5" ht="16.5" x14ac:dyDescent="0.2">
      <c r="B513" s="982"/>
      <c r="C513" s="985"/>
      <c r="D513" s="969"/>
      <c r="E513" s="969"/>
    </row>
    <row r="514" spans="2:5" ht="16.5" x14ac:dyDescent="0.2">
      <c r="B514" s="982"/>
      <c r="C514" s="985"/>
      <c r="D514" s="969"/>
      <c r="E514" s="969"/>
    </row>
    <row r="515" spans="2:5" ht="16.5" x14ac:dyDescent="0.2">
      <c r="B515" s="982"/>
      <c r="C515" s="985"/>
      <c r="D515" s="969"/>
      <c r="E515" s="969"/>
    </row>
    <row r="516" spans="2:5" ht="16.5" x14ac:dyDescent="0.2">
      <c r="B516" s="982"/>
      <c r="C516" s="983"/>
      <c r="D516" s="969"/>
      <c r="E516" s="969"/>
    </row>
    <row r="517" spans="2:5" ht="16.5" x14ac:dyDescent="0.2">
      <c r="B517" s="982"/>
      <c r="C517" s="985"/>
      <c r="D517" s="969"/>
      <c r="E517" s="969"/>
    </row>
    <row r="518" spans="2:5" ht="16.5" x14ac:dyDescent="0.2">
      <c r="B518" s="982"/>
      <c r="C518" s="985"/>
      <c r="D518" s="969"/>
      <c r="E518" s="969"/>
    </row>
    <row r="519" spans="2:5" ht="16.5" x14ac:dyDescent="0.2">
      <c r="B519" s="982"/>
      <c r="C519" s="985"/>
      <c r="D519" s="969"/>
      <c r="E519" s="969"/>
    </row>
    <row r="520" spans="2:5" ht="16.5" x14ac:dyDescent="0.2">
      <c r="B520" s="982"/>
      <c r="C520" s="982"/>
      <c r="D520" s="969"/>
      <c r="E520" s="969"/>
    </row>
    <row r="521" spans="2:5" ht="16.5" x14ac:dyDescent="0.2">
      <c r="B521" s="982"/>
      <c r="C521" s="983"/>
      <c r="D521" s="969"/>
      <c r="E521" s="969"/>
    </row>
    <row r="522" spans="2:5" ht="16.5" x14ac:dyDescent="0.2">
      <c r="B522" s="982"/>
      <c r="C522" s="985"/>
      <c r="D522" s="969"/>
      <c r="E522" s="969"/>
    </row>
    <row r="523" spans="2:5" ht="16.5" x14ac:dyDescent="0.2">
      <c r="B523" s="982"/>
      <c r="C523" s="985"/>
      <c r="D523" s="969"/>
      <c r="E523" s="969"/>
    </row>
    <row r="524" spans="2:5" ht="16.5" x14ac:dyDescent="0.2">
      <c r="B524" s="982"/>
      <c r="C524" s="983"/>
      <c r="D524" s="969"/>
      <c r="E524" s="969"/>
    </row>
    <row r="525" spans="2:5" ht="16.5" x14ac:dyDescent="0.2">
      <c r="B525" s="982"/>
      <c r="C525" s="985"/>
      <c r="D525" s="969"/>
      <c r="E525" s="969"/>
    </row>
    <row r="526" spans="2:5" ht="16.5" x14ac:dyDescent="0.2">
      <c r="B526" s="982"/>
      <c r="C526" s="985"/>
      <c r="D526" s="969"/>
      <c r="E526" s="969"/>
    </row>
    <row r="527" spans="2:5" ht="16.5" x14ac:dyDescent="0.2">
      <c r="B527" s="982"/>
      <c r="C527" s="983"/>
      <c r="D527" s="969"/>
      <c r="E527" s="969"/>
    </row>
    <row r="528" spans="2:5" ht="16.5" x14ac:dyDescent="0.2">
      <c r="B528" s="982"/>
      <c r="C528" s="985"/>
      <c r="D528" s="969"/>
      <c r="E528" s="969"/>
    </row>
    <row r="529" spans="2:5" ht="16.5" x14ac:dyDescent="0.2">
      <c r="B529" s="982"/>
      <c r="C529" s="985"/>
      <c r="D529" s="969"/>
      <c r="E529" s="969"/>
    </row>
    <row r="530" spans="2:5" ht="16.5" x14ac:dyDescent="0.2">
      <c r="B530" s="982"/>
      <c r="C530" s="983"/>
      <c r="D530" s="969"/>
      <c r="E530" s="969"/>
    </row>
    <row r="531" spans="2:5" ht="16.5" x14ac:dyDescent="0.2">
      <c r="B531" s="982"/>
      <c r="C531" s="985"/>
      <c r="D531" s="969"/>
      <c r="E531" s="969"/>
    </row>
    <row r="532" spans="2:5" ht="16.5" x14ac:dyDescent="0.2">
      <c r="B532" s="982"/>
      <c r="C532" s="985"/>
      <c r="D532" s="969"/>
      <c r="E532" s="969"/>
    </row>
    <row r="533" spans="2:5" ht="16.5" x14ac:dyDescent="0.2">
      <c r="B533" s="982"/>
      <c r="C533" s="985"/>
      <c r="D533" s="969"/>
      <c r="E533" s="969"/>
    </row>
    <row r="534" spans="2:5" ht="16.5" x14ac:dyDescent="0.2">
      <c r="B534" s="982"/>
      <c r="C534" s="985"/>
      <c r="D534" s="969"/>
      <c r="E534" s="969"/>
    </row>
    <row r="535" spans="2:5" ht="16.5" x14ac:dyDescent="0.2">
      <c r="B535" s="982"/>
      <c r="C535" s="985"/>
      <c r="D535" s="969"/>
      <c r="E535" s="969"/>
    </row>
    <row r="536" spans="2:5" ht="16.5" x14ac:dyDescent="0.2">
      <c r="B536" s="982"/>
      <c r="C536" s="985"/>
      <c r="D536" s="969"/>
      <c r="E536" s="969"/>
    </row>
    <row r="537" spans="2:5" ht="16.5" x14ac:dyDescent="0.2">
      <c r="B537" s="982"/>
      <c r="C537" s="985"/>
      <c r="D537" s="969"/>
      <c r="E537" s="969"/>
    </row>
    <row r="538" spans="2:5" ht="16.5" x14ac:dyDescent="0.2">
      <c r="B538" s="982"/>
      <c r="C538" s="982"/>
      <c r="D538" s="969"/>
      <c r="E538" s="969"/>
    </row>
    <row r="539" spans="2:5" ht="16.5" x14ac:dyDescent="0.2">
      <c r="B539" s="982"/>
      <c r="C539" s="983"/>
      <c r="D539" s="969"/>
      <c r="E539" s="969"/>
    </row>
    <row r="540" spans="2:5" ht="16.5" x14ac:dyDescent="0.2">
      <c r="B540" s="982"/>
      <c r="C540" s="985"/>
      <c r="D540" s="969"/>
      <c r="E540" s="969"/>
    </row>
    <row r="541" spans="2:5" ht="16.5" x14ac:dyDescent="0.2">
      <c r="B541" s="982"/>
      <c r="C541" s="985"/>
      <c r="D541" s="969"/>
      <c r="E541" s="969"/>
    </row>
    <row r="542" spans="2:5" ht="16.5" x14ac:dyDescent="0.2">
      <c r="B542" s="982"/>
      <c r="C542" s="985"/>
      <c r="D542" s="969"/>
      <c r="E542" s="969"/>
    </row>
    <row r="543" spans="2:5" ht="16.5" x14ac:dyDescent="0.2">
      <c r="B543" s="982"/>
      <c r="C543" s="983"/>
      <c r="D543" s="969"/>
      <c r="E543" s="969"/>
    </row>
    <row r="544" spans="2:5" ht="16.5" x14ac:dyDescent="0.2">
      <c r="B544" s="982"/>
      <c r="C544" s="985"/>
      <c r="D544" s="969"/>
      <c r="E544" s="969"/>
    </row>
    <row r="545" spans="2:5" ht="16.5" x14ac:dyDescent="0.2">
      <c r="B545" s="982"/>
      <c r="C545" s="985"/>
      <c r="D545" s="969"/>
      <c r="E545" s="969"/>
    </row>
    <row r="546" spans="2:5" ht="16.5" x14ac:dyDescent="0.2">
      <c r="B546" s="982"/>
      <c r="C546" s="983"/>
      <c r="D546" s="969"/>
      <c r="E546" s="969"/>
    </row>
    <row r="547" spans="2:5" ht="16.5" x14ac:dyDescent="0.2">
      <c r="B547" s="982"/>
      <c r="C547" s="985"/>
      <c r="D547" s="969"/>
      <c r="E547" s="969"/>
    </row>
    <row r="548" spans="2:5" ht="16.5" x14ac:dyDescent="0.2">
      <c r="B548" s="982"/>
      <c r="C548" s="985"/>
      <c r="D548" s="969"/>
      <c r="E548" s="969"/>
    </row>
    <row r="549" spans="2:5" ht="16.5" x14ac:dyDescent="0.2">
      <c r="B549" s="982"/>
      <c r="C549" s="983"/>
      <c r="D549" s="969"/>
      <c r="E549" s="969"/>
    </row>
    <row r="550" spans="2:5" ht="16.5" x14ac:dyDescent="0.2">
      <c r="B550" s="982"/>
      <c r="C550" s="985"/>
      <c r="D550" s="969"/>
      <c r="E550" s="969"/>
    </row>
    <row r="551" spans="2:5" ht="16.5" x14ac:dyDescent="0.2">
      <c r="B551" s="982"/>
      <c r="C551" s="985"/>
      <c r="D551" s="969"/>
      <c r="E551" s="969"/>
    </row>
    <row r="552" spans="2:5" ht="16.5" x14ac:dyDescent="0.2">
      <c r="B552" s="982"/>
      <c r="C552" s="985"/>
      <c r="D552" s="969"/>
      <c r="E552" s="969"/>
    </row>
    <row r="553" spans="2:5" ht="16.5" x14ac:dyDescent="0.2">
      <c r="B553" s="982"/>
      <c r="C553" s="985"/>
      <c r="D553" s="969"/>
      <c r="E553" s="969"/>
    </row>
    <row r="554" spans="2:5" ht="16.5" x14ac:dyDescent="0.2">
      <c r="B554" s="982"/>
      <c r="C554" s="985"/>
      <c r="D554" s="969"/>
      <c r="E554" s="969"/>
    </row>
    <row r="555" spans="2:5" ht="16.5" x14ac:dyDescent="0.2">
      <c r="B555" s="982"/>
      <c r="C555" s="985"/>
      <c r="D555" s="969"/>
      <c r="E555" s="969"/>
    </row>
    <row r="556" spans="2:5" ht="16.5" x14ac:dyDescent="0.2">
      <c r="B556" s="982"/>
      <c r="C556" s="983"/>
      <c r="D556" s="969"/>
      <c r="E556" s="969"/>
    </row>
    <row r="557" spans="2:5" ht="16.5" x14ac:dyDescent="0.2">
      <c r="B557" s="982"/>
      <c r="C557" s="985"/>
      <c r="D557" s="969"/>
      <c r="E557" s="969"/>
    </row>
    <row r="558" spans="2:5" ht="16.5" x14ac:dyDescent="0.2">
      <c r="B558" s="982"/>
      <c r="C558" s="985"/>
      <c r="D558" s="969"/>
      <c r="E558" s="969"/>
    </row>
    <row r="559" spans="2:5" ht="16.5" x14ac:dyDescent="0.2">
      <c r="B559" s="982"/>
      <c r="C559" s="982"/>
      <c r="D559" s="969"/>
      <c r="E559" s="969"/>
    </row>
    <row r="560" spans="2:5" ht="16.5" x14ac:dyDescent="0.2">
      <c r="B560" s="982"/>
      <c r="C560" s="985"/>
      <c r="D560" s="969"/>
      <c r="E560" s="969"/>
    </row>
    <row r="561" spans="2:5" ht="16.5" x14ac:dyDescent="0.2">
      <c r="B561" s="982"/>
      <c r="C561" s="985"/>
      <c r="D561" s="969"/>
      <c r="E561" s="969"/>
    </row>
    <row r="562" spans="2:5" ht="16.5" x14ac:dyDescent="0.2">
      <c r="B562" s="982"/>
      <c r="C562" s="985"/>
      <c r="D562" s="969"/>
      <c r="E562" s="969"/>
    </row>
    <row r="563" spans="2:5" ht="16.5" x14ac:dyDescent="0.2">
      <c r="B563" s="982"/>
      <c r="C563" s="985"/>
      <c r="D563" s="969"/>
      <c r="E563" s="969"/>
    </row>
    <row r="564" spans="2:5" ht="16.5" x14ac:dyDescent="0.2">
      <c r="B564" s="982"/>
      <c r="C564" s="985"/>
      <c r="D564" s="969"/>
      <c r="E564" s="969"/>
    </row>
    <row r="565" spans="2:5" ht="16.5" x14ac:dyDescent="0.2">
      <c r="B565" s="982"/>
      <c r="C565" s="985"/>
      <c r="D565" s="969"/>
      <c r="E565" s="969"/>
    </row>
    <row r="566" spans="2:5" ht="16.5" x14ac:dyDescent="0.2">
      <c r="B566" s="982"/>
      <c r="C566" s="985"/>
      <c r="D566" s="969"/>
      <c r="E566" s="969"/>
    </row>
    <row r="567" spans="2:5" ht="16.5" x14ac:dyDescent="0.2">
      <c r="B567" s="982"/>
      <c r="C567" s="985"/>
      <c r="D567" s="969"/>
      <c r="E567" s="969"/>
    </row>
    <row r="568" spans="2:5" ht="16.5" x14ac:dyDescent="0.2">
      <c r="B568" s="982"/>
      <c r="C568" s="985"/>
      <c r="D568" s="969"/>
      <c r="E568" s="969"/>
    </row>
    <row r="569" spans="2:5" ht="16.5" x14ac:dyDescent="0.2">
      <c r="B569" s="982"/>
      <c r="C569" s="985"/>
      <c r="D569" s="969"/>
      <c r="E569" s="969"/>
    </row>
    <row r="570" spans="2:5" ht="16.5" x14ac:dyDescent="0.2">
      <c r="B570" s="982"/>
      <c r="C570" s="985"/>
      <c r="D570" s="969"/>
      <c r="E570" s="969"/>
    </row>
    <row r="571" spans="2:5" ht="16.5" x14ac:dyDescent="0.2">
      <c r="B571" s="982"/>
      <c r="C571" s="985"/>
      <c r="D571" s="969"/>
      <c r="E571" s="969"/>
    </row>
    <row r="572" spans="2:5" ht="16.5" x14ac:dyDescent="0.2">
      <c r="B572" s="982"/>
      <c r="C572" s="985"/>
      <c r="D572" s="969"/>
      <c r="E572" s="969"/>
    </row>
    <row r="573" spans="2:5" ht="16.5" x14ac:dyDescent="0.2">
      <c r="B573" s="982"/>
      <c r="C573" s="982"/>
      <c r="D573" s="969"/>
      <c r="E573" s="969"/>
    </row>
    <row r="574" spans="2:5" ht="16.5" x14ac:dyDescent="0.2">
      <c r="B574" s="982"/>
      <c r="C574" s="983"/>
      <c r="D574" s="969"/>
      <c r="E574" s="969"/>
    </row>
    <row r="575" spans="2:5" ht="16.5" x14ac:dyDescent="0.2">
      <c r="B575" s="982"/>
      <c r="C575" s="985"/>
      <c r="D575" s="969"/>
      <c r="E575" s="969"/>
    </row>
    <row r="576" spans="2:5" ht="16.5" x14ac:dyDescent="0.2">
      <c r="B576" s="982"/>
      <c r="C576" s="985"/>
      <c r="D576" s="969"/>
      <c r="E576" s="969"/>
    </row>
    <row r="577" spans="2:5" ht="16.5" x14ac:dyDescent="0.2">
      <c r="B577" s="982"/>
      <c r="C577" s="985"/>
      <c r="D577" s="969"/>
      <c r="E577" s="969"/>
    </row>
    <row r="578" spans="2:5" ht="16.5" x14ac:dyDescent="0.2">
      <c r="B578" s="982"/>
      <c r="C578" s="983"/>
      <c r="D578" s="969"/>
      <c r="E578" s="969"/>
    </row>
    <row r="579" spans="2:5" ht="16.5" x14ac:dyDescent="0.2">
      <c r="B579" s="982"/>
      <c r="C579" s="985"/>
      <c r="D579" s="969"/>
      <c r="E579" s="969"/>
    </row>
    <row r="580" spans="2:5" ht="16.5" x14ac:dyDescent="0.2">
      <c r="B580" s="982"/>
      <c r="C580" s="985"/>
      <c r="D580" s="969"/>
      <c r="E580" s="969"/>
    </row>
    <row r="581" spans="2:5" ht="16.5" x14ac:dyDescent="0.2">
      <c r="B581" s="982"/>
      <c r="C581" s="985"/>
      <c r="D581" s="969"/>
      <c r="E581" s="969"/>
    </row>
    <row r="582" spans="2:5" ht="16.5" x14ac:dyDescent="0.2">
      <c r="B582" s="982"/>
      <c r="C582" s="982"/>
      <c r="D582" s="969"/>
      <c r="E582" s="969"/>
    </row>
    <row r="583" spans="2:5" ht="16.5" x14ac:dyDescent="0.2">
      <c r="B583" s="982"/>
      <c r="C583" s="983"/>
      <c r="D583" s="969"/>
      <c r="E583" s="969"/>
    </row>
    <row r="584" spans="2:5" ht="16.5" x14ac:dyDescent="0.2">
      <c r="B584" s="982"/>
      <c r="C584" s="985"/>
      <c r="D584" s="969"/>
      <c r="E584" s="969"/>
    </row>
    <row r="585" spans="2:5" ht="16.5" x14ac:dyDescent="0.2">
      <c r="B585" s="982"/>
      <c r="C585" s="985"/>
      <c r="D585" s="969"/>
      <c r="E585" s="969"/>
    </row>
    <row r="586" spans="2:5" ht="16.5" x14ac:dyDescent="0.2">
      <c r="B586" s="982"/>
      <c r="C586" s="985"/>
      <c r="D586" s="969"/>
      <c r="E586" s="969"/>
    </row>
    <row r="587" spans="2:5" ht="16.5" x14ac:dyDescent="0.2">
      <c r="B587" s="982"/>
      <c r="C587" s="982"/>
      <c r="D587" s="969"/>
      <c r="E587" s="969"/>
    </row>
    <row r="588" spans="2:5" ht="16.5" x14ac:dyDescent="0.2">
      <c r="B588" s="982"/>
      <c r="C588" s="983"/>
      <c r="D588" s="969"/>
      <c r="E588" s="969"/>
    </row>
    <row r="589" spans="2:5" ht="16.5" x14ac:dyDescent="0.2">
      <c r="B589" s="982"/>
      <c r="C589" s="985"/>
      <c r="D589" s="969"/>
      <c r="E589" s="969"/>
    </row>
    <row r="590" spans="2:5" ht="16.5" x14ac:dyDescent="0.2">
      <c r="B590" s="982"/>
      <c r="C590" s="985"/>
      <c r="D590" s="969"/>
      <c r="E590" s="969"/>
    </row>
    <row r="591" spans="2:5" ht="16.5" x14ac:dyDescent="0.2">
      <c r="B591" s="982"/>
      <c r="C591" s="985"/>
      <c r="D591" s="969"/>
      <c r="E591" s="969"/>
    </row>
    <row r="592" spans="2:5" ht="16.5" x14ac:dyDescent="0.2">
      <c r="B592" s="982"/>
      <c r="C592" s="985"/>
      <c r="D592" s="969"/>
      <c r="E592" s="969"/>
    </row>
    <row r="593" spans="2:5" ht="16.5" x14ac:dyDescent="0.2">
      <c r="B593" s="982"/>
      <c r="C593" s="985"/>
      <c r="D593" s="969"/>
      <c r="E593" s="969"/>
    </row>
    <row r="594" spans="2:5" ht="16.5" x14ac:dyDescent="0.2">
      <c r="B594" s="982"/>
      <c r="C594" s="985"/>
      <c r="D594" s="969"/>
      <c r="E594" s="969"/>
    </row>
    <row r="595" spans="2:5" ht="16.5" x14ac:dyDescent="0.2">
      <c r="B595" s="982"/>
      <c r="C595" s="985"/>
      <c r="D595" s="969"/>
      <c r="E595" s="969"/>
    </row>
    <row r="596" spans="2:5" ht="16.5" x14ac:dyDescent="0.2">
      <c r="B596" s="982"/>
      <c r="C596" s="985"/>
      <c r="D596" s="969"/>
      <c r="E596" s="969"/>
    </row>
    <row r="597" spans="2:5" ht="16.5" x14ac:dyDescent="0.2">
      <c r="B597" s="982"/>
      <c r="C597" s="985"/>
      <c r="D597" s="969"/>
      <c r="E597" s="969"/>
    </row>
    <row r="598" spans="2:5" ht="16.5" x14ac:dyDescent="0.2">
      <c r="B598" s="982"/>
      <c r="C598" s="983"/>
      <c r="D598" s="969"/>
      <c r="E598" s="969"/>
    </row>
    <row r="599" spans="2:5" ht="16.5" x14ac:dyDescent="0.2">
      <c r="B599" s="982"/>
      <c r="C599" s="985"/>
      <c r="D599" s="969"/>
      <c r="E599" s="969"/>
    </row>
    <row r="600" spans="2:5" ht="16.5" x14ac:dyDescent="0.2">
      <c r="B600" s="982"/>
      <c r="C600" s="986"/>
      <c r="D600" s="969"/>
      <c r="E600" s="969"/>
    </row>
    <row r="601" spans="2:5" ht="16.5" x14ac:dyDescent="0.2">
      <c r="B601" s="982"/>
      <c r="C601" s="986"/>
      <c r="D601" s="969"/>
      <c r="E601" s="969"/>
    </row>
    <row r="602" spans="2:5" ht="16.5" x14ac:dyDescent="0.2">
      <c r="B602" s="982"/>
      <c r="C602" s="986"/>
      <c r="D602" s="969"/>
      <c r="E602" s="969"/>
    </row>
    <row r="603" spans="2:5" ht="16.5" x14ac:dyDescent="0.2">
      <c r="B603" s="982"/>
      <c r="C603" s="985"/>
      <c r="D603" s="969"/>
      <c r="E603" s="969"/>
    </row>
    <row r="604" spans="2:5" ht="16.5" x14ac:dyDescent="0.2">
      <c r="B604" s="982"/>
      <c r="C604" s="986"/>
      <c r="D604" s="969"/>
      <c r="E604" s="969"/>
    </row>
    <row r="605" spans="2:5" ht="16.5" x14ac:dyDescent="0.2">
      <c r="B605" s="982"/>
      <c r="C605" s="986"/>
      <c r="D605" s="969"/>
      <c r="E605" s="969"/>
    </row>
    <row r="606" spans="2:5" ht="16.5" x14ac:dyDescent="0.2">
      <c r="B606" s="982"/>
      <c r="C606" s="986"/>
      <c r="D606" s="969"/>
      <c r="E606" s="969"/>
    </row>
    <row r="607" spans="2:5" ht="16.5" x14ac:dyDescent="0.2">
      <c r="B607" s="982"/>
      <c r="C607" s="986"/>
      <c r="D607" s="969"/>
      <c r="E607" s="969"/>
    </row>
    <row r="608" spans="2:5" ht="16.5" x14ac:dyDescent="0.2">
      <c r="B608" s="982"/>
      <c r="C608" s="985"/>
      <c r="D608" s="969"/>
      <c r="E608" s="969"/>
    </row>
    <row r="609" spans="2:5" ht="16.5" x14ac:dyDescent="0.2">
      <c r="B609" s="982"/>
      <c r="C609" s="986"/>
      <c r="D609" s="969"/>
      <c r="E609" s="969"/>
    </row>
    <row r="610" spans="2:5" ht="16.5" x14ac:dyDescent="0.2">
      <c r="B610" s="982"/>
      <c r="C610" s="986"/>
      <c r="D610" s="969"/>
      <c r="E610" s="969"/>
    </row>
    <row r="611" spans="2:5" ht="16.5" x14ac:dyDescent="0.2">
      <c r="B611" s="982"/>
      <c r="C611" s="986"/>
      <c r="D611" s="969"/>
      <c r="E611" s="969"/>
    </row>
    <row r="612" spans="2:5" ht="16.5" x14ac:dyDescent="0.2">
      <c r="B612" s="982"/>
      <c r="C612" s="983"/>
      <c r="D612" s="969"/>
      <c r="E612" s="969"/>
    </row>
    <row r="613" spans="2:5" ht="16.5" x14ac:dyDescent="0.2">
      <c r="B613" s="982"/>
      <c r="C613" s="985"/>
      <c r="D613" s="969"/>
      <c r="E613" s="969"/>
    </row>
    <row r="614" spans="2:5" ht="16.5" x14ac:dyDescent="0.2">
      <c r="B614" s="982"/>
      <c r="C614" s="982"/>
      <c r="D614" s="969"/>
      <c r="E614" s="969"/>
    </row>
    <row r="615" spans="2:5" ht="16.5" x14ac:dyDescent="0.2">
      <c r="B615" s="982"/>
      <c r="C615" s="985"/>
      <c r="D615" s="969"/>
      <c r="E615" s="969"/>
    </row>
    <row r="616" spans="2:5" ht="16.5" x14ac:dyDescent="0.2">
      <c r="B616" s="982"/>
      <c r="C616" s="985"/>
      <c r="D616" s="969"/>
      <c r="E616" s="969"/>
    </row>
    <row r="617" spans="2:5" ht="16.5" x14ac:dyDescent="0.2">
      <c r="B617" s="982"/>
      <c r="C617" s="985"/>
      <c r="D617" s="969"/>
      <c r="E617" s="969"/>
    </row>
    <row r="618" spans="2:5" ht="16.5" x14ac:dyDescent="0.2">
      <c r="B618" s="982"/>
      <c r="C618" s="985"/>
      <c r="D618" s="969"/>
      <c r="E618" s="969"/>
    </row>
    <row r="619" spans="2:5" ht="16.5" x14ac:dyDescent="0.2">
      <c r="B619" s="982"/>
      <c r="C619" s="985"/>
      <c r="D619" s="969"/>
      <c r="E619" s="969"/>
    </row>
    <row r="620" spans="2:5" ht="16.5" x14ac:dyDescent="0.2">
      <c r="B620" s="982"/>
      <c r="C620" s="982"/>
      <c r="D620" s="969"/>
      <c r="E620" s="969"/>
    </row>
    <row r="621" spans="2:5" ht="16.5" x14ac:dyDescent="0.2">
      <c r="B621" s="982"/>
      <c r="C621" s="985"/>
      <c r="D621" s="969"/>
      <c r="E621" s="969"/>
    </row>
    <row r="622" spans="2:5" ht="16.5" x14ac:dyDescent="0.2">
      <c r="B622" s="982"/>
      <c r="C622" s="985"/>
      <c r="D622" s="969"/>
      <c r="E622" s="969"/>
    </row>
    <row r="623" spans="2:5" ht="16.5" x14ac:dyDescent="0.2">
      <c r="B623" s="982"/>
      <c r="C623" s="985"/>
      <c r="D623" s="969"/>
      <c r="E623" s="969"/>
    </row>
    <row r="624" spans="2:5" ht="16.5" x14ac:dyDescent="0.2">
      <c r="B624" s="982"/>
      <c r="C624" s="985"/>
      <c r="D624" s="969"/>
      <c r="E624" s="969"/>
    </row>
    <row r="625" spans="2:5" ht="16.5" x14ac:dyDescent="0.2">
      <c r="B625" s="982"/>
      <c r="C625" s="985"/>
      <c r="D625" s="969"/>
      <c r="E625" s="969"/>
    </row>
    <row r="626" spans="2:5" ht="16.5" x14ac:dyDescent="0.2">
      <c r="B626" s="982"/>
      <c r="C626" s="985"/>
      <c r="D626" s="969"/>
      <c r="E626" s="969"/>
    </row>
    <row r="627" spans="2:5" ht="16.5" x14ac:dyDescent="0.2">
      <c r="B627" s="982"/>
      <c r="C627" s="985"/>
      <c r="D627" s="969"/>
      <c r="E627" s="969"/>
    </row>
    <row r="628" spans="2:5" ht="16.5" x14ac:dyDescent="0.2">
      <c r="B628" s="982"/>
      <c r="C628" s="985"/>
      <c r="D628" s="969"/>
      <c r="E628" s="969"/>
    </row>
    <row r="629" spans="2:5" ht="16.5" x14ac:dyDescent="0.2">
      <c r="B629" s="982"/>
      <c r="C629" s="982"/>
      <c r="D629" s="969"/>
      <c r="E629" s="969"/>
    </row>
    <row r="630" spans="2:5" ht="16.5" x14ac:dyDescent="0.2">
      <c r="B630" s="982"/>
      <c r="C630" s="985"/>
      <c r="D630" s="969"/>
      <c r="E630" s="969"/>
    </row>
    <row r="631" spans="2:5" ht="16.5" x14ac:dyDescent="0.2">
      <c r="B631" s="982"/>
      <c r="C631" s="985"/>
      <c r="D631" s="969"/>
      <c r="E631" s="969"/>
    </row>
    <row r="632" spans="2:5" ht="16.5" x14ac:dyDescent="0.2">
      <c r="B632" s="982"/>
      <c r="C632" s="985"/>
      <c r="D632" s="969"/>
      <c r="E632" s="969"/>
    </row>
    <row r="633" spans="2:5" ht="16.5" x14ac:dyDescent="0.2">
      <c r="B633" s="982"/>
      <c r="C633" s="982"/>
      <c r="D633" s="969"/>
      <c r="E633" s="969"/>
    </row>
    <row r="634" spans="2:5" ht="16.5" x14ac:dyDescent="0.2">
      <c r="B634" s="982"/>
      <c r="C634" s="985"/>
      <c r="D634" s="969"/>
      <c r="E634" s="969"/>
    </row>
    <row r="635" spans="2:5" ht="16.5" x14ac:dyDescent="0.2">
      <c r="B635" s="982"/>
      <c r="C635" s="985"/>
      <c r="D635" s="969"/>
      <c r="E635" s="969"/>
    </row>
    <row r="636" spans="2:5" ht="16.5" x14ac:dyDescent="0.2">
      <c r="B636" s="982"/>
      <c r="C636" s="985"/>
      <c r="D636" s="969"/>
      <c r="E636" s="969"/>
    </row>
    <row r="637" spans="2:5" ht="16.5" x14ac:dyDescent="0.2">
      <c r="B637" s="982"/>
      <c r="C637" s="982"/>
      <c r="D637" s="969"/>
      <c r="E637" s="969"/>
    </row>
    <row r="638" spans="2:5" ht="16.5" x14ac:dyDescent="0.2">
      <c r="B638" s="982"/>
      <c r="C638" s="985"/>
      <c r="D638" s="969"/>
      <c r="E638" s="969"/>
    </row>
    <row r="639" spans="2:5" ht="16.5" x14ac:dyDescent="0.2">
      <c r="B639" s="982"/>
      <c r="C639" s="985"/>
      <c r="D639" s="969"/>
      <c r="E639" s="969"/>
    </row>
    <row r="640" spans="2:5" ht="16.5" x14ac:dyDescent="0.2">
      <c r="B640" s="982"/>
      <c r="C640" s="985"/>
      <c r="D640" s="969"/>
      <c r="E640" s="969"/>
    </row>
    <row r="641" spans="2:5" ht="16.5" x14ac:dyDescent="0.2">
      <c r="B641" s="982"/>
      <c r="C641" s="985"/>
      <c r="D641" s="969"/>
      <c r="E641" s="969"/>
    </row>
    <row r="642" spans="2:5" ht="16.5" x14ac:dyDescent="0.2">
      <c r="B642" s="982"/>
      <c r="C642" s="985"/>
      <c r="D642" s="969"/>
      <c r="E642" s="969"/>
    </row>
    <row r="643" spans="2:5" ht="16.5" x14ac:dyDescent="0.2">
      <c r="B643" s="982"/>
      <c r="C643" s="985"/>
      <c r="D643" s="969"/>
      <c r="E643" s="969"/>
    </row>
    <row r="644" spans="2:5" ht="16.5" x14ac:dyDescent="0.3">
      <c r="B644" s="987"/>
      <c r="C644" s="988"/>
      <c r="D644" s="969"/>
      <c r="E644" s="969"/>
    </row>
    <row r="645" spans="2:5" ht="16.5" x14ac:dyDescent="0.2">
      <c r="B645" s="971"/>
      <c r="C645" s="982"/>
      <c r="D645" s="969"/>
      <c r="E645" s="969"/>
    </row>
    <row r="646" spans="2:5" ht="16.5" x14ac:dyDescent="0.2">
      <c r="B646" s="971"/>
      <c r="C646" s="982"/>
      <c r="D646" s="969"/>
      <c r="E646" s="969"/>
    </row>
    <row r="647" spans="2:5" ht="16.5" x14ac:dyDescent="0.2">
      <c r="B647" s="971"/>
      <c r="C647" s="982"/>
      <c r="D647" s="969"/>
      <c r="E647" s="969"/>
    </row>
    <row r="648" spans="2:5" ht="16.5" x14ac:dyDescent="0.2">
      <c r="B648" s="971"/>
      <c r="C648" s="982"/>
      <c r="D648" s="969"/>
      <c r="E648" s="969"/>
    </row>
    <row r="649" spans="2:5" ht="16.5" x14ac:dyDescent="0.2">
      <c r="B649" s="989"/>
      <c r="C649" s="990"/>
      <c r="D649" s="969"/>
      <c r="E649" s="969"/>
    </row>
    <row r="650" spans="2:5" ht="16.5" x14ac:dyDescent="0.2">
      <c r="B650" s="971"/>
      <c r="C650" s="991"/>
      <c r="D650" s="969"/>
      <c r="E650" s="969"/>
    </row>
    <row r="651" spans="2:5" ht="16.5" x14ac:dyDescent="0.2">
      <c r="B651" s="982"/>
      <c r="C651" s="983"/>
      <c r="D651" s="969"/>
      <c r="E651" s="969"/>
    </row>
    <row r="652" spans="2:5" ht="16.5" x14ac:dyDescent="0.2">
      <c r="B652" s="982"/>
      <c r="C652" s="985"/>
      <c r="D652" s="969"/>
      <c r="E652" s="969"/>
    </row>
    <row r="653" spans="2:5" ht="16.5" x14ac:dyDescent="0.2">
      <c r="B653" s="982"/>
      <c r="C653" s="985"/>
      <c r="D653" s="969"/>
      <c r="E653" s="969"/>
    </row>
    <row r="654" spans="2:5" ht="16.5" x14ac:dyDescent="0.2">
      <c r="B654" s="982"/>
      <c r="C654" s="985"/>
      <c r="D654" s="969"/>
      <c r="E654" s="969"/>
    </row>
    <row r="655" spans="2:5" ht="16.5" x14ac:dyDescent="0.2">
      <c r="B655" s="982"/>
      <c r="C655" s="985"/>
      <c r="D655" s="969"/>
      <c r="E655" s="969"/>
    </row>
    <row r="656" spans="2:5" ht="16.5" x14ac:dyDescent="0.2">
      <c r="B656" s="982"/>
      <c r="C656" s="983"/>
      <c r="D656" s="969"/>
      <c r="E656" s="969"/>
    </row>
    <row r="657" spans="2:5" ht="16.5" x14ac:dyDescent="0.2">
      <c r="B657" s="982"/>
      <c r="C657" s="982"/>
      <c r="D657" s="969"/>
      <c r="E657" s="969"/>
    </row>
    <row r="658" spans="2:5" ht="16.5" x14ac:dyDescent="0.2">
      <c r="B658" s="982"/>
      <c r="C658" s="983"/>
      <c r="D658" s="969"/>
      <c r="E658" s="969"/>
    </row>
    <row r="659" spans="2:5" ht="16.5" x14ac:dyDescent="0.2">
      <c r="B659" s="982"/>
      <c r="C659" s="985"/>
      <c r="D659" s="969"/>
      <c r="E659" s="969"/>
    </row>
    <row r="660" spans="2:5" ht="16.5" x14ac:dyDescent="0.2">
      <c r="B660" s="992"/>
      <c r="C660" s="990"/>
      <c r="D660" s="969"/>
      <c r="E660" s="969"/>
    </row>
    <row r="661" spans="2:5" ht="16.5" x14ac:dyDescent="0.2">
      <c r="B661" s="982"/>
      <c r="C661" s="991"/>
      <c r="D661" s="969"/>
      <c r="E661" s="969"/>
    </row>
    <row r="662" spans="2:5" ht="16.5" x14ac:dyDescent="0.2">
      <c r="B662" s="982"/>
      <c r="C662" s="993"/>
      <c r="D662" s="969"/>
      <c r="E662" s="969"/>
    </row>
    <row r="663" spans="2:5" ht="16.5" x14ac:dyDescent="0.2">
      <c r="B663" s="982"/>
      <c r="C663" s="994"/>
      <c r="D663" s="969"/>
      <c r="E663" s="969"/>
    </row>
    <row r="664" spans="2:5" ht="16.5" x14ac:dyDescent="0.2">
      <c r="B664" s="982"/>
      <c r="C664" s="994"/>
      <c r="D664" s="969"/>
      <c r="E664" s="969"/>
    </row>
    <row r="665" spans="2:5" ht="16.5" x14ac:dyDescent="0.2">
      <c r="B665" s="982"/>
      <c r="C665" s="994"/>
      <c r="D665" s="969"/>
      <c r="E665" s="969"/>
    </row>
    <row r="666" spans="2:5" ht="16.5" x14ac:dyDescent="0.2">
      <c r="B666" s="982"/>
      <c r="C666" s="994"/>
      <c r="D666" s="969"/>
      <c r="E666" s="969"/>
    </row>
    <row r="667" spans="2:5" ht="16.5" x14ac:dyDescent="0.2">
      <c r="B667" s="982"/>
      <c r="C667" s="985"/>
      <c r="D667" s="969"/>
      <c r="E667" s="969"/>
    </row>
    <row r="668" spans="2:5" ht="16.5" x14ac:dyDescent="0.2">
      <c r="B668" s="982"/>
      <c r="C668" s="994"/>
      <c r="D668" s="969"/>
      <c r="E668" s="969"/>
    </row>
    <row r="669" spans="2:5" ht="16.5" x14ac:dyDescent="0.2">
      <c r="B669" s="982"/>
      <c r="C669" s="994"/>
      <c r="D669" s="969"/>
      <c r="E669" s="969"/>
    </row>
    <row r="670" spans="2:5" ht="16.5" x14ac:dyDescent="0.2">
      <c r="B670" s="982"/>
      <c r="C670" s="985"/>
      <c r="D670" s="969"/>
      <c r="E670" s="969"/>
    </row>
    <row r="671" spans="2:5" ht="16.5" x14ac:dyDescent="0.2">
      <c r="B671" s="982"/>
      <c r="C671" s="983"/>
      <c r="D671" s="969"/>
      <c r="E671" s="969"/>
    </row>
    <row r="672" spans="2:5" ht="16.5" x14ac:dyDescent="0.2">
      <c r="B672" s="982"/>
      <c r="C672" s="985"/>
      <c r="D672" s="969"/>
      <c r="E672" s="969"/>
    </row>
    <row r="673" spans="2:5" ht="16.5" x14ac:dyDescent="0.2">
      <c r="B673" s="982"/>
      <c r="C673" s="994"/>
      <c r="D673" s="969"/>
      <c r="E673" s="969"/>
    </row>
    <row r="674" spans="2:5" ht="16.5" x14ac:dyDescent="0.2">
      <c r="B674" s="982"/>
      <c r="C674" s="994"/>
      <c r="D674" s="969"/>
      <c r="E674" s="969"/>
    </row>
    <row r="675" spans="2:5" ht="16.5" x14ac:dyDescent="0.2">
      <c r="B675" s="982"/>
      <c r="C675" s="994"/>
      <c r="D675" s="969"/>
      <c r="E675" s="969"/>
    </row>
    <row r="676" spans="2:5" ht="16.5" x14ac:dyDescent="0.2">
      <c r="B676" s="982"/>
      <c r="C676" s="994"/>
      <c r="D676" s="969"/>
      <c r="E676" s="969"/>
    </row>
    <row r="677" spans="2:5" ht="16.5" x14ac:dyDescent="0.2">
      <c r="B677" s="982"/>
      <c r="C677" s="994"/>
      <c r="D677" s="969"/>
      <c r="E677" s="969"/>
    </row>
    <row r="678" spans="2:5" ht="16.5" x14ac:dyDescent="0.2">
      <c r="B678" s="982"/>
      <c r="C678" s="994"/>
      <c r="D678" s="969"/>
      <c r="E678" s="969"/>
    </row>
    <row r="679" spans="2:5" ht="16.5" x14ac:dyDescent="0.2">
      <c r="B679" s="982"/>
      <c r="C679" s="994"/>
      <c r="D679" s="969"/>
      <c r="E679" s="969"/>
    </row>
    <row r="680" spans="2:5" ht="16.5" x14ac:dyDescent="0.2">
      <c r="B680" s="982"/>
      <c r="C680" s="994"/>
      <c r="D680" s="969"/>
      <c r="E680" s="969"/>
    </row>
    <row r="681" spans="2:5" ht="16.5" x14ac:dyDescent="0.2">
      <c r="B681" s="982"/>
      <c r="C681" s="994"/>
      <c r="D681" s="969"/>
      <c r="E681" s="969"/>
    </row>
    <row r="682" spans="2:5" ht="16.5" x14ac:dyDescent="0.2">
      <c r="B682" s="982"/>
      <c r="C682" s="994"/>
      <c r="D682" s="969"/>
      <c r="E682" s="969"/>
    </row>
    <row r="683" spans="2:5" ht="16.5" x14ac:dyDescent="0.2">
      <c r="B683" s="982"/>
      <c r="C683" s="983"/>
      <c r="D683" s="969"/>
      <c r="E683" s="969"/>
    </row>
    <row r="684" spans="2:5" ht="16.5" x14ac:dyDescent="0.2">
      <c r="B684" s="982"/>
      <c r="C684" s="985"/>
      <c r="D684" s="969"/>
      <c r="E684" s="969"/>
    </row>
    <row r="685" spans="2:5" ht="16.5" x14ac:dyDescent="0.2">
      <c r="B685" s="982"/>
      <c r="C685" s="994"/>
      <c r="D685" s="969"/>
      <c r="E685" s="969"/>
    </row>
    <row r="686" spans="2:5" ht="16.5" x14ac:dyDescent="0.2">
      <c r="B686" s="982"/>
      <c r="C686" s="994"/>
      <c r="D686" s="969"/>
      <c r="E686" s="969"/>
    </row>
    <row r="687" spans="2:5" ht="16.5" x14ac:dyDescent="0.2">
      <c r="B687" s="982"/>
      <c r="C687" s="994"/>
      <c r="D687" s="969"/>
      <c r="E687" s="969"/>
    </row>
    <row r="688" spans="2:5" ht="16.5" x14ac:dyDescent="0.2">
      <c r="B688" s="982"/>
      <c r="C688" s="994"/>
      <c r="D688" s="969"/>
      <c r="E688" s="969"/>
    </row>
    <row r="689" spans="2:5" ht="16.5" x14ac:dyDescent="0.2">
      <c r="B689" s="982"/>
      <c r="C689" s="994"/>
      <c r="D689" s="969"/>
      <c r="E689" s="969"/>
    </row>
    <row r="690" spans="2:5" ht="16.5" x14ac:dyDescent="0.2">
      <c r="B690" s="982"/>
      <c r="C690" s="985"/>
      <c r="D690" s="969"/>
      <c r="E690" s="969"/>
    </row>
    <row r="691" spans="2:5" ht="16.5" x14ac:dyDescent="0.2">
      <c r="B691" s="982"/>
      <c r="C691" s="982"/>
      <c r="D691" s="969"/>
      <c r="E691" s="969"/>
    </row>
    <row r="692" spans="2:5" ht="16.5" x14ac:dyDescent="0.2">
      <c r="B692" s="982"/>
      <c r="C692" s="983"/>
      <c r="D692" s="969"/>
      <c r="E692" s="969"/>
    </row>
    <row r="693" spans="2:5" ht="16.5" x14ac:dyDescent="0.2">
      <c r="B693" s="982"/>
      <c r="C693" s="985"/>
      <c r="D693" s="969"/>
      <c r="E693" s="969"/>
    </row>
    <row r="694" spans="2:5" ht="16.5" x14ac:dyDescent="0.2">
      <c r="B694" s="982"/>
      <c r="C694" s="985"/>
      <c r="D694" s="969"/>
      <c r="E694" s="969"/>
    </row>
    <row r="695" spans="2:5" ht="16.5" x14ac:dyDescent="0.2">
      <c r="B695" s="982"/>
      <c r="C695" s="985"/>
      <c r="D695" s="969"/>
      <c r="E695" s="969"/>
    </row>
    <row r="696" spans="2:5" ht="16.5" x14ac:dyDescent="0.2">
      <c r="B696" s="982"/>
      <c r="C696" s="985"/>
      <c r="D696" s="969"/>
      <c r="E696" s="969"/>
    </row>
    <row r="697" spans="2:5" ht="16.5" x14ac:dyDescent="0.2">
      <c r="B697" s="982"/>
      <c r="C697" s="985"/>
      <c r="D697" s="969"/>
      <c r="E697" s="969"/>
    </row>
    <row r="698" spans="2:5" ht="16.5" x14ac:dyDescent="0.2">
      <c r="B698" s="982"/>
      <c r="C698" s="983"/>
      <c r="D698" s="969"/>
      <c r="E698" s="969"/>
    </row>
    <row r="699" spans="2:5" ht="16.5" x14ac:dyDescent="0.2">
      <c r="B699" s="982"/>
      <c r="C699" s="985"/>
      <c r="D699" s="969"/>
      <c r="E699" s="969"/>
    </row>
    <row r="700" spans="2:5" ht="16.5" x14ac:dyDescent="0.2">
      <c r="B700" s="982"/>
      <c r="C700" s="985"/>
      <c r="D700" s="969"/>
      <c r="E700" s="969"/>
    </row>
    <row r="701" spans="2:5" ht="16.5" x14ac:dyDescent="0.2">
      <c r="B701" s="982"/>
      <c r="C701" s="985"/>
      <c r="D701" s="969"/>
      <c r="E701" s="969"/>
    </row>
    <row r="702" spans="2:5" ht="16.5" x14ac:dyDescent="0.2">
      <c r="B702" s="982"/>
      <c r="C702" s="985"/>
      <c r="D702" s="969"/>
      <c r="E702" s="969"/>
    </row>
    <row r="703" spans="2:5" ht="16.5" x14ac:dyDescent="0.2">
      <c r="B703" s="982"/>
      <c r="C703" s="985"/>
      <c r="D703" s="969"/>
      <c r="E703" s="969"/>
    </row>
    <row r="704" spans="2:5" ht="16.5" x14ac:dyDescent="0.2">
      <c r="B704" s="982"/>
      <c r="C704" s="985"/>
      <c r="D704" s="969"/>
      <c r="E704" s="969"/>
    </row>
    <row r="705" spans="2:5" ht="16.5" x14ac:dyDescent="0.2">
      <c r="B705" s="982"/>
      <c r="C705" s="985"/>
      <c r="D705" s="969"/>
      <c r="E705" s="969"/>
    </row>
    <row r="706" spans="2:5" ht="16.5" x14ac:dyDescent="0.2">
      <c r="B706" s="982"/>
      <c r="C706" s="985"/>
      <c r="D706" s="969"/>
      <c r="E706" s="969"/>
    </row>
    <row r="707" spans="2:5" ht="16.5" x14ac:dyDescent="0.2">
      <c r="B707" s="982"/>
      <c r="C707" s="985"/>
      <c r="D707" s="969"/>
      <c r="E707" s="969"/>
    </row>
    <row r="708" spans="2:5" ht="16.5" x14ac:dyDescent="0.2">
      <c r="B708" s="982"/>
      <c r="C708" s="985"/>
      <c r="D708" s="969"/>
      <c r="E708" s="969"/>
    </row>
    <row r="709" spans="2:5" ht="16.5" x14ac:dyDescent="0.2">
      <c r="B709" s="982"/>
      <c r="C709" s="985"/>
      <c r="D709" s="969"/>
      <c r="E709" s="969"/>
    </row>
    <row r="710" spans="2:5" ht="16.5" x14ac:dyDescent="0.2">
      <c r="B710" s="982"/>
      <c r="C710" s="985"/>
      <c r="D710" s="969"/>
      <c r="E710" s="969"/>
    </row>
    <row r="711" spans="2:5" ht="16.5" x14ac:dyDescent="0.2">
      <c r="B711" s="982"/>
      <c r="C711" s="985"/>
      <c r="D711" s="969"/>
      <c r="E711" s="969"/>
    </row>
    <row r="712" spans="2:5" ht="16.5" x14ac:dyDescent="0.2">
      <c r="B712" s="982"/>
      <c r="C712" s="985"/>
      <c r="D712" s="969"/>
      <c r="E712" s="969"/>
    </row>
    <row r="713" spans="2:5" ht="16.5" x14ac:dyDescent="0.2">
      <c r="B713" s="982"/>
      <c r="C713" s="985"/>
      <c r="D713" s="969"/>
      <c r="E713" s="969"/>
    </row>
    <row r="714" spans="2:5" ht="16.5" x14ac:dyDescent="0.2">
      <c r="B714" s="982"/>
      <c r="C714" s="985"/>
      <c r="D714" s="969"/>
      <c r="E714" s="969"/>
    </row>
    <row r="715" spans="2:5" ht="16.5" x14ac:dyDescent="0.2">
      <c r="B715" s="982"/>
      <c r="C715" s="985"/>
      <c r="D715" s="969"/>
      <c r="E715" s="969"/>
    </row>
    <row r="716" spans="2:5" ht="16.5" x14ac:dyDescent="0.2">
      <c r="B716" s="982"/>
      <c r="C716" s="985"/>
      <c r="D716" s="969"/>
      <c r="E716" s="969"/>
    </row>
    <row r="717" spans="2:5" ht="16.5" x14ac:dyDescent="0.2">
      <c r="B717" s="982"/>
      <c r="C717" s="985"/>
      <c r="D717" s="969"/>
      <c r="E717" s="969"/>
    </row>
    <row r="718" spans="2:5" ht="16.5" x14ac:dyDescent="0.2">
      <c r="B718" s="982"/>
      <c r="C718" s="985"/>
      <c r="D718" s="969"/>
      <c r="E718" s="969"/>
    </row>
    <row r="719" spans="2:5" ht="16.5" x14ac:dyDescent="0.2">
      <c r="B719" s="982"/>
      <c r="C719" s="985"/>
      <c r="D719" s="969"/>
      <c r="E719" s="969"/>
    </row>
    <row r="720" spans="2:5" ht="16.5" x14ac:dyDescent="0.2">
      <c r="B720" s="982"/>
      <c r="C720" s="985"/>
      <c r="D720" s="969"/>
      <c r="E720" s="969"/>
    </row>
    <row r="721" spans="2:5" ht="16.5" x14ac:dyDescent="0.2">
      <c r="B721" s="982"/>
      <c r="C721" s="985"/>
      <c r="D721" s="969"/>
      <c r="E721" s="969"/>
    </row>
    <row r="722" spans="2:5" ht="16.5" x14ac:dyDescent="0.2">
      <c r="B722" s="982"/>
      <c r="C722" s="985"/>
      <c r="D722" s="969"/>
      <c r="E722" s="969"/>
    </row>
    <row r="723" spans="2:5" ht="16.5" x14ac:dyDescent="0.2">
      <c r="B723" s="982"/>
      <c r="C723" s="985"/>
      <c r="D723" s="969"/>
      <c r="E723" s="969"/>
    </row>
    <row r="724" spans="2:5" ht="16.5" x14ac:dyDescent="0.2">
      <c r="B724" s="982"/>
      <c r="C724" s="985"/>
      <c r="D724" s="969"/>
      <c r="E724" s="969"/>
    </row>
    <row r="725" spans="2:5" ht="16.5" x14ac:dyDescent="0.2">
      <c r="B725" s="982"/>
      <c r="C725" s="985"/>
      <c r="D725" s="969"/>
      <c r="E725" s="969"/>
    </row>
    <row r="726" spans="2:5" ht="16.5" x14ac:dyDescent="0.2">
      <c r="B726" s="982"/>
      <c r="C726" s="985"/>
      <c r="D726" s="969"/>
      <c r="E726" s="969"/>
    </row>
    <row r="727" spans="2:5" ht="16.5" x14ac:dyDescent="0.2">
      <c r="B727" s="982"/>
      <c r="C727" s="985"/>
      <c r="D727" s="969"/>
      <c r="E727" s="969"/>
    </row>
    <row r="728" spans="2:5" ht="16.5" x14ac:dyDescent="0.2">
      <c r="B728" s="982"/>
      <c r="C728" s="985"/>
      <c r="D728" s="969"/>
      <c r="E728" s="969"/>
    </row>
    <row r="729" spans="2:5" ht="16.5" x14ac:dyDescent="0.2">
      <c r="B729" s="982"/>
      <c r="C729" s="985"/>
      <c r="D729" s="969"/>
      <c r="E729" s="969"/>
    </row>
    <row r="730" spans="2:5" ht="16.5" x14ac:dyDescent="0.2">
      <c r="B730" s="982"/>
      <c r="C730" s="985"/>
      <c r="D730" s="969"/>
      <c r="E730" s="969"/>
    </row>
    <row r="731" spans="2:5" ht="16.5" x14ac:dyDescent="0.2">
      <c r="B731" s="982"/>
      <c r="C731" s="985"/>
      <c r="D731" s="969"/>
      <c r="E731" s="969"/>
    </row>
    <row r="732" spans="2:5" ht="16.5" x14ac:dyDescent="0.2">
      <c r="B732" s="982"/>
      <c r="C732" s="985"/>
      <c r="D732" s="969"/>
      <c r="E732" s="969"/>
    </row>
    <row r="733" spans="2:5" ht="16.5" x14ac:dyDescent="0.2">
      <c r="B733" s="982"/>
      <c r="C733" s="985"/>
      <c r="D733" s="969"/>
      <c r="E733" s="969"/>
    </row>
    <row r="734" spans="2:5" ht="16.5" x14ac:dyDescent="0.2">
      <c r="B734" s="982"/>
      <c r="C734" s="985"/>
      <c r="D734" s="969"/>
      <c r="E734" s="969"/>
    </row>
    <row r="735" spans="2:5" ht="16.5" x14ac:dyDescent="0.2">
      <c r="B735" s="982"/>
      <c r="C735" s="985"/>
      <c r="D735" s="969"/>
      <c r="E735" s="969"/>
    </row>
    <row r="736" spans="2:5" ht="16.5" x14ac:dyDescent="0.2">
      <c r="B736" s="982"/>
      <c r="C736" s="985"/>
      <c r="D736" s="969"/>
      <c r="E736" s="969"/>
    </row>
    <row r="737" spans="2:5" ht="16.5" x14ac:dyDescent="0.2">
      <c r="B737" s="982"/>
      <c r="C737" s="985"/>
      <c r="D737" s="969"/>
      <c r="E737" s="969"/>
    </row>
    <row r="738" spans="2:5" ht="16.5" x14ac:dyDescent="0.2">
      <c r="B738" s="982"/>
      <c r="C738" s="985"/>
      <c r="D738" s="969"/>
      <c r="E738" s="969"/>
    </row>
    <row r="739" spans="2:5" ht="16.5" x14ac:dyDescent="0.2">
      <c r="B739" s="982"/>
      <c r="C739" s="985"/>
      <c r="D739" s="969"/>
      <c r="E739" s="969"/>
    </row>
    <row r="740" spans="2:5" ht="16.5" x14ac:dyDescent="0.2">
      <c r="B740" s="982"/>
      <c r="C740" s="985"/>
      <c r="D740" s="969"/>
      <c r="E740" s="969"/>
    </row>
    <row r="741" spans="2:5" ht="16.5" x14ac:dyDescent="0.2">
      <c r="B741" s="982"/>
      <c r="C741" s="985"/>
      <c r="D741" s="969"/>
      <c r="E741" s="969"/>
    </row>
    <row r="742" spans="2:5" ht="16.5" x14ac:dyDescent="0.2">
      <c r="B742" s="982"/>
      <c r="C742" s="985"/>
      <c r="D742" s="969"/>
      <c r="E742" s="969"/>
    </row>
    <row r="743" spans="2:5" ht="16.5" x14ac:dyDescent="0.2">
      <c r="B743" s="982"/>
      <c r="C743" s="985"/>
      <c r="D743" s="969"/>
      <c r="E743" s="969"/>
    </row>
    <row r="744" spans="2:5" ht="16.5" x14ac:dyDescent="0.2">
      <c r="B744" s="982"/>
      <c r="C744" s="985"/>
      <c r="D744" s="969"/>
      <c r="E744" s="969"/>
    </row>
    <row r="745" spans="2:5" ht="16.5" x14ac:dyDescent="0.2">
      <c r="B745" s="982"/>
      <c r="C745" s="985"/>
      <c r="D745" s="969"/>
      <c r="E745" s="969"/>
    </row>
    <row r="746" spans="2:5" ht="16.5" x14ac:dyDescent="0.2">
      <c r="B746" s="982"/>
      <c r="C746" s="985"/>
      <c r="D746" s="969"/>
      <c r="E746" s="969"/>
    </row>
    <row r="747" spans="2:5" ht="16.5" x14ac:dyDescent="0.2">
      <c r="B747" s="982"/>
      <c r="C747" s="985"/>
      <c r="D747" s="969"/>
      <c r="E747" s="969"/>
    </row>
    <row r="748" spans="2:5" ht="16.5" x14ac:dyDescent="0.2">
      <c r="B748" s="982"/>
      <c r="C748" s="985"/>
      <c r="D748" s="969"/>
      <c r="E748" s="969"/>
    </row>
    <row r="749" spans="2:5" ht="16.5" x14ac:dyDescent="0.2">
      <c r="B749" s="982"/>
      <c r="C749" s="985"/>
      <c r="D749" s="969"/>
      <c r="E749" s="969"/>
    </row>
    <row r="750" spans="2:5" ht="16.5" x14ac:dyDescent="0.2">
      <c r="B750" s="982"/>
      <c r="C750" s="985"/>
      <c r="D750" s="969"/>
      <c r="E750" s="969"/>
    </row>
    <row r="751" spans="2:5" ht="16.5" x14ac:dyDescent="0.2">
      <c r="B751" s="982"/>
      <c r="C751" s="985"/>
      <c r="D751" s="969"/>
      <c r="E751" s="969"/>
    </row>
    <row r="752" spans="2:5" ht="16.5" x14ac:dyDescent="0.2">
      <c r="B752" s="982"/>
      <c r="C752" s="985"/>
      <c r="D752" s="969"/>
      <c r="E752" s="969"/>
    </row>
    <row r="753" spans="2:5" ht="16.5" x14ac:dyDescent="0.2">
      <c r="B753" s="982"/>
      <c r="C753" s="985"/>
      <c r="D753" s="969"/>
      <c r="E753" s="969"/>
    </row>
    <row r="754" spans="2:5" ht="16.5" x14ac:dyDescent="0.2">
      <c r="B754" s="982"/>
      <c r="C754" s="985"/>
      <c r="D754" s="969"/>
      <c r="E754" s="969"/>
    </row>
    <row r="755" spans="2:5" ht="16.5" x14ac:dyDescent="0.2">
      <c r="B755" s="982"/>
      <c r="C755" s="985"/>
      <c r="D755" s="969"/>
      <c r="E755" s="969"/>
    </row>
    <row r="756" spans="2:5" ht="16.5" x14ac:dyDescent="0.2">
      <c r="B756" s="982"/>
      <c r="C756" s="985"/>
      <c r="D756" s="969"/>
      <c r="E756" s="969"/>
    </row>
    <row r="757" spans="2:5" ht="16.5" x14ac:dyDescent="0.2">
      <c r="B757" s="982"/>
      <c r="C757" s="985"/>
      <c r="D757" s="969"/>
      <c r="E757" s="969"/>
    </row>
    <row r="758" spans="2:5" ht="16.5" x14ac:dyDescent="0.2">
      <c r="B758" s="982"/>
      <c r="C758" s="985"/>
      <c r="D758" s="969"/>
      <c r="E758" s="969"/>
    </row>
    <row r="759" spans="2:5" ht="16.5" x14ac:dyDescent="0.2">
      <c r="B759" s="982"/>
      <c r="C759" s="985"/>
      <c r="D759" s="969"/>
      <c r="E759" s="969"/>
    </row>
    <row r="760" spans="2:5" ht="16.5" x14ac:dyDescent="0.2">
      <c r="B760" s="982"/>
      <c r="C760" s="985"/>
      <c r="D760" s="969"/>
      <c r="E760" s="969"/>
    </row>
    <row r="761" spans="2:5" ht="16.5" x14ac:dyDescent="0.2">
      <c r="B761" s="982"/>
      <c r="C761" s="983"/>
      <c r="D761" s="969"/>
      <c r="E761" s="969"/>
    </row>
    <row r="762" spans="2:5" ht="16.5" x14ac:dyDescent="0.2">
      <c r="B762" s="982"/>
      <c r="C762" s="985"/>
      <c r="D762" s="969"/>
      <c r="E762" s="969"/>
    </row>
    <row r="763" spans="2:5" ht="16.5" x14ac:dyDescent="0.2">
      <c r="B763" s="982"/>
      <c r="C763" s="985"/>
      <c r="D763" s="969"/>
      <c r="E763" s="969"/>
    </row>
    <row r="764" spans="2:5" ht="16.5" x14ac:dyDescent="0.2">
      <c r="B764" s="982"/>
      <c r="C764" s="985"/>
      <c r="D764" s="969"/>
      <c r="E764" s="969"/>
    </row>
    <row r="765" spans="2:5" ht="16.5" x14ac:dyDescent="0.2">
      <c r="B765" s="982"/>
      <c r="C765" s="983"/>
      <c r="D765" s="969"/>
      <c r="E765" s="969"/>
    </row>
    <row r="766" spans="2:5" ht="16.5" x14ac:dyDescent="0.2">
      <c r="B766" s="982"/>
      <c r="C766" s="985"/>
      <c r="D766" s="969"/>
      <c r="E766" s="969"/>
    </row>
    <row r="767" spans="2:5" ht="16.5" x14ac:dyDescent="0.2">
      <c r="B767" s="982"/>
      <c r="C767" s="985"/>
      <c r="D767" s="969"/>
      <c r="E767" s="969"/>
    </row>
    <row r="768" spans="2:5" ht="16.5" x14ac:dyDescent="0.2">
      <c r="B768" s="982"/>
      <c r="C768" s="985"/>
      <c r="D768" s="969"/>
      <c r="E768" s="969"/>
    </row>
    <row r="769" spans="2:5" ht="16.5" x14ac:dyDescent="0.2">
      <c r="B769" s="982"/>
      <c r="C769" s="985"/>
      <c r="D769" s="969"/>
      <c r="E769" s="969"/>
    </row>
    <row r="770" spans="2:5" ht="16.5" x14ac:dyDescent="0.2">
      <c r="B770" s="982"/>
      <c r="C770" s="985"/>
      <c r="D770" s="969"/>
      <c r="E770" s="969"/>
    </row>
    <row r="771" spans="2:5" ht="16.5" x14ac:dyDescent="0.2">
      <c r="B771" s="982"/>
      <c r="C771" s="985"/>
      <c r="D771" s="969"/>
      <c r="E771" s="969"/>
    </row>
    <row r="772" spans="2:5" ht="16.5" x14ac:dyDescent="0.2">
      <c r="B772" s="982"/>
      <c r="C772" s="985"/>
      <c r="D772" s="969"/>
      <c r="E772" s="969"/>
    </row>
    <row r="773" spans="2:5" ht="16.5" x14ac:dyDescent="0.2">
      <c r="B773" s="982"/>
      <c r="C773" s="985"/>
      <c r="D773" s="969"/>
      <c r="E773" s="969"/>
    </row>
    <row r="774" spans="2:5" ht="16.5" x14ac:dyDescent="0.2">
      <c r="B774" s="982"/>
      <c r="C774" s="985"/>
      <c r="D774" s="969"/>
      <c r="E774" s="969"/>
    </row>
    <row r="775" spans="2:5" ht="16.5" x14ac:dyDescent="0.2">
      <c r="B775" s="982"/>
      <c r="C775" s="985"/>
      <c r="D775" s="969"/>
      <c r="E775" s="969"/>
    </row>
    <row r="776" spans="2:5" ht="16.5" x14ac:dyDescent="0.2">
      <c r="B776" s="982"/>
      <c r="C776" s="985"/>
      <c r="D776" s="969"/>
      <c r="E776" s="969"/>
    </row>
    <row r="777" spans="2:5" ht="16.5" x14ac:dyDescent="0.2">
      <c r="B777" s="982"/>
      <c r="C777" s="985"/>
      <c r="D777" s="969"/>
      <c r="E777" s="969"/>
    </row>
    <row r="778" spans="2:5" ht="16.5" x14ac:dyDescent="0.2">
      <c r="B778" s="982"/>
      <c r="C778" s="985"/>
      <c r="D778" s="969"/>
      <c r="E778" s="969"/>
    </row>
    <row r="779" spans="2:5" ht="16.5" x14ac:dyDescent="0.2">
      <c r="B779" s="982"/>
      <c r="C779" s="985"/>
      <c r="D779" s="969"/>
      <c r="E779" s="969"/>
    </row>
    <row r="780" spans="2:5" ht="16.5" x14ac:dyDescent="0.2">
      <c r="B780" s="982"/>
      <c r="C780" s="985"/>
      <c r="D780" s="969"/>
      <c r="E780" s="969"/>
    </row>
    <row r="781" spans="2:5" ht="16.5" x14ac:dyDescent="0.2">
      <c r="B781" s="982"/>
      <c r="C781" s="985"/>
      <c r="D781" s="969"/>
      <c r="E781" s="969"/>
    </row>
    <row r="782" spans="2:5" ht="16.5" x14ac:dyDescent="0.2">
      <c r="B782" s="982"/>
      <c r="C782" s="985"/>
      <c r="D782" s="969"/>
      <c r="E782" s="969"/>
    </row>
    <row r="783" spans="2:5" ht="16.5" x14ac:dyDescent="0.2">
      <c r="B783" s="982"/>
      <c r="C783" s="985"/>
      <c r="D783" s="969"/>
      <c r="E783" s="969"/>
    </row>
    <row r="784" spans="2:5" ht="16.5" x14ac:dyDescent="0.2">
      <c r="B784" s="982"/>
      <c r="C784" s="985"/>
      <c r="D784" s="969"/>
      <c r="E784" s="969"/>
    </row>
    <row r="785" spans="2:5" ht="16.5" x14ac:dyDescent="0.2">
      <c r="B785" s="982"/>
      <c r="C785" s="985"/>
      <c r="D785" s="969"/>
      <c r="E785" s="969"/>
    </row>
    <row r="786" spans="2:5" ht="16.5" x14ac:dyDescent="0.2">
      <c r="B786" s="982"/>
      <c r="C786" s="985"/>
      <c r="D786" s="969"/>
      <c r="E786" s="969"/>
    </row>
    <row r="787" spans="2:5" ht="16.5" x14ac:dyDescent="0.2">
      <c r="B787" s="982"/>
      <c r="C787" s="985"/>
      <c r="D787" s="969"/>
      <c r="E787" s="969"/>
    </row>
    <row r="788" spans="2:5" ht="16.5" x14ac:dyDescent="0.2">
      <c r="B788" s="982"/>
      <c r="C788" s="985"/>
      <c r="D788" s="969"/>
      <c r="E788" s="969"/>
    </row>
    <row r="789" spans="2:5" ht="16.5" x14ac:dyDescent="0.2">
      <c r="B789" s="982"/>
      <c r="C789" s="985"/>
      <c r="D789" s="969"/>
      <c r="E789" s="969"/>
    </row>
    <row r="790" spans="2:5" ht="16.5" x14ac:dyDescent="0.2">
      <c r="B790" s="982"/>
      <c r="C790" s="985"/>
      <c r="D790" s="969"/>
      <c r="E790" s="969"/>
    </row>
    <row r="791" spans="2:5" ht="16.5" x14ac:dyDescent="0.2">
      <c r="B791" s="982"/>
      <c r="C791" s="985"/>
      <c r="D791" s="969"/>
      <c r="E791" s="969"/>
    </row>
    <row r="792" spans="2:5" ht="16.5" x14ac:dyDescent="0.2">
      <c r="B792" s="982"/>
      <c r="C792" s="985"/>
      <c r="D792" s="969"/>
      <c r="E792" s="969"/>
    </row>
    <row r="793" spans="2:5" ht="16.5" x14ac:dyDescent="0.2">
      <c r="B793" s="982"/>
      <c r="C793" s="985"/>
      <c r="D793" s="969"/>
      <c r="E793" s="969"/>
    </row>
    <row r="794" spans="2:5" ht="16.5" x14ac:dyDescent="0.2">
      <c r="B794" s="982"/>
      <c r="C794" s="985"/>
      <c r="D794" s="969"/>
      <c r="E794" s="969"/>
    </row>
    <row r="795" spans="2:5" ht="16.5" x14ac:dyDescent="0.2">
      <c r="B795" s="982"/>
      <c r="C795" s="985"/>
      <c r="D795" s="969"/>
      <c r="E795" s="969"/>
    </row>
    <row r="796" spans="2:5" ht="16.5" x14ac:dyDescent="0.2">
      <c r="B796" s="982"/>
      <c r="C796" s="985"/>
      <c r="D796" s="969"/>
      <c r="E796" s="969"/>
    </row>
    <row r="797" spans="2:5" ht="16.5" x14ac:dyDescent="0.2">
      <c r="B797" s="982"/>
      <c r="C797" s="985"/>
      <c r="D797" s="969"/>
      <c r="E797" s="969"/>
    </row>
    <row r="798" spans="2:5" ht="16.5" x14ac:dyDescent="0.2">
      <c r="B798" s="982"/>
      <c r="C798" s="985"/>
      <c r="D798" s="969"/>
      <c r="E798" s="969"/>
    </row>
    <row r="799" spans="2:5" ht="16.5" x14ac:dyDescent="0.2">
      <c r="B799" s="982"/>
      <c r="C799" s="985"/>
      <c r="D799" s="969"/>
      <c r="E799" s="969"/>
    </row>
    <row r="800" spans="2:5" ht="16.5" x14ac:dyDescent="0.2">
      <c r="B800" s="982"/>
      <c r="C800" s="985"/>
      <c r="D800" s="969"/>
      <c r="E800" s="969"/>
    </row>
    <row r="801" spans="2:5" ht="16.5" x14ac:dyDescent="0.2">
      <c r="B801" s="982"/>
      <c r="C801" s="985"/>
      <c r="D801" s="969"/>
      <c r="E801" s="969"/>
    </row>
    <row r="802" spans="2:5" ht="16.5" x14ac:dyDescent="0.2">
      <c r="B802" s="982"/>
      <c r="C802" s="985"/>
      <c r="D802" s="969"/>
      <c r="E802" s="969"/>
    </row>
    <row r="803" spans="2:5" ht="16.5" x14ac:dyDescent="0.2">
      <c r="B803" s="982"/>
      <c r="C803" s="985"/>
      <c r="D803" s="969"/>
      <c r="E803" s="969"/>
    </row>
    <row r="804" spans="2:5" ht="16.5" x14ac:dyDescent="0.2">
      <c r="B804" s="982"/>
      <c r="C804" s="985"/>
      <c r="D804" s="969"/>
      <c r="E804" s="969"/>
    </row>
    <row r="805" spans="2:5" ht="16.5" x14ac:dyDescent="0.2">
      <c r="B805" s="982"/>
      <c r="C805" s="985"/>
      <c r="D805" s="969"/>
      <c r="E805" s="969"/>
    </row>
    <row r="806" spans="2:5" ht="16.5" x14ac:dyDescent="0.2">
      <c r="B806" s="982"/>
      <c r="C806" s="982"/>
      <c r="D806" s="969"/>
      <c r="E806" s="969"/>
    </row>
    <row r="807" spans="2:5" ht="16.5" x14ac:dyDescent="0.2">
      <c r="B807" s="982"/>
      <c r="C807" s="983"/>
      <c r="D807" s="969"/>
      <c r="E807" s="969"/>
    </row>
    <row r="808" spans="2:5" ht="16.5" x14ac:dyDescent="0.2">
      <c r="B808" s="982"/>
      <c r="C808" s="985"/>
      <c r="D808" s="969"/>
      <c r="E808" s="969"/>
    </row>
    <row r="809" spans="2:5" ht="16.5" x14ac:dyDescent="0.2">
      <c r="B809" s="982"/>
      <c r="C809" s="985"/>
      <c r="D809" s="969"/>
      <c r="E809" s="969"/>
    </row>
    <row r="810" spans="2:5" ht="16.5" x14ac:dyDescent="0.2">
      <c r="B810" s="982"/>
      <c r="C810" s="985"/>
      <c r="D810" s="969"/>
      <c r="E810" s="969"/>
    </row>
    <row r="811" spans="2:5" ht="16.5" x14ac:dyDescent="0.2">
      <c r="B811" s="982"/>
      <c r="C811" s="985"/>
      <c r="D811" s="969"/>
      <c r="E811" s="969"/>
    </row>
    <row r="812" spans="2:5" ht="16.5" x14ac:dyDescent="0.2">
      <c r="B812" s="982"/>
      <c r="C812" s="985"/>
      <c r="D812" s="969"/>
      <c r="E812" s="969"/>
    </row>
    <row r="813" spans="2:5" ht="16.5" x14ac:dyDescent="0.2">
      <c r="B813" s="982"/>
      <c r="C813" s="985"/>
      <c r="D813" s="969"/>
      <c r="E813" s="969"/>
    </row>
    <row r="814" spans="2:5" ht="16.5" x14ac:dyDescent="0.2">
      <c r="B814" s="982"/>
      <c r="C814" s="985"/>
      <c r="D814" s="969"/>
      <c r="E814" s="969"/>
    </row>
    <row r="815" spans="2:5" ht="16.5" x14ac:dyDescent="0.2">
      <c r="B815" s="982"/>
      <c r="C815" s="985"/>
      <c r="D815" s="969"/>
      <c r="E815" s="969"/>
    </row>
    <row r="816" spans="2:5" ht="16.5" x14ac:dyDescent="0.2">
      <c r="B816" s="982"/>
      <c r="C816" s="985"/>
      <c r="D816" s="969"/>
      <c r="E816" s="969"/>
    </row>
    <row r="817" spans="2:5" ht="16.5" x14ac:dyDescent="0.2">
      <c r="B817" s="982"/>
      <c r="C817" s="985"/>
      <c r="D817" s="969"/>
      <c r="E817" s="969"/>
    </row>
    <row r="818" spans="2:5" ht="16.5" x14ac:dyDescent="0.2">
      <c r="B818" s="982"/>
      <c r="C818" s="985"/>
      <c r="D818" s="969"/>
      <c r="E818" s="969"/>
    </row>
    <row r="819" spans="2:5" ht="16.5" x14ac:dyDescent="0.2">
      <c r="B819" s="982"/>
      <c r="C819" s="985"/>
      <c r="D819" s="969"/>
      <c r="E819" s="969"/>
    </row>
    <row r="820" spans="2:5" ht="16.5" x14ac:dyDescent="0.2">
      <c r="B820" s="982"/>
      <c r="C820" s="985"/>
      <c r="D820" s="969"/>
      <c r="E820" s="969"/>
    </row>
    <row r="821" spans="2:5" ht="16.5" x14ac:dyDescent="0.2">
      <c r="B821" s="982"/>
      <c r="C821" s="985"/>
      <c r="D821" s="969"/>
      <c r="E821" s="969"/>
    </row>
    <row r="822" spans="2:5" ht="16.5" x14ac:dyDescent="0.2">
      <c r="B822" s="982"/>
      <c r="C822" s="985"/>
      <c r="D822" s="969"/>
      <c r="E822" s="969"/>
    </row>
    <row r="823" spans="2:5" ht="16.5" x14ac:dyDescent="0.2">
      <c r="B823" s="982"/>
      <c r="C823" s="985"/>
      <c r="D823" s="969"/>
      <c r="E823" s="969"/>
    </row>
    <row r="824" spans="2:5" ht="16.5" x14ac:dyDescent="0.2">
      <c r="B824" s="982"/>
      <c r="C824" s="985"/>
      <c r="D824" s="969"/>
      <c r="E824" s="969"/>
    </row>
    <row r="825" spans="2:5" ht="16.5" x14ac:dyDescent="0.2">
      <c r="B825" s="982"/>
      <c r="C825" s="983"/>
      <c r="D825" s="969"/>
      <c r="E825" s="969"/>
    </row>
    <row r="826" spans="2:5" ht="16.5" x14ac:dyDescent="0.2">
      <c r="B826" s="982"/>
      <c r="C826" s="985"/>
      <c r="D826" s="969"/>
      <c r="E826" s="969"/>
    </row>
    <row r="827" spans="2:5" ht="16.5" x14ac:dyDescent="0.2">
      <c r="B827" s="982"/>
      <c r="C827" s="985"/>
      <c r="D827" s="969"/>
      <c r="E827" s="969"/>
    </row>
    <row r="828" spans="2:5" ht="16.5" x14ac:dyDescent="0.2">
      <c r="B828" s="982"/>
      <c r="C828" s="983"/>
      <c r="D828" s="969"/>
      <c r="E828" s="969"/>
    </row>
    <row r="829" spans="2:5" ht="16.5" x14ac:dyDescent="0.2">
      <c r="B829" s="982"/>
      <c r="C829" s="985"/>
      <c r="D829" s="969"/>
      <c r="E829" s="969"/>
    </row>
    <row r="830" spans="2:5" ht="16.5" x14ac:dyDescent="0.2">
      <c r="B830" s="982"/>
      <c r="C830" s="985"/>
      <c r="D830" s="969"/>
      <c r="E830" s="969"/>
    </row>
    <row r="831" spans="2:5" ht="16.5" x14ac:dyDescent="0.2">
      <c r="B831" s="982"/>
      <c r="C831" s="983"/>
      <c r="D831" s="969"/>
      <c r="E831" s="969"/>
    </row>
    <row r="832" spans="2:5" ht="16.5" x14ac:dyDescent="0.2">
      <c r="B832" s="982"/>
      <c r="C832" s="985"/>
      <c r="D832" s="969"/>
      <c r="E832" s="969"/>
    </row>
    <row r="833" spans="2:5" ht="16.5" x14ac:dyDescent="0.2">
      <c r="B833" s="982"/>
      <c r="C833" s="985"/>
      <c r="D833" s="969"/>
      <c r="E833" s="969"/>
    </row>
    <row r="834" spans="2:5" ht="16.5" x14ac:dyDescent="0.2">
      <c r="B834" s="982"/>
      <c r="C834" s="983"/>
      <c r="D834" s="969"/>
      <c r="E834" s="969"/>
    </row>
    <row r="835" spans="2:5" ht="16.5" x14ac:dyDescent="0.2">
      <c r="B835" s="982"/>
      <c r="C835" s="985"/>
      <c r="D835" s="969"/>
      <c r="E835" s="969"/>
    </row>
    <row r="836" spans="2:5" ht="16.5" x14ac:dyDescent="0.2">
      <c r="B836" s="982"/>
      <c r="C836" s="985"/>
      <c r="D836" s="969"/>
      <c r="E836" s="969"/>
    </row>
    <row r="837" spans="2:5" ht="16.5" x14ac:dyDescent="0.2">
      <c r="B837" s="982"/>
      <c r="C837" s="985"/>
      <c r="D837" s="969"/>
      <c r="E837" s="969"/>
    </row>
    <row r="838" spans="2:5" ht="16.5" x14ac:dyDescent="0.2">
      <c r="B838" s="982"/>
      <c r="C838" s="985"/>
      <c r="D838" s="969"/>
      <c r="E838" s="969"/>
    </row>
    <row r="839" spans="2:5" ht="16.5" x14ac:dyDescent="0.2">
      <c r="B839" s="982"/>
      <c r="C839" s="983"/>
      <c r="D839" s="969"/>
      <c r="E839" s="969"/>
    </row>
    <row r="840" spans="2:5" ht="16.5" x14ac:dyDescent="0.2">
      <c r="B840" s="982"/>
      <c r="C840" s="985"/>
      <c r="D840" s="969"/>
      <c r="E840" s="969"/>
    </row>
    <row r="841" spans="2:5" ht="16.5" x14ac:dyDescent="0.2">
      <c r="B841" s="982"/>
      <c r="C841" s="985"/>
      <c r="D841" s="969"/>
      <c r="E841" s="969"/>
    </row>
    <row r="842" spans="2:5" ht="16.5" x14ac:dyDescent="0.2">
      <c r="B842" s="982"/>
      <c r="C842" s="985"/>
      <c r="D842" s="969"/>
      <c r="E842" s="969"/>
    </row>
    <row r="843" spans="2:5" ht="16.5" x14ac:dyDescent="0.2">
      <c r="B843" s="982"/>
      <c r="C843" s="985"/>
      <c r="D843" s="969"/>
      <c r="E843" s="969"/>
    </row>
    <row r="844" spans="2:5" ht="16.5" x14ac:dyDescent="0.2">
      <c r="B844" s="982"/>
      <c r="C844" s="985"/>
      <c r="D844" s="969"/>
      <c r="E844" s="969"/>
    </row>
    <row r="845" spans="2:5" ht="16.5" x14ac:dyDescent="0.2">
      <c r="B845" s="982"/>
      <c r="C845" s="985"/>
      <c r="D845" s="969"/>
      <c r="E845" s="969"/>
    </row>
    <row r="846" spans="2:5" ht="16.5" x14ac:dyDescent="0.2">
      <c r="B846" s="982"/>
      <c r="C846" s="985"/>
      <c r="D846" s="969"/>
      <c r="E846" s="969"/>
    </row>
    <row r="847" spans="2:5" ht="16.5" x14ac:dyDescent="0.2">
      <c r="B847" s="982"/>
      <c r="C847" s="985"/>
      <c r="D847" s="969"/>
      <c r="E847" s="969"/>
    </row>
    <row r="848" spans="2:5" ht="16.5" x14ac:dyDescent="0.2">
      <c r="B848" s="982"/>
      <c r="C848" s="985"/>
      <c r="D848" s="969"/>
      <c r="E848" s="969"/>
    </row>
    <row r="849" spans="2:5" ht="16.5" x14ac:dyDescent="0.2">
      <c r="B849" s="982"/>
      <c r="C849" s="985"/>
      <c r="D849" s="969"/>
      <c r="E849" s="969"/>
    </row>
    <row r="850" spans="2:5" ht="16.5" x14ac:dyDescent="0.2">
      <c r="B850" s="982"/>
      <c r="C850" s="985"/>
      <c r="D850" s="969"/>
      <c r="E850" s="969"/>
    </row>
    <row r="851" spans="2:5" ht="16.5" x14ac:dyDescent="0.2">
      <c r="B851" s="982"/>
      <c r="C851" s="982"/>
      <c r="D851" s="969"/>
      <c r="E851" s="969"/>
    </row>
    <row r="852" spans="2:5" ht="16.5" x14ac:dyDescent="0.2">
      <c r="B852" s="982"/>
      <c r="C852" s="983"/>
      <c r="D852" s="969"/>
      <c r="E852" s="969"/>
    </row>
    <row r="853" spans="2:5" ht="16.5" x14ac:dyDescent="0.2">
      <c r="B853" s="982"/>
      <c r="C853" s="985"/>
      <c r="D853" s="969"/>
      <c r="E853" s="969"/>
    </row>
    <row r="854" spans="2:5" ht="16.5" x14ac:dyDescent="0.2">
      <c r="B854" s="982"/>
      <c r="C854" s="985"/>
      <c r="D854" s="969"/>
      <c r="E854" s="969"/>
    </row>
    <row r="855" spans="2:5" ht="16.5" x14ac:dyDescent="0.2">
      <c r="B855" s="982"/>
      <c r="C855" s="985"/>
      <c r="D855" s="969"/>
      <c r="E855" s="969"/>
    </row>
    <row r="856" spans="2:5" ht="16.5" x14ac:dyDescent="0.2">
      <c r="B856" s="982"/>
      <c r="C856" s="983"/>
      <c r="D856" s="969"/>
      <c r="E856" s="969"/>
    </row>
    <row r="857" spans="2:5" ht="16.5" x14ac:dyDescent="0.2">
      <c r="B857" s="982"/>
      <c r="C857" s="985"/>
      <c r="D857" s="969"/>
      <c r="E857" s="969"/>
    </row>
    <row r="858" spans="2:5" ht="16.5" x14ac:dyDescent="0.2">
      <c r="B858" s="982"/>
      <c r="C858" s="985"/>
      <c r="D858" s="969"/>
      <c r="E858" s="969"/>
    </row>
    <row r="859" spans="2:5" ht="16.5" x14ac:dyDescent="0.2">
      <c r="B859" s="982"/>
      <c r="C859" s="985"/>
      <c r="D859" s="969"/>
      <c r="E859" s="969"/>
    </row>
    <row r="860" spans="2:5" ht="16.5" x14ac:dyDescent="0.2">
      <c r="B860" s="982"/>
      <c r="C860" s="985"/>
      <c r="D860" s="969"/>
      <c r="E860" s="969"/>
    </row>
    <row r="861" spans="2:5" ht="16.5" x14ac:dyDescent="0.2">
      <c r="B861" s="982"/>
      <c r="C861" s="985"/>
      <c r="D861" s="969"/>
      <c r="E861" s="969"/>
    </row>
    <row r="862" spans="2:5" ht="16.5" x14ac:dyDescent="0.2">
      <c r="B862" s="982"/>
      <c r="C862" s="985"/>
      <c r="D862" s="969"/>
      <c r="E862" s="969"/>
    </row>
    <row r="863" spans="2:5" ht="16.5" x14ac:dyDescent="0.2">
      <c r="B863" s="982"/>
      <c r="C863" s="985"/>
      <c r="D863" s="969"/>
      <c r="E863" s="969"/>
    </row>
    <row r="864" spans="2:5" ht="16.5" x14ac:dyDescent="0.2">
      <c r="B864" s="982"/>
      <c r="C864" s="985"/>
      <c r="D864" s="969"/>
      <c r="E864" s="969"/>
    </row>
    <row r="865" spans="2:5" ht="16.5" x14ac:dyDescent="0.2">
      <c r="B865" s="982"/>
      <c r="C865" s="985"/>
      <c r="D865" s="969"/>
      <c r="E865" s="969"/>
    </row>
    <row r="866" spans="2:5" ht="16.5" x14ac:dyDescent="0.2">
      <c r="B866" s="982"/>
      <c r="C866" s="985"/>
      <c r="D866" s="969"/>
      <c r="E866" s="969"/>
    </row>
    <row r="867" spans="2:5" ht="16.5" x14ac:dyDescent="0.2">
      <c r="B867" s="982"/>
      <c r="C867" s="985"/>
      <c r="D867" s="969"/>
      <c r="E867" s="969"/>
    </row>
    <row r="868" spans="2:5" ht="16.5" x14ac:dyDescent="0.2">
      <c r="B868" s="982"/>
      <c r="C868" s="982"/>
      <c r="D868" s="969"/>
      <c r="E868" s="969"/>
    </row>
    <row r="869" spans="2:5" ht="16.5" x14ac:dyDescent="0.2">
      <c r="B869" s="982"/>
      <c r="C869" s="983"/>
      <c r="D869" s="969"/>
      <c r="E869" s="969"/>
    </row>
    <row r="870" spans="2:5" ht="16.5" x14ac:dyDescent="0.2">
      <c r="B870" s="982"/>
      <c r="C870" s="985"/>
      <c r="D870" s="969"/>
      <c r="E870" s="969"/>
    </row>
    <row r="871" spans="2:5" ht="16.5" x14ac:dyDescent="0.2">
      <c r="B871" s="982"/>
      <c r="C871" s="985"/>
      <c r="D871" s="969"/>
      <c r="E871" s="969"/>
    </row>
    <row r="872" spans="2:5" ht="16.5" x14ac:dyDescent="0.2">
      <c r="B872" s="982"/>
      <c r="C872" s="985"/>
      <c r="D872" s="969"/>
      <c r="E872" s="969"/>
    </row>
    <row r="873" spans="2:5" ht="16.5" x14ac:dyDescent="0.2">
      <c r="B873" s="982"/>
      <c r="C873" s="985"/>
      <c r="D873" s="969"/>
      <c r="E873" s="969"/>
    </row>
    <row r="874" spans="2:5" ht="16.5" x14ac:dyDescent="0.2">
      <c r="B874" s="982"/>
      <c r="C874" s="985"/>
      <c r="D874" s="969"/>
      <c r="E874" s="969"/>
    </row>
    <row r="875" spans="2:5" ht="16.5" x14ac:dyDescent="0.2">
      <c r="B875" s="982"/>
      <c r="C875" s="985"/>
      <c r="D875" s="969"/>
      <c r="E875" s="969"/>
    </row>
    <row r="876" spans="2:5" ht="16.5" x14ac:dyDescent="0.2">
      <c r="B876" s="982"/>
      <c r="C876" s="985"/>
      <c r="D876" s="969"/>
      <c r="E876" s="969"/>
    </row>
    <row r="877" spans="2:5" ht="16.5" x14ac:dyDescent="0.2">
      <c r="B877" s="982"/>
      <c r="C877" s="985"/>
      <c r="D877" s="969"/>
      <c r="E877" s="969"/>
    </row>
    <row r="878" spans="2:5" ht="16.5" x14ac:dyDescent="0.2">
      <c r="B878" s="982"/>
      <c r="C878" s="985"/>
      <c r="D878" s="969"/>
      <c r="E878" s="969"/>
    </row>
    <row r="879" spans="2:5" ht="16.5" x14ac:dyDescent="0.2">
      <c r="B879" s="982"/>
      <c r="C879" s="985"/>
      <c r="D879" s="969"/>
      <c r="E879" s="969"/>
    </row>
    <row r="880" spans="2:5" ht="16.5" x14ac:dyDescent="0.2">
      <c r="B880" s="982"/>
      <c r="C880" s="985"/>
      <c r="D880" s="969"/>
      <c r="E880" s="969"/>
    </row>
    <row r="881" spans="2:5" ht="16.5" x14ac:dyDescent="0.2">
      <c r="B881" s="982"/>
      <c r="C881" s="985"/>
      <c r="D881" s="969"/>
      <c r="E881" s="969"/>
    </row>
    <row r="882" spans="2:5" ht="16.5" x14ac:dyDescent="0.2">
      <c r="B882" s="982"/>
      <c r="C882" s="985"/>
      <c r="D882" s="969"/>
      <c r="E882" s="969"/>
    </row>
    <row r="883" spans="2:5" ht="16.5" x14ac:dyDescent="0.2">
      <c r="B883" s="982"/>
      <c r="C883" s="985"/>
      <c r="D883" s="969"/>
      <c r="E883" s="969"/>
    </row>
    <row r="884" spans="2:5" ht="16.5" x14ac:dyDescent="0.2">
      <c r="B884" s="982"/>
      <c r="C884" s="985"/>
      <c r="D884" s="969"/>
      <c r="E884" s="969"/>
    </row>
    <row r="885" spans="2:5" ht="16.5" x14ac:dyDescent="0.2">
      <c r="B885" s="982"/>
      <c r="C885" s="985"/>
      <c r="D885" s="969"/>
      <c r="E885" s="969"/>
    </row>
    <row r="886" spans="2:5" ht="16.5" x14ac:dyDescent="0.2">
      <c r="B886" s="982"/>
      <c r="C886" s="985"/>
      <c r="D886" s="969"/>
      <c r="E886" s="969"/>
    </row>
    <row r="887" spans="2:5" ht="16.5" x14ac:dyDescent="0.2">
      <c r="B887" s="982"/>
      <c r="C887" s="985"/>
      <c r="D887" s="969"/>
      <c r="E887" s="969"/>
    </row>
    <row r="888" spans="2:5" ht="16.5" x14ac:dyDescent="0.2">
      <c r="B888" s="982"/>
      <c r="C888" s="985"/>
      <c r="D888" s="969"/>
      <c r="E888" s="969"/>
    </row>
    <row r="889" spans="2:5" ht="16.5" x14ac:dyDescent="0.2">
      <c r="B889" s="982"/>
      <c r="C889" s="985"/>
      <c r="D889" s="969"/>
      <c r="E889" s="969"/>
    </row>
    <row r="890" spans="2:5" ht="16.5" x14ac:dyDescent="0.2">
      <c r="B890" s="982"/>
      <c r="C890" s="985"/>
      <c r="D890" s="969"/>
      <c r="E890" s="969"/>
    </row>
    <row r="891" spans="2:5" ht="16.5" x14ac:dyDescent="0.2">
      <c r="B891" s="982"/>
      <c r="C891" s="985"/>
      <c r="D891" s="969"/>
      <c r="E891" s="969"/>
    </row>
    <row r="892" spans="2:5" ht="16.5" x14ac:dyDescent="0.2">
      <c r="B892" s="982"/>
      <c r="C892" s="985"/>
      <c r="D892" s="969"/>
      <c r="E892" s="969"/>
    </row>
    <row r="893" spans="2:5" ht="16.5" x14ac:dyDescent="0.2">
      <c r="B893" s="982"/>
      <c r="C893" s="985"/>
      <c r="D893" s="969"/>
      <c r="E893" s="969"/>
    </row>
    <row r="894" spans="2:5" ht="16.5" x14ac:dyDescent="0.2">
      <c r="B894" s="982"/>
      <c r="C894" s="985"/>
      <c r="D894" s="969"/>
      <c r="E894" s="969"/>
    </row>
    <row r="895" spans="2:5" ht="16.5" x14ac:dyDescent="0.2">
      <c r="B895" s="982"/>
      <c r="C895" s="985"/>
      <c r="D895" s="969"/>
      <c r="E895" s="969"/>
    </row>
    <row r="896" spans="2:5" ht="16.5" x14ac:dyDescent="0.2">
      <c r="B896" s="982"/>
      <c r="C896" s="985"/>
      <c r="D896" s="969"/>
      <c r="E896" s="969"/>
    </row>
    <row r="897" spans="2:5" ht="16.5" x14ac:dyDescent="0.2">
      <c r="B897" s="982"/>
      <c r="C897" s="985"/>
      <c r="D897" s="969"/>
      <c r="E897" s="969"/>
    </row>
    <row r="898" spans="2:5" ht="16.5" x14ac:dyDescent="0.2">
      <c r="B898" s="982"/>
      <c r="C898" s="985"/>
      <c r="D898" s="969"/>
      <c r="E898" s="969"/>
    </row>
    <row r="899" spans="2:5" ht="16.5" x14ac:dyDescent="0.2">
      <c r="B899" s="982"/>
      <c r="C899" s="985"/>
      <c r="D899" s="969"/>
      <c r="E899" s="969"/>
    </row>
    <row r="900" spans="2:5" ht="16.5" x14ac:dyDescent="0.2">
      <c r="B900" s="982"/>
      <c r="C900" s="985"/>
      <c r="D900" s="969"/>
      <c r="E900" s="969"/>
    </row>
    <row r="901" spans="2:5" ht="16.5" x14ac:dyDescent="0.2">
      <c r="B901" s="982"/>
      <c r="C901" s="985"/>
      <c r="D901" s="969"/>
      <c r="E901" s="969"/>
    </row>
    <row r="902" spans="2:5" ht="16.5" x14ac:dyDescent="0.2">
      <c r="B902" s="982"/>
      <c r="C902" s="985"/>
      <c r="D902" s="969"/>
      <c r="E902" s="969"/>
    </row>
    <row r="903" spans="2:5" ht="16.5" x14ac:dyDescent="0.2">
      <c r="B903" s="982"/>
      <c r="C903" s="985"/>
      <c r="D903" s="969"/>
      <c r="E903" s="969"/>
    </row>
    <row r="904" spans="2:5" ht="16.5" x14ac:dyDescent="0.2">
      <c r="B904" s="982"/>
      <c r="C904" s="985"/>
      <c r="D904" s="969"/>
      <c r="E904" s="969"/>
    </row>
    <row r="905" spans="2:5" ht="16.5" x14ac:dyDescent="0.2">
      <c r="B905" s="982"/>
      <c r="C905" s="982"/>
      <c r="D905" s="969"/>
      <c r="E905" s="969"/>
    </row>
    <row r="906" spans="2:5" ht="16.5" x14ac:dyDescent="0.2">
      <c r="B906" s="982"/>
      <c r="C906" s="983"/>
      <c r="D906" s="969"/>
      <c r="E906" s="969"/>
    </row>
    <row r="907" spans="2:5" ht="16.5" x14ac:dyDescent="0.2">
      <c r="B907" s="982"/>
      <c r="C907" s="985"/>
      <c r="D907" s="969"/>
      <c r="E907" s="969"/>
    </row>
    <row r="908" spans="2:5" ht="16.5" x14ac:dyDescent="0.2">
      <c r="B908" s="982"/>
      <c r="C908" s="985"/>
      <c r="D908" s="969"/>
      <c r="E908" s="969"/>
    </row>
    <row r="909" spans="2:5" ht="16.5" x14ac:dyDescent="0.2">
      <c r="B909" s="982"/>
      <c r="C909" s="985"/>
      <c r="D909" s="969"/>
      <c r="E909" s="969"/>
    </row>
    <row r="910" spans="2:5" ht="16.5" x14ac:dyDescent="0.2">
      <c r="B910" s="982"/>
      <c r="C910" s="985"/>
      <c r="D910" s="969"/>
      <c r="E910" s="969"/>
    </row>
    <row r="911" spans="2:5" ht="16.5" x14ac:dyDescent="0.2">
      <c r="B911" s="982"/>
      <c r="C911" s="985"/>
      <c r="D911" s="969"/>
      <c r="E911" s="969"/>
    </row>
    <row r="912" spans="2:5" ht="16.5" x14ac:dyDescent="0.2">
      <c r="B912" s="982"/>
      <c r="C912" s="985"/>
      <c r="D912" s="969"/>
      <c r="E912" s="969"/>
    </row>
    <row r="913" spans="2:5" ht="16.5" x14ac:dyDescent="0.2">
      <c r="B913" s="982"/>
      <c r="C913" s="985"/>
      <c r="D913" s="969"/>
      <c r="E913" s="969"/>
    </row>
    <row r="914" spans="2:5" ht="16.5" x14ac:dyDescent="0.2">
      <c r="B914" s="982"/>
      <c r="C914" s="985"/>
      <c r="D914" s="969"/>
      <c r="E914" s="969"/>
    </row>
    <row r="915" spans="2:5" ht="16.5" x14ac:dyDescent="0.2">
      <c r="B915" s="982"/>
      <c r="C915" s="985"/>
      <c r="D915" s="969"/>
      <c r="E915" s="969"/>
    </row>
    <row r="916" spans="2:5" ht="16.5" x14ac:dyDescent="0.2">
      <c r="B916" s="982"/>
      <c r="C916" s="983"/>
      <c r="D916" s="969"/>
      <c r="E916" s="969"/>
    </row>
    <row r="917" spans="2:5" ht="16.5" x14ac:dyDescent="0.2">
      <c r="B917" s="982"/>
      <c r="C917" s="985"/>
      <c r="D917" s="969"/>
      <c r="E917" s="969"/>
    </row>
    <row r="918" spans="2:5" ht="16.5" x14ac:dyDescent="0.2">
      <c r="B918" s="982"/>
      <c r="C918" s="985"/>
      <c r="D918" s="969"/>
      <c r="E918" s="969"/>
    </row>
    <row r="919" spans="2:5" ht="16.5" x14ac:dyDescent="0.2">
      <c r="B919" s="982"/>
      <c r="C919" s="985"/>
      <c r="D919" s="969"/>
      <c r="E919" s="969"/>
    </row>
    <row r="920" spans="2:5" ht="16.5" x14ac:dyDescent="0.2">
      <c r="B920" s="982"/>
      <c r="C920" s="985"/>
      <c r="D920" s="969"/>
      <c r="E920" s="969"/>
    </row>
    <row r="921" spans="2:5" ht="16.5" x14ac:dyDescent="0.2">
      <c r="B921" s="982"/>
      <c r="C921" s="985"/>
      <c r="D921" s="969"/>
      <c r="E921" s="969"/>
    </row>
    <row r="922" spans="2:5" ht="16.5" x14ac:dyDescent="0.2">
      <c r="B922" s="982"/>
      <c r="C922" s="985"/>
      <c r="D922" s="969"/>
      <c r="E922" s="969"/>
    </row>
    <row r="923" spans="2:5" ht="16.5" x14ac:dyDescent="0.2">
      <c r="B923" s="982"/>
      <c r="C923" s="983"/>
      <c r="D923" s="969"/>
      <c r="E923" s="969"/>
    </row>
    <row r="924" spans="2:5" ht="16.5" x14ac:dyDescent="0.2">
      <c r="B924" s="982"/>
      <c r="C924" s="985"/>
      <c r="D924" s="969"/>
      <c r="E924" s="969"/>
    </row>
    <row r="925" spans="2:5" ht="16.5" x14ac:dyDescent="0.2">
      <c r="B925" s="982"/>
      <c r="C925" s="985"/>
      <c r="D925" s="969"/>
      <c r="E925" s="969"/>
    </row>
    <row r="926" spans="2:5" ht="16.5" x14ac:dyDescent="0.2">
      <c r="B926" s="982"/>
      <c r="C926" s="985"/>
      <c r="D926" s="969"/>
      <c r="E926" s="969"/>
    </row>
    <row r="927" spans="2:5" ht="16.5" x14ac:dyDescent="0.2">
      <c r="B927" s="982"/>
      <c r="C927" s="982"/>
      <c r="D927" s="969"/>
      <c r="E927" s="969"/>
    </row>
    <row r="928" spans="2:5" ht="16.5" x14ac:dyDescent="0.2">
      <c r="B928" s="982"/>
      <c r="C928" s="983"/>
      <c r="D928" s="969"/>
      <c r="E928" s="969"/>
    </row>
    <row r="929" spans="2:5" ht="16.5" x14ac:dyDescent="0.2">
      <c r="B929" s="982"/>
      <c r="C929" s="985"/>
      <c r="D929" s="969"/>
      <c r="E929" s="969"/>
    </row>
    <row r="930" spans="2:5" ht="16.5" x14ac:dyDescent="0.2">
      <c r="B930" s="982"/>
      <c r="C930" s="983"/>
      <c r="D930" s="969"/>
      <c r="E930" s="969"/>
    </row>
    <row r="931" spans="2:5" ht="16.5" x14ac:dyDescent="0.2">
      <c r="B931" s="982"/>
      <c r="C931" s="985"/>
      <c r="D931" s="969"/>
      <c r="E931" s="969"/>
    </row>
    <row r="932" spans="2:5" ht="16.5" x14ac:dyDescent="0.2">
      <c r="B932" s="982"/>
      <c r="C932" s="985"/>
      <c r="D932" s="969"/>
      <c r="E932" s="969"/>
    </row>
    <row r="933" spans="2:5" ht="16.5" x14ac:dyDescent="0.2">
      <c r="B933" s="982"/>
      <c r="C933" s="985"/>
      <c r="D933" s="969"/>
      <c r="E933" s="969"/>
    </row>
    <row r="934" spans="2:5" ht="16.5" x14ac:dyDescent="0.2">
      <c r="B934" s="982"/>
      <c r="C934" s="985"/>
      <c r="D934" s="969"/>
      <c r="E934" s="969"/>
    </row>
    <row r="935" spans="2:5" ht="16.5" x14ac:dyDescent="0.2">
      <c r="B935" s="982"/>
      <c r="C935" s="985"/>
      <c r="D935" s="969"/>
      <c r="E935" s="969"/>
    </row>
    <row r="936" spans="2:5" ht="16.5" x14ac:dyDescent="0.2">
      <c r="B936" s="982"/>
      <c r="C936" s="985"/>
      <c r="D936" s="969"/>
      <c r="E936" s="969"/>
    </row>
    <row r="937" spans="2:5" ht="16.5" x14ac:dyDescent="0.2">
      <c r="B937" s="982"/>
      <c r="C937" s="985"/>
      <c r="D937" s="969"/>
      <c r="E937" s="969"/>
    </row>
    <row r="938" spans="2:5" ht="16.5" x14ac:dyDescent="0.2">
      <c r="B938" s="982"/>
      <c r="C938" s="985"/>
      <c r="D938" s="969"/>
      <c r="E938" s="969"/>
    </row>
    <row r="939" spans="2:5" ht="16.5" x14ac:dyDescent="0.2">
      <c r="B939" s="982"/>
      <c r="C939" s="985"/>
      <c r="D939" s="969"/>
      <c r="E939" s="969"/>
    </row>
    <row r="940" spans="2:5" ht="16.5" x14ac:dyDescent="0.2">
      <c r="B940" s="982"/>
      <c r="C940" s="985"/>
      <c r="D940" s="969"/>
      <c r="E940" s="969"/>
    </row>
    <row r="941" spans="2:5" ht="16.5" x14ac:dyDescent="0.2">
      <c r="B941" s="982"/>
      <c r="C941" s="985"/>
      <c r="D941" s="969"/>
      <c r="E941" s="969"/>
    </row>
    <row r="942" spans="2:5" ht="16.5" x14ac:dyDescent="0.2">
      <c r="B942" s="982"/>
      <c r="C942" s="983"/>
      <c r="D942" s="969"/>
      <c r="E942" s="969"/>
    </row>
    <row r="943" spans="2:5" ht="16.5" x14ac:dyDescent="0.2">
      <c r="B943" s="982"/>
      <c r="C943" s="985"/>
      <c r="D943" s="969"/>
      <c r="E943" s="969"/>
    </row>
    <row r="944" spans="2:5" ht="16.5" x14ac:dyDescent="0.2">
      <c r="B944" s="982"/>
      <c r="C944" s="985"/>
      <c r="D944" s="969"/>
      <c r="E944" s="969"/>
    </row>
    <row r="945" spans="2:5" ht="16.5" x14ac:dyDescent="0.2">
      <c r="B945" s="982"/>
      <c r="C945" s="985"/>
      <c r="D945" s="969"/>
      <c r="E945" s="969"/>
    </row>
    <row r="946" spans="2:5" ht="16.5" x14ac:dyDescent="0.2">
      <c r="B946" s="982"/>
      <c r="C946" s="985"/>
      <c r="D946" s="969"/>
      <c r="E946" s="969"/>
    </row>
    <row r="947" spans="2:5" ht="16.5" x14ac:dyDescent="0.2">
      <c r="B947" s="982"/>
      <c r="C947" s="985"/>
      <c r="D947" s="969"/>
      <c r="E947" s="969"/>
    </row>
    <row r="948" spans="2:5" ht="16.5" x14ac:dyDescent="0.2">
      <c r="B948" s="982"/>
      <c r="C948" s="985"/>
      <c r="D948" s="969"/>
      <c r="E948" s="969"/>
    </row>
    <row r="949" spans="2:5" ht="16.5" x14ac:dyDescent="0.2">
      <c r="B949" s="982"/>
      <c r="C949" s="985"/>
      <c r="D949" s="969"/>
      <c r="E949" s="969"/>
    </row>
    <row r="950" spans="2:5" ht="16.5" x14ac:dyDescent="0.2">
      <c r="B950" s="982"/>
      <c r="C950" s="985"/>
      <c r="D950" s="969"/>
      <c r="E950" s="969"/>
    </row>
    <row r="951" spans="2:5" ht="16.5" x14ac:dyDescent="0.2">
      <c r="B951" s="982"/>
      <c r="C951" s="982"/>
      <c r="D951" s="969"/>
      <c r="E951" s="969"/>
    </row>
    <row r="952" spans="2:5" ht="16.5" x14ac:dyDescent="0.2">
      <c r="B952" s="982"/>
      <c r="C952" s="983"/>
      <c r="D952" s="969"/>
      <c r="E952" s="969"/>
    </row>
    <row r="953" spans="2:5" ht="16.5" x14ac:dyDescent="0.2">
      <c r="B953" s="982"/>
      <c r="C953" s="985"/>
      <c r="D953" s="969"/>
      <c r="E953" s="969"/>
    </row>
    <row r="954" spans="2:5" ht="16.5" x14ac:dyDescent="0.2">
      <c r="B954" s="982"/>
      <c r="C954" s="985"/>
      <c r="D954" s="969"/>
      <c r="E954" s="969"/>
    </row>
    <row r="955" spans="2:5" ht="16.5" x14ac:dyDescent="0.2">
      <c r="B955" s="982"/>
      <c r="C955" s="985"/>
      <c r="D955" s="969"/>
      <c r="E955" s="969"/>
    </row>
    <row r="956" spans="2:5" ht="16.5" x14ac:dyDescent="0.2">
      <c r="B956" s="982"/>
      <c r="C956" s="983"/>
      <c r="D956" s="969"/>
      <c r="E956" s="969"/>
    </row>
    <row r="957" spans="2:5" ht="16.5" x14ac:dyDescent="0.2">
      <c r="B957" s="982"/>
      <c r="C957" s="985"/>
      <c r="D957" s="969"/>
      <c r="E957" s="969"/>
    </row>
    <row r="958" spans="2:5" ht="16.5" x14ac:dyDescent="0.2">
      <c r="B958" s="982"/>
      <c r="C958" s="985"/>
      <c r="D958" s="969"/>
      <c r="E958" s="969"/>
    </row>
    <row r="959" spans="2:5" ht="16.5" x14ac:dyDescent="0.2">
      <c r="B959" s="982"/>
      <c r="C959" s="985"/>
      <c r="D959" s="969"/>
      <c r="E959" s="969"/>
    </row>
    <row r="960" spans="2:5" ht="16.5" x14ac:dyDescent="0.2">
      <c r="B960" s="982"/>
      <c r="C960" s="985"/>
      <c r="D960" s="969"/>
      <c r="E960" s="969"/>
    </row>
    <row r="961" spans="2:5" ht="16.5" x14ac:dyDescent="0.2">
      <c r="B961" s="982"/>
      <c r="C961" s="982"/>
      <c r="D961" s="969"/>
      <c r="E961" s="969"/>
    </row>
    <row r="962" spans="2:5" ht="16.5" x14ac:dyDescent="0.2">
      <c r="B962" s="982"/>
      <c r="C962" s="983"/>
      <c r="D962" s="969"/>
      <c r="E962" s="969"/>
    </row>
    <row r="963" spans="2:5" ht="16.5" x14ac:dyDescent="0.2">
      <c r="B963" s="982"/>
      <c r="C963" s="985"/>
      <c r="D963" s="969"/>
      <c r="E963" s="969"/>
    </row>
    <row r="964" spans="2:5" ht="16.5" x14ac:dyDescent="0.2">
      <c r="B964" s="982"/>
      <c r="C964" s="985"/>
      <c r="D964" s="969"/>
      <c r="E964" s="969"/>
    </row>
    <row r="965" spans="2:5" ht="16.5" x14ac:dyDescent="0.2">
      <c r="B965" s="982"/>
      <c r="C965" s="985"/>
      <c r="D965" s="969"/>
      <c r="E965" s="969"/>
    </row>
    <row r="966" spans="2:5" ht="16.5" x14ac:dyDescent="0.2">
      <c r="B966" s="982"/>
      <c r="C966" s="983"/>
      <c r="D966" s="969"/>
      <c r="E966" s="969"/>
    </row>
    <row r="967" spans="2:5" ht="16.5" x14ac:dyDescent="0.2">
      <c r="B967" s="982"/>
      <c r="C967" s="985"/>
      <c r="D967" s="969"/>
      <c r="E967" s="969"/>
    </row>
    <row r="968" spans="2:5" ht="16.5" x14ac:dyDescent="0.2">
      <c r="B968" s="982"/>
      <c r="C968" s="985"/>
      <c r="D968" s="969"/>
      <c r="E968" s="969"/>
    </row>
    <row r="969" spans="2:5" ht="16.5" x14ac:dyDescent="0.2">
      <c r="B969" s="982"/>
      <c r="C969" s="985"/>
      <c r="D969" s="969"/>
      <c r="E969" s="969"/>
    </row>
    <row r="970" spans="2:5" ht="16.5" x14ac:dyDescent="0.2">
      <c r="B970" s="982"/>
      <c r="C970" s="985"/>
      <c r="D970" s="969"/>
      <c r="E970" s="969"/>
    </row>
    <row r="971" spans="2:5" ht="16.5" x14ac:dyDescent="0.2">
      <c r="B971" s="982"/>
      <c r="C971" s="985"/>
      <c r="D971" s="969"/>
      <c r="E971" s="969"/>
    </row>
    <row r="972" spans="2:5" ht="16.5" x14ac:dyDescent="0.2">
      <c r="B972" s="982"/>
      <c r="C972" s="985"/>
      <c r="D972" s="969"/>
      <c r="E972" s="969"/>
    </row>
    <row r="973" spans="2:5" ht="16.5" x14ac:dyDescent="0.2">
      <c r="B973" s="982"/>
      <c r="C973" s="985"/>
      <c r="D973" s="969"/>
      <c r="E973" s="969"/>
    </row>
    <row r="974" spans="2:5" ht="16.5" x14ac:dyDescent="0.2">
      <c r="B974" s="982"/>
      <c r="C974" s="985"/>
      <c r="D974" s="969"/>
      <c r="E974" s="969"/>
    </row>
    <row r="975" spans="2:5" ht="16.5" x14ac:dyDescent="0.2">
      <c r="B975" s="982"/>
      <c r="C975" s="983"/>
      <c r="D975" s="969"/>
      <c r="E975" s="969"/>
    </row>
    <row r="976" spans="2:5" ht="16.5" x14ac:dyDescent="0.2">
      <c r="B976" s="982"/>
      <c r="C976" s="985"/>
      <c r="D976" s="969"/>
      <c r="E976" s="969"/>
    </row>
    <row r="977" spans="2:5" ht="16.5" x14ac:dyDescent="0.2">
      <c r="B977" s="982"/>
      <c r="C977" s="985"/>
      <c r="D977" s="969"/>
      <c r="E977" s="969"/>
    </row>
    <row r="978" spans="2:5" ht="16.5" x14ac:dyDescent="0.2">
      <c r="B978" s="982"/>
      <c r="C978" s="985"/>
      <c r="D978" s="969"/>
      <c r="E978" s="969"/>
    </row>
    <row r="979" spans="2:5" ht="16.5" x14ac:dyDescent="0.2">
      <c r="B979" s="982"/>
      <c r="C979" s="985"/>
      <c r="D979" s="969"/>
      <c r="E979" s="969"/>
    </row>
    <row r="980" spans="2:5" ht="16.5" x14ac:dyDescent="0.2">
      <c r="B980" s="982"/>
      <c r="C980" s="985"/>
      <c r="D980" s="969"/>
      <c r="E980" s="969"/>
    </row>
    <row r="981" spans="2:5" ht="16.5" x14ac:dyDescent="0.2">
      <c r="B981" s="982"/>
      <c r="C981" s="983"/>
      <c r="D981" s="969"/>
      <c r="E981" s="969"/>
    </row>
    <row r="982" spans="2:5" ht="16.5" x14ac:dyDescent="0.2">
      <c r="B982" s="982"/>
      <c r="C982" s="985"/>
      <c r="D982" s="969"/>
      <c r="E982" s="969"/>
    </row>
    <row r="983" spans="2:5" ht="16.5" x14ac:dyDescent="0.2">
      <c r="B983" s="982"/>
      <c r="C983" s="985"/>
      <c r="D983" s="969"/>
      <c r="E983" s="969"/>
    </row>
    <row r="984" spans="2:5" ht="16.5" x14ac:dyDescent="0.2">
      <c r="B984" s="982"/>
      <c r="C984" s="985"/>
      <c r="D984" s="969"/>
      <c r="E984" s="969"/>
    </row>
    <row r="985" spans="2:5" ht="16.5" x14ac:dyDescent="0.2">
      <c r="B985" s="982"/>
      <c r="C985" s="983"/>
      <c r="D985" s="969"/>
      <c r="E985" s="969"/>
    </row>
    <row r="986" spans="2:5" ht="16.5" x14ac:dyDescent="0.2">
      <c r="B986" s="982"/>
      <c r="C986" s="985"/>
      <c r="D986" s="969"/>
      <c r="E986" s="969"/>
    </row>
    <row r="987" spans="2:5" ht="16.5" x14ac:dyDescent="0.2">
      <c r="B987" s="982"/>
      <c r="C987" s="983"/>
      <c r="D987" s="969"/>
      <c r="E987" s="969"/>
    </row>
    <row r="988" spans="2:5" ht="16.5" x14ac:dyDescent="0.2">
      <c r="B988" s="982"/>
      <c r="C988" s="985"/>
      <c r="D988" s="969"/>
      <c r="E988" s="969"/>
    </row>
    <row r="989" spans="2:5" ht="16.5" x14ac:dyDescent="0.2">
      <c r="B989" s="982"/>
      <c r="C989" s="983"/>
      <c r="D989" s="969"/>
      <c r="E989" s="969"/>
    </row>
    <row r="990" spans="2:5" ht="16.5" x14ac:dyDescent="0.2">
      <c r="B990" s="982"/>
      <c r="C990" s="985"/>
      <c r="D990" s="969"/>
      <c r="E990" s="969"/>
    </row>
    <row r="991" spans="2:5" ht="16.5" x14ac:dyDescent="0.2">
      <c r="B991" s="982"/>
      <c r="C991" s="982"/>
      <c r="D991" s="969"/>
      <c r="E991" s="969"/>
    </row>
    <row r="992" spans="2:5" ht="16.5" x14ac:dyDescent="0.2">
      <c r="B992" s="982"/>
      <c r="C992" s="983"/>
      <c r="D992" s="969"/>
      <c r="E992" s="969"/>
    </row>
    <row r="993" spans="2:5" ht="16.5" x14ac:dyDescent="0.2">
      <c r="B993" s="982"/>
      <c r="C993" s="985"/>
      <c r="D993" s="969"/>
      <c r="E993" s="969"/>
    </row>
    <row r="994" spans="2:5" ht="16.5" x14ac:dyDescent="0.2">
      <c r="B994" s="982"/>
      <c r="C994" s="985"/>
      <c r="D994" s="969"/>
      <c r="E994" s="969"/>
    </row>
    <row r="995" spans="2:5" ht="16.5" x14ac:dyDescent="0.2">
      <c r="B995" s="982"/>
      <c r="C995" s="985"/>
      <c r="D995" s="969"/>
      <c r="E995" s="969"/>
    </row>
    <row r="996" spans="2:5" ht="16.5" x14ac:dyDescent="0.2">
      <c r="B996" s="982"/>
      <c r="C996" s="983"/>
      <c r="D996" s="969"/>
      <c r="E996" s="969"/>
    </row>
    <row r="997" spans="2:5" ht="16.5" x14ac:dyDescent="0.2">
      <c r="B997" s="982"/>
      <c r="C997" s="985"/>
      <c r="D997" s="969"/>
      <c r="E997" s="969"/>
    </row>
    <row r="998" spans="2:5" ht="16.5" x14ac:dyDescent="0.2">
      <c r="B998" s="982"/>
      <c r="C998" s="983"/>
      <c r="D998" s="969"/>
      <c r="E998" s="969"/>
    </row>
    <row r="999" spans="2:5" ht="16.5" x14ac:dyDescent="0.2">
      <c r="B999" s="982"/>
      <c r="C999" s="985"/>
      <c r="D999" s="969"/>
      <c r="E999" s="969"/>
    </row>
    <row r="1000" spans="2:5" ht="16.5" x14ac:dyDescent="0.2">
      <c r="B1000" s="982"/>
      <c r="C1000" s="982"/>
      <c r="D1000" s="969"/>
      <c r="E1000" s="969"/>
    </row>
    <row r="1001" spans="2:5" ht="16.5" x14ac:dyDescent="0.2">
      <c r="B1001" s="982"/>
      <c r="C1001" s="985"/>
      <c r="D1001" s="969"/>
      <c r="E1001" s="969"/>
    </row>
    <row r="1002" spans="2:5" ht="16.5" x14ac:dyDescent="0.2">
      <c r="B1002" s="982"/>
      <c r="C1002" s="985"/>
      <c r="D1002" s="969"/>
      <c r="E1002" s="969"/>
    </row>
    <row r="1003" spans="2:5" ht="16.5" x14ac:dyDescent="0.2">
      <c r="B1003" s="982"/>
      <c r="C1003" s="985"/>
      <c r="D1003" s="969"/>
      <c r="E1003" s="969"/>
    </row>
    <row r="1004" spans="2:5" ht="16.5" x14ac:dyDescent="0.2">
      <c r="B1004" s="982"/>
      <c r="C1004" s="985"/>
      <c r="D1004" s="969"/>
      <c r="E1004" s="969"/>
    </row>
    <row r="1005" spans="2:5" ht="16.5" x14ac:dyDescent="0.2">
      <c r="B1005" s="982"/>
      <c r="C1005" s="985"/>
      <c r="D1005" s="969"/>
      <c r="E1005" s="969"/>
    </row>
    <row r="1006" spans="2:5" ht="16.5" x14ac:dyDescent="0.2">
      <c r="B1006" s="982"/>
      <c r="C1006" s="982"/>
      <c r="D1006" s="969"/>
      <c r="E1006" s="969"/>
    </row>
    <row r="1007" spans="2:5" ht="16.5" x14ac:dyDescent="0.2">
      <c r="B1007" s="982"/>
      <c r="C1007" s="985"/>
      <c r="D1007" s="969"/>
      <c r="E1007" s="969"/>
    </row>
    <row r="1008" spans="2:5" ht="16.5" x14ac:dyDescent="0.2">
      <c r="B1008" s="982"/>
      <c r="C1008" s="985"/>
      <c r="D1008" s="969"/>
      <c r="E1008" s="969"/>
    </row>
    <row r="1009" spans="2:5" ht="16.5" x14ac:dyDescent="0.2">
      <c r="B1009" s="982"/>
      <c r="C1009" s="985"/>
      <c r="D1009" s="969"/>
      <c r="E1009" s="969"/>
    </row>
    <row r="1010" spans="2:5" ht="16.5" x14ac:dyDescent="0.2">
      <c r="B1010" s="982"/>
      <c r="C1010" s="982"/>
      <c r="D1010" s="969"/>
      <c r="E1010" s="969"/>
    </row>
    <row r="1011" spans="2:5" ht="16.5" x14ac:dyDescent="0.2">
      <c r="B1011" s="982"/>
      <c r="C1011" s="985"/>
      <c r="D1011" s="969"/>
      <c r="E1011" s="969"/>
    </row>
    <row r="1012" spans="2:5" ht="16.5" x14ac:dyDescent="0.2">
      <c r="B1012" s="982"/>
      <c r="C1012" s="985"/>
      <c r="D1012" s="969"/>
      <c r="E1012" s="969"/>
    </row>
    <row r="1013" spans="2:5" ht="16.5" x14ac:dyDescent="0.2">
      <c r="B1013" s="982"/>
      <c r="C1013" s="985"/>
      <c r="D1013" s="969"/>
      <c r="E1013" s="969"/>
    </row>
    <row r="1014" spans="2:5" ht="16.5" x14ac:dyDescent="0.2">
      <c r="B1014" s="982"/>
      <c r="C1014" s="985"/>
      <c r="D1014" s="969"/>
      <c r="E1014" s="969"/>
    </row>
    <row r="1015" spans="2:5" ht="16.5" x14ac:dyDescent="0.2">
      <c r="B1015" s="982"/>
      <c r="C1015" s="982"/>
      <c r="D1015" s="969"/>
      <c r="E1015" s="969"/>
    </row>
    <row r="1016" spans="2:5" ht="16.5" x14ac:dyDescent="0.2">
      <c r="B1016" s="982"/>
      <c r="C1016" s="983"/>
      <c r="D1016" s="969"/>
      <c r="E1016" s="969"/>
    </row>
    <row r="1017" spans="2:5" ht="16.5" x14ac:dyDescent="0.2">
      <c r="B1017" s="982"/>
      <c r="C1017" s="985"/>
      <c r="D1017" s="969"/>
      <c r="E1017" s="969"/>
    </row>
    <row r="1018" spans="2:5" ht="16.5" x14ac:dyDescent="0.2">
      <c r="B1018" s="982"/>
      <c r="C1018" s="985"/>
      <c r="D1018" s="969"/>
      <c r="E1018" s="969"/>
    </row>
    <row r="1019" spans="2:5" ht="16.5" x14ac:dyDescent="0.2">
      <c r="B1019" s="982"/>
      <c r="C1019" s="985"/>
      <c r="D1019" s="969"/>
      <c r="E1019" s="969"/>
    </row>
    <row r="1020" spans="2:5" ht="16.5" x14ac:dyDescent="0.2">
      <c r="B1020" s="982"/>
      <c r="C1020" s="985"/>
      <c r="D1020" s="969"/>
      <c r="E1020" s="969"/>
    </row>
    <row r="1021" spans="2:5" ht="16.5" x14ac:dyDescent="0.2">
      <c r="B1021" s="982"/>
      <c r="C1021" s="983"/>
      <c r="D1021" s="969"/>
      <c r="E1021" s="969"/>
    </row>
    <row r="1022" spans="2:5" ht="16.5" x14ac:dyDescent="0.2">
      <c r="B1022" s="982"/>
      <c r="C1022" s="985"/>
      <c r="D1022" s="969"/>
      <c r="E1022" s="969"/>
    </row>
    <row r="1023" spans="2:5" ht="16.5" x14ac:dyDescent="0.2">
      <c r="B1023" s="982"/>
      <c r="C1023" s="985"/>
      <c r="D1023" s="969"/>
      <c r="E1023" s="969"/>
    </row>
    <row r="1024" spans="2:5" ht="16.5" x14ac:dyDescent="0.2">
      <c r="B1024" s="982"/>
      <c r="C1024" s="985"/>
      <c r="D1024" s="969"/>
      <c r="E1024" s="969"/>
    </row>
    <row r="1025" spans="2:5" ht="16.5" x14ac:dyDescent="0.2">
      <c r="B1025" s="982"/>
      <c r="C1025" s="983"/>
      <c r="D1025" s="969"/>
      <c r="E1025" s="969"/>
    </row>
    <row r="1026" spans="2:5" ht="16.5" x14ac:dyDescent="0.2">
      <c r="B1026" s="982"/>
      <c r="C1026" s="985"/>
      <c r="D1026" s="969"/>
      <c r="E1026" s="969"/>
    </row>
    <row r="1027" spans="2:5" ht="16.5" x14ac:dyDescent="0.2">
      <c r="B1027" s="982"/>
      <c r="C1027" s="985"/>
      <c r="D1027" s="969"/>
      <c r="E1027" s="969"/>
    </row>
    <row r="1028" spans="2:5" ht="16.5" x14ac:dyDescent="0.2">
      <c r="B1028" s="982"/>
      <c r="C1028" s="985"/>
      <c r="D1028" s="969"/>
      <c r="E1028" s="969"/>
    </row>
    <row r="1029" spans="2:5" ht="16.5" x14ac:dyDescent="0.2">
      <c r="B1029" s="982"/>
      <c r="C1029" s="983"/>
      <c r="D1029" s="969"/>
      <c r="E1029" s="969"/>
    </row>
    <row r="1030" spans="2:5" ht="16.5" x14ac:dyDescent="0.2">
      <c r="B1030" s="982"/>
      <c r="C1030" s="985"/>
      <c r="D1030" s="969"/>
      <c r="E1030" s="969"/>
    </row>
    <row r="1031" spans="2:5" ht="16.5" x14ac:dyDescent="0.2">
      <c r="B1031" s="982"/>
      <c r="C1031" s="985"/>
      <c r="D1031" s="969"/>
      <c r="E1031" s="969"/>
    </row>
    <row r="1032" spans="2:5" ht="16.5" x14ac:dyDescent="0.2">
      <c r="B1032" s="982"/>
      <c r="C1032" s="985"/>
      <c r="D1032" s="969"/>
      <c r="E1032" s="969"/>
    </row>
    <row r="1033" spans="2:5" ht="16.5" x14ac:dyDescent="0.2">
      <c r="B1033" s="982"/>
      <c r="C1033" s="985"/>
      <c r="D1033" s="969"/>
      <c r="E1033" s="969"/>
    </row>
    <row r="1034" spans="2:5" ht="16.5" x14ac:dyDescent="0.2">
      <c r="B1034" s="982"/>
      <c r="C1034" s="983"/>
      <c r="D1034" s="969"/>
      <c r="E1034" s="969"/>
    </row>
    <row r="1035" spans="2:5" ht="16.5" x14ac:dyDescent="0.2">
      <c r="B1035" s="982"/>
      <c r="C1035" s="985"/>
      <c r="D1035" s="969"/>
      <c r="E1035" s="969"/>
    </row>
    <row r="1036" spans="2:5" ht="16.5" x14ac:dyDescent="0.2">
      <c r="B1036" s="982"/>
      <c r="C1036" s="983"/>
      <c r="D1036" s="969"/>
      <c r="E1036" s="969"/>
    </row>
    <row r="1037" spans="2:5" ht="16.5" x14ac:dyDescent="0.2">
      <c r="B1037" s="982"/>
      <c r="C1037" s="985"/>
      <c r="D1037" s="969"/>
      <c r="E1037" s="969"/>
    </row>
    <row r="1038" spans="2:5" ht="16.5" x14ac:dyDescent="0.2">
      <c r="B1038" s="982"/>
      <c r="C1038" s="985"/>
      <c r="D1038" s="969"/>
      <c r="E1038" s="969"/>
    </row>
    <row r="1039" spans="2:5" ht="16.5" x14ac:dyDescent="0.2">
      <c r="B1039" s="982"/>
      <c r="C1039" s="985"/>
      <c r="D1039" s="969"/>
      <c r="E1039" s="969"/>
    </row>
    <row r="1040" spans="2:5" ht="16.5" x14ac:dyDescent="0.2">
      <c r="B1040" s="982"/>
      <c r="C1040" s="982"/>
      <c r="D1040" s="969"/>
      <c r="E1040" s="969"/>
    </row>
    <row r="1041" spans="2:5" ht="16.5" x14ac:dyDescent="0.2">
      <c r="B1041" s="982"/>
      <c r="C1041" s="985"/>
      <c r="D1041" s="969"/>
      <c r="E1041" s="969"/>
    </row>
    <row r="1042" spans="2:5" ht="16.5" x14ac:dyDescent="0.2">
      <c r="B1042" s="982"/>
      <c r="C1042" s="985"/>
      <c r="D1042" s="969"/>
      <c r="E1042" s="969"/>
    </row>
    <row r="1043" spans="2:5" ht="16.5" x14ac:dyDescent="0.2">
      <c r="B1043" s="982"/>
      <c r="C1043" s="985"/>
      <c r="D1043" s="969"/>
      <c r="E1043" s="969"/>
    </row>
    <row r="1044" spans="2:5" ht="16.5" x14ac:dyDescent="0.2">
      <c r="B1044" s="982"/>
      <c r="C1044" s="985"/>
      <c r="D1044" s="969"/>
      <c r="E1044" s="969"/>
    </row>
    <row r="1045" spans="2:5" ht="16.5" x14ac:dyDescent="0.2">
      <c r="B1045" s="982"/>
      <c r="C1045" s="985"/>
      <c r="D1045" s="969"/>
      <c r="E1045" s="969"/>
    </row>
    <row r="1046" spans="2:5" ht="16.5" x14ac:dyDescent="0.2">
      <c r="B1046" s="982"/>
      <c r="C1046" s="982"/>
      <c r="D1046" s="969"/>
      <c r="E1046" s="969"/>
    </row>
    <row r="1047" spans="2:5" ht="16.5" x14ac:dyDescent="0.2">
      <c r="B1047" s="982"/>
      <c r="C1047" s="983"/>
      <c r="D1047" s="969"/>
      <c r="E1047" s="969"/>
    </row>
    <row r="1048" spans="2:5" ht="16.5" x14ac:dyDescent="0.2">
      <c r="B1048" s="982"/>
      <c r="C1048" s="985"/>
      <c r="D1048" s="969"/>
      <c r="E1048" s="969"/>
    </row>
    <row r="1049" spans="2:5" ht="16.5" x14ac:dyDescent="0.2">
      <c r="B1049" s="982"/>
      <c r="C1049" s="985"/>
      <c r="D1049" s="969"/>
      <c r="E1049" s="969"/>
    </row>
    <row r="1050" spans="2:5" ht="16.5" x14ac:dyDescent="0.2">
      <c r="B1050" s="982"/>
      <c r="C1050" s="983"/>
      <c r="D1050" s="969"/>
      <c r="E1050" s="969"/>
    </row>
    <row r="1051" spans="2:5" ht="16.5" x14ac:dyDescent="0.2">
      <c r="B1051" s="982"/>
      <c r="C1051" s="985"/>
      <c r="D1051" s="969"/>
      <c r="E1051" s="969"/>
    </row>
    <row r="1052" spans="2:5" ht="16.5" x14ac:dyDescent="0.2">
      <c r="B1052" s="982"/>
      <c r="C1052" s="985"/>
      <c r="D1052" s="969"/>
      <c r="E1052" s="969"/>
    </row>
    <row r="1053" spans="2:5" ht="16.5" x14ac:dyDescent="0.2">
      <c r="B1053" s="982"/>
      <c r="C1053" s="985"/>
      <c r="D1053" s="969"/>
      <c r="E1053" s="969"/>
    </row>
    <row r="1054" spans="2:5" ht="16.5" x14ac:dyDescent="0.2">
      <c r="B1054" s="982"/>
      <c r="C1054" s="985"/>
      <c r="D1054" s="969"/>
      <c r="E1054" s="969"/>
    </row>
    <row r="1055" spans="2:5" ht="16.5" x14ac:dyDescent="0.2">
      <c r="B1055" s="982"/>
      <c r="C1055" s="985"/>
      <c r="D1055" s="969"/>
      <c r="E1055" s="969"/>
    </row>
    <row r="1056" spans="2:5" ht="16.5" x14ac:dyDescent="0.2">
      <c r="B1056" s="982"/>
      <c r="C1056" s="985"/>
      <c r="D1056" s="969"/>
      <c r="E1056" s="969"/>
    </row>
    <row r="1057" spans="2:5" ht="16.5" x14ac:dyDescent="0.2">
      <c r="B1057" s="982"/>
      <c r="C1057" s="983"/>
      <c r="D1057" s="969"/>
      <c r="E1057" s="969"/>
    </row>
    <row r="1058" spans="2:5" ht="16.5" x14ac:dyDescent="0.2">
      <c r="B1058" s="982"/>
      <c r="C1058" s="985"/>
      <c r="D1058" s="969"/>
      <c r="E1058" s="969"/>
    </row>
    <row r="1059" spans="2:5" ht="16.5" x14ac:dyDescent="0.2">
      <c r="B1059" s="982"/>
      <c r="C1059" s="986"/>
      <c r="D1059" s="969"/>
      <c r="E1059" s="969"/>
    </row>
    <row r="1060" spans="2:5" ht="16.5" x14ac:dyDescent="0.2">
      <c r="B1060" s="982"/>
      <c r="C1060" s="986"/>
      <c r="D1060" s="969"/>
      <c r="E1060" s="969"/>
    </row>
    <row r="1061" spans="2:5" ht="16.5" x14ac:dyDescent="0.2">
      <c r="B1061" s="982"/>
      <c r="C1061" s="986"/>
      <c r="D1061" s="969"/>
      <c r="E1061" s="969"/>
    </row>
    <row r="1062" spans="2:5" ht="16.5" x14ac:dyDescent="0.2">
      <c r="B1062" s="982"/>
      <c r="C1062" s="985"/>
      <c r="D1062" s="969"/>
      <c r="E1062" s="969"/>
    </row>
    <row r="1063" spans="2:5" ht="16.5" x14ac:dyDescent="0.2">
      <c r="B1063" s="982"/>
      <c r="C1063" s="986"/>
      <c r="D1063" s="969"/>
      <c r="E1063" s="969"/>
    </row>
    <row r="1064" spans="2:5" ht="16.5" x14ac:dyDescent="0.2">
      <c r="B1064" s="982"/>
      <c r="C1064" s="986"/>
      <c r="D1064" s="969"/>
      <c r="E1064" s="969"/>
    </row>
    <row r="1065" spans="2:5" ht="16.5" x14ac:dyDescent="0.2">
      <c r="B1065" s="982"/>
      <c r="C1065" s="986"/>
      <c r="D1065" s="969"/>
      <c r="E1065" s="969"/>
    </row>
    <row r="1066" spans="2:5" ht="16.5" x14ac:dyDescent="0.2">
      <c r="B1066" s="982"/>
      <c r="C1066" s="983"/>
      <c r="D1066" s="969"/>
      <c r="E1066" s="969"/>
    </row>
    <row r="1067" spans="2:5" ht="16.5" x14ac:dyDescent="0.2">
      <c r="B1067" s="982"/>
      <c r="C1067" s="985"/>
      <c r="D1067" s="969"/>
      <c r="E1067" s="969"/>
    </row>
    <row r="1068" spans="2:5" ht="16.5" x14ac:dyDescent="0.2">
      <c r="B1068" s="982"/>
      <c r="C1068" s="986"/>
      <c r="D1068" s="969"/>
      <c r="E1068" s="969"/>
    </row>
    <row r="1069" spans="2:5" ht="16.5" x14ac:dyDescent="0.2">
      <c r="B1069" s="982"/>
      <c r="C1069" s="986"/>
      <c r="D1069" s="969"/>
      <c r="E1069" s="969"/>
    </row>
    <row r="1070" spans="2:5" ht="16.5" x14ac:dyDescent="0.2">
      <c r="B1070" s="982"/>
      <c r="C1070" s="986"/>
      <c r="D1070" s="969"/>
      <c r="E1070" s="969"/>
    </row>
    <row r="1071" spans="2:5" ht="16.5" x14ac:dyDescent="0.2">
      <c r="B1071" s="982"/>
      <c r="C1071" s="986"/>
      <c r="D1071" s="969"/>
      <c r="E1071" s="969"/>
    </row>
    <row r="1072" spans="2:5" ht="16.5" x14ac:dyDescent="0.2">
      <c r="B1072" s="982"/>
      <c r="C1072" s="986"/>
      <c r="D1072" s="969"/>
      <c r="E1072" s="969"/>
    </row>
    <row r="1073" spans="2:5" ht="16.5" x14ac:dyDescent="0.2">
      <c r="B1073" s="982"/>
      <c r="C1073" s="983"/>
      <c r="D1073" s="969"/>
      <c r="E1073" s="969"/>
    </row>
    <row r="1074" spans="2:5" ht="16.5" x14ac:dyDescent="0.2">
      <c r="B1074" s="982"/>
      <c r="C1074" s="985"/>
      <c r="D1074" s="969"/>
      <c r="E1074" s="969"/>
    </row>
    <row r="1075" spans="2:5" ht="16.5" x14ac:dyDescent="0.2">
      <c r="B1075" s="982"/>
      <c r="C1075" s="985"/>
      <c r="D1075" s="969"/>
      <c r="E1075" s="969"/>
    </row>
    <row r="1076" spans="2:5" ht="16.5" x14ac:dyDescent="0.2">
      <c r="B1076" s="982"/>
      <c r="C1076" s="982"/>
      <c r="D1076" s="969"/>
      <c r="E1076" s="969"/>
    </row>
    <row r="1077" spans="2:5" ht="16.5" x14ac:dyDescent="0.2">
      <c r="B1077" s="982"/>
      <c r="C1077" s="985"/>
      <c r="D1077" s="969"/>
      <c r="E1077" s="969"/>
    </row>
    <row r="1078" spans="2:5" ht="16.5" x14ac:dyDescent="0.2">
      <c r="B1078" s="982"/>
      <c r="C1078" s="985"/>
      <c r="D1078" s="969"/>
      <c r="E1078" s="969"/>
    </row>
    <row r="1079" spans="2:5" ht="16.5" x14ac:dyDescent="0.2">
      <c r="B1079" s="982"/>
      <c r="C1079" s="985"/>
      <c r="D1079" s="969"/>
      <c r="E1079" s="969"/>
    </row>
    <row r="1080" spans="2:5" ht="16.5" x14ac:dyDescent="0.2">
      <c r="B1080" s="982"/>
      <c r="C1080" s="985"/>
      <c r="D1080" s="969"/>
      <c r="E1080" s="969"/>
    </row>
    <row r="1081" spans="2:5" ht="16.5" x14ac:dyDescent="0.2">
      <c r="B1081" s="982"/>
      <c r="C1081" s="985"/>
      <c r="D1081" s="969"/>
      <c r="E1081" s="969"/>
    </row>
    <row r="1082" spans="2:5" ht="16.5" x14ac:dyDescent="0.2">
      <c r="B1082" s="982"/>
      <c r="C1082" s="985"/>
      <c r="D1082" s="969"/>
      <c r="E1082" s="969"/>
    </row>
    <row r="1083" spans="2:5" ht="16.5" x14ac:dyDescent="0.2">
      <c r="B1083" s="982"/>
      <c r="C1083" s="985"/>
      <c r="D1083" s="969"/>
      <c r="E1083" s="969"/>
    </row>
    <row r="1084" spans="2:5" ht="16.5" x14ac:dyDescent="0.2">
      <c r="B1084" s="982"/>
      <c r="C1084" s="985"/>
      <c r="D1084" s="969"/>
      <c r="E1084" s="969"/>
    </row>
    <row r="1085" spans="2:5" ht="16.5" x14ac:dyDescent="0.2">
      <c r="B1085" s="982"/>
      <c r="C1085" s="985"/>
      <c r="D1085" s="969"/>
      <c r="E1085" s="969"/>
    </row>
    <row r="1086" spans="2:5" ht="16.5" x14ac:dyDescent="0.2">
      <c r="B1086" s="982"/>
      <c r="C1086" s="985"/>
      <c r="D1086" s="969"/>
      <c r="E1086" s="969"/>
    </row>
    <row r="1087" spans="2:5" ht="16.5" x14ac:dyDescent="0.2">
      <c r="B1087" s="982"/>
      <c r="C1087" s="985"/>
      <c r="D1087" s="969"/>
      <c r="E1087" s="969"/>
    </row>
    <row r="1088" spans="2:5" ht="16.5" x14ac:dyDescent="0.2">
      <c r="B1088" s="982"/>
      <c r="C1088" s="985"/>
      <c r="D1088" s="969"/>
      <c r="E1088" s="969"/>
    </row>
    <row r="1089" spans="2:5" ht="16.5" x14ac:dyDescent="0.2">
      <c r="B1089" s="982"/>
      <c r="C1089" s="982"/>
      <c r="D1089" s="969"/>
      <c r="E1089" s="969"/>
    </row>
    <row r="1090" spans="2:5" ht="16.5" x14ac:dyDescent="0.2">
      <c r="B1090" s="982"/>
      <c r="C1090" s="985"/>
      <c r="D1090" s="969"/>
      <c r="E1090" s="969"/>
    </row>
    <row r="1091" spans="2:5" ht="16.5" x14ac:dyDescent="0.2">
      <c r="B1091" s="982"/>
      <c r="C1091" s="985"/>
      <c r="D1091" s="969"/>
      <c r="E1091" s="969"/>
    </row>
    <row r="1092" spans="2:5" ht="16.5" x14ac:dyDescent="0.2">
      <c r="B1092" s="982"/>
      <c r="C1092" s="985"/>
      <c r="D1092" s="969"/>
      <c r="E1092" s="969"/>
    </row>
    <row r="1093" spans="2:5" ht="16.5" x14ac:dyDescent="0.2">
      <c r="B1093" s="982"/>
      <c r="C1093" s="985"/>
      <c r="D1093" s="969"/>
      <c r="E1093" s="969"/>
    </row>
    <row r="1094" spans="2:5" ht="16.5" x14ac:dyDescent="0.2">
      <c r="B1094" s="982"/>
      <c r="C1094" s="985"/>
      <c r="D1094" s="969"/>
      <c r="E1094" s="969"/>
    </row>
    <row r="1095" spans="2:5" ht="16.5" x14ac:dyDescent="0.2">
      <c r="B1095" s="982"/>
      <c r="C1095" s="985"/>
      <c r="D1095" s="969"/>
      <c r="E1095" s="969"/>
    </row>
    <row r="1096" spans="2:5" ht="16.5" x14ac:dyDescent="0.2">
      <c r="B1096" s="982"/>
      <c r="C1096" s="985"/>
      <c r="D1096" s="969"/>
      <c r="E1096" s="969"/>
    </row>
    <row r="1097" spans="2:5" ht="16.5" x14ac:dyDescent="0.2">
      <c r="B1097" s="982"/>
      <c r="C1097" s="985"/>
      <c r="D1097" s="969"/>
      <c r="E1097" s="969"/>
    </row>
    <row r="1098" spans="2:5" ht="16.5" x14ac:dyDescent="0.2">
      <c r="B1098" s="982"/>
      <c r="C1098" s="982"/>
      <c r="D1098" s="969"/>
      <c r="E1098" s="969"/>
    </row>
    <row r="1099" spans="2:5" ht="16.5" x14ac:dyDescent="0.2">
      <c r="B1099" s="982"/>
      <c r="C1099" s="985"/>
      <c r="D1099" s="969"/>
      <c r="E1099" s="969"/>
    </row>
    <row r="1100" spans="2:5" ht="16.5" x14ac:dyDescent="0.2">
      <c r="B1100" s="982"/>
      <c r="C1100" s="985"/>
      <c r="D1100" s="969"/>
      <c r="E1100" s="969"/>
    </row>
    <row r="1101" spans="2:5" ht="16.5" x14ac:dyDescent="0.2">
      <c r="B1101" s="982"/>
      <c r="C1101" s="982"/>
      <c r="D1101" s="969"/>
      <c r="E1101" s="969"/>
    </row>
    <row r="1102" spans="2:5" ht="16.5" x14ac:dyDescent="0.2">
      <c r="B1102" s="982"/>
      <c r="C1102" s="983"/>
      <c r="D1102" s="969"/>
      <c r="E1102" s="969"/>
    </row>
    <row r="1103" spans="2:5" ht="16.5" x14ac:dyDescent="0.2">
      <c r="B1103" s="982"/>
      <c r="C1103" s="985"/>
      <c r="D1103" s="969"/>
      <c r="E1103" s="969"/>
    </row>
    <row r="1104" spans="2:5" ht="16.5" x14ac:dyDescent="0.2">
      <c r="B1104" s="982"/>
      <c r="C1104" s="985"/>
      <c r="D1104" s="969"/>
      <c r="E1104" s="969"/>
    </row>
    <row r="1105" spans="2:5" ht="16.5" x14ac:dyDescent="0.2">
      <c r="B1105" s="982"/>
      <c r="C1105" s="985"/>
      <c r="D1105" s="969"/>
      <c r="E1105" s="969"/>
    </row>
    <row r="1106" spans="2:5" ht="16.5" x14ac:dyDescent="0.2">
      <c r="B1106" s="982"/>
      <c r="C1106" s="985"/>
      <c r="D1106" s="969"/>
      <c r="E1106" s="969"/>
    </row>
    <row r="1107" spans="2:5" ht="16.5" x14ac:dyDescent="0.2">
      <c r="B1107" s="982"/>
      <c r="C1107" s="985"/>
      <c r="D1107" s="969"/>
      <c r="E1107" s="969"/>
    </row>
    <row r="1108" spans="2:5" ht="16.5" x14ac:dyDescent="0.2">
      <c r="B1108" s="982"/>
      <c r="C1108" s="983"/>
      <c r="D1108" s="969"/>
      <c r="E1108" s="969"/>
    </row>
    <row r="1109" spans="2:5" ht="16.5" x14ac:dyDescent="0.2">
      <c r="B1109" s="982"/>
      <c r="C1109" s="985"/>
      <c r="D1109" s="969"/>
      <c r="E1109" s="969"/>
    </row>
    <row r="1110" spans="2:5" ht="16.5" x14ac:dyDescent="0.2">
      <c r="B1110" s="982"/>
      <c r="C1110" s="985"/>
      <c r="D1110" s="969"/>
      <c r="E1110" s="969"/>
    </row>
    <row r="1111" spans="2:5" ht="16.5" x14ac:dyDescent="0.2">
      <c r="B1111" s="982"/>
      <c r="C1111" s="985"/>
      <c r="D1111" s="969"/>
      <c r="E1111" s="969"/>
    </row>
    <row r="1112" spans="2:5" ht="16.5" x14ac:dyDescent="0.2">
      <c r="B1112" s="982"/>
      <c r="C1112" s="985"/>
      <c r="D1112" s="969"/>
      <c r="E1112" s="969"/>
    </row>
    <row r="1113" spans="2:5" ht="16.5" x14ac:dyDescent="0.2">
      <c r="B1113" s="982"/>
      <c r="C1113" s="983"/>
      <c r="D1113" s="969"/>
      <c r="E1113" s="969"/>
    </row>
    <row r="1114" spans="2:5" ht="16.5" x14ac:dyDescent="0.2">
      <c r="B1114" s="982"/>
      <c r="C1114" s="985"/>
      <c r="D1114" s="969"/>
      <c r="E1114" s="969"/>
    </row>
    <row r="1115" spans="2:5" ht="16.5" x14ac:dyDescent="0.2">
      <c r="B1115" s="982"/>
      <c r="C1115" s="985"/>
      <c r="D1115" s="969"/>
      <c r="E1115" s="969"/>
    </row>
    <row r="1116" spans="2:5" ht="16.5" x14ac:dyDescent="0.2">
      <c r="B1116" s="982"/>
      <c r="C1116" s="982"/>
      <c r="D1116" s="969"/>
      <c r="E1116" s="969"/>
    </row>
    <row r="1117" spans="2:5" ht="16.5" x14ac:dyDescent="0.2">
      <c r="B1117" s="982"/>
      <c r="C1117" s="983"/>
      <c r="D1117" s="969"/>
      <c r="E1117" s="969"/>
    </row>
    <row r="1118" spans="2:5" ht="16.5" x14ac:dyDescent="0.2">
      <c r="B1118" s="982"/>
      <c r="C1118" s="985"/>
      <c r="D1118" s="969"/>
      <c r="E1118" s="969"/>
    </row>
    <row r="1119" spans="2:5" ht="16.5" x14ac:dyDescent="0.2">
      <c r="B1119" s="982"/>
      <c r="C1119" s="983"/>
      <c r="D1119" s="969"/>
      <c r="E1119" s="969"/>
    </row>
    <row r="1120" spans="2:5" ht="16.5" x14ac:dyDescent="0.2">
      <c r="B1120" s="982"/>
      <c r="C1120" s="985"/>
      <c r="D1120" s="969"/>
      <c r="E1120" s="969"/>
    </row>
    <row r="1121" spans="2:5" ht="16.5" x14ac:dyDescent="0.2">
      <c r="B1121" s="982"/>
      <c r="C1121" s="985"/>
      <c r="D1121" s="969"/>
      <c r="E1121" s="969"/>
    </row>
    <row r="1122" spans="2:5" ht="16.5" x14ac:dyDescent="0.2">
      <c r="B1122" s="982"/>
      <c r="C1122" s="985"/>
      <c r="D1122" s="969"/>
      <c r="E1122" s="969"/>
    </row>
    <row r="1123" spans="2:5" ht="16.5" x14ac:dyDescent="0.2">
      <c r="B1123" s="982"/>
      <c r="C1123" s="985"/>
      <c r="D1123" s="969"/>
      <c r="E1123" s="969"/>
    </row>
    <row r="1124" spans="2:5" ht="16.5" x14ac:dyDescent="0.2">
      <c r="B1124" s="982"/>
      <c r="C1124" s="985"/>
      <c r="D1124" s="969"/>
      <c r="E1124" s="969"/>
    </row>
    <row r="1125" spans="2:5" ht="16.5" x14ac:dyDescent="0.2">
      <c r="B1125" s="982"/>
      <c r="C1125" s="985"/>
      <c r="D1125" s="969"/>
      <c r="E1125" s="969"/>
    </row>
    <row r="1126" spans="2:5" ht="16.5" x14ac:dyDescent="0.2">
      <c r="B1126" s="982"/>
      <c r="C1126" s="983"/>
      <c r="D1126" s="969"/>
      <c r="E1126" s="969"/>
    </row>
    <row r="1127" spans="2:5" ht="16.5" x14ac:dyDescent="0.2">
      <c r="B1127" s="982"/>
      <c r="C1127" s="985"/>
      <c r="D1127" s="969"/>
      <c r="E1127" s="969"/>
    </row>
    <row r="1128" spans="2:5" ht="16.5" x14ac:dyDescent="0.2">
      <c r="B1128" s="982"/>
      <c r="C1128" s="985"/>
      <c r="D1128" s="969"/>
      <c r="E1128" s="969"/>
    </row>
    <row r="1129" spans="2:5" ht="16.5" x14ac:dyDescent="0.2">
      <c r="B1129" s="982"/>
      <c r="C1129" s="985"/>
      <c r="D1129" s="969"/>
      <c r="E1129" s="969"/>
    </row>
    <row r="1130" spans="2:5" ht="16.5" x14ac:dyDescent="0.2">
      <c r="B1130" s="982"/>
      <c r="C1130" s="983"/>
      <c r="D1130" s="969"/>
      <c r="E1130" s="969"/>
    </row>
    <row r="1131" spans="2:5" ht="16.5" x14ac:dyDescent="0.2">
      <c r="B1131" s="982"/>
      <c r="C1131" s="985"/>
      <c r="D1131" s="969"/>
      <c r="E1131" s="969"/>
    </row>
    <row r="1132" spans="2:5" ht="16.5" x14ac:dyDescent="0.2">
      <c r="B1132" s="982"/>
      <c r="C1132" s="985"/>
      <c r="D1132" s="969"/>
      <c r="E1132" s="969"/>
    </row>
    <row r="1133" spans="2:5" ht="16.5" x14ac:dyDescent="0.2">
      <c r="B1133" s="982"/>
      <c r="C1133" s="983"/>
      <c r="D1133" s="969"/>
      <c r="E1133" s="969"/>
    </row>
    <row r="1134" spans="2:5" ht="16.5" x14ac:dyDescent="0.2">
      <c r="B1134" s="982"/>
      <c r="C1134" s="985"/>
      <c r="D1134" s="969"/>
      <c r="E1134" s="969"/>
    </row>
    <row r="1135" spans="2:5" ht="16.5" x14ac:dyDescent="0.2">
      <c r="B1135" s="982"/>
      <c r="C1135" s="985"/>
      <c r="D1135" s="969"/>
      <c r="E1135" s="969"/>
    </row>
    <row r="1136" spans="2:5" ht="16.5" x14ac:dyDescent="0.2">
      <c r="B1136" s="982"/>
      <c r="C1136" s="982"/>
      <c r="D1136" s="969"/>
      <c r="E1136" s="969"/>
    </row>
    <row r="1137" spans="2:5" ht="16.5" x14ac:dyDescent="0.2">
      <c r="B1137" s="982"/>
      <c r="C1137" s="983"/>
      <c r="D1137" s="969"/>
      <c r="E1137" s="969"/>
    </row>
    <row r="1138" spans="2:5" ht="16.5" x14ac:dyDescent="0.2">
      <c r="B1138" s="982"/>
      <c r="C1138" s="985"/>
      <c r="D1138" s="969"/>
      <c r="E1138" s="969"/>
    </row>
    <row r="1139" spans="2:5" ht="16.5" x14ac:dyDescent="0.2">
      <c r="B1139" s="982"/>
      <c r="C1139" s="985"/>
      <c r="D1139" s="969"/>
      <c r="E1139" s="969"/>
    </row>
    <row r="1140" spans="2:5" ht="16.5" x14ac:dyDescent="0.2">
      <c r="B1140" s="982"/>
      <c r="C1140" s="983"/>
      <c r="D1140" s="969"/>
      <c r="E1140" s="969"/>
    </row>
    <row r="1141" spans="2:5" ht="16.5" x14ac:dyDescent="0.2">
      <c r="B1141" s="982"/>
      <c r="C1141" s="985"/>
      <c r="D1141" s="969"/>
      <c r="E1141" s="969"/>
    </row>
    <row r="1142" spans="2:5" ht="16.5" x14ac:dyDescent="0.2">
      <c r="B1142" s="982"/>
      <c r="C1142" s="985"/>
      <c r="D1142" s="969"/>
      <c r="E1142" s="969"/>
    </row>
    <row r="1143" spans="2:5" ht="16.5" x14ac:dyDescent="0.2">
      <c r="B1143" s="982"/>
      <c r="C1143" s="985"/>
      <c r="D1143" s="969"/>
      <c r="E1143" s="969"/>
    </row>
    <row r="1144" spans="2:5" ht="16.5" x14ac:dyDescent="0.2">
      <c r="B1144" s="982"/>
      <c r="C1144" s="983"/>
      <c r="D1144" s="969"/>
      <c r="E1144" s="969"/>
    </row>
    <row r="1145" spans="2:5" ht="16.5" x14ac:dyDescent="0.2">
      <c r="B1145" s="982"/>
      <c r="C1145" s="985"/>
      <c r="D1145" s="969"/>
      <c r="E1145" s="969"/>
    </row>
    <row r="1146" spans="2:5" ht="16.5" x14ac:dyDescent="0.2">
      <c r="B1146" s="982"/>
      <c r="C1146" s="985"/>
      <c r="D1146" s="969"/>
      <c r="E1146" s="969"/>
    </row>
    <row r="1147" spans="2:5" ht="16.5" x14ac:dyDescent="0.2">
      <c r="B1147" s="982"/>
      <c r="C1147" s="985"/>
      <c r="D1147" s="969"/>
      <c r="E1147" s="969"/>
    </row>
    <row r="1148" spans="2:5" ht="16.5" x14ac:dyDescent="0.2">
      <c r="B1148" s="982"/>
      <c r="C1148" s="985"/>
      <c r="D1148" s="969"/>
      <c r="E1148" s="969"/>
    </row>
    <row r="1149" spans="2:5" ht="16.5" x14ac:dyDescent="0.2">
      <c r="B1149" s="982"/>
      <c r="C1149" s="985"/>
      <c r="D1149" s="969"/>
      <c r="E1149" s="969"/>
    </row>
    <row r="1150" spans="2:5" ht="16.5" x14ac:dyDescent="0.2">
      <c r="B1150" s="982"/>
      <c r="C1150" s="983"/>
      <c r="D1150" s="969"/>
      <c r="E1150" s="969"/>
    </row>
    <row r="1151" spans="2:5" ht="16.5" x14ac:dyDescent="0.2">
      <c r="B1151" s="982"/>
      <c r="C1151" s="985"/>
      <c r="D1151" s="969"/>
      <c r="E1151" s="969"/>
    </row>
    <row r="1152" spans="2:5" ht="16.5" x14ac:dyDescent="0.2">
      <c r="B1152" s="982"/>
      <c r="C1152" s="985"/>
      <c r="D1152" s="969"/>
      <c r="E1152" s="969"/>
    </row>
    <row r="1153" spans="2:5" ht="16.5" x14ac:dyDescent="0.2">
      <c r="B1153" s="982"/>
      <c r="C1153" s="985"/>
      <c r="D1153" s="969"/>
      <c r="E1153" s="969"/>
    </row>
    <row r="1154" spans="2:5" ht="16.5" x14ac:dyDescent="0.2">
      <c r="B1154" s="982"/>
      <c r="C1154" s="985"/>
      <c r="D1154" s="969"/>
      <c r="E1154" s="969"/>
    </row>
    <row r="1155" spans="2:5" ht="16.5" x14ac:dyDescent="0.2">
      <c r="B1155" s="982"/>
      <c r="C1155" s="983"/>
      <c r="D1155" s="969"/>
      <c r="E1155" s="969"/>
    </row>
    <row r="1156" spans="2:5" ht="16.5" x14ac:dyDescent="0.2">
      <c r="B1156" s="982"/>
      <c r="C1156" s="985"/>
      <c r="D1156" s="969"/>
      <c r="E1156" s="969"/>
    </row>
    <row r="1157" spans="2:5" ht="16.5" x14ac:dyDescent="0.2">
      <c r="B1157" s="982"/>
      <c r="C1157" s="985"/>
      <c r="D1157" s="969"/>
      <c r="E1157" s="969"/>
    </row>
    <row r="1158" spans="2:5" ht="16.5" x14ac:dyDescent="0.2">
      <c r="B1158" s="982"/>
      <c r="C1158" s="985"/>
      <c r="D1158" s="969"/>
      <c r="E1158" s="969"/>
    </row>
    <row r="1159" spans="2:5" ht="16.5" x14ac:dyDescent="0.2">
      <c r="B1159" s="982"/>
      <c r="C1159" s="982"/>
      <c r="D1159" s="969"/>
      <c r="E1159" s="969"/>
    </row>
    <row r="1160" spans="2:5" ht="16.5" x14ac:dyDescent="0.2">
      <c r="B1160" s="982"/>
      <c r="C1160" s="983"/>
      <c r="D1160" s="969"/>
      <c r="E1160" s="969"/>
    </row>
    <row r="1161" spans="2:5" ht="16.5" x14ac:dyDescent="0.2">
      <c r="B1161" s="982"/>
      <c r="C1161" s="985"/>
      <c r="D1161" s="969"/>
      <c r="E1161" s="969"/>
    </row>
    <row r="1162" spans="2:5" ht="16.5" x14ac:dyDescent="0.2">
      <c r="B1162" s="982"/>
      <c r="C1162" s="985"/>
      <c r="D1162" s="969"/>
      <c r="E1162" s="969"/>
    </row>
    <row r="1163" spans="2:5" ht="16.5" x14ac:dyDescent="0.2">
      <c r="B1163" s="982"/>
      <c r="C1163" s="983"/>
      <c r="D1163" s="969"/>
      <c r="E1163" s="969"/>
    </row>
    <row r="1164" spans="2:5" ht="16.5" x14ac:dyDescent="0.2">
      <c r="B1164" s="982"/>
      <c r="C1164" s="985"/>
      <c r="D1164" s="969"/>
      <c r="E1164" s="969"/>
    </row>
    <row r="1165" spans="2:5" ht="16.5" x14ac:dyDescent="0.2">
      <c r="B1165" s="982"/>
      <c r="C1165" s="985"/>
      <c r="D1165" s="969"/>
      <c r="E1165" s="969"/>
    </row>
    <row r="1166" spans="2:5" ht="16.5" x14ac:dyDescent="0.2">
      <c r="B1166" s="982"/>
      <c r="C1166" s="983"/>
      <c r="D1166" s="969"/>
      <c r="E1166" s="969"/>
    </row>
    <row r="1167" spans="2:5" ht="16.5" x14ac:dyDescent="0.2">
      <c r="B1167" s="982"/>
      <c r="C1167" s="985"/>
      <c r="D1167" s="969"/>
      <c r="E1167" s="969"/>
    </row>
    <row r="1168" spans="2:5" ht="16.5" x14ac:dyDescent="0.2">
      <c r="B1168" s="982"/>
      <c r="C1168" s="985"/>
      <c r="D1168" s="969"/>
      <c r="E1168" s="969"/>
    </row>
    <row r="1169" spans="2:5" ht="16.5" x14ac:dyDescent="0.2">
      <c r="B1169" s="982"/>
      <c r="C1169" s="983"/>
      <c r="D1169" s="969"/>
      <c r="E1169" s="969"/>
    </row>
    <row r="1170" spans="2:5" ht="16.5" x14ac:dyDescent="0.2">
      <c r="B1170" s="982"/>
      <c r="C1170" s="985"/>
      <c r="D1170" s="969"/>
      <c r="E1170" s="969"/>
    </row>
    <row r="1171" spans="2:5" ht="16.5" x14ac:dyDescent="0.2">
      <c r="B1171" s="982"/>
      <c r="C1171" s="985"/>
      <c r="D1171" s="969"/>
      <c r="E1171" s="969"/>
    </row>
    <row r="1172" spans="2:5" ht="16.5" x14ac:dyDescent="0.2">
      <c r="B1172" s="982"/>
      <c r="C1172" s="985"/>
      <c r="D1172" s="969"/>
      <c r="E1172" s="969"/>
    </row>
    <row r="1173" spans="2:5" ht="16.5" x14ac:dyDescent="0.2">
      <c r="B1173" s="982"/>
      <c r="C1173" s="985"/>
      <c r="D1173" s="969"/>
      <c r="E1173" s="969"/>
    </row>
    <row r="1174" spans="2:5" ht="16.5" x14ac:dyDescent="0.2">
      <c r="B1174" s="982"/>
      <c r="C1174" s="985"/>
      <c r="D1174" s="969"/>
      <c r="E1174" s="969"/>
    </row>
    <row r="1175" spans="2:5" ht="16.5" x14ac:dyDescent="0.2">
      <c r="B1175" s="982"/>
      <c r="C1175" s="985"/>
      <c r="D1175" s="969"/>
      <c r="E1175" s="969"/>
    </row>
    <row r="1176" spans="2:5" ht="16.5" x14ac:dyDescent="0.2">
      <c r="B1176" s="982"/>
      <c r="C1176" s="985"/>
      <c r="D1176" s="969"/>
      <c r="E1176" s="969"/>
    </row>
    <row r="1177" spans="2:5" ht="16.5" x14ac:dyDescent="0.2">
      <c r="B1177" s="982"/>
      <c r="C1177" s="982"/>
      <c r="D1177" s="969"/>
      <c r="E1177" s="969"/>
    </row>
    <row r="1178" spans="2:5" ht="16.5" x14ac:dyDescent="0.2">
      <c r="B1178" s="982"/>
      <c r="C1178" s="983"/>
      <c r="D1178" s="969"/>
      <c r="E1178" s="969"/>
    </row>
    <row r="1179" spans="2:5" ht="16.5" x14ac:dyDescent="0.2">
      <c r="B1179" s="982"/>
      <c r="C1179" s="985"/>
      <c r="D1179" s="969"/>
      <c r="E1179" s="969"/>
    </row>
    <row r="1180" spans="2:5" ht="16.5" x14ac:dyDescent="0.2">
      <c r="B1180" s="982"/>
      <c r="C1180" s="985"/>
      <c r="D1180" s="969"/>
      <c r="E1180" s="969"/>
    </row>
    <row r="1181" spans="2:5" ht="16.5" x14ac:dyDescent="0.2">
      <c r="B1181" s="982"/>
      <c r="C1181" s="985"/>
      <c r="D1181" s="969"/>
      <c r="E1181" s="969"/>
    </row>
    <row r="1182" spans="2:5" ht="16.5" x14ac:dyDescent="0.2">
      <c r="B1182" s="982"/>
      <c r="C1182" s="983"/>
      <c r="D1182" s="969"/>
      <c r="E1182" s="969"/>
    </row>
    <row r="1183" spans="2:5" ht="16.5" x14ac:dyDescent="0.2">
      <c r="B1183" s="982"/>
      <c r="C1183" s="985"/>
      <c r="D1183" s="969"/>
      <c r="E1183" s="969"/>
    </row>
    <row r="1184" spans="2:5" ht="16.5" x14ac:dyDescent="0.2">
      <c r="B1184" s="982"/>
      <c r="C1184" s="985"/>
      <c r="D1184" s="969"/>
      <c r="E1184" s="969"/>
    </row>
    <row r="1185" spans="2:5" ht="16.5" x14ac:dyDescent="0.2">
      <c r="B1185" s="982"/>
      <c r="C1185" s="983"/>
      <c r="D1185" s="969"/>
      <c r="E1185" s="969"/>
    </row>
    <row r="1186" spans="2:5" ht="16.5" x14ac:dyDescent="0.2">
      <c r="B1186" s="982"/>
      <c r="C1186" s="985"/>
      <c r="D1186" s="969"/>
      <c r="E1186" s="969"/>
    </row>
    <row r="1187" spans="2:5" ht="16.5" x14ac:dyDescent="0.2">
      <c r="B1187" s="982"/>
      <c r="C1187" s="985"/>
      <c r="D1187" s="969"/>
      <c r="E1187" s="969"/>
    </row>
    <row r="1188" spans="2:5" ht="16.5" x14ac:dyDescent="0.2">
      <c r="B1188" s="982"/>
      <c r="C1188" s="983"/>
      <c r="D1188" s="969"/>
      <c r="E1188" s="969"/>
    </row>
    <row r="1189" spans="2:5" ht="16.5" x14ac:dyDescent="0.2">
      <c r="B1189" s="982"/>
      <c r="C1189" s="985"/>
      <c r="D1189" s="969"/>
      <c r="E1189" s="969"/>
    </row>
    <row r="1190" spans="2:5" ht="16.5" x14ac:dyDescent="0.2">
      <c r="B1190" s="982"/>
      <c r="C1190" s="985"/>
      <c r="D1190" s="969"/>
      <c r="E1190" s="969"/>
    </row>
    <row r="1191" spans="2:5" ht="16.5" x14ac:dyDescent="0.2">
      <c r="B1191" s="982"/>
      <c r="C1191" s="985"/>
      <c r="D1191" s="969"/>
      <c r="E1191" s="969"/>
    </row>
    <row r="1192" spans="2:5" ht="16.5" x14ac:dyDescent="0.2">
      <c r="B1192" s="982"/>
      <c r="C1192" s="985"/>
      <c r="D1192" s="969"/>
      <c r="E1192" s="969"/>
    </row>
    <row r="1193" spans="2:5" ht="16.5" x14ac:dyDescent="0.2">
      <c r="B1193" s="982"/>
      <c r="C1193" s="985"/>
      <c r="D1193" s="969"/>
      <c r="E1193" s="969"/>
    </row>
    <row r="1194" spans="2:5" ht="16.5" x14ac:dyDescent="0.2">
      <c r="B1194" s="982"/>
      <c r="C1194" s="985"/>
      <c r="D1194" s="969"/>
      <c r="E1194" s="969"/>
    </row>
    <row r="1195" spans="2:5" ht="16.5" x14ac:dyDescent="0.2">
      <c r="B1195" s="982"/>
      <c r="C1195" s="983"/>
      <c r="D1195" s="969"/>
      <c r="E1195" s="969"/>
    </row>
    <row r="1196" spans="2:5" ht="16.5" x14ac:dyDescent="0.2">
      <c r="B1196" s="982"/>
      <c r="C1196" s="985"/>
      <c r="D1196" s="969"/>
      <c r="E1196" s="969"/>
    </row>
    <row r="1197" spans="2:5" ht="16.5" x14ac:dyDescent="0.2">
      <c r="B1197" s="982"/>
      <c r="C1197" s="985"/>
      <c r="D1197" s="969"/>
      <c r="E1197" s="969"/>
    </row>
    <row r="1198" spans="2:5" ht="16.5" x14ac:dyDescent="0.2">
      <c r="B1198" s="982"/>
      <c r="C1198" s="982"/>
      <c r="D1198" s="969"/>
      <c r="E1198" s="969"/>
    </row>
    <row r="1199" spans="2:5" ht="16.5" x14ac:dyDescent="0.2">
      <c r="B1199" s="982"/>
      <c r="C1199" s="985"/>
      <c r="D1199" s="969"/>
      <c r="E1199" s="969"/>
    </row>
    <row r="1200" spans="2:5" ht="16.5" x14ac:dyDescent="0.2">
      <c r="B1200" s="982"/>
      <c r="C1200" s="985"/>
      <c r="D1200" s="969"/>
      <c r="E1200" s="969"/>
    </row>
    <row r="1201" spans="2:5" ht="16.5" x14ac:dyDescent="0.2">
      <c r="B1201" s="982"/>
      <c r="C1201" s="985"/>
      <c r="D1201" s="969"/>
      <c r="E1201" s="969"/>
    </row>
    <row r="1202" spans="2:5" ht="16.5" x14ac:dyDescent="0.2">
      <c r="B1202" s="982"/>
      <c r="C1202" s="985"/>
      <c r="D1202" s="969"/>
      <c r="E1202" s="969"/>
    </row>
    <row r="1203" spans="2:5" ht="16.5" x14ac:dyDescent="0.2">
      <c r="B1203" s="982"/>
      <c r="C1203" s="985"/>
      <c r="D1203" s="969"/>
      <c r="E1203" s="969"/>
    </row>
    <row r="1204" spans="2:5" ht="16.5" x14ac:dyDescent="0.2">
      <c r="B1204" s="982"/>
      <c r="C1204" s="985"/>
      <c r="D1204" s="969"/>
      <c r="E1204" s="969"/>
    </row>
    <row r="1205" spans="2:5" ht="16.5" x14ac:dyDescent="0.2">
      <c r="B1205" s="982"/>
      <c r="C1205" s="985"/>
      <c r="D1205" s="969"/>
      <c r="E1205" s="969"/>
    </row>
    <row r="1206" spans="2:5" ht="16.5" x14ac:dyDescent="0.2">
      <c r="B1206" s="982"/>
      <c r="C1206" s="985"/>
      <c r="D1206" s="969"/>
      <c r="E1206" s="969"/>
    </row>
    <row r="1207" spans="2:5" ht="16.5" x14ac:dyDescent="0.2">
      <c r="B1207" s="982"/>
      <c r="C1207" s="985"/>
      <c r="D1207" s="969"/>
      <c r="E1207" s="969"/>
    </row>
    <row r="1208" spans="2:5" ht="16.5" x14ac:dyDescent="0.2">
      <c r="B1208" s="982"/>
      <c r="C1208" s="985"/>
      <c r="D1208" s="969"/>
      <c r="E1208" s="969"/>
    </row>
    <row r="1209" spans="2:5" ht="16.5" x14ac:dyDescent="0.2">
      <c r="B1209" s="982"/>
      <c r="C1209" s="985"/>
      <c r="D1209" s="969"/>
      <c r="E1209" s="969"/>
    </row>
    <row r="1210" spans="2:5" ht="16.5" x14ac:dyDescent="0.2">
      <c r="B1210" s="982"/>
      <c r="C1210" s="985"/>
      <c r="D1210" s="969"/>
      <c r="E1210" s="969"/>
    </row>
    <row r="1211" spans="2:5" ht="16.5" x14ac:dyDescent="0.2">
      <c r="B1211" s="982"/>
      <c r="C1211" s="985"/>
      <c r="D1211" s="969"/>
      <c r="E1211" s="969"/>
    </row>
    <row r="1212" spans="2:5" ht="16.5" x14ac:dyDescent="0.2">
      <c r="B1212" s="982"/>
      <c r="C1212" s="982"/>
      <c r="D1212" s="969"/>
      <c r="E1212" s="969"/>
    </row>
    <row r="1213" spans="2:5" ht="16.5" x14ac:dyDescent="0.2">
      <c r="B1213" s="982"/>
      <c r="C1213" s="983"/>
      <c r="D1213" s="969"/>
      <c r="E1213" s="969"/>
    </row>
    <row r="1214" spans="2:5" ht="16.5" x14ac:dyDescent="0.2">
      <c r="B1214" s="982"/>
      <c r="C1214" s="985"/>
      <c r="D1214" s="969"/>
      <c r="E1214" s="969"/>
    </row>
    <row r="1215" spans="2:5" ht="16.5" x14ac:dyDescent="0.2">
      <c r="B1215" s="982"/>
      <c r="C1215" s="985"/>
      <c r="D1215" s="969"/>
      <c r="E1215" s="969"/>
    </row>
    <row r="1216" spans="2:5" ht="16.5" x14ac:dyDescent="0.2">
      <c r="B1216" s="982"/>
      <c r="C1216" s="985"/>
      <c r="D1216" s="969"/>
      <c r="E1216" s="969"/>
    </row>
    <row r="1217" spans="2:5" ht="16.5" x14ac:dyDescent="0.2">
      <c r="B1217" s="982"/>
      <c r="C1217" s="983"/>
      <c r="D1217" s="969"/>
      <c r="E1217" s="969"/>
    </row>
    <row r="1218" spans="2:5" ht="16.5" x14ac:dyDescent="0.2">
      <c r="B1218" s="982"/>
      <c r="C1218" s="985"/>
      <c r="D1218" s="969"/>
      <c r="E1218" s="969"/>
    </row>
    <row r="1219" spans="2:5" ht="16.5" x14ac:dyDescent="0.2">
      <c r="B1219" s="982"/>
      <c r="C1219" s="985"/>
      <c r="D1219" s="969"/>
      <c r="E1219" s="969"/>
    </row>
    <row r="1220" spans="2:5" ht="16.5" x14ac:dyDescent="0.2">
      <c r="B1220" s="982"/>
      <c r="C1220" s="985"/>
      <c r="D1220" s="969"/>
      <c r="E1220" s="969"/>
    </row>
    <row r="1221" spans="2:5" ht="16.5" x14ac:dyDescent="0.2">
      <c r="B1221" s="982"/>
      <c r="C1221" s="982"/>
      <c r="D1221" s="969"/>
      <c r="E1221" s="969"/>
    </row>
    <row r="1222" spans="2:5" ht="16.5" x14ac:dyDescent="0.2">
      <c r="B1222" s="982"/>
      <c r="C1222" s="983"/>
      <c r="D1222" s="969"/>
      <c r="E1222" s="969"/>
    </row>
    <row r="1223" spans="2:5" ht="16.5" x14ac:dyDescent="0.2">
      <c r="B1223" s="982"/>
      <c r="C1223" s="985"/>
      <c r="D1223" s="969"/>
      <c r="E1223" s="969"/>
    </row>
    <row r="1224" spans="2:5" ht="16.5" x14ac:dyDescent="0.2">
      <c r="B1224" s="982"/>
      <c r="C1224" s="985"/>
      <c r="D1224" s="969"/>
      <c r="E1224" s="969"/>
    </row>
    <row r="1225" spans="2:5" ht="16.5" x14ac:dyDescent="0.2">
      <c r="B1225" s="982"/>
      <c r="C1225" s="985"/>
      <c r="D1225" s="969"/>
      <c r="E1225" s="969"/>
    </row>
    <row r="1226" spans="2:5" ht="16.5" x14ac:dyDescent="0.2">
      <c r="B1226" s="982"/>
      <c r="C1226" s="982"/>
      <c r="D1226" s="969"/>
      <c r="E1226" s="969"/>
    </row>
    <row r="1227" spans="2:5" ht="16.5" x14ac:dyDescent="0.2">
      <c r="B1227" s="982"/>
      <c r="C1227" s="983"/>
      <c r="D1227" s="969"/>
      <c r="E1227" s="969"/>
    </row>
    <row r="1228" spans="2:5" ht="16.5" x14ac:dyDescent="0.2">
      <c r="B1228" s="982"/>
      <c r="C1228" s="985"/>
      <c r="D1228" s="969"/>
      <c r="E1228" s="969"/>
    </row>
    <row r="1229" spans="2:5" ht="16.5" x14ac:dyDescent="0.2">
      <c r="B1229" s="982"/>
      <c r="C1229" s="985"/>
      <c r="D1229" s="969"/>
      <c r="E1229" s="969"/>
    </row>
    <row r="1230" spans="2:5" ht="16.5" x14ac:dyDescent="0.2">
      <c r="B1230" s="982"/>
      <c r="C1230" s="985"/>
      <c r="D1230" s="969"/>
      <c r="E1230" s="969"/>
    </row>
    <row r="1231" spans="2:5" ht="16.5" x14ac:dyDescent="0.2">
      <c r="B1231" s="982"/>
      <c r="C1231" s="985"/>
      <c r="D1231" s="969"/>
      <c r="E1231" s="969"/>
    </row>
    <row r="1232" spans="2:5" ht="16.5" x14ac:dyDescent="0.2">
      <c r="B1232" s="982"/>
      <c r="C1232" s="985"/>
      <c r="D1232" s="969"/>
      <c r="E1232" s="969"/>
    </row>
    <row r="1233" spans="2:5" ht="16.5" x14ac:dyDescent="0.2">
      <c r="B1233" s="982"/>
      <c r="C1233" s="985"/>
      <c r="D1233" s="969"/>
      <c r="E1233" s="969"/>
    </row>
    <row r="1234" spans="2:5" ht="16.5" x14ac:dyDescent="0.2">
      <c r="B1234" s="982"/>
      <c r="C1234" s="985"/>
      <c r="D1234" s="969"/>
      <c r="E1234" s="969"/>
    </row>
    <row r="1235" spans="2:5" ht="16.5" x14ac:dyDescent="0.2">
      <c r="B1235" s="982"/>
      <c r="C1235" s="985"/>
      <c r="D1235" s="969"/>
      <c r="E1235" s="969"/>
    </row>
    <row r="1236" spans="2:5" ht="16.5" x14ac:dyDescent="0.2">
      <c r="B1236" s="982"/>
      <c r="C1236" s="985"/>
      <c r="D1236" s="969"/>
      <c r="E1236" s="969"/>
    </row>
    <row r="1237" spans="2:5" ht="16.5" x14ac:dyDescent="0.2">
      <c r="B1237" s="982"/>
      <c r="C1237" s="983"/>
      <c r="D1237" s="969"/>
      <c r="E1237" s="969"/>
    </row>
    <row r="1238" spans="2:5" ht="16.5" x14ac:dyDescent="0.2">
      <c r="B1238" s="982"/>
      <c r="C1238" s="985"/>
      <c r="D1238" s="969"/>
      <c r="E1238" s="969"/>
    </row>
    <row r="1239" spans="2:5" ht="16.5" x14ac:dyDescent="0.2">
      <c r="B1239" s="982"/>
      <c r="C1239" s="986"/>
      <c r="D1239" s="969"/>
      <c r="E1239" s="969"/>
    </row>
    <row r="1240" spans="2:5" ht="16.5" x14ac:dyDescent="0.2">
      <c r="B1240" s="982"/>
      <c r="C1240" s="986"/>
      <c r="D1240" s="969"/>
      <c r="E1240" s="969"/>
    </row>
    <row r="1241" spans="2:5" ht="16.5" x14ac:dyDescent="0.2">
      <c r="B1241" s="982"/>
      <c r="C1241" s="986"/>
      <c r="D1241" s="969"/>
      <c r="E1241" s="969"/>
    </row>
    <row r="1242" spans="2:5" ht="16.5" x14ac:dyDescent="0.2">
      <c r="B1242" s="982"/>
      <c r="C1242" s="985"/>
      <c r="D1242" s="969"/>
      <c r="E1242" s="969"/>
    </row>
    <row r="1243" spans="2:5" ht="16.5" x14ac:dyDescent="0.2">
      <c r="B1243" s="982"/>
      <c r="C1243" s="986"/>
      <c r="D1243" s="969"/>
      <c r="E1243" s="969"/>
    </row>
    <row r="1244" spans="2:5" ht="16.5" x14ac:dyDescent="0.2">
      <c r="B1244" s="982"/>
      <c r="C1244" s="986"/>
      <c r="D1244" s="969"/>
      <c r="E1244" s="969"/>
    </row>
    <row r="1245" spans="2:5" ht="16.5" x14ac:dyDescent="0.2">
      <c r="B1245" s="982"/>
      <c r="C1245" s="986"/>
      <c r="D1245" s="969"/>
      <c r="E1245" s="969"/>
    </row>
    <row r="1246" spans="2:5" ht="16.5" x14ac:dyDescent="0.2">
      <c r="B1246" s="982"/>
      <c r="C1246" s="986"/>
      <c r="D1246" s="969"/>
      <c r="E1246" s="969"/>
    </row>
    <row r="1247" spans="2:5" ht="16.5" x14ac:dyDescent="0.2">
      <c r="B1247" s="982"/>
      <c r="C1247" s="985"/>
      <c r="D1247" s="969"/>
      <c r="E1247" s="969"/>
    </row>
    <row r="1248" spans="2:5" ht="16.5" x14ac:dyDescent="0.2">
      <c r="B1248" s="982"/>
      <c r="C1248" s="986"/>
      <c r="D1248" s="969"/>
      <c r="E1248" s="969"/>
    </row>
    <row r="1249" spans="2:5" ht="16.5" x14ac:dyDescent="0.2">
      <c r="B1249" s="982"/>
      <c r="C1249" s="986"/>
      <c r="D1249" s="969"/>
      <c r="E1249" s="969"/>
    </row>
    <row r="1250" spans="2:5" ht="16.5" x14ac:dyDescent="0.2">
      <c r="B1250" s="982"/>
      <c r="C1250" s="986"/>
      <c r="D1250" s="969"/>
      <c r="E1250" s="969"/>
    </row>
    <row r="1251" spans="2:5" ht="16.5" x14ac:dyDescent="0.2">
      <c r="B1251" s="982"/>
      <c r="C1251" s="983"/>
      <c r="D1251" s="969"/>
      <c r="E1251" s="969"/>
    </row>
    <row r="1252" spans="2:5" ht="16.5" x14ac:dyDescent="0.2">
      <c r="B1252" s="982"/>
      <c r="C1252" s="985"/>
      <c r="D1252" s="969"/>
      <c r="E1252" s="969"/>
    </row>
    <row r="1253" spans="2:5" ht="16.5" x14ac:dyDescent="0.2">
      <c r="B1253" s="982"/>
      <c r="C1253" s="982"/>
      <c r="D1253" s="969"/>
      <c r="E1253" s="969"/>
    </row>
    <row r="1254" spans="2:5" ht="16.5" x14ac:dyDescent="0.2">
      <c r="B1254" s="982"/>
      <c r="C1254" s="985"/>
      <c r="D1254" s="969"/>
      <c r="E1254" s="969"/>
    </row>
    <row r="1255" spans="2:5" ht="16.5" x14ac:dyDescent="0.2">
      <c r="B1255" s="982"/>
      <c r="C1255" s="985"/>
      <c r="D1255" s="969"/>
      <c r="E1255" s="969"/>
    </row>
    <row r="1256" spans="2:5" ht="16.5" x14ac:dyDescent="0.2">
      <c r="B1256" s="982"/>
      <c r="C1256" s="985"/>
      <c r="D1256" s="969"/>
      <c r="E1256" s="969"/>
    </row>
    <row r="1257" spans="2:5" ht="16.5" x14ac:dyDescent="0.2">
      <c r="B1257" s="982"/>
      <c r="C1257" s="985"/>
      <c r="D1257" s="969"/>
      <c r="E1257" s="969"/>
    </row>
    <row r="1258" spans="2:5" ht="16.5" x14ac:dyDescent="0.2">
      <c r="B1258" s="982"/>
      <c r="C1258" s="985"/>
      <c r="D1258" s="969"/>
      <c r="E1258" s="969"/>
    </row>
    <row r="1259" spans="2:5" ht="16.5" x14ac:dyDescent="0.2">
      <c r="B1259" s="982"/>
      <c r="C1259" s="982"/>
      <c r="D1259" s="969"/>
      <c r="E1259" s="969"/>
    </row>
    <row r="1260" spans="2:5" ht="16.5" x14ac:dyDescent="0.2">
      <c r="B1260" s="982"/>
      <c r="C1260" s="985"/>
      <c r="D1260" s="969"/>
      <c r="E1260" s="969"/>
    </row>
    <row r="1261" spans="2:5" ht="16.5" x14ac:dyDescent="0.2">
      <c r="B1261" s="982"/>
      <c r="C1261" s="985"/>
      <c r="D1261" s="969"/>
      <c r="E1261" s="969"/>
    </row>
    <row r="1262" spans="2:5" ht="16.5" x14ac:dyDescent="0.2">
      <c r="B1262" s="982"/>
      <c r="C1262" s="985"/>
      <c r="D1262" s="969"/>
      <c r="E1262" s="969"/>
    </row>
    <row r="1263" spans="2:5" ht="16.5" x14ac:dyDescent="0.2">
      <c r="B1263" s="982"/>
      <c r="C1263" s="985"/>
      <c r="D1263" s="969"/>
      <c r="E1263" s="969"/>
    </row>
    <row r="1264" spans="2:5" ht="16.5" x14ac:dyDescent="0.2">
      <c r="B1264" s="982"/>
      <c r="C1264" s="985"/>
      <c r="D1264" s="969"/>
      <c r="E1264" s="969"/>
    </row>
    <row r="1265" spans="2:5" ht="16.5" x14ac:dyDescent="0.2">
      <c r="B1265" s="982"/>
      <c r="C1265" s="985"/>
      <c r="D1265" s="969"/>
      <c r="E1265" s="969"/>
    </row>
    <row r="1266" spans="2:5" ht="16.5" x14ac:dyDescent="0.2">
      <c r="B1266" s="982"/>
      <c r="C1266" s="985"/>
      <c r="D1266" s="969"/>
      <c r="E1266" s="969"/>
    </row>
    <row r="1267" spans="2:5" ht="16.5" x14ac:dyDescent="0.2">
      <c r="B1267" s="982"/>
      <c r="C1267" s="985"/>
      <c r="D1267" s="969"/>
      <c r="E1267" s="969"/>
    </row>
    <row r="1268" spans="2:5" ht="16.5" x14ac:dyDescent="0.2">
      <c r="B1268" s="982"/>
      <c r="C1268" s="982"/>
      <c r="D1268" s="969"/>
      <c r="E1268" s="969"/>
    </row>
    <row r="1269" spans="2:5" ht="16.5" x14ac:dyDescent="0.2">
      <c r="B1269" s="982"/>
      <c r="C1269" s="985"/>
      <c r="D1269" s="969"/>
      <c r="E1269" s="969"/>
    </row>
    <row r="1270" spans="2:5" ht="16.5" x14ac:dyDescent="0.2">
      <c r="B1270" s="982"/>
      <c r="C1270" s="985"/>
      <c r="D1270" s="969"/>
      <c r="E1270" s="969"/>
    </row>
    <row r="1271" spans="2:5" ht="16.5" x14ac:dyDescent="0.2">
      <c r="B1271" s="982"/>
      <c r="C1271" s="985"/>
      <c r="D1271" s="969"/>
      <c r="E1271" s="969"/>
    </row>
    <row r="1272" spans="2:5" ht="16.5" x14ac:dyDescent="0.2">
      <c r="B1272" s="982"/>
      <c r="C1272" s="982"/>
      <c r="D1272" s="969"/>
      <c r="E1272" s="969"/>
    </row>
    <row r="1273" spans="2:5" ht="16.5" x14ac:dyDescent="0.2">
      <c r="B1273" s="982"/>
      <c r="C1273" s="985"/>
      <c r="D1273" s="969"/>
      <c r="E1273" s="969"/>
    </row>
    <row r="1274" spans="2:5" ht="16.5" x14ac:dyDescent="0.2">
      <c r="B1274" s="982"/>
      <c r="C1274" s="985"/>
      <c r="D1274" s="969"/>
      <c r="E1274" s="969"/>
    </row>
    <row r="1275" spans="2:5" ht="16.5" x14ac:dyDescent="0.2">
      <c r="B1275" s="982"/>
      <c r="C1275" s="985"/>
      <c r="D1275" s="969"/>
      <c r="E1275" s="969"/>
    </row>
    <row r="1276" spans="2:5" ht="16.5" x14ac:dyDescent="0.2">
      <c r="B1276" s="982"/>
      <c r="C1276" s="982"/>
      <c r="D1276" s="969"/>
      <c r="E1276" s="969"/>
    </row>
    <row r="1277" spans="2:5" ht="16.5" x14ac:dyDescent="0.2">
      <c r="B1277" s="982"/>
      <c r="C1277" s="985"/>
      <c r="D1277" s="969"/>
      <c r="E1277" s="969"/>
    </row>
    <row r="1278" spans="2:5" ht="16.5" x14ac:dyDescent="0.2">
      <c r="B1278" s="982"/>
      <c r="C1278" s="985"/>
      <c r="D1278" s="969"/>
      <c r="E1278" s="969"/>
    </row>
    <row r="1279" spans="2:5" ht="16.5" x14ac:dyDescent="0.2">
      <c r="B1279" s="982"/>
      <c r="C1279" s="985"/>
      <c r="D1279" s="969"/>
      <c r="E1279" s="969"/>
    </row>
    <row r="1280" spans="2:5" ht="16.5" x14ac:dyDescent="0.2">
      <c r="B1280" s="982"/>
      <c r="C1280" s="985"/>
      <c r="D1280" s="969"/>
      <c r="E1280" s="969"/>
    </row>
    <row r="1281" spans="2:5" ht="16.5" x14ac:dyDescent="0.2">
      <c r="B1281" s="982"/>
      <c r="C1281" s="985"/>
      <c r="D1281" s="969"/>
      <c r="E1281" s="969"/>
    </row>
    <row r="1282" spans="2:5" ht="16.5" x14ac:dyDescent="0.2">
      <c r="B1282" s="982"/>
      <c r="C1282" s="985"/>
      <c r="D1282" s="969"/>
      <c r="E1282" s="969"/>
    </row>
    <row r="1283" spans="2:5" ht="16.5" x14ac:dyDescent="0.3">
      <c r="B1283" s="987"/>
      <c r="C1283" s="988"/>
      <c r="D1283" s="969"/>
      <c r="E1283" s="969"/>
    </row>
    <row r="1284" spans="2:5" ht="16.5" x14ac:dyDescent="0.2">
      <c r="B1284" s="971"/>
      <c r="C1284" s="982"/>
      <c r="D1284" s="969"/>
      <c r="E1284" s="969"/>
    </row>
    <row r="1285" spans="2:5" ht="16.5" x14ac:dyDescent="0.2">
      <c r="B1285" s="971"/>
      <c r="C1285" s="982"/>
      <c r="D1285" s="969"/>
      <c r="E1285" s="969"/>
    </row>
    <row r="1286" spans="2:5" ht="16.5" x14ac:dyDescent="0.2">
      <c r="B1286" s="971"/>
      <c r="C1286" s="982"/>
      <c r="D1286" s="969"/>
      <c r="E1286" s="969"/>
    </row>
    <row r="1287" spans="2:5" ht="16.5" x14ac:dyDescent="0.2">
      <c r="B1287" s="971"/>
      <c r="C1287" s="982"/>
      <c r="D1287" s="969"/>
      <c r="E1287" s="969"/>
    </row>
    <row r="1288" spans="2:5" ht="16.5" x14ac:dyDescent="0.2">
      <c r="B1288" s="989"/>
      <c r="C1288" s="990"/>
      <c r="D1288" s="969"/>
      <c r="E1288" s="969"/>
    </row>
    <row r="1289" spans="2:5" ht="16.5" x14ac:dyDescent="0.2">
      <c r="B1289" s="971"/>
      <c r="C1289" s="991"/>
      <c r="D1289" s="969"/>
      <c r="E1289" s="969"/>
    </row>
    <row r="1290" spans="2:5" ht="16.5" x14ac:dyDescent="0.2">
      <c r="B1290" s="982"/>
      <c r="C1290" s="983"/>
      <c r="D1290" s="969"/>
      <c r="E1290" s="969"/>
    </row>
    <row r="1291" spans="2:5" ht="16.5" x14ac:dyDescent="0.2">
      <c r="B1291" s="982"/>
      <c r="C1291" s="985"/>
      <c r="D1291" s="969"/>
      <c r="E1291" s="969"/>
    </row>
    <row r="1292" spans="2:5" ht="16.5" x14ac:dyDescent="0.2">
      <c r="B1292" s="982"/>
      <c r="C1292" s="985"/>
      <c r="D1292" s="969"/>
      <c r="E1292" s="969"/>
    </row>
    <row r="1293" spans="2:5" ht="16.5" x14ac:dyDescent="0.2">
      <c r="B1293" s="982"/>
      <c r="C1293" s="985"/>
      <c r="D1293" s="969"/>
      <c r="E1293" s="969"/>
    </row>
    <row r="1294" spans="2:5" ht="16.5" x14ac:dyDescent="0.2">
      <c r="B1294" s="982"/>
      <c r="C1294" s="985"/>
      <c r="D1294" s="969"/>
      <c r="E1294" s="969"/>
    </row>
    <row r="1295" spans="2:5" ht="16.5" x14ac:dyDescent="0.2">
      <c r="B1295" s="982"/>
      <c r="C1295" s="983"/>
      <c r="D1295" s="969"/>
      <c r="E1295" s="969"/>
    </row>
    <row r="1296" spans="2:5" ht="16.5" x14ac:dyDescent="0.2">
      <c r="B1296" s="982"/>
      <c r="C1296" s="982"/>
      <c r="D1296" s="969"/>
      <c r="E1296" s="969"/>
    </row>
    <row r="1297" spans="2:5" ht="16.5" x14ac:dyDescent="0.2">
      <c r="B1297" s="982"/>
      <c r="C1297" s="983"/>
      <c r="D1297" s="969"/>
      <c r="E1297" s="969"/>
    </row>
    <row r="1298" spans="2:5" ht="16.5" x14ac:dyDescent="0.2">
      <c r="B1298" s="982"/>
      <c r="C1298" s="985"/>
      <c r="D1298" s="969"/>
      <c r="E1298" s="969"/>
    </row>
    <row r="1299" spans="2:5" ht="16.5" x14ac:dyDescent="0.2">
      <c r="B1299" s="992"/>
      <c r="C1299" s="990"/>
      <c r="D1299" s="969"/>
      <c r="E1299" s="969"/>
    </row>
    <row r="1300" spans="2:5" ht="16.5" x14ac:dyDescent="0.2">
      <c r="B1300" s="982"/>
      <c r="C1300" s="991"/>
      <c r="D1300" s="969"/>
      <c r="E1300" s="969"/>
    </row>
    <row r="1301" spans="2:5" ht="16.5" x14ac:dyDescent="0.2">
      <c r="B1301" s="982"/>
      <c r="C1301" s="993"/>
      <c r="D1301" s="969"/>
      <c r="E1301" s="969"/>
    </row>
    <row r="1302" spans="2:5" ht="16.5" x14ac:dyDescent="0.2">
      <c r="B1302" s="982"/>
      <c r="C1302" s="994"/>
      <c r="D1302" s="969"/>
      <c r="E1302" s="969"/>
    </row>
    <row r="1303" spans="2:5" ht="16.5" x14ac:dyDescent="0.2">
      <c r="B1303" s="982"/>
      <c r="C1303" s="994"/>
      <c r="D1303" s="969"/>
      <c r="E1303" s="969"/>
    </row>
    <row r="1304" spans="2:5" ht="16.5" x14ac:dyDescent="0.2">
      <c r="B1304" s="982"/>
      <c r="C1304" s="994"/>
      <c r="D1304" s="969"/>
      <c r="E1304" s="969"/>
    </row>
    <row r="1305" spans="2:5" ht="16.5" x14ac:dyDescent="0.2">
      <c r="B1305" s="982"/>
      <c r="C1305" s="994"/>
      <c r="D1305" s="969"/>
      <c r="E1305" s="969"/>
    </row>
    <row r="1306" spans="2:5" ht="16.5" x14ac:dyDescent="0.2">
      <c r="B1306" s="982"/>
      <c r="C1306" s="985"/>
      <c r="D1306" s="969"/>
      <c r="E1306" s="969"/>
    </row>
    <row r="1307" spans="2:5" ht="16.5" x14ac:dyDescent="0.2">
      <c r="B1307" s="982"/>
      <c r="C1307" s="994"/>
      <c r="D1307" s="969"/>
      <c r="E1307" s="969"/>
    </row>
    <row r="1308" spans="2:5" ht="16.5" x14ac:dyDescent="0.2">
      <c r="B1308" s="982"/>
      <c r="C1308" s="994"/>
      <c r="D1308" s="969"/>
      <c r="E1308" s="969"/>
    </row>
    <row r="1309" spans="2:5" ht="16.5" x14ac:dyDescent="0.2">
      <c r="B1309" s="982"/>
      <c r="C1309" s="985"/>
      <c r="D1309" s="969"/>
      <c r="E1309" s="969"/>
    </row>
    <row r="1310" spans="2:5" ht="16.5" x14ac:dyDescent="0.2">
      <c r="B1310" s="982"/>
      <c r="C1310" s="983"/>
      <c r="D1310" s="969"/>
      <c r="E1310" s="969"/>
    </row>
    <row r="1311" spans="2:5" ht="16.5" x14ac:dyDescent="0.2">
      <c r="B1311" s="982"/>
      <c r="C1311" s="985"/>
      <c r="D1311" s="969"/>
      <c r="E1311" s="969"/>
    </row>
    <row r="1312" spans="2:5" ht="16.5" x14ac:dyDescent="0.2">
      <c r="B1312" s="982"/>
      <c r="C1312" s="994"/>
      <c r="D1312" s="969"/>
      <c r="E1312" s="969"/>
    </row>
    <row r="1313" spans="2:5" ht="16.5" x14ac:dyDescent="0.2">
      <c r="B1313" s="982"/>
      <c r="C1313" s="994"/>
      <c r="D1313" s="969"/>
      <c r="E1313" s="969"/>
    </row>
    <row r="1314" spans="2:5" ht="16.5" x14ac:dyDescent="0.2">
      <c r="B1314" s="982"/>
      <c r="C1314" s="994"/>
      <c r="D1314" s="969"/>
      <c r="E1314" s="969"/>
    </row>
    <row r="1315" spans="2:5" ht="16.5" x14ac:dyDescent="0.2">
      <c r="B1315" s="982"/>
      <c r="C1315" s="994"/>
      <c r="D1315" s="969"/>
      <c r="E1315" s="969"/>
    </row>
    <row r="1316" spans="2:5" ht="16.5" x14ac:dyDescent="0.2">
      <c r="B1316" s="982"/>
      <c r="C1316" s="994"/>
      <c r="D1316" s="969"/>
      <c r="E1316" s="969"/>
    </row>
    <row r="1317" spans="2:5" ht="16.5" x14ac:dyDescent="0.2">
      <c r="B1317" s="982"/>
      <c r="C1317" s="994"/>
      <c r="D1317" s="969"/>
      <c r="E1317" s="969"/>
    </row>
    <row r="1318" spans="2:5" ht="16.5" x14ac:dyDescent="0.2">
      <c r="B1318" s="982"/>
      <c r="C1318" s="994"/>
      <c r="D1318" s="969"/>
      <c r="E1318" s="969"/>
    </row>
    <row r="1319" spans="2:5" ht="16.5" x14ac:dyDescent="0.2">
      <c r="B1319" s="982"/>
      <c r="C1319" s="994"/>
      <c r="D1319" s="969"/>
      <c r="E1319" s="969"/>
    </row>
    <row r="1320" spans="2:5" ht="16.5" x14ac:dyDescent="0.2">
      <c r="B1320" s="982"/>
      <c r="C1320" s="994"/>
      <c r="D1320" s="969"/>
      <c r="E1320" s="969"/>
    </row>
    <row r="1321" spans="2:5" ht="16.5" x14ac:dyDescent="0.2">
      <c r="B1321" s="982"/>
      <c r="C1321" s="994"/>
      <c r="D1321" s="969"/>
      <c r="E1321" s="969"/>
    </row>
    <row r="1322" spans="2:5" ht="16.5" x14ac:dyDescent="0.2">
      <c r="B1322" s="982"/>
      <c r="C1322" s="983"/>
      <c r="D1322" s="969"/>
      <c r="E1322" s="969"/>
    </row>
    <row r="1323" spans="2:5" ht="16.5" x14ac:dyDescent="0.2">
      <c r="B1323" s="982"/>
      <c r="C1323" s="985"/>
      <c r="D1323" s="969"/>
      <c r="E1323" s="969"/>
    </row>
    <row r="1324" spans="2:5" ht="16.5" x14ac:dyDescent="0.2">
      <c r="B1324" s="982"/>
      <c r="C1324" s="994"/>
      <c r="D1324" s="969"/>
      <c r="E1324" s="969"/>
    </row>
    <row r="1325" spans="2:5" ht="16.5" x14ac:dyDescent="0.2">
      <c r="B1325" s="982"/>
      <c r="C1325" s="994"/>
      <c r="D1325" s="969"/>
      <c r="E1325" s="969"/>
    </row>
    <row r="1326" spans="2:5" ht="16.5" x14ac:dyDescent="0.2">
      <c r="B1326" s="982"/>
      <c r="C1326" s="994"/>
      <c r="D1326" s="969"/>
      <c r="E1326" s="969"/>
    </row>
    <row r="1327" spans="2:5" ht="16.5" x14ac:dyDescent="0.2">
      <c r="B1327" s="982"/>
      <c r="C1327" s="994"/>
      <c r="D1327" s="969"/>
      <c r="E1327" s="969"/>
    </row>
    <row r="1328" spans="2:5" ht="16.5" x14ac:dyDescent="0.2">
      <c r="B1328" s="982"/>
      <c r="C1328" s="994"/>
      <c r="D1328" s="969"/>
      <c r="E1328" s="969"/>
    </row>
    <row r="1329" spans="2:5" ht="16.5" x14ac:dyDescent="0.2">
      <c r="B1329" s="982"/>
      <c r="C1329" s="985"/>
      <c r="D1329" s="969"/>
      <c r="E1329" s="969"/>
    </row>
    <row r="1330" spans="2:5" ht="16.5" x14ac:dyDescent="0.2">
      <c r="B1330" s="982"/>
      <c r="C1330" s="982"/>
      <c r="D1330" s="969"/>
      <c r="E1330" s="969"/>
    </row>
    <row r="1331" spans="2:5" ht="16.5" x14ac:dyDescent="0.2">
      <c r="B1331" s="982"/>
      <c r="C1331" s="983"/>
      <c r="D1331" s="969"/>
      <c r="E1331" s="969"/>
    </row>
    <row r="1332" spans="2:5" ht="16.5" x14ac:dyDescent="0.2">
      <c r="B1332" s="982"/>
      <c r="C1332" s="985"/>
      <c r="D1332" s="969"/>
      <c r="E1332" s="969"/>
    </row>
    <row r="1333" spans="2:5" ht="16.5" x14ac:dyDescent="0.2">
      <c r="B1333" s="982"/>
      <c r="C1333" s="985"/>
      <c r="D1333" s="969"/>
      <c r="E1333" s="969"/>
    </row>
    <row r="1334" spans="2:5" ht="16.5" x14ac:dyDescent="0.2">
      <c r="B1334" s="982"/>
      <c r="C1334" s="985"/>
      <c r="D1334" s="969"/>
      <c r="E1334" s="969"/>
    </row>
    <row r="1335" spans="2:5" ht="16.5" x14ac:dyDescent="0.2">
      <c r="B1335" s="982"/>
      <c r="C1335" s="985"/>
      <c r="D1335" s="969"/>
      <c r="E1335" s="969"/>
    </row>
    <row r="1336" spans="2:5" ht="16.5" x14ac:dyDescent="0.2">
      <c r="B1336" s="982"/>
      <c r="C1336" s="985"/>
      <c r="D1336" s="969"/>
      <c r="E1336" s="969"/>
    </row>
    <row r="1337" spans="2:5" ht="16.5" x14ac:dyDescent="0.2">
      <c r="B1337" s="982"/>
      <c r="C1337" s="983"/>
      <c r="D1337" s="969"/>
      <c r="E1337" s="969"/>
    </row>
    <row r="1338" spans="2:5" ht="16.5" x14ac:dyDescent="0.2">
      <c r="B1338" s="982"/>
      <c r="C1338" s="985"/>
      <c r="D1338" s="969"/>
      <c r="E1338" s="969"/>
    </row>
    <row r="1339" spans="2:5" ht="16.5" x14ac:dyDescent="0.2">
      <c r="B1339" s="982"/>
      <c r="C1339" s="985"/>
      <c r="D1339" s="969"/>
      <c r="E1339" s="969"/>
    </row>
    <row r="1340" spans="2:5" ht="16.5" x14ac:dyDescent="0.2">
      <c r="B1340" s="982"/>
      <c r="C1340" s="985"/>
      <c r="D1340" s="969"/>
      <c r="E1340" s="969"/>
    </row>
    <row r="1341" spans="2:5" ht="16.5" x14ac:dyDescent="0.2">
      <c r="B1341" s="982"/>
      <c r="C1341" s="985"/>
      <c r="D1341" s="969"/>
      <c r="E1341" s="969"/>
    </row>
    <row r="1342" spans="2:5" ht="16.5" x14ac:dyDescent="0.2">
      <c r="B1342" s="982"/>
      <c r="C1342" s="985"/>
      <c r="D1342" s="969"/>
      <c r="E1342" s="969"/>
    </row>
    <row r="1343" spans="2:5" ht="16.5" x14ac:dyDescent="0.2">
      <c r="B1343" s="982"/>
      <c r="C1343" s="985"/>
      <c r="D1343" s="969"/>
      <c r="E1343" s="969"/>
    </row>
    <row r="1344" spans="2:5" ht="16.5" x14ac:dyDescent="0.2">
      <c r="B1344" s="982"/>
      <c r="C1344" s="985"/>
      <c r="D1344" s="969"/>
      <c r="E1344" s="969"/>
    </row>
    <row r="1345" spans="2:5" ht="16.5" x14ac:dyDescent="0.2">
      <c r="B1345" s="982"/>
      <c r="C1345" s="985"/>
      <c r="D1345" s="969"/>
      <c r="E1345" s="969"/>
    </row>
    <row r="1346" spans="2:5" ht="16.5" x14ac:dyDescent="0.2">
      <c r="B1346" s="982"/>
      <c r="C1346" s="985"/>
      <c r="D1346" s="969"/>
      <c r="E1346" s="969"/>
    </row>
    <row r="1347" spans="2:5" ht="16.5" x14ac:dyDescent="0.2">
      <c r="B1347" s="982"/>
      <c r="C1347" s="985"/>
      <c r="D1347" s="969"/>
      <c r="E1347" s="969"/>
    </row>
    <row r="1348" spans="2:5" ht="16.5" x14ac:dyDescent="0.2">
      <c r="B1348" s="982"/>
      <c r="C1348" s="985"/>
      <c r="D1348" s="969"/>
      <c r="E1348" s="969"/>
    </row>
    <row r="1349" spans="2:5" ht="16.5" x14ac:dyDescent="0.2">
      <c r="B1349" s="982"/>
      <c r="C1349" s="985"/>
      <c r="D1349" s="969"/>
      <c r="E1349" s="969"/>
    </row>
    <row r="1350" spans="2:5" ht="16.5" x14ac:dyDescent="0.2">
      <c r="B1350" s="982"/>
      <c r="C1350" s="985"/>
      <c r="D1350" s="969"/>
      <c r="E1350" s="969"/>
    </row>
    <row r="1351" spans="2:5" ht="16.5" x14ac:dyDescent="0.2">
      <c r="B1351" s="982"/>
      <c r="C1351" s="985"/>
      <c r="D1351" s="969"/>
      <c r="E1351" s="969"/>
    </row>
    <row r="1352" spans="2:5" ht="16.5" x14ac:dyDescent="0.2">
      <c r="B1352" s="982"/>
      <c r="C1352" s="985"/>
      <c r="D1352" s="969"/>
      <c r="E1352" s="969"/>
    </row>
    <row r="1353" spans="2:5" ht="16.5" x14ac:dyDescent="0.2">
      <c r="B1353" s="982"/>
      <c r="C1353" s="985"/>
      <c r="D1353" s="969"/>
      <c r="E1353" s="969"/>
    </row>
    <row r="1354" spans="2:5" ht="16.5" x14ac:dyDescent="0.2">
      <c r="B1354" s="982"/>
      <c r="C1354" s="985"/>
      <c r="D1354" s="969"/>
      <c r="E1354" s="969"/>
    </row>
    <row r="1355" spans="2:5" ht="16.5" x14ac:dyDescent="0.2">
      <c r="B1355" s="982"/>
      <c r="C1355" s="985"/>
      <c r="D1355" s="969"/>
      <c r="E1355" s="969"/>
    </row>
    <row r="1356" spans="2:5" ht="16.5" x14ac:dyDescent="0.2">
      <c r="B1356" s="982"/>
      <c r="C1356" s="985"/>
      <c r="D1356" s="969"/>
      <c r="E1356" s="969"/>
    </row>
    <row r="1357" spans="2:5" ht="16.5" x14ac:dyDescent="0.2">
      <c r="B1357" s="982"/>
      <c r="C1357" s="985"/>
      <c r="D1357" s="969"/>
      <c r="E1357" s="969"/>
    </row>
    <row r="1358" spans="2:5" ht="16.5" x14ac:dyDescent="0.2">
      <c r="B1358" s="982"/>
      <c r="C1358" s="985"/>
      <c r="D1358" s="969"/>
      <c r="E1358" s="969"/>
    </row>
    <row r="1359" spans="2:5" ht="16.5" x14ac:dyDescent="0.2">
      <c r="B1359" s="982"/>
      <c r="C1359" s="985"/>
      <c r="D1359" s="969"/>
      <c r="E1359" s="969"/>
    </row>
    <row r="1360" spans="2:5" ht="16.5" x14ac:dyDescent="0.2">
      <c r="B1360" s="982"/>
      <c r="C1360" s="985"/>
      <c r="D1360" s="969"/>
      <c r="E1360" s="969"/>
    </row>
    <row r="1361" spans="2:5" ht="16.5" x14ac:dyDescent="0.2">
      <c r="B1361" s="982"/>
      <c r="C1361" s="985"/>
      <c r="D1361" s="969"/>
      <c r="E1361" s="969"/>
    </row>
    <row r="1362" spans="2:5" ht="16.5" x14ac:dyDescent="0.2">
      <c r="B1362" s="982"/>
      <c r="C1362" s="985"/>
      <c r="D1362" s="969"/>
      <c r="E1362" s="969"/>
    </row>
    <row r="1363" spans="2:5" ht="16.5" x14ac:dyDescent="0.2">
      <c r="B1363" s="982"/>
      <c r="C1363" s="985"/>
      <c r="D1363" s="969"/>
      <c r="E1363" s="969"/>
    </row>
    <row r="1364" spans="2:5" ht="16.5" x14ac:dyDescent="0.2">
      <c r="B1364" s="982"/>
      <c r="C1364" s="985"/>
      <c r="D1364" s="969"/>
      <c r="E1364" s="969"/>
    </row>
    <row r="1365" spans="2:5" ht="16.5" x14ac:dyDescent="0.2">
      <c r="B1365" s="982"/>
      <c r="C1365" s="985"/>
      <c r="D1365" s="969"/>
      <c r="E1365" s="969"/>
    </row>
    <row r="1366" spans="2:5" ht="16.5" x14ac:dyDescent="0.2">
      <c r="B1366" s="982"/>
      <c r="C1366" s="985"/>
      <c r="D1366" s="969"/>
      <c r="E1366" s="969"/>
    </row>
    <row r="1367" spans="2:5" ht="16.5" x14ac:dyDescent="0.2">
      <c r="B1367" s="982"/>
      <c r="C1367" s="985"/>
      <c r="D1367" s="969"/>
      <c r="E1367" s="969"/>
    </row>
    <row r="1368" spans="2:5" ht="16.5" x14ac:dyDescent="0.2">
      <c r="B1368" s="982"/>
      <c r="C1368" s="985"/>
      <c r="D1368" s="969"/>
      <c r="E1368" s="969"/>
    </row>
    <row r="1369" spans="2:5" ht="16.5" x14ac:dyDescent="0.2">
      <c r="B1369" s="982"/>
      <c r="C1369" s="985"/>
      <c r="D1369" s="969"/>
      <c r="E1369" s="969"/>
    </row>
    <row r="1370" spans="2:5" ht="16.5" x14ac:dyDescent="0.2">
      <c r="B1370" s="982"/>
      <c r="C1370" s="985"/>
      <c r="D1370" s="969"/>
      <c r="E1370" s="969"/>
    </row>
    <row r="1371" spans="2:5" ht="16.5" x14ac:dyDescent="0.2">
      <c r="B1371" s="982"/>
      <c r="C1371" s="985"/>
      <c r="D1371" s="969"/>
      <c r="E1371" s="969"/>
    </row>
    <row r="1372" spans="2:5" ht="16.5" x14ac:dyDescent="0.2">
      <c r="B1372" s="982"/>
      <c r="C1372" s="985"/>
      <c r="D1372" s="969"/>
      <c r="E1372" s="969"/>
    </row>
    <row r="1373" spans="2:5" ht="16.5" x14ac:dyDescent="0.2">
      <c r="B1373" s="982"/>
      <c r="C1373" s="985"/>
      <c r="D1373" s="969"/>
      <c r="E1373" s="969"/>
    </row>
    <row r="1374" spans="2:5" ht="16.5" x14ac:dyDescent="0.2">
      <c r="B1374" s="982"/>
      <c r="C1374" s="985"/>
      <c r="D1374" s="969"/>
      <c r="E1374" s="969"/>
    </row>
    <row r="1375" spans="2:5" ht="16.5" x14ac:dyDescent="0.2">
      <c r="B1375" s="982"/>
      <c r="C1375" s="985"/>
      <c r="D1375" s="969"/>
      <c r="E1375" s="969"/>
    </row>
    <row r="1376" spans="2:5" ht="16.5" x14ac:dyDescent="0.2">
      <c r="B1376" s="982"/>
      <c r="C1376" s="985"/>
      <c r="D1376" s="969"/>
      <c r="E1376" s="969"/>
    </row>
    <row r="1377" spans="2:5" ht="16.5" x14ac:dyDescent="0.2">
      <c r="B1377" s="982"/>
      <c r="C1377" s="985"/>
      <c r="D1377" s="969"/>
      <c r="E1377" s="969"/>
    </row>
    <row r="1378" spans="2:5" ht="16.5" x14ac:dyDescent="0.2">
      <c r="B1378" s="982"/>
      <c r="C1378" s="985"/>
      <c r="D1378" s="969"/>
      <c r="E1378" s="969"/>
    </row>
    <row r="1379" spans="2:5" ht="16.5" x14ac:dyDescent="0.2">
      <c r="B1379" s="982"/>
      <c r="C1379" s="985"/>
      <c r="D1379" s="969"/>
      <c r="E1379" s="969"/>
    </row>
    <row r="1380" spans="2:5" ht="16.5" x14ac:dyDescent="0.2">
      <c r="B1380" s="982"/>
      <c r="C1380" s="985"/>
      <c r="D1380" s="969"/>
      <c r="E1380" s="969"/>
    </row>
    <row r="1381" spans="2:5" ht="16.5" x14ac:dyDescent="0.2">
      <c r="B1381" s="982"/>
      <c r="C1381" s="985"/>
      <c r="D1381" s="969"/>
      <c r="E1381" s="969"/>
    </row>
    <row r="1382" spans="2:5" ht="16.5" x14ac:dyDescent="0.2">
      <c r="B1382" s="982"/>
      <c r="C1382" s="985"/>
      <c r="D1382" s="969"/>
      <c r="E1382" s="969"/>
    </row>
    <row r="1383" spans="2:5" ht="16.5" x14ac:dyDescent="0.2">
      <c r="B1383" s="982"/>
      <c r="C1383" s="985"/>
      <c r="D1383" s="969"/>
      <c r="E1383" s="969"/>
    </row>
    <row r="1384" spans="2:5" ht="16.5" x14ac:dyDescent="0.2">
      <c r="B1384" s="982"/>
      <c r="C1384" s="985"/>
      <c r="D1384" s="969"/>
      <c r="E1384" s="969"/>
    </row>
    <row r="1385" spans="2:5" ht="16.5" x14ac:dyDescent="0.2">
      <c r="B1385" s="982"/>
      <c r="C1385" s="985"/>
      <c r="D1385" s="969"/>
      <c r="E1385" s="969"/>
    </row>
    <row r="1386" spans="2:5" ht="16.5" x14ac:dyDescent="0.2">
      <c r="B1386" s="982"/>
      <c r="C1386" s="985"/>
      <c r="D1386" s="969"/>
      <c r="E1386" s="969"/>
    </row>
    <row r="1387" spans="2:5" ht="16.5" x14ac:dyDescent="0.2">
      <c r="B1387" s="982"/>
      <c r="C1387" s="985"/>
      <c r="D1387" s="969"/>
      <c r="E1387" s="969"/>
    </row>
    <row r="1388" spans="2:5" ht="16.5" x14ac:dyDescent="0.2">
      <c r="B1388" s="982"/>
      <c r="C1388" s="985"/>
      <c r="D1388" s="969"/>
      <c r="E1388" s="969"/>
    </row>
    <row r="1389" spans="2:5" ht="16.5" x14ac:dyDescent="0.2">
      <c r="B1389" s="982"/>
      <c r="C1389" s="985"/>
      <c r="D1389" s="969"/>
      <c r="E1389" s="969"/>
    </row>
    <row r="1390" spans="2:5" ht="16.5" x14ac:dyDescent="0.2">
      <c r="B1390" s="982"/>
      <c r="C1390" s="985"/>
      <c r="D1390" s="969"/>
      <c r="E1390" s="969"/>
    </row>
    <row r="1391" spans="2:5" ht="16.5" x14ac:dyDescent="0.2">
      <c r="B1391" s="982"/>
      <c r="C1391" s="985"/>
      <c r="D1391" s="969"/>
      <c r="E1391" s="969"/>
    </row>
    <row r="1392" spans="2:5" ht="16.5" x14ac:dyDescent="0.2">
      <c r="B1392" s="982"/>
      <c r="C1392" s="985"/>
      <c r="D1392" s="969"/>
      <c r="E1392" s="969"/>
    </row>
    <row r="1393" spans="2:5" ht="16.5" x14ac:dyDescent="0.2">
      <c r="B1393" s="982"/>
      <c r="C1393" s="985"/>
      <c r="D1393" s="969"/>
      <c r="E1393" s="969"/>
    </row>
    <row r="1394" spans="2:5" ht="16.5" x14ac:dyDescent="0.2">
      <c r="B1394" s="982"/>
      <c r="C1394" s="985"/>
      <c r="D1394" s="969"/>
      <c r="E1394" s="969"/>
    </row>
    <row r="1395" spans="2:5" ht="16.5" x14ac:dyDescent="0.2">
      <c r="B1395" s="982"/>
      <c r="C1395" s="985"/>
      <c r="D1395" s="969"/>
      <c r="E1395" s="969"/>
    </row>
    <row r="1396" spans="2:5" ht="16.5" x14ac:dyDescent="0.2">
      <c r="B1396" s="982"/>
      <c r="C1396" s="985"/>
      <c r="D1396" s="969"/>
      <c r="E1396" s="969"/>
    </row>
    <row r="1397" spans="2:5" ht="16.5" x14ac:dyDescent="0.2">
      <c r="B1397" s="982"/>
      <c r="C1397" s="985"/>
      <c r="D1397" s="969"/>
      <c r="E1397" s="969"/>
    </row>
    <row r="1398" spans="2:5" ht="16.5" x14ac:dyDescent="0.2">
      <c r="B1398" s="982"/>
      <c r="C1398" s="985"/>
      <c r="D1398" s="969"/>
      <c r="E1398" s="969"/>
    </row>
    <row r="1399" spans="2:5" ht="16.5" x14ac:dyDescent="0.2">
      <c r="B1399" s="982"/>
      <c r="C1399" s="985"/>
      <c r="D1399" s="969"/>
      <c r="E1399" s="969"/>
    </row>
    <row r="1400" spans="2:5" ht="16.5" x14ac:dyDescent="0.2">
      <c r="B1400" s="982"/>
      <c r="C1400" s="983"/>
      <c r="D1400" s="969"/>
      <c r="E1400" s="969"/>
    </row>
    <row r="1401" spans="2:5" ht="16.5" x14ac:dyDescent="0.2">
      <c r="B1401" s="982"/>
      <c r="C1401" s="985"/>
      <c r="D1401" s="969"/>
      <c r="E1401" s="969"/>
    </row>
    <row r="1402" spans="2:5" ht="16.5" x14ac:dyDescent="0.2">
      <c r="B1402" s="982"/>
      <c r="C1402" s="985"/>
      <c r="D1402" s="969"/>
      <c r="E1402" s="969"/>
    </row>
    <row r="1403" spans="2:5" ht="16.5" x14ac:dyDescent="0.2">
      <c r="B1403" s="982"/>
      <c r="C1403" s="985"/>
      <c r="D1403" s="969"/>
      <c r="E1403" s="969"/>
    </row>
    <row r="1404" spans="2:5" ht="16.5" x14ac:dyDescent="0.2">
      <c r="B1404" s="982"/>
      <c r="C1404" s="983"/>
      <c r="D1404" s="969"/>
      <c r="E1404" s="969"/>
    </row>
    <row r="1405" spans="2:5" ht="16.5" x14ac:dyDescent="0.2">
      <c r="B1405" s="982"/>
      <c r="C1405" s="985"/>
      <c r="D1405" s="969"/>
      <c r="E1405" s="969"/>
    </row>
    <row r="1406" spans="2:5" ht="16.5" x14ac:dyDescent="0.2">
      <c r="B1406" s="982"/>
      <c r="C1406" s="985"/>
      <c r="D1406" s="969"/>
      <c r="E1406" s="969"/>
    </row>
    <row r="1407" spans="2:5" ht="16.5" x14ac:dyDescent="0.2">
      <c r="B1407" s="982"/>
      <c r="C1407" s="985"/>
      <c r="D1407" s="969"/>
      <c r="E1407" s="969"/>
    </row>
    <row r="1408" spans="2:5" ht="16.5" x14ac:dyDescent="0.2">
      <c r="B1408" s="982"/>
      <c r="C1408" s="985"/>
      <c r="D1408" s="969"/>
      <c r="E1408" s="969"/>
    </row>
    <row r="1409" spans="2:5" ht="16.5" x14ac:dyDescent="0.2">
      <c r="B1409" s="982"/>
      <c r="C1409" s="985"/>
      <c r="D1409" s="969"/>
      <c r="E1409" s="969"/>
    </row>
    <row r="1410" spans="2:5" ht="16.5" x14ac:dyDescent="0.2">
      <c r="B1410" s="982"/>
      <c r="C1410" s="985"/>
      <c r="D1410" s="969"/>
      <c r="E1410" s="969"/>
    </row>
    <row r="1411" spans="2:5" ht="16.5" x14ac:dyDescent="0.2">
      <c r="B1411" s="982"/>
      <c r="C1411" s="985"/>
      <c r="D1411" s="969"/>
      <c r="E1411" s="969"/>
    </row>
    <row r="1412" spans="2:5" ht="16.5" x14ac:dyDescent="0.2">
      <c r="B1412" s="982"/>
      <c r="C1412" s="985"/>
      <c r="D1412" s="969"/>
      <c r="E1412" s="969"/>
    </row>
    <row r="1413" spans="2:5" ht="16.5" x14ac:dyDescent="0.2">
      <c r="B1413" s="982"/>
      <c r="C1413" s="985"/>
      <c r="D1413" s="969"/>
      <c r="E1413" s="969"/>
    </row>
    <row r="1414" spans="2:5" ht="16.5" x14ac:dyDescent="0.2">
      <c r="B1414" s="982"/>
      <c r="C1414" s="985"/>
      <c r="D1414" s="969"/>
      <c r="E1414" s="969"/>
    </row>
    <row r="1415" spans="2:5" ht="16.5" x14ac:dyDescent="0.2">
      <c r="B1415" s="982"/>
      <c r="C1415" s="985"/>
      <c r="D1415" s="969"/>
      <c r="E1415" s="969"/>
    </row>
    <row r="1416" spans="2:5" ht="16.5" x14ac:dyDescent="0.2">
      <c r="B1416" s="982"/>
      <c r="C1416" s="985"/>
      <c r="D1416" s="969"/>
      <c r="E1416" s="969"/>
    </row>
    <row r="1417" spans="2:5" ht="16.5" x14ac:dyDescent="0.2">
      <c r="B1417" s="982"/>
      <c r="C1417" s="985"/>
      <c r="D1417" s="969"/>
      <c r="E1417" s="969"/>
    </row>
    <row r="1418" spans="2:5" ht="16.5" x14ac:dyDescent="0.2">
      <c r="B1418" s="982"/>
      <c r="C1418" s="985"/>
      <c r="D1418" s="969"/>
      <c r="E1418" s="969"/>
    </row>
    <row r="1419" spans="2:5" ht="16.5" x14ac:dyDescent="0.2">
      <c r="B1419" s="982"/>
      <c r="C1419" s="985"/>
      <c r="D1419" s="969"/>
      <c r="E1419" s="969"/>
    </row>
    <row r="1420" spans="2:5" ht="16.5" x14ac:dyDescent="0.2">
      <c r="B1420" s="982"/>
      <c r="C1420" s="985"/>
      <c r="D1420" s="969"/>
      <c r="E1420" s="969"/>
    </row>
    <row r="1421" spans="2:5" ht="16.5" x14ac:dyDescent="0.2">
      <c r="B1421" s="982"/>
      <c r="C1421" s="985"/>
      <c r="D1421" s="969"/>
      <c r="E1421" s="969"/>
    </row>
    <row r="1422" spans="2:5" ht="16.5" x14ac:dyDescent="0.2">
      <c r="B1422" s="982"/>
      <c r="C1422" s="985"/>
      <c r="D1422" s="969"/>
      <c r="E1422" s="969"/>
    </row>
    <row r="1423" spans="2:5" ht="16.5" x14ac:dyDescent="0.2">
      <c r="B1423" s="982"/>
      <c r="C1423" s="985"/>
      <c r="D1423" s="969"/>
      <c r="E1423" s="969"/>
    </row>
    <row r="1424" spans="2:5" ht="16.5" x14ac:dyDescent="0.2">
      <c r="B1424" s="982"/>
      <c r="C1424" s="985"/>
      <c r="D1424" s="969"/>
      <c r="E1424" s="969"/>
    </row>
    <row r="1425" spans="2:5" ht="16.5" x14ac:dyDescent="0.2">
      <c r="B1425" s="982"/>
      <c r="C1425" s="985"/>
      <c r="D1425" s="969"/>
      <c r="E1425" s="969"/>
    </row>
    <row r="1426" spans="2:5" ht="16.5" x14ac:dyDescent="0.2">
      <c r="B1426" s="982"/>
      <c r="C1426" s="985"/>
      <c r="D1426" s="969"/>
      <c r="E1426" s="969"/>
    </row>
    <row r="1427" spans="2:5" ht="16.5" x14ac:dyDescent="0.2">
      <c r="B1427" s="982"/>
      <c r="C1427" s="985"/>
      <c r="D1427" s="969"/>
      <c r="E1427" s="969"/>
    </row>
    <row r="1428" spans="2:5" ht="16.5" x14ac:dyDescent="0.2">
      <c r="B1428" s="982"/>
      <c r="C1428" s="985"/>
      <c r="D1428" s="969"/>
      <c r="E1428" s="969"/>
    </row>
    <row r="1429" spans="2:5" ht="16.5" x14ac:dyDescent="0.2">
      <c r="B1429" s="982"/>
      <c r="C1429" s="985"/>
      <c r="D1429" s="969"/>
      <c r="E1429" s="969"/>
    </row>
    <row r="1430" spans="2:5" ht="16.5" x14ac:dyDescent="0.2">
      <c r="B1430" s="982"/>
      <c r="C1430" s="985"/>
      <c r="D1430" s="969"/>
      <c r="E1430" s="969"/>
    </row>
    <row r="1431" spans="2:5" ht="16.5" x14ac:dyDescent="0.2">
      <c r="B1431" s="982"/>
      <c r="C1431" s="985"/>
      <c r="D1431" s="969"/>
      <c r="E1431" s="969"/>
    </row>
    <row r="1432" spans="2:5" ht="16.5" x14ac:dyDescent="0.2">
      <c r="B1432" s="982"/>
      <c r="C1432" s="985"/>
      <c r="D1432" s="969"/>
      <c r="E1432" s="969"/>
    </row>
    <row r="1433" spans="2:5" ht="16.5" x14ac:dyDescent="0.2">
      <c r="B1433" s="982"/>
      <c r="C1433" s="985"/>
      <c r="D1433" s="969"/>
      <c r="E1433" s="969"/>
    </row>
    <row r="1434" spans="2:5" ht="16.5" x14ac:dyDescent="0.2">
      <c r="B1434" s="982"/>
      <c r="C1434" s="985"/>
      <c r="D1434" s="969"/>
      <c r="E1434" s="969"/>
    </row>
    <row r="1435" spans="2:5" ht="16.5" x14ac:dyDescent="0.2">
      <c r="B1435" s="982"/>
      <c r="C1435" s="985"/>
      <c r="D1435" s="969"/>
      <c r="E1435" s="969"/>
    </row>
    <row r="1436" spans="2:5" ht="16.5" x14ac:dyDescent="0.2">
      <c r="B1436" s="982"/>
      <c r="C1436" s="985"/>
      <c r="D1436" s="969"/>
      <c r="E1436" s="969"/>
    </row>
    <row r="1437" spans="2:5" ht="16.5" x14ac:dyDescent="0.2">
      <c r="B1437" s="982"/>
      <c r="C1437" s="985"/>
      <c r="D1437" s="969"/>
      <c r="E1437" s="969"/>
    </row>
    <row r="1438" spans="2:5" ht="16.5" x14ac:dyDescent="0.2">
      <c r="B1438" s="982"/>
      <c r="C1438" s="985"/>
      <c r="D1438" s="969"/>
      <c r="E1438" s="969"/>
    </row>
    <row r="1439" spans="2:5" ht="16.5" x14ac:dyDescent="0.2">
      <c r="B1439" s="982"/>
      <c r="C1439" s="985"/>
      <c r="D1439" s="969"/>
      <c r="E1439" s="969"/>
    </row>
    <row r="1440" spans="2:5" ht="16.5" x14ac:dyDescent="0.2">
      <c r="B1440" s="982"/>
      <c r="C1440" s="985"/>
      <c r="D1440" s="969"/>
      <c r="E1440" s="969"/>
    </row>
    <row r="1441" spans="2:5" ht="16.5" x14ac:dyDescent="0.2">
      <c r="B1441" s="982"/>
      <c r="C1441" s="985"/>
      <c r="D1441" s="969"/>
      <c r="E1441" s="969"/>
    </row>
    <row r="1442" spans="2:5" ht="16.5" x14ac:dyDescent="0.2">
      <c r="B1442" s="982"/>
      <c r="C1442" s="985"/>
      <c r="D1442" s="969"/>
      <c r="E1442" s="969"/>
    </row>
    <row r="1443" spans="2:5" ht="16.5" x14ac:dyDescent="0.2">
      <c r="B1443" s="982"/>
      <c r="C1443" s="985"/>
      <c r="D1443" s="969"/>
      <c r="E1443" s="969"/>
    </row>
    <row r="1444" spans="2:5" ht="16.5" x14ac:dyDescent="0.2">
      <c r="B1444" s="982"/>
      <c r="C1444" s="985"/>
      <c r="D1444" s="969"/>
      <c r="E1444" s="969"/>
    </row>
    <row r="1445" spans="2:5" ht="16.5" x14ac:dyDescent="0.2">
      <c r="B1445" s="982"/>
      <c r="C1445" s="982"/>
      <c r="D1445" s="969"/>
      <c r="E1445" s="969"/>
    </row>
    <row r="1446" spans="2:5" ht="16.5" x14ac:dyDescent="0.2">
      <c r="B1446" s="982"/>
      <c r="C1446" s="983"/>
      <c r="D1446" s="969"/>
      <c r="E1446" s="969"/>
    </row>
    <row r="1447" spans="2:5" ht="16.5" x14ac:dyDescent="0.2">
      <c r="B1447" s="982"/>
      <c r="C1447" s="985"/>
      <c r="D1447" s="969"/>
      <c r="E1447" s="969"/>
    </row>
    <row r="1448" spans="2:5" ht="16.5" x14ac:dyDescent="0.2">
      <c r="B1448" s="982"/>
      <c r="C1448" s="985"/>
      <c r="D1448" s="969"/>
      <c r="E1448" s="969"/>
    </row>
    <row r="1449" spans="2:5" ht="16.5" x14ac:dyDescent="0.2">
      <c r="B1449" s="982"/>
      <c r="C1449" s="985"/>
      <c r="D1449" s="969"/>
      <c r="E1449" s="969"/>
    </row>
    <row r="1450" spans="2:5" ht="16.5" x14ac:dyDescent="0.2">
      <c r="B1450" s="982"/>
      <c r="C1450" s="985"/>
      <c r="D1450" s="969"/>
      <c r="E1450" s="969"/>
    </row>
    <row r="1451" spans="2:5" ht="16.5" x14ac:dyDescent="0.2">
      <c r="B1451" s="982"/>
      <c r="C1451" s="985"/>
      <c r="D1451" s="969"/>
      <c r="E1451" s="969"/>
    </row>
    <row r="1452" spans="2:5" ht="16.5" x14ac:dyDescent="0.2">
      <c r="B1452" s="982"/>
      <c r="C1452" s="985"/>
      <c r="D1452" s="969"/>
      <c r="E1452" s="969"/>
    </row>
    <row r="1453" spans="2:5" ht="16.5" x14ac:dyDescent="0.2">
      <c r="B1453" s="982"/>
      <c r="C1453" s="985"/>
      <c r="D1453" s="969"/>
      <c r="E1453" s="969"/>
    </row>
    <row r="1454" spans="2:5" ht="16.5" x14ac:dyDescent="0.2">
      <c r="B1454" s="982"/>
      <c r="C1454" s="985"/>
      <c r="D1454" s="969"/>
      <c r="E1454" s="969"/>
    </row>
    <row r="1455" spans="2:5" ht="16.5" x14ac:dyDescent="0.2">
      <c r="B1455" s="982"/>
      <c r="C1455" s="985"/>
      <c r="D1455" s="969"/>
      <c r="E1455" s="969"/>
    </row>
    <row r="1456" spans="2:5" ht="16.5" x14ac:dyDescent="0.2">
      <c r="B1456" s="982"/>
      <c r="C1456" s="985"/>
      <c r="D1456" s="969"/>
      <c r="E1456" s="969"/>
    </row>
    <row r="1457" spans="2:5" ht="16.5" x14ac:dyDescent="0.2">
      <c r="B1457" s="982"/>
      <c r="C1457" s="985"/>
      <c r="D1457" s="969"/>
      <c r="E1457" s="969"/>
    </row>
    <row r="1458" spans="2:5" ht="16.5" x14ac:dyDescent="0.2">
      <c r="B1458" s="982"/>
      <c r="C1458" s="985"/>
      <c r="D1458" s="969"/>
      <c r="E1458" s="969"/>
    </row>
    <row r="1459" spans="2:5" ht="16.5" x14ac:dyDescent="0.2">
      <c r="B1459" s="982"/>
      <c r="C1459" s="985"/>
      <c r="D1459" s="969"/>
      <c r="E1459" s="969"/>
    </row>
    <row r="1460" spans="2:5" ht="16.5" x14ac:dyDescent="0.2">
      <c r="B1460" s="982"/>
      <c r="C1460" s="985"/>
      <c r="D1460" s="969"/>
      <c r="E1460" s="969"/>
    </row>
    <row r="1461" spans="2:5" ht="16.5" x14ac:dyDescent="0.2">
      <c r="B1461" s="982"/>
      <c r="C1461" s="985"/>
      <c r="D1461" s="969"/>
      <c r="E1461" s="969"/>
    </row>
    <row r="1462" spans="2:5" ht="16.5" x14ac:dyDescent="0.2">
      <c r="B1462" s="982"/>
      <c r="C1462" s="985"/>
      <c r="D1462" s="969"/>
      <c r="E1462" s="969"/>
    </row>
    <row r="1463" spans="2:5" ht="16.5" x14ac:dyDescent="0.2">
      <c r="B1463" s="982"/>
      <c r="C1463" s="985"/>
      <c r="D1463" s="969"/>
      <c r="E1463" s="969"/>
    </row>
    <row r="1464" spans="2:5" ht="16.5" x14ac:dyDescent="0.2">
      <c r="B1464" s="982"/>
      <c r="C1464" s="983"/>
      <c r="D1464" s="969"/>
      <c r="E1464" s="969"/>
    </row>
    <row r="1465" spans="2:5" ht="16.5" x14ac:dyDescent="0.2">
      <c r="B1465" s="982"/>
      <c r="C1465" s="985"/>
      <c r="D1465" s="969"/>
      <c r="E1465" s="969"/>
    </row>
    <row r="1466" spans="2:5" ht="16.5" x14ac:dyDescent="0.2">
      <c r="B1466" s="982"/>
      <c r="C1466" s="985"/>
      <c r="D1466" s="969"/>
      <c r="E1466" s="969"/>
    </row>
    <row r="1467" spans="2:5" ht="16.5" x14ac:dyDescent="0.2">
      <c r="B1467" s="982"/>
      <c r="C1467" s="983"/>
      <c r="D1467" s="969"/>
      <c r="E1467" s="969"/>
    </row>
    <row r="1468" spans="2:5" ht="16.5" x14ac:dyDescent="0.2">
      <c r="B1468" s="982"/>
      <c r="C1468" s="985"/>
      <c r="D1468" s="969"/>
      <c r="E1468" s="969"/>
    </row>
    <row r="1469" spans="2:5" ht="16.5" x14ac:dyDescent="0.2">
      <c r="B1469" s="982"/>
      <c r="C1469" s="985"/>
      <c r="D1469" s="969"/>
      <c r="E1469" s="969"/>
    </row>
    <row r="1470" spans="2:5" ht="16.5" x14ac:dyDescent="0.2">
      <c r="B1470" s="982"/>
      <c r="C1470" s="983"/>
      <c r="D1470" s="969"/>
      <c r="E1470" s="969"/>
    </row>
    <row r="1471" spans="2:5" ht="16.5" x14ac:dyDescent="0.2">
      <c r="B1471" s="982"/>
      <c r="C1471" s="985"/>
      <c r="D1471" s="969"/>
      <c r="E1471" s="969"/>
    </row>
    <row r="1472" spans="2:5" ht="16.5" x14ac:dyDescent="0.2">
      <c r="B1472" s="982"/>
      <c r="C1472" s="985"/>
      <c r="D1472" s="969"/>
      <c r="E1472" s="969"/>
    </row>
    <row r="1473" spans="2:5" ht="16.5" x14ac:dyDescent="0.2">
      <c r="B1473" s="982"/>
      <c r="C1473" s="983"/>
      <c r="D1473" s="969"/>
      <c r="E1473" s="969"/>
    </row>
    <row r="1474" spans="2:5" ht="16.5" x14ac:dyDescent="0.2">
      <c r="B1474" s="982"/>
      <c r="C1474" s="985"/>
      <c r="D1474" s="969"/>
      <c r="E1474" s="969"/>
    </row>
    <row r="1475" spans="2:5" ht="16.5" x14ac:dyDescent="0.2">
      <c r="B1475" s="982"/>
      <c r="C1475" s="985"/>
      <c r="D1475" s="969"/>
      <c r="E1475" s="969"/>
    </row>
    <row r="1476" spans="2:5" ht="16.5" x14ac:dyDescent="0.2">
      <c r="B1476" s="982"/>
      <c r="C1476" s="985"/>
      <c r="D1476" s="969"/>
      <c r="E1476" s="969"/>
    </row>
    <row r="1477" spans="2:5" ht="16.5" x14ac:dyDescent="0.2">
      <c r="B1477" s="982"/>
      <c r="C1477" s="985"/>
      <c r="D1477" s="969"/>
      <c r="E1477" s="969"/>
    </row>
    <row r="1478" spans="2:5" ht="16.5" x14ac:dyDescent="0.2">
      <c r="B1478" s="982"/>
      <c r="C1478" s="983"/>
      <c r="D1478" s="969"/>
      <c r="E1478" s="969"/>
    </row>
    <row r="1479" spans="2:5" ht="16.5" x14ac:dyDescent="0.2">
      <c r="B1479" s="982"/>
      <c r="C1479" s="985"/>
      <c r="D1479" s="969"/>
      <c r="E1479" s="969"/>
    </row>
    <row r="1480" spans="2:5" ht="16.5" x14ac:dyDescent="0.2">
      <c r="B1480" s="982"/>
      <c r="C1480" s="985"/>
      <c r="D1480" s="969"/>
      <c r="E1480" s="969"/>
    </row>
    <row r="1481" spans="2:5" ht="16.5" x14ac:dyDescent="0.2">
      <c r="B1481" s="982"/>
      <c r="C1481" s="985"/>
      <c r="D1481" s="969"/>
      <c r="E1481" s="969"/>
    </row>
    <row r="1482" spans="2:5" ht="16.5" x14ac:dyDescent="0.2">
      <c r="B1482" s="982"/>
      <c r="C1482" s="985"/>
      <c r="D1482" s="969"/>
      <c r="E1482" s="969"/>
    </row>
    <row r="1483" spans="2:5" ht="16.5" x14ac:dyDescent="0.2">
      <c r="B1483" s="982"/>
      <c r="C1483" s="985"/>
      <c r="D1483" s="969"/>
      <c r="E1483" s="969"/>
    </row>
    <row r="1484" spans="2:5" ht="16.5" x14ac:dyDescent="0.2">
      <c r="B1484" s="982"/>
      <c r="C1484" s="985"/>
      <c r="D1484" s="969"/>
      <c r="E1484" s="969"/>
    </row>
    <row r="1485" spans="2:5" ht="16.5" x14ac:dyDescent="0.2">
      <c r="B1485" s="982"/>
      <c r="C1485" s="985"/>
      <c r="D1485" s="969"/>
      <c r="E1485" s="969"/>
    </row>
    <row r="1486" spans="2:5" ht="16.5" x14ac:dyDescent="0.2">
      <c r="B1486" s="982"/>
      <c r="C1486" s="985"/>
      <c r="D1486" s="969"/>
      <c r="E1486" s="969"/>
    </row>
    <row r="1487" spans="2:5" ht="16.5" x14ac:dyDescent="0.2">
      <c r="B1487" s="982"/>
      <c r="C1487" s="985"/>
      <c r="D1487" s="969"/>
      <c r="E1487" s="969"/>
    </row>
    <row r="1488" spans="2:5" ht="16.5" x14ac:dyDescent="0.2">
      <c r="B1488" s="982"/>
      <c r="C1488" s="985"/>
      <c r="D1488" s="969"/>
      <c r="E1488" s="969"/>
    </row>
    <row r="1489" spans="2:5" ht="16.5" x14ac:dyDescent="0.2">
      <c r="B1489" s="982"/>
      <c r="C1489" s="985"/>
      <c r="D1489" s="969"/>
      <c r="E1489" s="969"/>
    </row>
    <row r="1490" spans="2:5" ht="16.5" x14ac:dyDescent="0.2">
      <c r="B1490" s="982"/>
      <c r="C1490" s="982"/>
      <c r="D1490" s="969"/>
      <c r="E1490" s="969"/>
    </row>
    <row r="1491" spans="2:5" ht="16.5" x14ac:dyDescent="0.2">
      <c r="B1491" s="982"/>
      <c r="C1491" s="983"/>
      <c r="D1491" s="969"/>
      <c r="E1491" s="969"/>
    </row>
    <row r="1492" spans="2:5" ht="16.5" x14ac:dyDescent="0.2">
      <c r="B1492" s="982"/>
      <c r="C1492" s="985"/>
      <c r="D1492" s="969"/>
      <c r="E1492" s="969"/>
    </row>
    <row r="1493" spans="2:5" ht="16.5" x14ac:dyDescent="0.2">
      <c r="B1493" s="982"/>
      <c r="C1493" s="985"/>
      <c r="D1493" s="969"/>
      <c r="E1493" s="969"/>
    </row>
    <row r="1494" spans="2:5" ht="16.5" x14ac:dyDescent="0.2">
      <c r="B1494" s="982"/>
      <c r="C1494" s="985"/>
      <c r="D1494" s="969"/>
      <c r="E1494" s="969"/>
    </row>
    <row r="1495" spans="2:5" ht="16.5" x14ac:dyDescent="0.2">
      <c r="B1495" s="982"/>
      <c r="C1495" s="983"/>
      <c r="D1495" s="969"/>
      <c r="E1495" s="969"/>
    </row>
    <row r="1496" spans="2:5" ht="16.5" x14ac:dyDescent="0.2">
      <c r="B1496" s="982"/>
      <c r="C1496" s="985"/>
      <c r="D1496" s="969"/>
      <c r="E1496" s="969"/>
    </row>
    <row r="1497" spans="2:5" ht="16.5" x14ac:dyDescent="0.2">
      <c r="B1497" s="982"/>
      <c r="C1497" s="985"/>
      <c r="D1497" s="969"/>
      <c r="E1497" s="969"/>
    </row>
    <row r="1498" spans="2:5" ht="16.5" x14ac:dyDescent="0.2">
      <c r="B1498" s="982"/>
      <c r="C1498" s="985"/>
      <c r="D1498" s="969"/>
      <c r="E1498" s="969"/>
    </row>
    <row r="1499" spans="2:5" ht="16.5" x14ac:dyDescent="0.2">
      <c r="B1499" s="982"/>
      <c r="C1499" s="985"/>
      <c r="D1499" s="969"/>
      <c r="E1499" s="969"/>
    </row>
    <row r="1500" spans="2:5" ht="16.5" x14ac:dyDescent="0.2">
      <c r="B1500" s="982"/>
      <c r="C1500" s="985"/>
      <c r="D1500" s="969"/>
      <c r="E1500" s="969"/>
    </row>
    <row r="1501" spans="2:5" ht="16.5" x14ac:dyDescent="0.2">
      <c r="B1501" s="982"/>
      <c r="C1501" s="985"/>
      <c r="D1501" s="969"/>
      <c r="E1501" s="969"/>
    </row>
    <row r="1502" spans="2:5" ht="16.5" x14ac:dyDescent="0.2">
      <c r="B1502" s="982"/>
      <c r="C1502" s="985"/>
      <c r="D1502" s="969"/>
      <c r="E1502" s="969"/>
    </row>
    <row r="1503" spans="2:5" ht="16.5" x14ac:dyDescent="0.2">
      <c r="B1503" s="982"/>
      <c r="C1503" s="985"/>
      <c r="D1503" s="969"/>
      <c r="E1503" s="969"/>
    </row>
    <row r="1504" spans="2:5" ht="16.5" x14ac:dyDescent="0.2">
      <c r="B1504" s="982"/>
      <c r="C1504" s="985"/>
      <c r="D1504" s="969"/>
      <c r="E1504" s="969"/>
    </row>
    <row r="1505" spans="2:5" ht="16.5" x14ac:dyDescent="0.2">
      <c r="B1505" s="982"/>
      <c r="C1505" s="985"/>
      <c r="D1505" s="969"/>
      <c r="E1505" s="969"/>
    </row>
    <row r="1506" spans="2:5" ht="16.5" x14ac:dyDescent="0.2">
      <c r="B1506" s="982"/>
      <c r="C1506" s="985"/>
      <c r="D1506" s="969"/>
      <c r="E1506" s="969"/>
    </row>
    <row r="1507" spans="2:5" ht="16.5" x14ac:dyDescent="0.2">
      <c r="B1507" s="982"/>
      <c r="C1507" s="982"/>
      <c r="D1507" s="969"/>
      <c r="E1507" s="969"/>
    </row>
    <row r="1508" spans="2:5" ht="16.5" x14ac:dyDescent="0.2">
      <c r="B1508" s="982"/>
      <c r="C1508" s="983"/>
      <c r="D1508" s="969"/>
      <c r="E1508" s="969"/>
    </row>
    <row r="1509" spans="2:5" ht="16.5" x14ac:dyDescent="0.2">
      <c r="B1509" s="982"/>
      <c r="C1509" s="985"/>
      <c r="D1509" s="969"/>
      <c r="E1509" s="969"/>
    </row>
    <row r="1510" spans="2:5" ht="16.5" x14ac:dyDescent="0.2">
      <c r="B1510" s="982"/>
      <c r="C1510" s="985"/>
      <c r="D1510" s="969"/>
      <c r="E1510" s="969"/>
    </row>
    <row r="1511" spans="2:5" ht="16.5" x14ac:dyDescent="0.2">
      <c r="B1511" s="982"/>
      <c r="C1511" s="985"/>
      <c r="D1511" s="969"/>
      <c r="E1511" s="969"/>
    </row>
    <row r="1512" spans="2:5" ht="16.5" x14ac:dyDescent="0.2">
      <c r="B1512" s="982"/>
      <c r="C1512" s="985"/>
      <c r="D1512" s="969"/>
      <c r="E1512" s="969"/>
    </row>
    <row r="1513" spans="2:5" ht="16.5" x14ac:dyDescent="0.2">
      <c r="B1513" s="982"/>
      <c r="C1513" s="985"/>
      <c r="D1513" s="969"/>
      <c r="E1513" s="969"/>
    </row>
    <row r="1514" spans="2:5" ht="16.5" x14ac:dyDescent="0.2">
      <c r="B1514" s="982"/>
      <c r="C1514" s="985"/>
      <c r="D1514" s="969"/>
      <c r="E1514" s="969"/>
    </row>
    <row r="1515" spans="2:5" ht="16.5" x14ac:dyDescent="0.2">
      <c r="B1515" s="982"/>
      <c r="C1515" s="985"/>
      <c r="D1515" s="969"/>
      <c r="E1515" s="969"/>
    </row>
    <row r="1516" spans="2:5" ht="16.5" x14ac:dyDescent="0.2">
      <c r="B1516" s="982"/>
      <c r="C1516" s="985"/>
      <c r="D1516" s="969"/>
      <c r="E1516" s="969"/>
    </row>
    <row r="1517" spans="2:5" ht="16.5" x14ac:dyDescent="0.2">
      <c r="B1517" s="982"/>
      <c r="C1517" s="985"/>
      <c r="D1517" s="969"/>
      <c r="E1517" s="969"/>
    </row>
    <row r="1518" spans="2:5" ht="16.5" x14ac:dyDescent="0.2">
      <c r="B1518" s="982"/>
      <c r="C1518" s="985"/>
      <c r="D1518" s="969"/>
      <c r="E1518" s="969"/>
    </row>
    <row r="1519" spans="2:5" ht="16.5" x14ac:dyDescent="0.2">
      <c r="B1519" s="982"/>
      <c r="C1519" s="985"/>
      <c r="D1519" s="969"/>
      <c r="E1519" s="969"/>
    </row>
    <row r="1520" spans="2:5" ht="16.5" x14ac:dyDescent="0.2">
      <c r="B1520" s="982"/>
      <c r="C1520" s="985"/>
      <c r="D1520" s="969"/>
      <c r="E1520" s="969"/>
    </row>
    <row r="1521" spans="2:5" ht="16.5" x14ac:dyDescent="0.2">
      <c r="B1521" s="982"/>
      <c r="C1521" s="985"/>
      <c r="D1521" s="969"/>
      <c r="E1521" s="969"/>
    </row>
    <row r="1522" spans="2:5" ht="16.5" x14ac:dyDescent="0.2">
      <c r="B1522" s="982"/>
      <c r="C1522" s="985"/>
      <c r="D1522" s="969"/>
      <c r="E1522" s="969"/>
    </row>
    <row r="1523" spans="2:5" ht="16.5" x14ac:dyDescent="0.2">
      <c r="B1523" s="982"/>
      <c r="C1523" s="985"/>
      <c r="D1523" s="969"/>
      <c r="E1523" s="969"/>
    </row>
    <row r="1524" spans="2:5" ht="16.5" x14ac:dyDescent="0.2">
      <c r="B1524" s="982"/>
      <c r="C1524" s="985"/>
      <c r="D1524" s="969"/>
      <c r="E1524" s="969"/>
    </row>
    <row r="1525" spans="2:5" ht="16.5" x14ac:dyDescent="0.2">
      <c r="B1525" s="982"/>
      <c r="C1525" s="985"/>
      <c r="D1525" s="969"/>
      <c r="E1525" s="969"/>
    </row>
    <row r="1526" spans="2:5" ht="16.5" x14ac:dyDescent="0.2">
      <c r="B1526" s="982"/>
      <c r="C1526" s="985"/>
      <c r="D1526" s="969"/>
      <c r="E1526" s="969"/>
    </row>
    <row r="1527" spans="2:5" ht="16.5" x14ac:dyDescent="0.2">
      <c r="B1527" s="982"/>
      <c r="C1527" s="985"/>
      <c r="D1527" s="969"/>
      <c r="E1527" s="969"/>
    </row>
    <row r="1528" spans="2:5" ht="16.5" x14ac:dyDescent="0.2">
      <c r="B1528" s="982"/>
      <c r="C1528" s="985"/>
      <c r="D1528" s="969"/>
      <c r="E1528" s="969"/>
    </row>
    <row r="1529" spans="2:5" ht="16.5" x14ac:dyDescent="0.2">
      <c r="B1529" s="982"/>
      <c r="C1529" s="985"/>
      <c r="D1529" s="969"/>
      <c r="E1529" s="969"/>
    </row>
    <row r="1530" spans="2:5" ht="16.5" x14ac:dyDescent="0.2">
      <c r="B1530" s="982"/>
      <c r="C1530" s="985"/>
      <c r="D1530" s="969"/>
      <c r="E1530" s="969"/>
    </row>
    <row r="1531" spans="2:5" ht="16.5" x14ac:dyDescent="0.2">
      <c r="B1531" s="982"/>
      <c r="C1531" s="985"/>
      <c r="D1531" s="969"/>
      <c r="E1531" s="969"/>
    </row>
    <row r="1532" spans="2:5" ht="16.5" x14ac:dyDescent="0.2">
      <c r="B1532" s="982"/>
      <c r="C1532" s="985"/>
      <c r="D1532" s="969"/>
      <c r="E1532" s="969"/>
    </row>
    <row r="1533" spans="2:5" ht="16.5" x14ac:dyDescent="0.2">
      <c r="B1533" s="982"/>
      <c r="C1533" s="985"/>
      <c r="D1533" s="969"/>
      <c r="E1533" s="969"/>
    </row>
    <row r="1534" spans="2:5" ht="16.5" x14ac:dyDescent="0.2">
      <c r="B1534" s="982"/>
      <c r="C1534" s="985"/>
      <c r="D1534" s="969"/>
      <c r="E1534" s="969"/>
    </row>
    <row r="1535" spans="2:5" ht="16.5" x14ac:dyDescent="0.2">
      <c r="B1535" s="982"/>
      <c r="C1535" s="985"/>
      <c r="D1535" s="969"/>
      <c r="E1535" s="969"/>
    </row>
    <row r="1536" spans="2:5" ht="16.5" x14ac:dyDescent="0.2">
      <c r="B1536" s="982"/>
      <c r="C1536" s="985"/>
      <c r="D1536" s="969"/>
      <c r="E1536" s="969"/>
    </row>
    <row r="1537" spans="2:5" ht="16.5" x14ac:dyDescent="0.2">
      <c r="B1537" s="982"/>
      <c r="C1537" s="985"/>
      <c r="D1537" s="969"/>
      <c r="E1537" s="969"/>
    </row>
    <row r="1538" spans="2:5" ht="16.5" x14ac:dyDescent="0.2">
      <c r="B1538" s="982"/>
      <c r="C1538" s="985"/>
      <c r="D1538" s="969"/>
      <c r="E1538" s="969"/>
    </row>
    <row r="1539" spans="2:5" ht="16.5" x14ac:dyDescent="0.2">
      <c r="B1539" s="982"/>
      <c r="C1539" s="985"/>
      <c r="D1539" s="969"/>
      <c r="E1539" s="969"/>
    </row>
    <row r="1540" spans="2:5" ht="16.5" x14ac:dyDescent="0.2">
      <c r="B1540" s="982"/>
      <c r="C1540" s="985"/>
      <c r="D1540" s="969"/>
      <c r="E1540" s="969"/>
    </row>
    <row r="1541" spans="2:5" ht="16.5" x14ac:dyDescent="0.2">
      <c r="B1541" s="982"/>
      <c r="C1541" s="985"/>
      <c r="D1541" s="969"/>
      <c r="E1541" s="969"/>
    </row>
    <row r="1542" spans="2:5" ht="16.5" x14ac:dyDescent="0.2">
      <c r="B1542" s="982"/>
      <c r="C1542" s="985"/>
      <c r="D1542" s="969"/>
      <c r="E1542" s="969"/>
    </row>
    <row r="1543" spans="2:5" ht="16.5" x14ac:dyDescent="0.2">
      <c r="B1543" s="982"/>
      <c r="C1543" s="985"/>
      <c r="D1543" s="969"/>
      <c r="E1543" s="969"/>
    </row>
    <row r="1544" spans="2:5" ht="16.5" x14ac:dyDescent="0.2">
      <c r="B1544" s="982"/>
      <c r="C1544" s="982"/>
      <c r="D1544" s="969"/>
      <c r="E1544" s="969"/>
    </row>
    <row r="1545" spans="2:5" ht="16.5" x14ac:dyDescent="0.2">
      <c r="B1545" s="982"/>
      <c r="C1545" s="983"/>
      <c r="D1545" s="969"/>
      <c r="E1545" s="969"/>
    </row>
    <row r="1546" spans="2:5" ht="16.5" x14ac:dyDescent="0.2">
      <c r="B1546" s="982"/>
      <c r="C1546" s="985"/>
      <c r="D1546" s="969"/>
      <c r="E1546" s="969"/>
    </row>
    <row r="1547" spans="2:5" ht="16.5" x14ac:dyDescent="0.2">
      <c r="B1547" s="982"/>
      <c r="C1547" s="985"/>
      <c r="D1547" s="969"/>
      <c r="E1547" s="969"/>
    </row>
    <row r="1548" spans="2:5" ht="16.5" x14ac:dyDescent="0.2">
      <c r="B1548" s="982"/>
      <c r="C1548" s="985"/>
      <c r="D1548" s="969"/>
      <c r="E1548" s="969"/>
    </row>
    <row r="1549" spans="2:5" ht="16.5" x14ac:dyDescent="0.2">
      <c r="B1549" s="982"/>
      <c r="C1549" s="985"/>
      <c r="D1549" s="969"/>
      <c r="E1549" s="969"/>
    </row>
    <row r="1550" spans="2:5" ht="16.5" x14ac:dyDescent="0.2">
      <c r="B1550" s="982"/>
      <c r="C1550" s="985"/>
      <c r="D1550" s="969"/>
      <c r="E1550" s="969"/>
    </row>
    <row r="1551" spans="2:5" ht="16.5" x14ac:dyDescent="0.2">
      <c r="B1551" s="982"/>
      <c r="C1551" s="985"/>
      <c r="D1551" s="969"/>
      <c r="E1551" s="969"/>
    </row>
    <row r="1552" spans="2:5" ht="16.5" x14ac:dyDescent="0.2">
      <c r="B1552" s="982"/>
      <c r="C1552" s="985"/>
      <c r="D1552" s="969"/>
      <c r="E1552" s="969"/>
    </row>
    <row r="1553" spans="2:5" ht="16.5" x14ac:dyDescent="0.2">
      <c r="B1553" s="982"/>
      <c r="C1553" s="985"/>
      <c r="D1553" s="969"/>
      <c r="E1553" s="969"/>
    </row>
    <row r="1554" spans="2:5" ht="16.5" x14ac:dyDescent="0.2">
      <c r="B1554" s="982"/>
      <c r="C1554" s="985"/>
      <c r="D1554" s="969"/>
      <c r="E1554" s="969"/>
    </row>
    <row r="1555" spans="2:5" ht="16.5" x14ac:dyDescent="0.2">
      <c r="B1555" s="982"/>
      <c r="C1555" s="983"/>
      <c r="D1555" s="969"/>
      <c r="E1555" s="969"/>
    </row>
    <row r="1556" spans="2:5" ht="16.5" x14ac:dyDescent="0.2">
      <c r="B1556" s="982"/>
      <c r="C1556" s="985"/>
      <c r="D1556" s="969"/>
      <c r="E1556" s="969"/>
    </row>
    <row r="1557" spans="2:5" ht="16.5" x14ac:dyDescent="0.2">
      <c r="B1557" s="982"/>
      <c r="C1557" s="985"/>
      <c r="D1557" s="969"/>
      <c r="E1557" s="969"/>
    </row>
    <row r="1558" spans="2:5" ht="16.5" x14ac:dyDescent="0.2">
      <c r="B1558" s="982"/>
      <c r="C1558" s="985"/>
      <c r="D1558" s="969"/>
      <c r="E1558" s="969"/>
    </row>
    <row r="1559" spans="2:5" ht="16.5" x14ac:dyDescent="0.2">
      <c r="B1559" s="982"/>
      <c r="C1559" s="985"/>
      <c r="D1559" s="969"/>
      <c r="E1559" s="969"/>
    </row>
    <row r="1560" spans="2:5" ht="16.5" x14ac:dyDescent="0.2">
      <c r="B1560" s="982"/>
      <c r="C1560" s="985"/>
      <c r="D1560" s="969"/>
      <c r="E1560" s="969"/>
    </row>
    <row r="1561" spans="2:5" ht="16.5" x14ac:dyDescent="0.2">
      <c r="B1561" s="982"/>
      <c r="C1561" s="985"/>
      <c r="D1561" s="969"/>
      <c r="E1561" s="969"/>
    </row>
    <row r="1562" spans="2:5" ht="16.5" x14ac:dyDescent="0.2">
      <c r="B1562" s="982"/>
      <c r="C1562" s="983"/>
      <c r="D1562" s="969"/>
      <c r="E1562" s="969"/>
    </row>
    <row r="1563" spans="2:5" ht="16.5" x14ac:dyDescent="0.2">
      <c r="B1563" s="982"/>
      <c r="C1563" s="985"/>
      <c r="D1563" s="969"/>
      <c r="E1563" s="969"/>
    </row>
    <row r="1564" spans="2:5" ht="16.5" x14ac:dyDescent="0.2">
      <c r="B1564" s="982"/>
      <c r="C1564" s="985"/>
      <c r="D1564" s="969"/>
      <c r="E1564" s="969"/>
    </row>
    <row r="1565" spans="2:5" ht="16.5" x14ac:dyDescent="0.2">
      <c r="B1565" s="982"/>
      <c r="C1565" s="985"/>
      <c r="D1565" s="969"/>
      <c r="E1565" s="969"/>
    </row>
    <row r="1566" spans="2:5" ht="16.5" x14ac:dyDescent="0.2">
      <c r="B1566" s="982"/>
      <c r="C1566" s="982"/>
      <c r="D1566" s="969"/>
      <c r="E1566" s="969"/>
    </row>
    <row r="1567" spans="2:5" ht="16.5" x14ac:dyDescent="0.2">
      <c r="B1567" s="982"/>
      <c r="C1567" s="983"/>
      <c r="D1567" s="969"/>
      <c r="E1567" s="969"/>
    </row>
    <row r="1568" spans="2:5" ht="16.5" x14ac:dyDescent="0.2">
      <c r="B1568" s="982"/>
      <c r="C1568" s="985"/>
      <c r="D1568" s="969"/>
      <c r="E1568" s="969"/>
    </row>
    <row r="1569" spans="2:5" ht="16.5" x14ac:dyDescent="0.2">
      <c r="B1569" s="982"/>
      <c r="C1569" s="983"/>
      <c r="D1569" s="969"/>
      <c r="E1569" s="969"/>
    </row>
    <row r="1570" spans="2:5" ht="16.5" x14ac:dyDescent="0.2">
      <c r="B1570" s="982"/>
      <c r="C1570" s="985"/>
      <c r="D1570" s="969"/>
      <c r="E1570" s="969"/>
    </row>
    <row r="1571" spans="2:5" ht="16.5" x14ac:dyDescent="0.2">
      <c r="B1571" s="982"/>
      <c r="C1571" s="985"/>
      <c r="D1571" s="969"/>
      <c r="E1571" s="969"/>
    </row>
    <row r="1572" spans="2:5" ht="16.5" x14ac:dyDescent="0.2">
      <c r="B1572" s="982"/>
      <c r="C1572" s="985"/>
      <c r="D1572" s="969"/>
      <c r="E1572" s="969"/>
    </row>
    <row r="1573" spans="2:5" ht="16.5" x14ac:dyDescent="0.2">
      <c r="B1573" s="982"/>
      <c r="C1573" s="985"/>
      <c r="D1573" s="969"/>
      <c r="E1573" s="969"/>
    </row>
    <row r="1574" spans="2:5" ht="16.5" x14ac:dyDescent="0.2">
      <c r="B1574" s="982"/>
      <c r="C1574" s="985"/>
      <c r="D1574" s="969"/>
      <c r="E1574" s="969"/>
    </row>
    <row r="1575" spans="2:5" ht="16.5" x14ac:dyDescent="0.2">
      <c r="B1575" s="982"/>
      <c r="C1575" s="985"/>
      <c r="D1575" s="969"/>
      <c r="E1575" s="969"/>
    </row>
    <row r="1576" spans="2:5" ht="16.5" x14ac:dyDescent="0.2">
      <c r="B1576" s="982"/>
      <c r="C1576" s="985"/>
      <c r="D1576" s="969"/>
      <c r="E1576" s="969"/>
    </row>
    <row r="1577" spans="2:5" ht="16.5" x14ac:dyDescent="0.2">
      <c r="B1577" s="982"/>
      <c r="C1577" s="985"/>
      <c r="D1577" s="969"/>
      <c r="E1577" s="969"/>
    </row>
    <row r="1578" spans="2:5" ht="16.5" x14ac:dyDescent="0.2">
      <c r="B1578" s="982"/>
      <c r="C1578" s="985"/>
      <c r="D1578" s="969"/>
      <c r="E1578" s="969"/>
    </row>
    <row r="1579" spans="2:5" ht="16.5" x14ac:dyDescent="0.2">
      <c r="B1579" s="982"/>
      <c r="C1579" s="985"/>
      <c r="D1579" s="969"/>
      <c r="E1579" s="969"/>
    </row>
    <row r="1580" spans="2:5" ht="16.5" x14ac:dyDescent="0.2">
      <c r="B1580" s="982"/>
      <c r="C1580" s="985"/>
      <c r="D1580" s="969"/>
      <c r="E1580" s="969"/>
    </row>
    <row r="1581" spans="2:5" ht="16.5" x14ac:dyDescent="0.2">
      <c r="B1581" s="982"/>
      <c r="C1581" s="983"/>
      <c r="D1581" s="969"/>
      <c r="E1581" s="969"/>
    </row>
    <row r="1582" spans="2:5" ht="16.5" x14ac:dyDescent="0.2">
      <c r="B1582" s="982"/>
      <c r="C1582" s="985"/>
      <c r="D1582" s="969"/>
      <c r="E1582" s="969"/>
    </row>
    <row r="1583" spans="2:5" ht="16.5" x14ac:dyDescent="0.2">
      <c r="B1583" s="982"/>
      <c r="C1583" s="985"/>
      <c r="D1583" s="969"/>
      <c r="E1583" s="969"/>
    </row>
    <row r="1584" spans="2:5" ht="16.5" x14ac:dyDescent="0.2">
      <c r="B1584" s="982"/>
      <c r="C1584" s="985"/>
      <c r="D1584" s="969"/>
      <c r="E1584" s="969"/>
    </row>
    <row r="1585" spans="2:5" ht="16.5" x14ac:dyDescent="0.2">
      <c r="B1585" s="982"/>
      <c r="C1585" s="985"/>
      <c r="D1585" s="969"/>
      <c r="E1585" s="969"/>
    </row>
    <row r="1586" spans="2:5" ht="16.5" x14ac:dyDescent="0.2">
      <c r="B1586" s="982"/>
      <c r="C1586" s="985"/>
      <c r="D1586" s="969"/>
      <c r="E1586" s="969"/>
    </row>
    <row r="1587" spans="2:5" ht="16.5" x14ac:dyDescent="0.2">
      <c r="B1587" s="982"/>
      <c r="C1587" s="985"/>
      <c r="D1587" s="969"/>
      <c r="E1587" s="969"/>
    </row>
    <row r="1588" spans="2:5" ht="16.5" x14ac:dyDescent="0.2">
      <c r="B1588" s="982"/>
      <c r="C1588" s="985"/>
      <c r="D1588" s="969"/>
      <c r="E1588" s="969"/>
    </row>
    <row r="1589" spans="2:5" ht="16.5" x14ac:dyDescent="0.2">
      <c r="B1589" s="982"/>
      <c r="C1589" s="985"/>
      <c r="D1589" s="969"/>
      <c r="E1589" s="969"/>
    </row>
    <row r="1590" spans="2:5" ht="16.5" x14ac:dyDescent="0.2">
      <c r="B1590" s="982"/>
      <c r="C1590" s="982"/>
      <c r="D1590" s="969"/>
      <c r="E1590" s="969"/>
    </row>
    <row r="1591" spans="2:5" ht="16.5" x14ac:dyDescent="0.2">
      <c r="B1591" s="982"/>
      <c r="C1591" s="983"/>
      <c r="D1591" s="969"/>
      <c r="E1591" s="969"/>
    </row>
    <row r="1592" spans="2:5" ht="16.5" x14ac:dyDescent="0.2">
      <c r="B1592" s="982"/>
      <c r="C1592" s="985"/>
      <c r="D1592" s="969"/>
      <c r="E1592" s="969"/>
    </row>
    <row r="1593" spans="2:5" ht="16.5" x14ac:dyDescent="0.2">
      <c r="B1593" s="982"/>
      <c r="C1593" s="985"/>
      <c r="D1593" s="969"/>
      <c r="E1593" s="969"/>
    </row>
    <row r="1594" spans="2:5" ht="16.5" x14ac:dyDescent="0.2">
      <c r="B1594" s="982"/>
      <c r="C1594" s="985"/>
      <c r="D1594" s="969"/>
      <c r="E1594" s="969"/>
    </row>
    <row r="1595" spans="2:5" ht="16.5" x14ac:dyDescent="0.2">
      <c r="B1595" s="982"/>
      <c r="C1595" s="983"/>
      <c r="D1595" s="969"/>
      <c r="E1595" s="969"/>
    </row>
    <row r="1596" spans="2:5" ht="16.5" x14ac:dyDescent="0.2">
      <c r="B1596" s="982"/>
      <c r="C1596" s="985"/>
      <c r="D1596" s="969"/>
      <c r="E1596" s="969"/>
    </row>
    <row r="1597" spans="2:5" ht="16.5" x14ac:dyDescent="0.2">
      <c r="B1597" s="982"/>
      <c r="C1597" s="985"/>
      <c r="D1597" s="969"/>
      <c r="E1597" s="969"/>
    </row>
    <row r="1598" spans="2:5" ht="16.5" x14ac:dyDescent="0.2">
      <c r="B1598" s="982"/>
      <c r="C1598" s="985"/>
      <c r="D1598" s="969"/>
      <c r="E1598" s="969"/>
    </row>
    <row r="1599" spans="2:5" ht="16.5" x14ac:dyDescent="0.2">
      <c r="B1599" s="982"/>
      <c r="C1599" s="985"/>
      <c r="D1599" s="969"/>
      <c r="E1599" s="969"/>
    </row>
    <row r="1600" spans="2:5" ht="16.5" x14ac:dyDescent="0.2">
      <c r="B1600" s="982"/>
      <c r="C1600" s="982"/>
      <c r="D1600" s="969"/>
      <c r="E1600" s="969"/>
    </row>
    <row r="1601" spans="2:5" ht="16.5" x14ac:dyDescent="0.2">
      <c r="B1601" s="982"/>
      <c r="C1601" s="983"/>
      <c r="D1601" s="969"/>
      <c r="E1601" s="969"/>
    </row>
    <row r="1602" spans="2:5" ht="16.5" x14ac:dyDescent="0.2">
      <c r="B1602" s="982"/>
      <c r="C1602" s="985"/>
      <c r="D1602" s="969"/>
      <c r="E1602" s="969"/>
    </row>
    <row r="1603" spans="2:5" ht="16.5" x14ac:dyDescent="0.2">
      <c r="B1603" s="982"/>
      <c r="C1603" s="985"/>
      <c r="D1603" s="969"/>
      <c r="E1603" s="969"/>
    </row>
    <row r="1604" spans="2:5" ht="16.5" x14ac:dyDescent="0.2">
      <c r="B1604" s="982"/>
      <c r="C1604" s="985"/>
      <c r="D1604" s="969"/>
      <c r="E1604" s="969"/>
    </row>
    <row r="1605" spans="2:5" ht="16.5" x14ac:dyDescent="0.2">
      <c r="B1605" s="982"/>
      <c r="C1605" s="983"/>
      <c r="D1605" s="969"/>
      <c r="E1605" s="969"/>
    </row>
    <row r="1606" spans="2:5" ht="16.5" x14ac:dyDescent="0.2">
      <c r="B1606" s="982"/>
      <c r="C1606" s="985"/>
      <c r="D1606" s="969"/>
      <c r="E1606" s="969"/>
    </row>
    <row r="1607" spans="2:5" ht="16.5" x14ac:dyDescent="0.2">
      <c r="B1607" s="982"/>
      <c r="C1607" s="985"/>
      <c r="D1607" s="969"/>
      <c r="E1607" s="969"/>
    </row>
    <row r="1608" spans="2:5" ht="16.5" x14ac:dyDescent="0.2">
      <c r="B1608" s="982"/>
      <c r="C1608" s="985"/>
      <c r="D1608" s="969"/>
      <c r="E1608" s="969"/>
    </row>
    <row r="1609" spans="2:5" ht="16.5" x14ac:dyDescent="0.2">
      <c r="B1609" s="982"/>
      <c r="C1609" s="985"/>
      <c r="D1609" s="969"/>
      <c r="E1609" s="969"/>
    </row>
    <row r="1610" spans="2:5" ht="16.5" x14ac:dyDescent="0.2">
      <c r="B1610" s="982"/>
      <c r="C1610" s="985"/>
      <c r="D1610" s="969"/>
      <c r="E1610" s="969"/>
    </row>
    <row r="1611" spans="2:5" ht="16.5" x14ac:dyDescent="0.2">
      <c r="B1611" s="982"/>
      <c r="C1611" s="985"/>
      <c r="D1611" s="969"/>
      <c r="E1611" s="969"/>
    </row>
    <row r="1612" spans="2:5" ht="16.5" x14ac:dyDescent="0.2">
      <c r="B1612" s="982"/>
      <c r="C1612" s="985"/>
      <c r="D1612" s="969"/>
      <c r="E1612" s="969"/>
    </row>
    <row r="1613" spans="2:5" ht="16.5" x14ac:dyDescent="0.2">
      <c r="B1613" s="982"/>
      <c r="C1613" s="985"/>
      <c r="D1613" s="969"/>
      <c r="E1613" s="969"/>
    </row>
    <row r="1614" spans="2:5" ht="16.5" x14ac:dyDescent="0.2">
      <c r="B1614" s="982"/>
      <c r="C1614" s="983"/>
      <c r="D1614" s="969"/>
      <c r="E1614" s="969"/>
    </row>
    <row r="1615" spans="2:5" ht="16.5" x14ac:dyDescent="0.2">
      <c r="B1615" s="982"/>
      <c r="C1615" s="985"/>
      <c r="D1615" s="969"/>
      <c r="E1615" s="969"/>
    </row>
    <row r="1616" spans="2:5" ht="16.5" x14ac:dyDescent="0.2">
      <c r="B1616" s="982"/>
      <c r="C1616" s="985"/>
      <c r="D1616" s="969"/>
      <c r="E1616" s="969"/>
    </row>
    <row r="1617" spans="2:5" ht="16.5" x14ac:dyDescent="0.2">
      <c r="B1617" s="982"/>
      <c r="C1617" s="985"/>
      <c r="D1617" s="969"/>
      <c r="E1617" s="969"/>
    </row>
    <row r="1618" spans="2:5" ht="16.5" x14ac:dyDescent="0.2">
      <c r="B1618" s="982"/>
      <c r="C1618" s="985"/>
      <c r="D1618" s="969"/>
      <c r="E1618" s="969"/>
    </row>
    <row r="1619" spans="2:5" ht="16.5" x14ac:dyDescent="0.2">
      <c r="B1619" s="982"/>
      <c r="C1619" s="985"/>
      <c r="D1619" s="969"/>
      <c r="E1619" s="969"/>
    </row>
    <row r="1620" spans="2:5" ht="16.5" x14ac:dyDescent="0.2">
      <c r="B1620" s="982"/>
      <c r="C1620" s="983"/>
      <c r="D1620" s="969"/>
      <c r="E1620" s="969"/>
    </row>
    <row r="1621" spans="2:5" ht="16.5" x14ac:dyDescent="0.2">
      <c r="B1621" s="982"/>
      <c r="C1621" s="985"/>
      <c r="D1621" s="969"/>
      <c r="E1621" s="969"/>
    </row>
    <row r="1622" spans="2:5" ht="16.5" x14ac:dyDescent="0.2">
      <c r="B1622" s="982"/>
      <c r="C1622" s="985"/>
      <c r="D1622" s="969"/>
      <c r="E1622" s="969"/>
    </row>
    <row r="1623" spans="2:5" ht="16.5" x14ac:dyDescent="0.2">
      <c r="B1623" s="982"/>
      <c r="C1623" s="985"/>
      <c r="D1623" s="969"/>
      <c r="E1623" s="969"/>
    </row>
    <row r="1624" spans="2:5" ht="16.5" x14ac:dyDescent="0.2">
      <c r="B1624" s="982"/>
      <c r="C1624" s="983"/>
      <c r="D1624" s="969"/>
      <c r="E1624" s="969"/>
    </row>
    <row r="1625" spans="2:5" ht="16.5" x14ac:dyDescent="0.2">
      <c r="B1625" s="982"/>
      <c r="C1625" s="985"/>
      <c r="D1625" s="969"/>
      <c r="E1625" s="969"/>
    </row>
    <row r="1626" spans="2:5" ht="16.5" x14ac:dyDescent="0.2">
      <c r="B1626" s="982"/>
      <c r="C1626" s="983"/>
      <c r="D1626" s="969"/>
      <c r="E1626" s="969"/>
    </row>
    <row r="1627" spans="2:5" ht="16.5" x14ac:dyDescent="0.2">
      <c r="B1627" s="982"/>
      <c r="C1627" s="985"/>
      <c r="D1627" s="969"/>
      <c r="E1627" s="969"/>
    </row>
    <row r="1628" spans="2:5" ht="16.5" x14ac:dyDescent="0.2">
      <c r="B1628" s="982"/>
      <c r="C1628" s="983"/>
      <c r="D1628" s="969"/>
      <c r="E1628" s="969"/>
    </row>
    <row r="1629" spans="2:5" ht="16.5" x14ac:dyDescent="0.2">
      <c r="B1629" s="982"/>
      <c r="C1629" s="985"/>
      <c r="D1629" s="969"/>
      <c r="E1629" s="969"/>
    </row>
    <row r="1630" spans="2:5" ht="16.5" x14ac:dyDescent="0.2">
      <c r="B1630" s="982"/>
      <c r="C1630" s="982"/>
      <c r="D1630" s="969"/>
      <c r="E1630" s="969"/>
    </row>
    <row r="1631" spans="2:5" ht="16.5" x14ac:dyDescent="0.2">
      <c r="B1631" s="982"/>
      <c r="C1631" s="983"/>
      <c r="D1631" s="969"/>
      <c r="E1631" s="969"/>
    </row>
    <row r="1632" spans="2:5" ht="16.5" x14ac:dyDescent="0.2">
      <c r="B1632" s="982"/>
      <c r="C1632" s="985"/>
      <c r="D1632" s="969"/>
      <c r="E1632" s="969"/>
    </row>
    <row r="1633" spans="2:5" ht="16.5" x14ac:dyDescent="0.2">
      <c r="B1633" s="982"/>
      <c r="C1633" s="985"/>
      <c r="D1633" s="969"/>
      <c r="E1633" s="969"/>
    </row>
    <row r="1634" spans="2:5" ht="16.5" x14ac:dyDescent="0.2">
      <c r="B1634" s="982"/>
      <c r="C1634" s="985"/>
      <c r="D1634" s="969"/>
      <c r="E1634" s="969"/>
    </row>
    <row r="1635" spans="2:5" ht="16.5" x14ac:dyDescent="0.2">
      <c r="B1635" s="982"/>
      <c r="C1635" s="983"/>
      <c r="D1635" s="969"/>
      <c r="E1635" s="969"/>
    </row>
    <row r="1636" spans="2:5" ht="16.5" x14ac:dyDescent="0.2">
      <c r="B1636" s="982"/>
      <c r="C1636" s="985"/>
      <c r="D1636" s="969"/>
      <c r="E1636" s="969"/>
    </row>
    <row r="1637" spans="2:5" ht="16.5" x14ac:dyDescent="0.2">
      <c r="B1637" s="982"/>
      <c r="C1637" s="983"/>
      <c r="D1637" s="969"/>
      <c r="E1637" s="969"/>
    </row>
    <row r="1638" spans="2:5" ht="16.5" x14ac:dyDescent="0.2">
      <c r="B1638" s="982"/>
      <c r="C1638" s="985"/>
      <c r="D1638" s="969"/>
      <c r="E1638" s="969"/>
    </row>
    <row r="1639" spans="2:5" ht="16.5" x14ac:dyDescent="0.2">
      <c r="B1639" s="982"/>
      <c r="C1639" s="982"/>
      <c r="D1639" s="969"/>
      <c r="E1639" s="969"/>
    </row>
    <row r="1640" spans="2:5" ht="16.5" x14ac:dyDescent="0.2">
      <c r="B1640" s="982"/>
      <c r="C1640" s="985"/>
      <c r="D1640" s="969"/>
      <c r="E1640" s="969"/>
    </row>
    <row r="1641" spans="2:5" ht="16.5" x14ac:dyDescent="0.2">
      <c r="B1641" s="982"/>
      <c r="C1641" s="985"/>
      <c r="D1641" s="969"/>
      <c r="E1641" s="969"/>
    </row>
    <row r="1642" spans="2:5" ht="16.5" x14ac:dyDescent="0.2">
      <c r="B1642" s="982"/>
      <c r="C1642" s="985"/>
      <c r="D1642" s="969"/>
      <c r="E1642" s="969"/>
    </row>
    <row r="1643" spans="2:5" ht="16.5" x14ac:dyDescent="0.2">
      <c r="B1643" s="982"/>
      <c r="C1643" s="985"/>
      <c r="D1643" s="969"/>
      <c r="E1643" s="969"/>
    </row>
    <row r="1644" spans="2:5" ht="16.5" x14ac:dyDescent="0.2">
      <c r="B1644" s="982"/>
      <c r="C1644" s="985"/>
      <c r="D1644" s="969"/>
      <c r="E1644" s="969"/>
    </row>
    <row r="1645" spans="2:5" ht="16.5" x14ac:dyDescent="0.2">
      <c r="B1645" s="982"/>
      <c r="C1645" s="982"/>
      <c r="D1645" s="969"/>
      <c r="E1645" s="969"/>
    </row>
    <row r="1646" spans="2:5" ht="16.5" x14ac:dyDescent="0.2">
      <c r="B1646" s="982"/>
      <c r="C1646" s="985"/>
      <c r="D1646" s="969"/>
      <c r="E1646" s="969"/>
    </row>
    <row r="1647" spans="2:5" ht="16.5" x14ac:dyDescent="0.2">
      <c r="B1647" s="982"/>
      <c r="C1647" s="985"/>
      <c r="D1647" s="969"/>
      <c r="E1647" s="969"/>
    </row>
    <row r="1648" spans="2:5" ht="16.5" x14ac:dyDescent="0.2">
      <c r="B1648" s="982"/>
      <c r="C1648" s="985"/>
      <c r="D1648" s="969"/>
      <c r="E1648" s="969"/>
    </row>
    <row r="1649" spans="2:5" ht="16.5" x14ac:dyDescent="0.2">
      <c r="B1649" s="982"/>
      <c r="C1649" s="982"/>
      <c r="D1649" s="969"/>
      <c r="E1649" s="969"/>
    </row>
    <row r="1650" spans="2:5" ht="16.5" x14ac:dyDescent="0.2">
      <c r="B1650" s="982"/>
      <c r="C1650" s="985"/>
      <c r="D1650" s="969"/>
      <c r="E1650" s="969"/>
    </row>
    <row r="1651" spans="2:5" ht="16.5" x14ac:dyDescent="0.2">
      <c r="B1651" s="982"/>
      <c r="C1651" s="985"/>
      <c r="D1651" s="969"/>
      <c r="E1651" s="969"/>
    </row>
    <row r="1652" spans="2:5" ht="16.5" x14ac:dyDescent="0.2">
      <c r="B1652" s="982"/>
      <c r="C1652" s="985"/>
      <c r="D1652" s="969"/>
      <c r="E1652" s="969"/>
    </row>
    <row r="1653" spans="2:5" ht="16.5" x14ac:dyDescent="0.2">
      <c r="B1653" s="982"/>
      <c r="C1653" s="985"/>
      <c r="D1653" s="969"/>
      <c r="E1653" s="969"/>
    </row>
    <row r="1654" spans="2:5" ht="16.5" x14ac:dyDescent="0.2">
      <c r="B1654" s="982"/>
      <c r="C1654" s="982"/>
      <c r="D1654" s="969"/>
      <c r="E1654" s="969"/>
    </row>
    <row r="1655" spans="2:5" ht="16.5" x14ac:dyDescent="0.2">
      <c r="B1655" s="982"/>
      <c r="C1655" s="983"/>
      <c r="D1655" s="969"/>
      <c r="E1655" s="969"/>
    </row>
    <row r="1656" spans="2:5" ht="16.5" x14ac:dyDescent="0.2">
      <c r="B1656" s="982"/>
      <c r="C1656" s="985"/>
      <c r="D1656" s="969"/>
      <c r="E1656" s="969"/>
    </row>
    <row r="1657" spans="2:5" ht="16.5" x14ac:dyDescent="0.2">
      <c r="B1657" s="982"/>
      <c r="C1657" s="985"/>
      <c r="D1657" s="969"/>
      <c r="E1657" s="969"/>
    </row>
    <row r="1658" spans="2:5" ht="16.5" x14ac:dyDescent="0.2">
      <c r="B1658" s="982"/>
      <c r="C1658" s="985"/>
      <c r="D1658" s="969"/>
      <c r="E1658" s="969"/>
    </row>
    <row r="1659" spans="2:5" ht="16.5" x14ac:dyDescent="0.2">
      <c r="B1659" s="982"/>
      <c r="C1659" s="985"/>
      <c r="D1659" s="969"/>
      <c r="E1659" s="969"/>
    </row>
    <row r="1660" spans="2:5" ht="16.5" x14ac:dyDescent="0.2">
      <c r="B1660" s="982"/>
      <c r="C1660" s="983"/>
      <c r="D1660" s="969"/>
      <c r="E1660" s="969"/>
    </row>
    <row r="1661" spans="2:5" ht="16.5" x14ac:dyDescent="0.2">
      <c r="B1661" s="982"/>
      <c r="C1661" s="985"/>
      <c r="D1661" s="969"/>
      <c r="E1661" s="969"/>
    </row>
    <row r="1662" spans="2:5" ht="16.5" x14ac:dyDescent="0.2">
      <c r="B1662" s="982"/>
      <c r="C1662" s="985"/>
      <c r="D1662" s="969"/>
      <c r="E1662" s="969"/>
    </row>
    <row r="1663" spans="2:5" ht="16.5" x14ac:dyDescent="0.2">
      <c r="B1663" s="982"/>
      <c r="C1663" s="985"/>
      <c r="D1663" s="969"/>
      <c r="E1663" s="969"/>
    </row>
    <row r="1664" spans="2:5" ht="16.5" x14ac:dyDescent="0.2">
      <c r="B1664" s="982"/>
      <c r="C1664" s="983"/>
      <c r="D1664" s="969"/>
      <c r="E1664" s="969"/>
    </row>
    <row r="1665" spans="2:5" ht="16.5" x14ac:dyDescent="0.2">
      <c r="B1665" s="982"/>
      <c r="C1665" s="985"/>
      <c r="D1665" s="969"/>
      <c r="E1665" s="969"/>
    </row>
    <row r="1666" spans="2:5" ht="16.5" x14ac:dyDescent="0.2">
      <c r="B1666" s="982"/>
      <c r="C1666" s="985"/>
      <c r="D1666" s="969"/>
      <c r="E1666" s="969"/>
    </row>
    <row r="1667" spans="2:5" ht="16.5" x14ac:dyDescent="0.2">
      <c r="B1667" s="982"/>
      <c r="C1667" s="985"/>
      <c r="D1667" s="969"/>
      <c r="E1667" s="969"/>
    </row>
    <row r="1668" spans="2:5" ht="16.5" x14ac:dyDescent="0.2">
      <c r="B1668" s="982"/>
      <c r="C1668" s="983"/>
      <c r="D1668" s="969"/>
      <c r="E1668" s="969"/>
    </row>
    <row r="1669" spans="2:5" ht="16.5" x14ac:dyDescent="0.2">
      <c r="B1669" s="982"/>
      <c r="C1669" s="985"/>
      <c r="D1669" s="969"/>
      <c r="E1669" s="969"/>
    </row>
    <row r="1670" spans="2:5" ht="16.5" x14ac:dyDescent="0.2">
      <c r="B1670" s="982"/>
      <c r="C1670" s="985"/>
      <c r="D1670" s="969"/>
      <c r="E1670" s="969"/>
    </row>
    <row r="1671" spans="2:5" ht="16.5" x14ac:dyDescent="0.2">
      <c r="B1671" s="982"/>
      <c r="C1671" s="985"/>
      <c r="D1671" s="969"/>
      <c r="E1671" s="969"/>
    </row>
    <row r="1672" spans="2:5" ht="16.5" x14ac:dyDescent="0.2">
      <c r="B1672" s="982"/>
      <c r="C1672" s="985"/>
      <c r="D1672" s="969"/>
      <c r="E1672" s="969"/>
    </row>
    <row r="1673" spans="2:5" ht="16.5" x14ac:dyDescent="0.2">
      <c r="B1673" s="982"/>
      <c r="C1673" s="983"/>
      <c r="D1673" s="969"/>
      <c r="E1673" s="969"/>
    </row>
    <row r="1674" spans="2:5" ht="16.5" x14ac:dyDescent="0.2">
      <c r="B1674" s="982"/>
      <c r="C1674" s="985"/>
      <c r="D1674" s="969"/>
      <c r="E1674" s="969"/>
    </row>
    <row r="1675" spans="2:5" ht="16.5" x14ac:dyDescent="0.2">
      <c r="B1675" s="982"/>
      <c r="C1675" s="983"/>
      <c r="D1675" s="969"/>
      <c r="E1675" s="969"/>
    </row>
    <row r="1676" spans="2:5" ht="16.5" x14ac:dyDescent="0.2">
      <c r="B1676" s="982"/>
      <c r="C1676" s="985"/>
      <c r="D1676" s="969"/>
      <c r="E1676" s="969"/>
    </row>
    <row r="1677" spans="2:5" ht="16.5" x14ac:dyDescent="0.2">
      <c r="B1677" s="982"/>
      <c r="C1677" s="985"/>
      <c r="D1677" s="969"/>
      <c r="E1677" s="969"/>
    </row>
    <row r="1678" spans="2:5" ht="16.5" x14ac:dyDescent="0.2">
      <c r="B1678" s="982"/>
      <c r="C1678" s="985"/>
      <c r="D1678" s="969"/>
      <c r="E1678" s="969"/>
    </row>
    <row r="1679" spans="2:5" ht="16.5" x14ac:dyDescent="0.2">
      <c r="B1679" s="982"/>
      <c r="C1679" s="982"/>
      <c r="D1679" s="969"/>
      <c r="E1679" s="969"/>
    </row>
    <row r="1680" spans="2:5" ht="16.5" x14ac:dyDescent="0.2">
      <c r="B1680" s="982"/>
      <c r="C1680" s="985"/>
      <c r="D1680" s="969"/>
      <c r="E1680" s="969"/>
    </row>
    <row r="1681" spans="2:5" ht="16.5" x14ac:dyDescent="0.2">
      <c r="B1681" s="982"/>
      <c r="C1681" s="985"/>
      <c r="D1681" s="969"/>
      <c r="E1681" s="969"/>
    </row>
    <row r="1682" spans="2:5" ht="16.5" x14ac:dyDescent="0.2">
      <c r="B1682" s="982"/>
      <c r="C1682" s="985"/>
      <c r="D1682" s="969"/>
      <c r="E1682" s="969"/>
    </row>
    <row r="1683" spans="2:5" ht="16.5" x14ac:dyDescent="0.2">
      <c r="B1683" s="982"/>
      <c r="C1683" s="985"/>
      <c r="D1683" s="969"/>
      <c r="E1683" s="969"/>
    </row>
    <row r="1684" spans="2:5" ht="16.5" x14ac:dyDescent="0.2">
      <c r="B1684" s="982"/>
      <c r="C1684" s="985"/>
      <c r="D1684" s="969"/>
      <c r="E1684" s="969"/>
    </row>
    <row r="1685" spans="2:5" ht="16.5" x14ac:dyDescent="0.2">
      <c r="B1685" s="982"/>
      <c r="C1685" s="982"/>
      <c r="D1685" s="969"/>
      <c r="E1685" s="969"/>
    </row>
    <row r="1686" spans="2:5" ht="16.5" x14ac:dyDescent="0.2">
      <c r="B1686" s="982"/>
      <c r="C1686" s="983"/>
      <c r="D1686" s="969"/>
      <c r="E1686" s="969"/>
    </row>
    <row r="1687" spans="2:5" ht="16.5" x14ac:dyDescent="0.2">
      <c r="B1687" s="982"/>
      <c r="C1687" s="985"/>
      <c r="D1687" s="969"/>
      <c r="E1687" s="969"/>
    </row>
    <row r="1688" spans="2:5" ht="16.5" x14ac:dyDescent="0.2">
      <c r="B1688" s="982"/>
      <c r="C1688" s="985"/>
      <c r="D1688" s="969"/>
      <c r="E1688" s="969"/>
    </row>
    <row r="1689" spans="2:5" ht="16.5" x14ac:dyDescent="0.2">
      <c r="B1689" s="982"/>
      <c r="C1689" s="983"/>
      <c r="D1689" s="969"/>
      <c r="E1689" s="969"/>
    </row>
    <row r="1690" spans="2:5" ht="16.5" x14ac:dyDescent="0.2">
      <c r="B1690" s="982"/>
      <c r="C1690" s="985"/>
      <c r="D1690" s="969"/>
      <c r="E1690" s="969"/>
    </row>
    <row r="1691" spans="2:5" ht="16.5" x14ac:dyDescent="0.2">
      <c r="B1691" s="982"/>
      <c r="C1691" s="985"/>
      <c r="D1691" s="969"/>
      <c r="E1691" s="969"/>
    </row>
    <row r="1692" spans="2:5" ht="16.5" x14ac:dyDescent="0.2">
      <c r="B1692" s="982"/>
      <c r="C1692" s="985"/>
      <c r="D1692" s="969"/>
      <c r="E1692" s="969"/>
    </row>
    <row r="1693" spans="2:5" ht="16.5" x14ac:dyDescent="0.2">
      <c r="B1693" s="982"/>
      <c r="C1693" s="985"/>
      <c r="D1693" s="969"/>
      <c r="E1693" s="969"/>
    </row>
    <row r="1694" spans="2:5" ht="16.5" x14ac:dyDescent="0.2">
      <c r="B1694" s="982"/>
      <c r="C1694" s="985"/>
      <c r="D1694" s="969"/>
      <c r="E1694" s="969"/>
    </row>
    <row r="1695" spans="2:5" ht="16.5" x14ac:dyDescent="0.2">
      <c r="B1695" s="982"/>
      <c r="C1695" s="985"/>
      <c r="D1695" s="969"/>
      <c r="E1695" s="969"/>
    </row>
    <row r="1696" spans="2:5" ht="16.5" x14ac:dyDescent="0.2">
      <c r="B1696" s="982"/>
      <c r="C1696" s="983"/>
      <c r="D1696" s="969"/>
      <c r="E1696" s="969"/>
    </row>
    <row r="1697" spans="2:5" ht="16.5" x14ac:dyDescent="0.2">
      <c r="B1697" s="982"/>
      <c r="C1697" s="985"/>
      <c r="D1697" s="969"/>
      <c r="E1697" s="969"/>
    </row>
    <row r="1698" spans="2:5" ht="16.5" x14ac:dyDescent="0.2">
      <c r="B1698" s="982"/>
      <c r="C1698" s="986"/>
      <c r="D1698" s="969"/>
      <c r="E1698" s="969"/>
    </row>
    <row r="1699" spans="2:5" ht="16.5" x14ac:dyDescent="0.2">
      <c r="B1699" s="982"/>
      <c r="C1699" s="986"/>
      <c r="D1699" s="969"/>
      <c r="E1699" s="969"/>
    </row>
    <row r="1700" spans="2:5" ht="16.5" x14ac:dyDescent="0.2">
      <c r="B1700" s="982"/>
      <c r="C1700" s="986"/>
      <c r="D1700" s="969"/>
      <c r="E1700" s="969"/>
    </row>
    <row r="1701" spans="2:5" ht="16.5" x14ac:dyDescent="0.2">
      <c r="B1701" s="982"/>
      <c r="C1701" s="985"/>
      <c r="D1701" s="969"/>
      <c r="E1701" s="969"/>
    </row>
    <row r="1702" spans="2:5" ht="16.5" x14ac:dyDescent="0.2">
      <c r="B1702" s="982"/>
      <c r="C1702" s="986"/>
      <c r="D1702" s="969"/>
      <c r="E1702" s="969"/>
    </row>
    <row r="1703" spans="2:5" ht="16.5" x14ac:dyDescent="0.2">
      <c r="B1703" s="982"/>
      <c r="C1703" s="986"/>
      <c r="D1703" s="969"/>
      <c r="E1703" s="969"/>
    </row>
    <row r="1704" spans="2:5" ht="16.5" x14ac:dyDescent="0.2">
      <c r="B1704" s="982"/>
      <c r="C1704" s="986"/>
      <c r="D1704" s="969"/>
      <c r="E1704" s="969"/>
    </row>
    <row r="1705" spans="2:5" ht="16.5" x14ac:dyDescent="0.2">
      <c r="B1705" s="982"/>
      <c r="C1705" s="983"/>
      <c r="D1705" s="969"/>
      <c r="E1705" s="969"/>
    </row>
    <row r="1706" spans="2:5" ht="16.5" x14ac:dyDescent="0.2">
      <c r="B1706" s="982"/>
      <c r="C1706" s="985"/>
      <c r="D1706" s="969"/>
      <c r="E1706" s="969"/>
    </row>
    <row r="1707" spans="2:5" ht="16.5" x14ac:dyDescent="0.2">
      <c r="B1707" s="982"/>
      <c r="C1707" s="986"/>
      <c r="D1707" s="969"/>
      <c r="E1707" s="969"/>
    </row>
    <row r="1708" spans="2:5" ht="16.5" x14ac:dyDescent="0.2">
      <c r="B1708" s="982"/>
      <c r="C1708" s="986"/>
      <c r="D1708" s="969"/>
      <c r="E1708" s="969"/>
    </row>
    <row r="1709" spans="2:5" ht="16.5" x14ac:dyDescent="0.2">
      <c r="B1709" s="982"/>
      <c r="C1709" s="986"/>
      <c r="D1709" s="969"/>
      <c r="E1709" s="969"/>
    </row>
    <row r="1710" spans="2:5" ht="16.5" x14ac:dyDescent="0.2">
      <c r="B1710" s="982"/>
      <c r="C1710" s="986"/>
      <c r="D1710" s="969"/>
      <c r="E1710" s="969"/>
    </row>
    <row r="1711" spans="2:5" ht="16.5" x14ac:dyDescent="0.2">
      <c r="B1711" s="982"/>
      <c r="C1711" s="986"/>
      <c r="D1711" s="969"/>
      <c r="E1711" s="969"/>
    </row>
    <row r="1712" spans="2:5" ht="16.5" x14ac:dyDescent="0.2">
      <c r="B1712" s="982"/>
      <c r="C1712" s="983"/>
      <c r="D1712" s="969"/>
      <c r="E1712" s="969"/>
    </row>
    <row r="1713" spans="2:5" ht="16.5" x14ac:dyDescent="0.2">
      <c r="B1713" s="982"/>
      <c r="C1713" s="985"/>
      <c r="D1713" s="969"/>
      <c r="E1713" s="969"/>
    </row>
    <row r="1714" spans="2:5" ht="16.5" x14ac:dyDescent="0.2">
      <c r="B1714" s="982"/>
      <c r="C1714" s="985"/>
      <c r="D1714" s="969"/>
      <c r="E1714" s="969"/>
    </row>
    <row r="1715" spans="2:5" ht="16.5" x14ac:dyDescent="0.2">
      <c r="B1715" s="982"/>
      <c r="C1715" s="982"/>
      <c r="D1715" s="969"/>
      <c r="E1715" s="969"/>
    </row>
    <row r="1716" spans="2:5" ht="16.5" x14ac:dyDescent="0.2">
      <c r="B1716" s="982"/>
      <c r="C1716" s="985"/>
      <c r="D1716" s="969"/>
      <c r="E1716" s="969"/>
    </row>
    <row r="1717" spans="2:5" ht="16.5" x14ac:dyDescent="0.2">
      <c r="B1717" s="982"/>
      <c r="C1717" s="985"/>
      <c r="D1717" s="969"/>
      <c r="E1717" s="969"/>
    </row>
    <row r="1718" spans="2:5" ht="16.5" x14ac:dyDescent="0.2">
      <c r="B1718" s="982"/>
      <c r="C1718" s="985"/>
      <c r="D1718" s="969"/>
      <c r="E1718" s="969"/>
    </row>
    <row r="1719" spans="2:5" ht="16.5" x14ac:dyDescent="0.2">
      <c r="B1719" s="982"/>
      <c r="C1719" s="985"/>
      <c r="D1719" s="969"/>
      <c r="E1719" s="969"/>
    </row>
    <row r="1720" spans="2:5" ht="16.5" x14ac:dyDescent="0.2">
      <c r="B1720" s="982"/>
      <c r="C1720" s="985"/>
      <c r="D1720" s="969"/>
      <c r="E1720" s="969"/>
    </row>
    <row r="1721" spans="2:5" ht="16.5" x14ac:dyDescent="0.2">
      <c r="B1721" s="982"/>
      <c r="C1721" s="985"/>
      <c r="D1721" s="969"/>
      <c r="E1721" s="969"/>
    </row>
    <row r="1722" spans="2:5" ht="16.5" x14ac:dyDescent="0.2">
      <c r="B1722" s="982"/>
      <c r="C1722" s="985"/>
      <c r="D1722" s="969"/>
      <c r="E1722" s="969"/>
    </row>
    <row r="1723" spans="2:5" ht="16.5" x14ac:dyDescent="0.2">
      <c r="B1723" s="982"/>
      <c r="C1723" s="985"/>
      <c r="D1723" s="969"/>
      <c r="E1723" s="969"/>
    </row>
    <row r="1724" spans="2:5" ht="16.5" x14ac:dyDescent="0.2">
      <c r="B1724" s="982"/>
      <c r="C1724" s="985"/>
      <c r="D1724" s="969"/>
      <c r="E1724" s="969"/>
    </row>
    <row r="1725" spans="2:5" ht="16.5" x14ac:dyDescent="0.2">
      <c r="B1725" s="982"/>
      <c r="C1725" s="985"/>
      <c r="D1725" s="969"/>
      <c r="E1725" s="969"/>
    </row>
    <row r="1726" spans="2:5" ht="16.5" x14ac:dyDescent="0.2">
      <c r="B1726" s="982"/>
      <c r="C1726" s="985"/>
      <c r="D1726" s="969"/>
      <c r="E1726" s="969"/>
    </row>
    <row r="1727" spans="2:5" ht="16.5" x14ac:dyDescent="0.2">
      <c r="B1727" s="982"/>
      <c r="C1727" s="985"/>
      <c r="D1727" s="969"/>
      <c r="E1727" s="969"/>
    </row>
    <row r="1728" spans="2:5" ht="16.5" x14ac:dyDescent="0.2">
      <c r="B1728" s="982"/>
      <c r="C1728" s="982"/>
      <c r="D1728" s="969"/>
      <c r="E1728" s="969"/>
    </row>
    <row r="1729" spans="2:5" ht="16.5" x14ac:dyDescent="0.2">
      <c r="B1729" s="982"/>
      <c r="C1729" s="985"/>
      <c r="D1729" s="969"/>
      <c r="E1729" s="969"/>
    </row>
    <row r="1730" spans="2:5" ht="16.5" x14ac:dyDescent="0.2">
      <c r="B1730" s="982"/>
      <c r="C1730" s="985"/>
      <c r="D1730" s="969"/>
      <c r="E1730" s="969"/>
    </row>
    <row r="1731" spans="2:5" ht="16.5" x14ac:dyDescent="0.2">
      <c r="B1731" s="982"/>
      <c r="C1731" s="985"/>
      <c r="D1731" s="969"/>
      <c r="E1731" s="969"/>
    </row>
    <row r="1732" spans="2:5" ht="16.5" x14ac:dyDescent="0.2">
      <c r="B1732" s="982"/>
      <c r="C1732" s="985"/>
      <c r="D1732" s="969"/>
      <c r="E1732" s="969"/>
    </row>
    <row r="1733" spans="2:5" ht="16.5" x14ac:dyDescent="0.2">
      <c r="B1733" s="982"/>
      <c r="C1733" s="985"/>
      <c r="D1733" s="969"/>
      <c r="E1733" s="969"/>
    </row>
    <row r="1734" spans="2:5" ht="16.5" x14ac:dyDescent="0.2">
      <c r="B1734" s="982"/>
      <c r="C1734" s="985"/>
      <c r="D1734" s="969"/>
      <c r="E1734" s="969"/>
    </row>
    <row r="1735" spans="2:5" ht="16.5" x14ac:dyDescent="0.2">
      <c r="B1735" s="982"/>
      <c r="C1735" s="985"/>
      <c r="D1735" s="969"/>
      <c r="E1735" s="969"/>
    </row>
    <row r="1736" spans="2:5" ht="16.5" x14ac:dyDescent="0.2">
      <c r="B1736" s="982"/>
      <c r="C1736" s="985"/>
      <c r="D1736" s="969"/>
      <c r="E1736" s="969"/>
    </row>
    <row r="1737" spans="2:5" ht="16.5" x14ac:dyDescent="0.2">
      <c r="B1737" s="982"/>
      <c r="C1737" s="982"/>
      <c r="D1737" s="969"/>
      <c r="E1737" s="969"/>
    </row>
    <row r="1738" spans="2:5" ht="16.5" x14ac:dyDescent="0.2">
      <c r="B1738" s="982"/>
      <c r="C1738" s="985"/>
      <c r="D1738" s="969"/>
      <c r="E1738" s="969"/>
    </row>
    <row r="1739" spans="2:5" ht="16.5" x14ac:dyDescent="0.2">
      <c r="B1739" s="982"/>
      <c r="C1739" s="985"/>
      <c r="D1739" s="969"/>
      <c r="E1739" s="969"/>
    </row>
    <row r="1740" spans="2:5" ht="16.5" x14ac:dyDescent="0.2">
      <c r="B1740" s="982"/>
      <c r="C1740" s="982"/>
      <c r="D1740" s="969"/>
      <c r="E1740" s="969"/>
    </row>
    <row r="1741" spans="2:5" ht="16.5" x14ac:dyDescent="0.2">
      <c r="B1741" s="982"/>
      <c r="C1741" s="983"/>
      <c r="D1741" s="969"/>
      <c r="E1741" s="969"/>
    </row>
    <row r="1742" spans="2:5" ht="16.5" x14ac:dyDescent="0.2">
      <c r="B1742" s="982"/>
      <c r="C1742" s="985"/>
      <c r="D1742" s="969"/>
      <c r="E1742" s="969"/>
    </row>
    <row r="1743" spans="2:5" ht="16.5" x14ac:dyDescent="0.2">
      <c r="B1743" s="982"/>
      <c r="C1743" s="985"/>
      <c r="D1743" s="969"/>
      <c r="E1743" s="969"/>
    </row>
    <row r="1744" spans="2:5" ht="16.5" x14ac:dyDescent="0.2">
      <c r="B1744" s="982"/>
      <c r="C1744" s="985"/>
      <c r="D1744" s="969"/>
      <c r="E1744" s="969"/>
    </row>
    <row r="1745" spans="2:5" ht="16.5" x14ac:dyDescent="0.2">
      <c r="B1745" s="982"/>
      <c r="C1745" s="985"/>
      <c r="D1745" s="969"/>
      <c r="E1745" s="969"/>
    </row>
    <row r="1746" spans="2:5" ht="16.5" x14ac:dyDescent="0.2">
      <c r="B1746" s="982"/>
      <c r="C1746" s="985"/>
      <c r="D1746" s="969"/>
      <c r="E1746" s="969"/>
    </row>
    <row r="1747" spans="2:5" ht="16.5" x14ac:dyDescent="0.2">
      <c r="B1747" s="982"/>
      <c r="C1747" s="983"/>
      <c r="D1747" s="969"/>
      <c r="E1747" s="969"/>
    </row>
    <row r="1748" spans="2:5" ht="16.5" x14ac:dyDescent="0.2">
      <c r="B1748" s="982"/>
      <c r="C1748" s="985"/>
      <c r="D1748" s="969"/>
      <c r="E1748" s="969"/>
    </row>
    <row r="1749" spans="2:5" ht="16.5" x14ac:dyDescent="0.2">
      <c r="B1749" s="982"/>
      <c r="C1749" s="985"/>
      <c r="D1749" s="969"/>
      <c r="E1749" s="969"/>
    </row>
    <row r="1750" spans="2:5" ht="16.5" x14ac:dyDescent="0.2">
      <c r="B1750" s="982"/>
      <c r="C1750" s="985"/>
      <c r="D1750" s="969"/>
      <c r="E1750" s="969"/>
    </row>
    <row r="1751" spans="2:5" ht="16.5" x14ac:dyDescent="0.2">
      <c r="B1751" s="982"/>
      <c r="C1751" s="985"/>
      <c r="D1751" s="969"/>
      <c r="E1751" s="969"/>
    </row>
    <row r="1752" spans="2:5" ht="16.5" x14ac:dyDescent="0.2">
      <c r="B1752" s="982"/>
      <c r="C1752" s="983"/>
      <c r="D1752" s="969"/>
      <c r="E1752" s="969"/>
    </row>
    <row r="1753" spans="2:5" ht="16.5" x14ac:dyDescent="0.2">
      <c r="B1753" s="982"/>
      <c r="C1753" s="985"/>
      <c r="D1753" s="969"/>
      <c r="E1753" s="969"/>
    </row>
    <row r="1754" spans="2:5" ht="16.5" x14ac:dyDescent="0.2">
      <c r="B1754" s="982"/>
      <c r="C1754" s="985"/>
      <c r="D1754" s="969"/>
      <c r="E1754" s="969"/>
    </row>
    <row r="1755" spans="2:5" ht="16.5" x14ac:dyDescent="0.2">
      <c r="B1755" s="982"/>
      <c r="C1755" s="982"/>
      <c r="D1755" s="969"/>
      <c r="E1755" s="969"/>
    </row>
    <row r="1756" spans="2:5" ht="16.5" x14ac:dyDescent="0.2">
      <c r="B1756" s="982"/>
      <c r="C1756" s="983"/>
      <c r="D1756" s="969"/>
      <c r="E1756" s="969"/>
    </row>
    <row r="1757" spans="2:5" ht="16.5" x14ac:dyDescent="0.2">
      <c r="B1757" s="982"/>
      <c r="C1757" s="985"/>
      <c r="D1757" s="969"/>
      <c r="E1757" s="969"/>
    </row>
    <row r="1758" spans="2:5" ht="16.5" x14ac:dyDescent="0.2">
      <c r="B1758" s="982"/>
      <c r="C1758" s="983"/>
      <c r="D1758" s="969"/>
      <c r="E1758" s="969"/>
    </row>
    <row r="1759" spans="2:5" ht="16.5" x14ac:dyDescent="0.2">
      <c r="B1759" s="982"/>
      <c r="C1759" s="985"/>
      <c r="D1759" s="969"/>
      <c r="E1759" s="969"/>
    </row>
    <row r="1760" spans="2:5" ht="16.5" x14ac:dyDescent="0.2">
      <c r="B1760" s="982"/>
      <c r="C1760" s="985"/>
      <c r="D1760" s="969"/>
      <c r="E1760" s="969"/>
    </row>
    <row r="1761" spans="2:5" ht="16.5" x14ac:dyDescent="0.2">
      <c r="B1761" s="982"/>
      <c r="C1761" s="985"/>
      <c r="D1761" s="969"/>
      <c r="E1761" s="969"/>
    </row>
    <row r="1762" spans="2:5" ht="16.5" x14ac:dyDescent="0.2">
      <c r="B1762" s="982"/>
      <c r="C1762" s="985"/>
      <c r="D1762" s="969"/>
      <c r="E1762" s="969"/>
    </row>
    <row r="1763" spans="2:5" ht="16.5" x14ac:dyDescent="0.2">
      <c r="B1763" s="982"/>
      <c r="C1763" s="985"/>
      <c r="D1763" s="969"/>
      <c r="E1763" s="969"/>
    </row>
    <row r="1764" spans="2:5" ht="16.5" x14ac:dyDescent="0.2">
      <c r="B1764" s="982"/>
      <c r="C1764" s="985"/>
      <c r="D1764" s="969"/>
      <c r="E1764" s="969"/>
    </row>
    <row r="1765" spans="2:5" ht="16.5" x14ac:dyDescent="0.2">
      <c r="B1765" s="982"/>
      <c r="C1765" s="983"/>
      <c r="D1765" s="969"/>
      <c r="E1765" s="969"/>
    </row>
    <row r="1766" spans="2:5" ht="16.5" x14ac:dyDescent="0.2">
      <c r="B1766" s="982"/>
      <c r="C1766" s="985"/>
      <c r="D1766" s="969"/>
      <c r="E1766" s="969"/>
    </row>
    <row r="1767" spans="2:5" ht="16.5" x14ac:dyDescent="0.2">
      <c r="B1767" s="982"/>
      <c r="C1767" s="985"/>
      <c r="D1767" s="969"/>
      <c r="E1767" s="969"/>
    </row>
    <row r="1768" spans="2:5" ht="16.5" x14ac:dyDescent="0.2">
      <c r="B1768" s="982"/>
      <c r="C1768" s="985"/>
      <c r="D1768" s="969"/>
      <c r="E1768" s="969"/>
    </row>
    <row r="1769" spans="2:5" ht="16.5" x14ac:dyDescent="0.2">
      <c r="B1769" s="982"/>
      <c r="C1769" s="983"/>
      <c r="D1769" s="969"/>
      <c r="E1769" s="969"/>
    </row>
    <row r="1770" spans="2:5" ht="16.5" x14ac:dyDescent="0.2">
      <c r="B1770" s="982"/>
      <c r="C1770" s="985"/>
      <c r="D1770" s="969"/>
      <c r="E1770" s="969"/>
    </row>
    <row r="1771" spans="2:5" ht="16.5" x14ac:dyDescent="0.2">
      <c r="B1771" s="982"/>
      <c r="C1771" s="985"/>
      <c r="D1771" s="969"/>
      <c r="E1771" s="969"/>
    </row>
    <row r="1772" spans="2:5" ht="16.5" x14ac:dyDescent="0.2">
      <c r="B1772" s="982"/>
      <c r="C1772" s="983"/>
      <c r="D1772" s="969"/>
      <c r="E1772" s="969"/>
    </row>
    <row r="1773" spans="2:5" ht="16.5" x14ac:dyDescent="0.2">
      <c r="B1773" s="982"/>
      <c r="C1773" s="985"/>
      <c r="D1773" s="969"/>
      <c r="E1773" s="969"/>
    </row>
    <row r="1774" spans="2:5" ht="16.5" x14ac:dyDescent="0.2">
      <c r="B1774" s="982"/>
      <c r="C1774" s="985"/>
      <c r="D1774" s="969"/>
      <c r="E1774" s="969"/>
    </row>
    <row r="1775" spans="2:5" ht="16.5" x14ac:dyDescent="0.2">
      <c r="B1775" s="982"/>
      <c r="C1775" s="982"/>
      <c r="D1775" s="969"/>
      <c r="E1775" s="969"/>
    </row>
    <row r="1776" spans="2:5" ht="16.5" x14ac:dyDescent="0.2">
      <c r="B1776" s="982"/>
      <c r="C1776" s="983"/>
      <c r="D1776" s="969"/>
      <c r="E1776" s="969"/>
    </row>
    <row r="1777" spans="2:5" ht="16.5" x14ac:dyDescent="0.2">
      <c r="B1777" s="982"/>
      <c r="C1777" s="985"/>
      <c r="D1777" s="969"/>
      <c r="E1777" s="969"/>
    </row>
    <row r="1778" spans="2:5" ht="16.5" x14ac:dyDescent="0.2">
      <c r="B1778" s="982"/>
      <c r="C1778" s="985"/>
      <c r="D1778" s="969"/>
      <c r="E1778" s="969"/>
    </row>
    <row r="1779" spans="2:5" ht="16.5" x14ac:dyDescent="0.2">
      <c r="B1779" s="982"/>
      <c r="C1779" s="983"/>
      <c r="D1779" s="969"/>
      <c r="E1779" s="969"/>
    </row>
    <row r="1780" spans="2:5" ht="16.5" x14ac:dyDescent="0.2">
      <c r="B1780" s="982"/>
      <c r="C1780" s="985"/>
      <c r="D1780" s="969"/>
      <c r="E1780" s="969"/>
    </row>
    <row r="1781" spans="2:5" ht="16.5" x14ac:dyDescent="0.2">
      <c r="B1781" s="982"/>
      <c r="C1781" s="985"/>
      <c r="D1781" s="969"/>
      <c r="E1781" s="969"/>
    </row>
    <row r="1782" spans="2:5" ht="16.5" x14ac:dyDescent="0.2">
      <c r="B1782" s="982"/>
      <c r="C1782" s="985"/>
      <c r="D1782" s="969"/>
      <c r="E1782" s="969"/>
    </row>
    <row r="1783" spans="2:5" ht="16.5" x14ac:dyDescent="0.2">
      <c r="B1783" s="982"/>
      <c r="C1783" s="983"/>
      <c r="D1783" s="969"/>
      <c r="E1783" s="969"/>
    </row>
    <row r="1784" spans="2:5" ht="16.5" x14ac:dyDescent="0.2">
      <c r="B1784" s="982"/>
      <c r="C1784" s="985"/>
      <c r="D1784" s="969"/>
      <c r="E1784" s="969"/>
    </row>
    <row r="1785" spans="2:5" ht="16.5" x14ac:dyDescent="0.2">
      <c r="B1785" s="982"/>
      <c r="C1785" s="985"/>
      <c r="D1785" s="969"/>
      <c r="E1785" s="969"/>
    </row>
    <row r="1786" spans="2:5" ht="16.5" x14ac:dyDescent="0.2">
      <c r="B1786" s="982"/>
      <c r="C1786" s="985"/>
      <c r="D1786" s="969"/>
      <c r="E1786" s="969"/>
    </row>
    <row r="1787" spans="2:5" ht="16.5" x14ac:dyDescent="0.2">
      <c r="B1787" s="982"/>
      <c r="C1787" s="985"/>
      <c r="D1787" s="969"/>
      <c r="E1787" s="969"/>
    </row>
    <row r="1788" spans="2:5" ht="16.5" x14ac:dyDescent="0.2">
      <c r="B1788" s="982"/>
      <c r="C1788" s="985"/>
      <c r="D1788" s="969"/>
      <c r="E1788" s="969"/>
    </row>
    <row r="1789" spans="2:5" ht="16.5" x14ac:dyDescent="0.2">
      <c r="B1789" s="982"/>
      <c r="C1789" s="983"/>
      <c r="D1789" s="969"/>
      <c r="E1789" s="969"/>
    </row>
    <row r="1790" spans="2:5" ht="16.5" x14ac:dyDescent="0.2">
      <c r="B1790" s="982"/>
      <c r="C1790" s="985"/>
      <c r="D1790" s="969"/>
      <c r="E1790" s="969"/>
    </row>
    <row r="1791" spans="2:5" ht="16.5" x14ac:dyDescent="0.2">
      <c r="B1791" s="982"/>
      <c r="C1791" s="985"/>
      <c r="D1791" s="969"/>
      <c r="E1791" s="969"/>
    </row>
    <row r="1792" spans="2:5" ht="16.5" x14ac:dyDescent="0.2">
      <c r="B1792" s="982"/>
      <c r="C1792" s="985"/>
      <c r="D1792" s="969"/>
      <c r="E1792" s="969"/>
    </row>
    <row r="1793" spans="2:5" ht="16.5" x14ac:dyDescent="0.2">
      <c r="B1793" s="982"/>
      <c r="C1793" s="985"/>
      <c r="D1793" s="969"/>
      <c r="E1793" s="969"/>
    </row>
    <row r="1794" spans="2:5" ht="16.5" x14ac:dyDescent="0.2">
      <c r="B1794" s="982"/>
      <c r="C1794" s="983"/>
      <c r="D1794" s="969"/>
      <c r="E1794" s="969"/>
    </row>
    <row r="1795" spans="2:5" ht="16.5" x14ac:dyDescent="0.2">
      <c r="B1795" s="982"/>
      <c r="C1795" s="985"/>
      <c r="D1795" s="969"/>
      <c r="E1795" s="969"/>
    </row>
    <row r="1796" spans="2:5" ht="16.5" x14ac:dyDescent="0.2">
      <c r="B1796" s="982"/>
      <c r="C1796" s="985"/>
      <c r="D1796" s="969"/>
      <c r="E1796" s="969"/>
    </row>
    <row r="1797" spans="2:5" ht="16.5" x14ac:dyDescent="0.2">
      <c r="B1797" s="982"/>
      <c r="C1797" s="985"/>
      <c r="D1797" s="969"/>
      <c r="E1797" s="969"/>
    </row>
    <row r="1798" spans="2:5" ht="16.5" x14ac:dyDescent="0.2">
      <c r="B1798" s="982"/>
      <c r="C1798" s="982"/>
      <c r="D1798" s="969"/>
      <c r="E1798" s="969"/>
    </row>
    <row r="1799" spans="2:5" ht="16.5" x14ac:dyDescent="0.2">
      <c r="B1799" s="982"/>
      <c r="C1799" s="983"/>
      <c r="D1799" s="969"/>
      <c r="E1799" s="969"/>
    </row>
    <row r="1800" spans="2:5" ht="16.5" x14ac:dyDescent="0.2">
      <c r="B1800" s="982"/>
      <c r="C1800" s="985"/>
      <c r="D1800" s="969"/>
      <c r="E1800" s="969"/>
    </row>
    <row r="1801" spans="2:5" ht="16.5" x14ac:dyDescent="0.2">
      <c r="B1801" s="982"/>
      <c r="C1801" s="985"/>
      <c r="D1801" s="969"/>
      <c r="E1801" s="969"/>
    </row>
    <row r="1802" spans="2:5" ht="16.5" x14ac:dyDescent="0.2">
      <c r="B1802" s="982"/>
      <c r="C1802" s="983"/>
      <c r="D1802" s="969"/>
      <c r="E1802" s="969"/>
    </row>
    <row r="1803" spans="2:5" ht="16.5" x14ac:dyDescent="0.2">
      <c r="B1803" s="982"/>
      <c r="C1803" s="985"/>
      <c r="D1803" s="969"/>
      <c r="E1803" s="969"/>
    </row>
    <row r="1804" spans="2:5" ht="16.5" x14ac:dyDescent="0.2">
      <c r="B1804" s="982"/>
      <c r="C1804" s="985"/>
      <c r="D1804" s="969"/>
      <c r="E1804" s="969"/>
    </row>
    <row r="1805" spans="2:5" ht="16.5" x14ac:dyDescent="0.2">
      <c r="B1805" s="982"/>
      <c r="C1805" s="983"/>
      <c r="D1805" s="969"/>
      <c r="E1805" s="969"/>
    </row>
    <row r="1806" spans="2:5" ht="16.5" x14ac:dyDescent="0.2">
      <c r="B1806" s="982"/>
      <c r="C1806" s="985"/>
      <c r="D1806" s="969"/>
      <c r="E1806" s="969"/>
    </row>
    <row r="1807" spans="2:5" ht="16.5" x14ac:dyDescent="0.2">
      <c r="B1807" s="982"/>
      <c r="C1807" s="985"/>
      <c r="D1807" s="969"/>
      <c r="E1807" s="969"/>
    </row>
    <row r="1808" spans="2:5" ht="16.5" x14ac:dyDescent="0.2">
      <c r="B1808" s="982"/>
      <c r="C1808" s="983"/>
      <c r="D1808" s="969"/>
      <c r="E1808" s="969"/>
    </row>
    <row r="1809" spans="2:5" ht="16.5" x14ac:dyDescent="0.2">
      <c r="B1809" s="982"/>
      <c r="C1809" s="985"/>
      <c r="D1809" s="969"/>
      <c r="E1809" s="969"/>
    </row>
    <row r="1810" spans="2:5" ht="16.5" x14ac:dyDescent="0.2">
      <c r="B1810" s="982"/>
      <c r="C1810" s="985"/>
      <c r="D1810" s="969"/>
      <c r="E1810" s="969"/>
    </row>
    <row r="1811" spans="2:5" ht="16.5" x14ac:dyDescent="0.2">
      <c r="B1811" s="982"/>
      <c r="C1811" s="985"/>
      <c r="D1811" s="969"/>
      <c r="E1811" s="969"/>
    </row>
    <row r="1812" spans="2:5" ht="16.5" x14ac:dyDescent="0.2">
      <c r="B1812" s="982"/>
      <c r="C1812" s="985"/>
      <c r="D1812" s="969"/>
      <c r="E1812" s="969"/>
    </row>
    <row r="1813" spans="2:5" ht="16.5" x14ac:dyDescent="0.2">
      <c r="B1813" s="982"/>
      <c r="C1813" s="985"/>
      <c r="D1813" s="969"/>
      <c r="E1813" s="969"/>
    </row>
    <row r="1814" spans="2:5" ht="16.5" x14ac:dyDescent="0.2">
      <c r="B1814" s="982"/>
      <c r="C1814" s="985"/>
      <c r="D1814" s="969"/>
      <c r="E1814" s="969"/>
    </row>
    <row r="1815" spans="2:5" ht="16.5" x14ac:dyDescent="0.2">
      <c r="B1815" s="982"/>
      <c r="C1815" s="985"/>
      <c r="D1815" s="969"/>
      <c r="E1815" s="969"/>
    </row>
    <row r="1816" spans="2:5" ht="16.5" x14ac:dyDescent="0.2">
      <c r="B1816" s="982"/>
      <c r="C1816" s="982"/>
      <c r="D1816" s="969"/>
      <c r="E1816" s="969"/>
    </row>
    <row r="1817" spans="2:5" ht="16.5" x14ac:dyDescent="0.2">
      <c r="B1817" s="982"/>
      <c r="C1817" s="983"/>
      <c r="D1817" s="969"/>
      <c r="E1817" s="969"/>
    </row>
    <row r="1818" spans="2:5" ht="16.5" x14ac:dyDescent="0.2">
      <c r="B1818" s="982"/>
      <c r="C1818" s="985"/>
      <c r="D1818" s="969"/>
      <c r="E1818" s="969"/>
    </row>
    <row r="1819" spans="2:5" ht="16.5" x14ac:dyDescent="0.2">
      <c r="B1819" s="982"/>
      <c r="C1819" s="985"/>
      <c r="D1819" s="969"/>
      <c r="E1819" s="969"/>
    </row>
    <row r="1820" spans="2:5" ht="16.5" x14ac:dyDescent="0.2">
      <c r="B1820" s="982"/>
      <c r="C1820" s="985"/>
      <c r="D1820" s="969"/>
      <c r="E1820" s="969"/>
    </row>
    <row r="1821" spans="2:5" ht="16.5" x14ac:dyDescent="0.2">
      <c r="B1821" s="982"/>
      <c r="C1821" s="983"/>
      <c r="D1821" s="969"/>
      <c r="E1821" s="969"/>
    </row>
    <row r="1822" spans="2:5" ht="16.5" x14ac:dyDescent="0.2">
      <c r="B1822" s="982"/>
      <c r="C1822" s="985"/>
      <c r="D1822" s="969"/>
      <c r="E1822" s="969"/>
    </row>
    <row r="1823" spans="2:5" ht="16.5" x14ac:dyDescent="0.2">
      <c r="B1823" s="982"/>
      <c r="C1823" s="985"/>
      <c r="D1823" s="969"/>
      <c r="E1823" s="969"/>
    </row>
    <row r="1824" spans="2:5" ht="16.5" x14ac:dyDescent="0.2">
      <c r="B1824" s="982"/>
      <c r="C1824" s="983"/>
      <c r="D1824" s="969"/>
      <c r="E1824" s="969"/>
    </row>
    <row r="1825" spans="2:9" ht="16.5" x14ac:dyDescent="0.2">
      <c r="B1825" s="982"/>
      <c r="C1825" s="985"/>
      <c r="D1825" s="969"/>
      <c r="E1825" s="969"/>
    </row>
    <row r="1826" spans="2:9" ht="16.5" x14ac:dyDescent="0.2">
      <c r="B1826" s="982"/>
      <c r="C1826" s="985"/>
      <c r="D1826" s="969"/>
      <c r="E1826" s="969"/>
    </row>
    <row r="1827" spans="2:9" ht="16.5" x14ac:dyDescent="0.2">
      <c r="B1827" s="982"/>
      <c r="C1827" s="983"/>
      <c r="D1827" s="969"/>
      <c r="E1827" s="969"/>
    </row>
    <row r="1828" spans="2:9" ht="16.5" x14ac:dyDescent="0.2">
      <c r="B1828" s="982"/>
      <c r="C1828" s="985"/>
      <c r="D1828" s="969"/>
      <c r="E1828" s="969"/>
    </row>
    <row r="1829" spans="2:9" ht="16.5" x14ac:dyDescent="0.2">
      <c r="B1829" s="982"/>
      <c r="C1829" s="985"/>
      <c r="D1829" s="969"/>
      <c r="E1829" s="969"/>
    </row>
    <row r="1830" spans="2:9" ht="16.5" x14ac:dyDescent="0.2">
      <c r="B1830" s="982"/>
      <c r="C1830" s="985"/>
      <c r="D1830" s="969"/>
      <c r="E1830" s="969"/>
    </row>
    <row r="1831" spans="2:9" ht="16.5" x14ac:dyDescent="0.2">
      <c r="B1831" s="982"/>
      <c r="C1831" s="985"/>
      <c r="D1831" s="969"/>
      <c r="E1831" s="969"/>
    </row>
    <row r="1832" spans="2:9" ht="16.5" x14ac:dyDescent="0.2">
      <c r="B1832" s="982"/>
      <c r="C1832" s="985"/>
      <c r="D1832" s="969"/>
      <c r="E1832" s="969"/>
    </row>
    <row r="1833" spans="2:9" ht="16.5" x14ac:dyDescent="0.2">
      <c r="B1833" s="982"/>
      <c r="C1833" s="985"/>
      <c r="D1833" s="969"/>
      <c r="E1833" s="969"/>
    </row>
    <row r="1834" spans="2:9" ht="18" x14ac:dyDescent="0.2">
      <c r="B1834" s="982"/>
      <c r="C1834" s="983"/>
      <c r="D1834" s="969"/>
      <c r="E1834" s="969"/>
      <c r="I1834" s="1014"/>
    </row>
    <row r="1835" spans="2:9" ht="16.5" x14ac:dyDescent="0.2">
      <c r="B1835" s="982"/>
      <c r="C1835" s="985"/>
      <c r="D1835" s="969"/>
      <c r="E1835" s="969"/>
    </row>
    <row r="1836" spans="2:9" ht="16.5" x14ac:dyDescent="0.2">
      <c r="B1836" s="982"/>
      <c r="C1836" s="985"/>
      <c r="D1836" s="969"/>
      <c r="E1836" s="969"/>
    </row>
    <row r="1837" spans="2:9" ht="16.5" x14ac:dyDescent="0.2">
      <c r="B1837" s="982"/>
      <c r="C1837" s="982"/>
      <c r="D1837" s="969"/>
      <c r="E1837" s="969"/>
    </row>
    <row r="1838" spans="2:9" ht="16.5" x14ac:dyDescent="0.2">
      <c r="B1838" s="982"/>
      <c r="C1838" s="985"/>
      <c r="D1838" s="969"/>
      <c r="E1838" s="969"/>
    </row>
    <row r="1839" spans="2:9" ht="16.5" x14ac:dyDescent="0.2">
      <c r="B1839" s="982"/>
      <c r="C1839" s="985"/>
      <c r="D1839" s="969"/>
      <c r="E1839" s="969"/>
    </row>
    <row r="1840" spans="2:9" ht="16.5" x14ac:dyDescent="0.2">
      <c r="B1840" s="982"/>
      <c r="C1840" s="985"/>
      <c r="D1840" s="969"/>
      <c r="E1840" s="969"/>
    </row>
    <row r="1841" spans="2:5" ht="16.5" x14ac:dyDescent="0.2">
      <c r="B1841" s="982"/>
      <c r="C1841" s="985"/>
      <c r="D1841" s="969"/>
      <c r="E1841" s="969"/>
    </row>
    <row r="1842" spans="2:5" ht="16.5" x14ac:dyDescent="0.2">
      <c r="B1842" s="982"/>
      <c r="C1842" s="985"/>
      <c r="D1842" s="969"/>
      <c r="E1842" s="969"/>
    </row>
    <row r="1843" spans="2:5" ht="16.5" x14ac:dyDescent="0.2">
      <c r="B1843" s="982"/>
      <c r="C1843" s="985"/>
      <c r="D1843" s="969"/>
      <c r="E1843" s="969"/>
    </row>
    <row r="1844" spans="2:5" ht="16.5" x14ac:dyDescent="0.2">
      <c r="B1844" s="982"/>
      <c r="C1844" s="985"/>
      <c r="D1844" s="969"/>
      <c r="E1844" s="969"/>
    </row>
    <row r="1845" spans="2:5" ht="16.5" x14ac:dyDescent="0.2">
      <c r="B1845" s="982"/>
      <c r="C1845" s="985"/>
      <c r="D1845" s="969"/>
      <c r="E1845" s="969"/>
    </row>
    <row r="1846" spans="2:5" ht="16.5" x14ac:dyDescent="0.2">
      <c r="B1846" s="982"/>
      <c r="C1846" s="985"/>
      <c r="D1846" s="969"/>
      <c r="E1846" s="969"/>
    </row>
    <row r="1847" spans="2:5" ht="16.5" x14ac:dyDescent="0.2">
      <c r="B1847" s="982"/>
      <c r="C1847" s="985"/>
      <c r="D1847" s="969"/>
      <c r="E1847" s="969"/>
    </row>
    <row r="1848" spans="2:5" ht="16.5" x14ac:dyDescent="0.2">
      <c r="B1848" s="982"/>
      <c r="C1848" s="985"/>
      <c r="D1848" s="969"/>
      <c r="E1848" s="969"/>
    </row>
    <row r="1849" spans="2:5" ht="16.5" x14ac:dyDescent="0.2">
      <c r="B1849" s="982"/>
      <c r="C1849" s="985"/>
      <c r="D1849" s="969"/>
      <c r="E1849" s="969"/>
    </row>
    <row r="1850" spans="2:5" ht="16.5" x14ac:dyDescent="0.2">
      <c r="B1850" s="982"/>
      <c r="C1850" s="985"/>
      <c r="D1850" s="969"/>
      <c r="E1850" s="969"/>
    </row>
    <row r="1851" spans="2:5" ht="16.5" x14ac:dyDescent="0.2">
      <c r="B1851" s="982"/>
      <c r="C1851" s="982"/>
      <c r="D1851" s="969"/>
      <c r="E1851" s="969"/>
    </row>
    <row r="1852" spans="2:5" ht="16.5" x14ac:dyDescent="0.2">
      <c r="B1852" s="982"/>
      <c r="C1852" s="983"/>
      <c r="D1852" s="969"/>
      <c r="E1852" s="969"/>
    </row>
    <row r="1853" spans="2:5" ht="16.5" x14ac:dyDescent="0.2">
      <c r="B1853" s="982"/>
      <c r="C1853" s="985"/>
      <c r="D1853" s="969"/>
      <c r="E1853" s="969"/>
    </row>
    <row r="1854" spans="2:5" ht="16.5" x14ac:dyDescent="0.2">
      <c r="B1854" s="982"/>
      <c r="C1854" s="985"/>
      <c r="D1854" s="969"/>
      <c r="E1854" s="969"/>
    </row>
    <row r="1855" spans="2:5" ht="16.5" x14ac:dyDescent="0.2">
      <c r="B1855" s="982"/>
      <c r="C1855" s="985"/>
      <c r="D1855" s="969"/>
      <c r="E1855" s="969"/>
    </row>
    <row r="1856" spans="2:5" ht="16.5" x14ac:dyDescent="0.2">
      <c r="B1856" s="982"/>
      <c r="C1856" s="983"/>
      <c r="D1856" s="969"/>
      <c r="E1856" s="969"/>
    </row>
    <row r="1857" spans="2:5" ht="16.5" x14ac:dyDescent="0.2">
      <c r="B1857" s="982"/>
      <c r="C1857" s="985"/>
      <c r="D1857" s="969"/>
      <c r="E1857" s="969"/>
    </row>
    <row r="1858" spans="2:5" ht="16.5" x14ac:dyDescent="0.2">
      <c r="B1858" s="982"/>
      <c r="C1858" s="985"/>
      <c r="D1858" s="969"/>
      <c r="E1858" s="969"/>
    </row>
    <row r="1859" spans="2:5" ht="16.5" x14ac:dyDescent="0.2">
      <c r="B1859" s="982"/>
      <c r="C1859" s="985"/>
      <c r="D1859" s="969"/>
      <c r="E1859" s="969"/>
    </row>
    <row r="1860" spans="2:5" ht="16.5" x14ac:dyDescent="0.2">
      <c r="B1860" s="982"/>
      <c r="C1860" s="982"/>
      <c r="D1860" s="969"/>
      <c r="E1860" s="969"/>
    </row>
    <row r="1861" spans="2:5" ht="16.5" x14ac:dyDescent="0.2">
      <c r="B1861" s="982"/>
      <c r="C1861" s="983"/>
      <c r="D1861" s="969"/>
      <c r="E1861" s="969"/>
    </row>
    <row r="1862" spans="2:5" ht="16.5" x14ac:dyDescent="0.2">
      <c r="B1862" s="982"/>
      <c r="C1862" s="985"/>
      <c r="D1862" s="969"/>
      <c r="E1862" s="969"/>
    </row>
    <row r="1863" spans="2:5" ht="16.5" x14ac:dyDescent="0.2">
      <c r="B1863" s="982"/>
      <c r="C1863" s="985"/>
      <c r="D1863" s="969"/>
      <c r="E1863" s="969"/>
    </row>
    <row r="1864" spans="2:5" ht="16.5" x14ac:dyDescent="0.2">
      <c r="B1864" s="982"/>
      <c r="C1864" s="985"/>
      <c r="D1864" s="969"/>
      <c r="E1864" s="969"/>
    </row>
    <row r="1865" spans="2:5" ht="16.5" x14ac:dyDescent="0.2">
      <c r="B1865" s="982"/>
      <c r="C1865" s="982"/>
      <c r="D1865" s="969"/>
      <c r="E1865" s="969"/>
    </row>
    <row r="1866" spans="2:5" ht="16.5" x14ac:dyDescent="0.2">
      <c r="B1866" s="982"/>
      <c r="C1866" s="983"/>
      <c r="D1866" s="969"/>
      <c r="E1866" s="969"/>
    </row>
    <row r="1867" spans="2:5" ht="16.5" x14ac:dyDescent="0.2">
      <c r="B1867" s="982"/>
      <c r="C1867" s="985"/>
      <c r="D1867" s="969"/>
      <c r="E1867" s="969"/>
    </row>
    <row r="1868" spans="2:5" ht="16.5" x14ac:dyDescent="0.2">
      <c r="B1868" s="982"/>
      <c r="C1868" s="985"/>
      <c r="D1868" s="969"/>
      <c r="E1868" s="969"/>
    </row>
    <row r="1869" spans="2:5" ht="16.5" x14ac:dyDescent="0.2">
      <c r="B1869" s="982"/>
      <c r="C1869" s="985"/>
      <c r="D1869" s="969"/>
      <c r="E1869" s="969"/>
    </row>
    <row r="1870" spans="2:5" ht="16.5" x14ac:dyDescent="0.2">
      <c r="B1870" s="982"/>
      <c r="C1870" s="985"/>
      <c r="D1870" s="969"/>
      <c r="E1870" s="969"/>
    </row>
    <row r="1871" spans="2:5" ht="16.5" x14ac:dyDescent="0.2">
      <c r="B1871" s="982"/>
      <c r="C1871" s="985"/>
      <c r="D1871" s="969"/>
      <c r="E1871" s="969"/>
    </row>
    <row r="1872" spans="2:5" ht="16.5" x14ac:dyDescent="0.2">
      <c r="B1872" s="982"/>
      <c r="C1872" s="985"/>
      <c r="D1872" s="969"/>
      <c r="E1872" s="969"/>
    </row>
    <row r="1873" spans="2:5" ht="16.5" x14ac:dyDescent="0.2">
      <c r="B1873" s="982"/>
      <c r="C1873" s="985"/>
      <c r="D1873" s="969"/>
      <c r="E1873" s="969"/>
    </row>
    <row r="1874" spans="2:5" ht="16.5" x14ac:dyDescent="0.2">
      <c r="B1874" s="982"/>
      <c r="C1874" s="985"/>
      <c r="D1874" s="969"/>
      <c r="E1874" s="969"/>
    </row>
    <row r="1875" spans="2:5" ht="16.5" x14ac:dyDescent="0.2">
      <c r="B1875" s="982"/>
      <c r="C1875" s="985"/>
      <c r="D1875" s="969"/>
      <c r="E1875" s="969"/>
    </row>
    <row r="1876" spans="2:5" ht="16.5" x14ac:dyDescent="0.2">
      <c r="B1876" s="982"/>
      <c r="C1876" s="983"/>
      <c r="D1876" s="969"/>
      <c r="E1876" s="969"/>
    </row>
    <row r="1877" spans="2:5" ht="16.5" x14ac:dyDescent="0.2">
      <c r="B1877" s="982"/>
      <c r="C1877" s="985"/>
      <c r="D1877" s="969"/>
      <c r="E1877" s="969"/>
    </row>
    <row r="1878" spans="2:5" ht="16.5" x14ac:dyDescent="0.2">
      <c r="B1878" s="982"/>
      <c r="C1878" s="986"/>
      <c r="D1878" s="969"/>
      <c r="E1878" s="969"/>
    </row>
    <row r="1879" spans="2:5" ht="16.5" x14ac:dyDescent="0.2">
      <c r="B1879" s="982"/>
      <c r="C1879" s="986"/>
      <c r="D1879" s="969"/>
      <c r="E1879" s="969"/>
    </row>
    <row r="1880" spans="2:5" ht="16.5" x14ac:dyDescent="0.2">
      <c r="B1880" s="982"/>
      <c r="C1880" s="986"/>
      <c r="D1880" s="969"/>
      <c r="E1880" s="969"/>
    </row>
    <row r="1881" spans="2:5" ht="16.5" x14ac:dyDescent="0.2">
      <c r="B1881" s="982"/>
      <c r="C1881" s="985"/>
      <c r="D1881" s="969"/>
      <c r="E1881" s="969"/>
    </row>
    <row r="1882" spans="2:5" ht="16.5" x14ac:dyDescent="0.2">
      <c r="B1882" s="982"/>
      <c r="C1882" s="986"/>
      <c r="D1882" s="969"/>
      <c r="E1882" s="969"/>
    </row>
    <row r="1883" spans="2:5" ht="16.5" x14ac:dyDescent="0.2">
      <c r="B1883" s="982"/>
      <c r="C1883" s="986"/>
      <c r="D1883" s="969"/>
      <c r="E1883" s="969"/>
    </row>
    <row r="1884" spans="2:5" ht="16.5" x14ac:dyDescent="0.2">
      <c r="B1884" s="982"/>
      <c r="C1884" s="986"/>
      <c r="D1884" s="969"/>
      <c r="E1884" s="969"/>
    </row>
    <row r="1885" spans="2:5" ht="16.5" x14ac:dyDescent="0.2">
      <c r="B1885" s="982"/>
      <c r="C1885" s="986"/>
      <c r="D1885" s="969"/>
      <c r="E1885" s="969"/>
    </row>
    <row r="1886" spans="2:5" ht="16.5" x14ac:dyDescent="0.2">
      <c r="B1886" s="982"/>
      <c r="C1886" s="985"/>
      <c r="D1886" s="969"/>
      <c r="E1886" s="969"/>
    </row>
    <row r="1887" spans="2:5" ht="16.5" x14ac:dyDescent="0.2">
      <c r="B1887" s="982"/>
      <c r="C1887" s="986"/>
      <c r="D1887" s="969"/>
      <c r="E1887" s="969"/>
    </row>
    <row r="1888" spans="2:5" ht="16.5" x14ac:dyDescent="0.2">
      <c r="B1888" s="982"/>
      <c r="C1888" s="986"/>
      <c r="D1888" s="969"/>
      <c r="E1888" s="969"/>
    </row>
    <row r="1889" spans="2:5" ht="16.5" x14ac:dyDescent="0.2">
      <c r="B1889" s="982"/>
      <c r="C1889" s="986"/>
      <c r="D1889" s="969"/>
      <c r="E1889" s="969"/>
    </row>
    <row r="1890" spans="2:5" ht="16.5" x14ac:dyDescent="0.2">
      <c r="B1890" s="982"/>
      <c r="C1890" s="983"/>
      <c r="D1890" s="969"/>
      <c r="E1890" s="969"/>
    </row>
    <row r="1891" spans="2:5" ht="16.5" x14ac:dyDescent="0.2">
      <c r="B1891" s="982"/>
      <c r="C1891" s="985"/>
      <c r="D1891" s="969"/>
      <c r="E1891" s="969"/>
    </row>
    <row r="1892" spans="2:5" ht="16.5" x14ac:dyDescent="0.2">
      <c r="B1892" s="982"/>
      <c r="C1892" s="982"/>
      <c r="D1892" s="969"/>
      <c r="E1892" s="969"/>
    </row>
    <row r="1893" spans="2:5" ht="16.5" x14ac:dyDescent="0.2">
      <c r="B1893" s="982"/>
      <c r="C1893" s="985"/>
      <c r="D1893" s="969"/>
      <c r="E1893" s="969"/>
    </row>
    <row r="1894" spans="2:5" ht="16.5" x14ac:dyDescent="0.2">
      <c r="B1894" s="982"/>
      <c r="C1894" s="985"/>
      <c r="D1894" s="969"/>
      <c r="E1894" s="969"/>
    </row>
    <row r="1895" spans="2:5" ht="16.5" x14ac:dyDescent="0.2">
      <c r="B1895" s="982"/>
      <c r="C1895" s="985"/>
      <c r="D1895" s="969"/>
      <c r="E1895" s="969"/>
    </row>
    <row r="1896" spans="2:5" ht="16.5" x14ac:dyDescent="0.2">
      <c r="B1896" s="982"/>
      <c r="C1896" s="985"/>
      <c r="D1896" s="969"/>
      <c r="E1896" s="969"/>
    </row>
    <row r="1897" spans="2:5" ht="16.5" x14ac:dyDescent="0.2">
      <c r="B1897" s="982"/>
      <c r="C1897" s="985"/>
      <c r="D1897" s="969"/>
      <c r="E1897" s="969"/>
    </row>
    <row r="1898" spans="2:5" ht="16.5" x14ac:dyDescent="0.2">
      <c r="B1898" s="982"/>
      <c r="C1898" s="982"/>
      <c r="D1898" s="969"/>
      <c r="E1898" s="969"/>
    </row>
    <row r="1899" spans="2:5" ht="16.5" x14ac:dyDescent="0.2">
      <c r="B1899" s="982"/>
      <c r="C1899" s="985"/>
      <c r="D1899" s="969"/>
      <c r="E1899" s="969"/>
    </row>
    <row r="1900" spans="2:5" ht="16.5" x14ac:dyDescent="0.2">
      <c r="B1900" s="982"/>
      <c r="C1900" s="985"/>
      <c r="D1900" s="969"/>
      <c r="E1900" s="969"/>
    </row>
    <row r="1901" spans="2:5" ht="16.5" x14ac:dyDescent="0.2">
      <c r="B1901" s="982"/>
      <c r="C1901" s="985"/>
      <c r="D1901" s="969"/>
      <c r="E1901" s="969"/>
    </row>
    <row r="1902" spans="2:5" ht="16.5" x14ac:dyDescent="0.2">
      <c r="B1902" s="982"/>
      <c r="C1902" s="985"/>
      <c r="D1902" s="969"/>
      <c r="E1902" s="969"/>
    </row>
    <row r="1903" spans="2:5" ht="16.5" x14ac:dyDescent="0.2">
      <c r="B1903" s="982"/>
      <c r="C1903" s="985"/>
      <c r="D1903" s="969"/>
      <c r="E1903" s="969"/>
    </row>
    <row r="1904" spans="2:5" ht="16.5" x14ac:dyDescent="0.2">
      <c r="B1904" s="982"/>
      <c r="C1904" s="985"/>
      <c r="D1904" s="969"/>
      <c r="E1904" s="969"/>
    </row>
    <row r="1905" spans="2:5" ht="16.5" x14ac:dyDescent="0.2">
      <c r="B1905" s="982"/>
      <c r="C1905" s="985"/>
      <c r="D1905" s="969"/>
      <c r="E1905" s="969"/>
    </row>
    <row r="1906" spans="2:5" ht="16.5" x14ac:dyDescent="0.2">
      <c r="B1906" s="982"/>
      <c r="C1906" s="985"/>
      <c r="D1906" s="969"/>
      <c r="E1906" s="969"/>
    </row>
    <row r="1907" spans="2:5" ht="16.5" x14ac:dyDescent="0.2">
      <c r="B1907" s="982"/>
      <c r="C1907" s="982"/>
      <c r="D1907" s="969"/>
      <c r="E1907" s="969"/>
    </row>
    <row r="1908" spans="2:5" ht="16.5" x14ac:dyDescent="0.2">
      <c r="B1908" s="982"/>
      <c r="C1908" s="985"/>
      <c r="D1908" s="969"/>
      <c r="E1908" s="969"/>
    </row>
    <row r="1909" spans="2:5" ht="16.5" x14ac:dyDescent="0.2">
      <c r="B1909" s="982"/>
      <c r="C1909" s="985"/>
      <c r="D1909" s="969"/>
      <c r="E1909" s="969"/>
    </row>
    <row r="1910" spans="2:5" ht="16.5" x14ac:dyDescent="0.2">
      <c r="B1910" s="982"/>
      <c r="C1910" s="985"/>
      <c r="D1910" s="969"/>
      <c r="E1910" s="969"/>
    </row>
    <row r="1911" spans="2:5" ht="16.5" x14ac:dyDescent="0.2">
      <c r="B1911" s="982"/>
      <c r="C1911" s="982"/>
      <c r="D1911" s="969"/>
      <c r="E1911" s="969"/>
    </row>
    <row r="1912" spans="2:5" ht="16.5" x14ac:dyDescent="0.2">
      <c r="B1912" s="982"/>
      <c r="C1912" s="985"/>
      <c r="D1912" s="969"/>
      <c r="E1912" s="969"/>
    </row>
    <row r="1913" spans="2:5" ht="16.5" x14ac:dyDescent="0.2">
      <c r="B1913" s="982"/>
      <c r="C1913" s="985"/>
      <c r="D1913" s="969"/>
      <c r="E1913" s="969"/>
    </row>
    <row r="1914" spans="2:5" ht="16.5" x14ac:dyDescent="0.2">
      <c r="B1914" s="982"/>
      <c r="C1914" s="985"/>
      <c r="D1914" s="969"/>
      <c r="E1914" s="969"/>
    </row>
    <row r="1915" spans="2:5" ht="16.5" x14ac:dyDescent="0.2">
      <c r="B1915" s="982"/>
      <c r="C1915" s="982"/>
      <c r="D1915" s="969"/>
      <c r="E1915" s="969"/>
    </row>
    <row r="1916" spans="2:5" ht="16.5" x14ac:dyDescent="0.2">
      <c r="B1916" s="982"/>
      <c r="C1916" s="985"/>
      <c r="D1916" s="969"/>
      <c r="E1916" s="969"/>
    </row>
    <row r="1917" spans="2:5" ht="16.5" x14ac:dyDescent="0.2">
      <c r="B1917" s="982"/>
      <c r="C1917" s="985"/>
      <c r="D1917" s="969"/>
      <c r="E1917" s="969"/>
    </row>
    <row r="1918" spans="2:5" ht="16.5" x14ac:dyDescent="0.2">
      <c r="B1918" s="982"/>
      <c r="C1918" s="985"/>
      <c r="D1918" s="969"/>
      <c r="E1918" s="969"/>
    </row>
    <row r="1919" spans="2:5" ht="16.5" x14ac:dyDescent="0.2">
      <c r="B1919" s="982"/>
      <c r="C1919" s="985"/>
      <c r="D1919" s="969"/>
      <c r="E1919" s="969"/>
    </row>
    <row r="1920" spans="2:5" ht="16.5" x14ac:dyDescent="0.2">
      <c r="B1920" s="982"/>
      <c r="C1920" s="985"/>
      <c r="D1920" s="969"/>
      <c r="E1920" s="969"/>
    </row>
    <row r="1921" spans="2:5" ht="16.5" x14ac:dyDescent="0.2">
      <c r="B1921" s="982"/>
      <c r="C1921" s="985"/>
      <c r="D1921" s="969"/>
      <c r="E1921" s="969"/>
    </row>
    <row r="1922" spans="2:5" ht="16.5" x14ac:dyDescent="0.3">
      <c r="B1922" s="987"/>
      <c r="C1922" s="988"/>
      <c r="D1922" s="969"/>
      <c r="E1922" s="969"/>
    </row>
    <row r="1923" spans="2:5" ht="16.5" x14ac:dyDescent="0.2">
      <c r="B1923" s="971"/>
      <c r="C1923" s="982"/>
      <c r="D1923" s="969"/>
      <c r="E1923" s="969"/>
    </row>
    <row r="1924" spans="2:5" ht="16.5" x14ac:dyDescent="0.2">
      <c r="B1924" s="971"/>
      <c r="C1924" s="982"/>
      <c r="D1924" s="969"/>
      <c r="E1924" s="969"/>
    </row>
    <row r="1925" spans="2:5" ht="16.5" x14ac:dyDescent="0.2">
      <c r="B1925" s="971"/>
      <c r="C1925" s="982"/>
      <c r="D1925" s="969"/>
      <c r="E1925" s="969"/>
    </row>
    <row r="1926" spans="2:5" ht="16.5" x14ac:dyDescent="0.2">
      <c r="B1926" s="971"/>
      <c r="C1926" s="982"/>
      <c r="D1926" s="969"/>
      <c r="E1926" s="969"/>
    </row>
    <row r="1927" spans="2:5" ht="16.5" x14ac:dyDescent="0.2">
      <c r="B1927" s="989"/>
      <c r="C1927" s="990"/>
      <c r="D1927" s="969"/>
      <c r="E1927" s="969"/>
    </row>
    <row r="1928" spans="2:5" ht="16.5" x14ac:dyDescent="0.2">
      <c r="B1928" s="971"/>
      <c r="C1928" s="991"/>
      <c r="D1928" s="969"/>
      <c r="E1928" s="969"/>
    </row>
    <row r="1929" spans="2:5" ht="16.5" x14ac:dyDescent="0.2">
      <c r="B1929" s="982"/>
      <c r="C1929" s="983"/>
      <c r="D1929" s="969"/>
      <c r="E1929" s="969"/>
    </row>
    <row r="1930" spans="2:5" ht="16.5" x14ac:dyDescent="0.2">
      <c r="B1930" s="982"/>
      <c r="C1930" s="985"/>
      <c r="D1930" s="969"/>
      <c r="E1930" s="969"/>
    </row>
    <row r="1931" spans="2:5" ht="16.5" x14ac:dyDescent="0.2">
      <c r="B1931" s="982"/>
      <c r="C1931" s="985"/>
      <c r="D1931" s="969"/>
      <c r="E1931" s="969"/>
    </row>
    <row r="1932" spans="2:5" ht="16.5" x14ac:dyDescent="0.2">
      <c r="B1932" s="982"/>
      <c r="C1932" s="985"/>
      <c r="D1932" s="969"/>
      <c r="E1932" s="969"/>
    </row>
    <row r="1933" spans="2:5" ht="16.5" x14ac:dyDescent="0.2">
      <c r="B1933" s="982"/>
      <c r="C1933" s="985"/>
      <c r="D1933" s="969"/>
      <c r="E1933" s="969"/>
    </row>
    <row r="1934" spans="2:5" ht="16.5" x14ac:dyDescent="0.2">
      <c r="B1934" s="982"/>
      <c r="C1934" s="983"/>
      <c r="D1934" s="969"/>
      <c r="E1934" s="969"/>
    </row>
    <row r="1935" spans="2:5" ht="16.5" x14ac:dyDescent="0.2">
      <c r="B1935" s="982"/>
      <c r="C1935" s="982"/>
      <c r="D1935" s="969"/>
      <c r="E1935" s="969"/>
    </row>
    <row r="1936" spans="2:5" ht="16.5" x14ac:dyDescent="0.2">
      <c r="B1936" s="982"/>
      <c r="C1936" s="983"/>
      <c r="D1936" s="969"/>
      <c r="E1936" s="969"/>
    </row>
    <row r="1937" spans="2:5" ht="16.5" x14ac:dyDescent="0.2">
      <c r="B1937" s="982"/>
      <c r="C1937" s="985"/>
      <c r="D1937" s="969"/>
      <c r="E1937" s="969"/>
    </row>
    <row r="1938" spans="2:5" ht="16.5" x14ac:dyDescent="0.2">
      <c r="B1938" s="992"/>
      <c r="C1938" s="990"/>
      <c r="D1938" s="969"/>
      <c r="E1938" s="969"/>
    </row>
    <row r="1939" spans="2:5" ht="16.5" x14ac:dyDescent="0.2">
      <c r="B1939" s="982"/>
      <c r="C1939" s="991"/>
      <c r="D1939" s="969"/>
      <c r="E1939" s="969"/>
    </row>
    <row r="1940" spans="2:5" ht="16.5" x14ac:dyDescent="0.2">
      <c r="B1940" s="982"/>
      <c r="C1940" s="993"/>
      <c r="D1940" s="969"/>
      <c r="E1940" s="969"/>
    </row>
    <row r="1941" spans="2:5" ht="16.5" x14ac:dyDescent="0.2">
      <c r="B1941" s="982"/>
      <c r="C1941" s="994"/>
      <c r="D1941" s="969"/>
      <c r="E1941" s="969"/>
    </row>
    <row r="1942" spans="2:5" ht="16.5" x14ac:dyDescent="0.2">
      <c r="B1942" s="982"/>
      <c r="C1942" s="994"/>
      <c r="D1942" s="969"/>
      <c r="E1942" s="969"/>
    </row>
    <row r="1943" spans="2:5" ht="16.5" x14ac:dyDescent="0.2">
      <c r="B1943" s="982"/>
      <c r="C1943" s="994"/>
      <c r="D1943" s="969"/>
      <c r="E1943" s="969"/>
    </row>
    <row r="1944" spans="2:5" ht="16.5" x14ac:dyDescent="0.2">
      <c r="B1944" s="982"/>
      <c r="C1944" s="994"/>
      <c r="D1944" s="969"/>
      <c r="E1944" s="969"/>
    </row>
    <row r="1945" spans="2:5" ht="16.5" x14ac:dyDescent="0.2">
      <c r="B1945" s="982"/>
      <c r="C1945" s="985"/>
      <c r="D1945" s="969"/>
      <c r="E1945" s="969"/>
    </row>
    <row r="1946" spans="2:5" ht="16.5" x14ac:dyDescent="0.2">
      <c r="B1946" s="982"/>
      <c r="C1946" s="994"/>
      <c r="D1946" s="969"/>
      <c r="E1946" s="969"/>
    </row>
    <row r="1947" spans="2:5" ht="16.5" x14ac:dyDescent="0.2">
      <c r="B1947" s="982"/>
      <c r="C1947" s="994"/>
      <c r="D1947" s="969"/>
      <c r="E1947" s="969"/>
    </row>
    <row r="1948" spans="2:5" ht="16.5" x14ac:dyDescent="0.2">
      <c r="B1948" s="982"/>
      <c r="C1948" s="985"/>
      <c r="D1948" s="969"/>
      <c r="E1948" s="969"/>
    </row>
    <row r="1949" spans="2:5" ht="16.5" x14ac:dyDescent="0.2">
      <c r="B1949" s="982"/>
      <c r="C1949" s="983"/>
      <c r="D1949" s="969"/>
      <c r="E1949" s="969"/>
    </row>
    <row r="1950" spans="2:5" ht="16.5" x14ac:dyDescent="0.2">
      <c r="B1950" s="982"/>
      <c r="C1950" s="985"/>
      <c r="D1950" s="969"/>
      <c r="E1950" s="969"/>
    </row>
    <row r="1951" spans="2:5" ht="16.5" x14ac:dyDescent="0.2">
      <c r="B1951" s="982"/>
      <c r="C1951" s="994"/>
      <c r="D1951" s="969"/>
      <c r="E1951" s="969"/>
    </row>
    <row r="1952" spans="2:5" ht="16.5" x14ac:dyDescent="0.2">
      <c r="B1952" s="982"/>
      <c r="C1952" s="994"/>
      <c r="D1952" s="969"/>
      <c r="E1952" s="969"/>
    </row>
    <row r="1953" spans="2:5" ht="16.5" x14ac:dyDescent="0.2">
      <c r="B1953" s="982"/>
      <c r="C1953" s="994"/>
      <c r="D1953" s="969"/>
      <c r="E1953" s="969"/>
    </row>
    <row r="1954" spans="2:5" ht="16.5" x14ac:dyDescent="0.2">
      <c r="B1954" s="982"/>
      <c r="C1954" s="994"/>
      <c r="D1954" s="969"/>
      <c r="E1954" s="969"/>
    </row>
    <row r="1955" spans="2:5" ht="16.5" x14ac:dyDescent="0.2">
      <c r="B1955" s="982"/>
      <c r="C1955" s="994"/>
      <c r="D1955" s="969"/>
      <c r="E1955" s="969"/>
    </row>
    <row r="1956" spans="2:5" ht="16.5" x14ac:dyDescent="0.2">
      <c r="B1956" s="982"/>
      <c r="C1956" s="994"/>
      <c r="D1956" s="969"/>
      <c r="E1956" s="969"/>
    </row>
    <row r="1957" spans="2:5" ht="16.5" x14ac:dyDescent="0.2">
      <c r="B1957" s="982"/>
      <c r="C1957" s="994"/>
      <c r="D1957" s="969"/>
      <c r="E1957" s="969"/>
    </row>
    <row r="1958" spans="2:5" ht="16.5" x14ac:dyDescent="0.2">
      <c r="B1958" s="982"/>
      <c r="C1958" s="994"/>
      <c r="D1958" s="969"/>
      <c r="E1958" s="969"/>
    </row>
    <row r="1959" spans="2:5" ht="16.5" x14ac:dyDescent="0.2">
      <c r="B1959" s="982"/>
      <c r="C1959" s="994"/>
      <c r="D1959" s="969"/>
      <c r="E1959" s="969"/>
    </row>
    <row r="1960" spans="2:5" ht="16.5" x14ac:dyDescent="0.2">
      <c r="B1960" s="982"/>
      <c r="C1960" s="994"/>
      <c r="D1960" s="969"/>
      <c r="E1960" s="969"/>
    </row>
    <row r="1961" spans="2:5" ht="16.5" x14ac:dyDescent="0.2">
      <c r="B1961" s="982"/>
      <c r="C1961" s="983"/>
      <c r="D1961" s="969"/>
      <c r="E1961" s="969"/>
    </row>
    <row r="1962" spans="2:5" ht="16.5" x14ac:dyDescent="0.2">
      <c r="B1962" s="982"/>
      <c r="C1962" s="985"/>
      <c r="D1962" s="969"/>
      <c r="E1962" s="969"/>
    </row>
    <row r="1963" spans="2:5" ht="16.5" x14ac:dyDescent="0.2">
      <c r="B1963" s="982"/>
      <c r="C1963" s="994"/>
      <c r="D1963" s="969"/>
      <c r="E1963" s="969"/>
    </row>
    <row r="1964" spans="2:5" ht="16.5" x14ac:dyDescent="0.2">
      <c r="B1964" s="982"/>
      <c r="C1964" s="994"/>
      <c r="D1964" s="969"/>
      <c r="E1964" s="969"/>
    </row>
    <row r="1965" spans="2:5" ht="16.5" x14ac:dyDescent="0.2">
      <c r="B1965" s="982"/>
      <c r="C1965" s="994"/>
      <c r="D1965" s="969"/>
      <c r="E1965" s="969"/>
    </row>
    <row r="1966" spans="2:5" ht="16.5" x14ac:dyDescent="0.2">
      <c r="B1966" s="982"/>
      <c r="C1966" s="994"/>
      <c r="D1966" s="969"/>
      <c r="E1966" s="969"/>
    </row>
    <row r="1967" spans="2:5" ht="16.5" x14ac:dyDescent="0.2">
      <c r="B1967" s="982"/>
      <c r="C1967" s="994"/>
      <c r="D1967" s="969"/>
      <c r="E1967" s="969"/>
    </row>
    <row r="1968" spans="2:5" ht="16.5" x14ac:dyDescent="0.2">
      <c r="B1968" s="982"/>
      <c r="C1968" s="985"/>
      <c r="D1968" s="969"/>
      <c r="E1968" s="969"/>
    </row>
    <row r="1969" spans="2:5" ht="16.5" x14ac:dyDescent="0.2">
      <c r="B1969" s="982"/>
      <c r="C1969" s="982"/>
      <c r="D1969" s="969"/>
      <c r="E1969" s="969"/>
    </row>
    <row r="1970" spans="2:5" ht="16.5" x14ac:dyDescent="0.2">
      <c r="B1970" s="982"/>
      <c r="C1970" s="983"/>
      <c r="D1970" s="969"/>
      <c r="E1970" s="969"/>
    </row>
    <row r="1971" spans="2:5" ht="16.5" x14ac:dyDescent="0.2">
      <c r="B1971" s="982"/>
      <c r="C1971" s="985"/>
      <c r="D1971" s="969"/>
      <c r="E1971" s="969"/>
    </row>
    <row r="1972" spans="2:5" ht="16.5" x14ac:dyDescent="0.2">
      <c r="B1972" s="982"/>
      <c r="C1972" s="985"/>
      <c r="D1972" s="969"/>
      <c r="E1972" s="969"/>
    </row>
    <row r="1973" spans="2:5" ht="16.5" x14ac:dyDescent="0.2">
      <c r="B1973" s="982"/>
      <c r="C1973" s="985"/>
      <c r="D1973" s="969"/>
      <c r="E1973" s="969"/>
    </row>
    <row r="1974" spans="2:5" ht="16.5" x14ac:dyDescent="0.2">
      <c r="B1974" s="982"/>
      <c r="C1974" s="985"/>
      <c r="D1974" s="969"/>
      <c r="E1974" s="969"/>
    </row>
    <row r="1975" spans="2:5" ht="16.5" x14ac:dyDescent="0.2">
      <c r="B1975" s="982"/>
      <c r="C1975" s="985"/>
      <c r="D1975" s="969"/>
      <c r="E1975" s="969"/>
    </row>
    <row r="1976" spans="2:5" ht="16.5" x14ac:dyDescent="0.2">
      <c r="B1976" s="982"/>
      <c r="C1976" s="983"/>
      <c r="D1976" s="969"/>
      <c r="E1976" s="969"/>
    </row>
    <row r="1977" spans="2:5" ht="16.5" x14ac:dyDescent="0.2">
      <c r="B1977" s="982"/>
      <c r="C1977" s="985"/>
      <c r="D1977" s="969"/>
      <c r="E1977" s="969"/>
    </row>
    <row r="1978" spans="2:5" ht="16.5" x14ac:dyDescent="0.2">
      <c r="B1978" s="982"/>
      <c r="C1978" s="985"/>
      <c r="D1978" s="969"/>
      <c r="E1978" s="969"/>
    </row>
    <row r="1979" spans="2:5" ht="16.5" x14ac:dyDescent="0.2">
      <c r="B1979" s="982"/>
      <c r="C1979" s="985"/>
      <c r="D1979" s="969"/>
      <c r="E1979" s="969"/>
    </row>
    <row r="1980" spans="2:5" ht="16.5" x14ac:dyDescent="0.2">
      <c r="B1980" s="982"/>
      <c r="C1980" s="985"/>
      <c r="D1980" s="969"/>
      <c r="E1980" s="969"/>
    </row>
    <row r="1981" spans="2:5" ht="16.5" x14ac:dyDescent="0.2">
      <c r="B1981" s="982"/>
      <c r="C1981" s="985"/>
      <c r="D1981" s="969"/>
      <c r="E1981" s="969"/>
    </row>
    <row r="1982" spans="2:5" ht="16.5" x14ac:dyDescent="0.2">
      <c r="B1982" s="982"/>
      <c r="C1982" s="985"/>
      <c r="D1982" s="969"/>
      <c r="E1982" s="969"/>
    </row>
    <row r="1983" spans="2:5" ht="16.5" x14ac:dyDescent="0.2">
      <c r="B1983" s="982"/>
      <c r="C1983" s="985"/>
      <c r="D1983" s="969"/>
      <c r="E1983" s="969"/>
    </row>
    <row r="1984" spans="2:5" ht="16.5" x14ac:dyDescent="0.2">
      <c r="B1984" s="982"/>
      <c r="C1984" s="985"/>
      <c r="D1984" s="969"/>
      <c r="E1984" s="969"/>
    </row>
    <row r="1985" spans="2:5" ht="16.5" x14ac:dyDescent="0.2">
      <c r="B1985" s="982"/>
      <c r="C1985" s="985"/>
      <c r="D1985" s="969"/>
      <c r="E1985" s="969"/>
    </row>
    <row r="1986" spans="2:5" ht="16.5" x14ac:dyDescent="0.2">
      <c r="B1986" s="982"/>
      <c r="C1986" s="985"/>
      <c r="D1986" s="969"/>
      <c r="E1986" s="969"/>
    </row>
    <row r="1987" spans="2:5" ht="16.5" x14ac:dyDescent="0.2">
      <c r="B1987" s="982"/>
      <c r="C1987" s="985"/>
      <c r="D1987" s="969"/>
      <c r="E1987" s="969"/>
    </row>
    <row r="1988" spans="2:5" ht="16.5" x14ac:dyDescent="0.2">
      <c r="B1988" s="982"/>
      <c r="C1988" s="985"/>
      <c r="D1988" s="969"/>
      <c r="E1988" s="969"/>
    </row>
    <row r="1989" spans="2:5" ht="16.5" x14ac:dyDescent="0.2">
      <c r="B1989" s="982"/>
      <c r="C1989" s="985"/>
      <c r="D1989" s="969"/>
      <c r="E1989" s="969"/>
    </row>
    <row r="1990" spans="2:5" ht="16.5" x14ac:dyDescent="0.2">
      <c r="B1990" s="982"/>
      <c r="C1990" s="985"/>
      <c r="D1990" s="969"/>
      <c r="E1990" s="969"/>
    </row>
    <row r="1991" spans="2:5" ht="16.5" x14ac:dyDescent="0.2">
      <c r="B1991" s="982"/>
      <c r="C1991" s="985"/>
      <c r="D1991" s="969"/>
      <c r="E1991" s="969"/>
    </row>
    <row r="1992" spans="2:5" ht="16.5" x14ac:dyDescent="0.2">
      <c r="B1992" s="982"/>
      <c r="C1992" s="985"/>
      <c r="D1992" s="969"/>
      <c r="E1992" s="969"/>
    </row>
    <row r="1993" spans="2:5" ht="16.5" x14ac:dyDescent="0.2">
      <c r="B1993" s="982"/>
      <c r="C1993" s="985"/>
      <c r="D1993" s="969"/>
      <c r="E1993" s="969"/>
    </row>
    <row r="1994" spans="2:5" ht="16.5" x14ac:dyDescent="0.2">
      <c r="B1994" s="982"/>
      <c r="C1994" s="985"/>
      <c r="D1994" s="969"/>
      <c r="E1994" s="969"/>
    </row>
    <row r="1995" spans="2:5" ht="16.5" x14ac:dyDescent="0.2">
      <c r="B1995" s="982"/>
      <c r="C1995" s="985"/>
      <c r="D1995" s="969"/>
      <c r="E1995" s="969"/>
    </row>
    <row r="1996" spans="2:5" ht="16.5" x14ac:dyDescent="0.2">
      <c r="B1996" s="982"/>
      <c r="C1996" s="985"/>
      <c r="D1996" s="969"/>
      <c r="E1996" s="969"/>
    </row>
    <row r="1997" spans="2:5" ht="16.5" x14ac:dyDescent="0.2">
      <c r="B1997" s="982"/>
      <c r="C1997" s="985"/>
      <c r="D1997" s="969"/>
      <c r="E1997" s="969"/>
    </row>
    <row r="1998" spans="2:5" ht="16.5" x14ac:dyDescent="0.2">
      <c r="B1998" s="982"/>
      <c r="C1998" s="985"/>
      <c r="D1998" s="969"/>
      <c r="E1998" s="969"/>
    </row>
    <row r="1999" spans="2:5" ht="16.5" x14ac:dyDescent="0.2">
      <c r="B1999" s="982"/>
      <c r="C1999" s="985"/>
      <c r="D1999" s="969"/>
      <c r="E1999" s="969"/>
    </row>
    <row r="2000" spans="2:5" ht="16.5" x14ac:dyDescent="0.2">
      <c r="B2000" s="982"/>
      <c r="C2000" s="985"/>
      <c r="D2000" s="969"/>
      <c r="E2000" s="969"/>
    </row>
    <row r="2001" spans="2:5" ht="16.5" x14ac:dyDescent="0.2">
      <c r="B2001" s="982"/>
      <c r="C2001" s="985"/>
      <c r="D2001" s="969"/>
      <c r="E2001" s="969"/>
    </row>
    <row r="2002" spans="2:5" ht="16.5" x14ac:dyDescent="0.2">
      <c r="B2002" s="982"/>
      <c r="C2002" s="985"/>
      <c r="D2002" s="969"/>
      <c r="E2002" s="969"/>
    </row>
    <row r="2003" spans="2:5" ht="16.5" x14ac:dyDescent="0.2">
      <c r="B2003" s="982"/>
      <c r="C2003" s="985"/>
      <c r="D2003" s="969"/>
      <c r="E2003" s="969"/>
    </row>
    <row r="2004" spans="2:5" ht="16.5" x14ac:dyDescent="0.2">
      <c r="B2004" s="982"/>
      <c r="C2004" s="985"/>
      <c r="D2004" s="969"/>
      <c r="E2004" s="969"/>
    </row>
    <row r="2005" spans="2:5" ht="16.5" x14ac:dyDescent="0.2">
      <c r="B2005" s="982"/>
      <c r="C2005" s="985"/>
      <c r="D2005" s="969"/>
      <c r="E2005" s="969"/>
    </row>
    <row r="2006" spans="2:5" ht="16.5" x14ac:dyDescent="0.2">
      <c r="B2006" s="982"/>
      <c r="C2006" s="985"/>
      <c r="D2006" s="969"/>
      <c r="E2006" s="969"/>
    </row>
    <row r="2007" spans="2:5" ht="16.5" x14ac:dyDescent="0.2">
      <c r="B2007" s="982"/>
      <c r="C2007" s="985"/>
      <c r="D2007" s="969"/>
      <c r="E2007" s="969"/>
    </row>
    <row r="2008" spans="2:5" ht="16.5" x14ac:dyDescent="0.2">
      <c r="B2008" s="982"/>
      <c r="C2008" s="985"/>
      <c r="D2008" s="969"/>
      <c r="E2008" s="969"/>
    </row>
    <row r="2009" spans="2:5" ht="16.5" x14ac:dyDescent="0.2">
      <c r="B2009" s="982"/>
      <c r="C2009" s="985"/>
      <c r="D2009" s="969"/>
      <c r="E2009" s="969"/>
    </row>
    <row r="2010" spans="2:5" ht="16.5" x14ac:dyDescent="0.2">
      <c r="B2010" s="982"/>
      <c r="C2010" s="985"/>
      <c r="D2010" s="969"/>
      <c r="E2010" s="969"/>
    </row>
    <row r="2011" spans="2:5" ht="16.5" x14ac:dyDescent="0.2">
      <c r="B2011" s="982"/>
      <c r="C2011" s="985"/>
      <c r="D2011" s="969"/>
      <c r="E2011" s="969"/>
    </row>
    <row r="2012" spans="2:5" ht="16.5" x14ac:dyDescent="0.2">
      <c r="B2012" s="982"/>
      <c r="C2012" s="985"/>
      <c r="D2012" s="969"/>
      <c r="E2012" s="969"/>
    </row>
    <row r="2013" spans="2:5" ht="16.5" x14ac:dyDescent="0.2">
      <c r="B2013" s="982"/>
      <c r="C2013" s="985"/>
      <c r="D2013" s="969"/>
      <c r="E2013" s="969"/>
    </row>
    <row r="2014" spans="2:5" ht="16.5" x14ac:dyDescent="0.2">
      <c r="B2014" s="982"/>
      <c r="C2014" s="985"/>
      <c r="D2014" s="969"/>
      <c r="E2014" s="969"/>
    </row>
    <row r="2015" spans="2:5" ht="16.5" x14ac:dyDescent="0.2">
      <c r="B2015" s="982"/>
      <c r="C2015" s="985"/>
      <c r="D2015" s="969"/>
      <c r="E2015" s="969"/>
    </row>
    <row r="2016" spans="2:5" ht="16.5" x14ac:dyDescent="0.2">
      <c r="B2016" s="982"/>
      <c r="C2016" s="985"/>
      <c r="D2016" s="969"/>
      <c r="E2016" s="969"/>
    </row>
    <row r="2017" spans="2:5" ht="16.5" x14ac:dyDescent="0.2">
      <c r="B2017" s="982"/>
      <c r="C2017" s="985"/>
      <c r="D2017" s="969"/>
      <c r="E2017" s="969"/>
    </row>
    <row r="2018" spans="2:5" ht="16.5" x14ac:dyDescent="0.2">
      <c r="B2018" s="982"/>
      <c r="C2018" s="985"/>
      <c r="D2018" s="969"/>
      <c r="E2018" s="969"/>
    </row>
    <row r="2019" spans="2:5" ht="16.5" x14ac:dyDescent="0.2">
      <c r="B2019" s="982"/>
      <c r="C2019" s="985"/>
      <c r="D2019" s="969"/>
      <c r="E2019" s="969"/>
    </row>
    <row r="2020" spans="2:5" ht="16.5" x14ac:dyDescent="0.2">
      <c r="B2020" s="982"/>
      <c r="C2020" s="985"/>
      <c r="D2020" s="969"/>
      <c r="E2020" s="969"/>
    </row>
    <row r="2021" spans="2:5" ht="16.5" x14ac:dyDescent="0.2">
      <c r="B2021" s="982"/>
      <c r="C2021" s="985"/>
      <c r="D2021" s="969"/>
      <c r="E2021" s="969"/>
    </row>
    <row r="2022" spans="2:5" ht="16.5" x14ac:dyDescent="0.2">
      <c r="B2022" s="982"/>
      <c r="C2022" s="985"/>
      <c r="D2022" s="969"/>
      <c r="E2022" s="969"/>
    </row>
    <row r="2023" spans="2:5" ht="16.5" x14ac:dyDescent="0.2">
      <c r="B2023" s="982"/>
      <c r="C2023" s="985"/>
      <c r="D2023" s="969"/>
      <c r="E2023" s="969"/>
    </row>
    <row r="2024" spans="2:5" ht="16.5" x14ac:dyDescent="0.2">
      <c r="B2024" s="982"/>
      <c r="C2024" s="985"/>
      <c r="D2024" s="969"/>
      <c r="E2024" s="969"/>
    </row>
    <row r="2025" spans="2:5" ht="16.5" x14ac:dyDescent="0.2">
      <c r="B2025" s="982"/>
      <c r="C2025" s="985"/>
      <c r="D2025" s="969"/>
      <c r="E2025" s="969"/>
    </row>
    <row r="2026" spans="2:5" ht="16.5" x14ac:dyDescent="0.2">
      <c r="B2026" s="982"/>
      <c r="C2026" s="985"/>
      <c r="D2026" s="969"/>
      <c r="E2026" s="969"/>
    </row>
    <row r="2027" spans="2:5" ht="16.5" x14ac:dyDescent="0.2">
      <c r="B2027" s="982"/>
      <c r="C2027" s="985"/>
      <c r="D2027" s="969"/>
      <c r="E2027" s="969"/>
    </row>
    <row r="2028" spans="2:5" ht="16.5" x14ac:dyDescent="0.2">
      <c r="B2028" s="982"/>
      <c r="C2028" s="985"/>
      <c r="D2028" s="969"/>
      <c r="E2028" s="969"/>
    </row>
    <row r="2029" spans="2:5" ht="16.5" x14ac:dyDescent="0.2">
      <c r="B2029" s="982"/>
      <c r="C2029" s="985"/>
      <c r="D2029" s="969"/>
      <c r="E2029" s="969"/>
    </row>
    <row r="2030" spans="2:5" ht="16.5" x14ac:dyDescent="0.2">
      <c r="B2030" s="982"/>
      <c r="C2030" s="985"/>
      <c r="D2030" s="969"/>
      <c r="E2030" s="969"/>
    </row>
    <row r="2031" spans="2:5" ht="16.5" x14ac:dyDescent="0.2">
      <c r="B2031" s="982"/>
      <c r="C2031" s="985"/>
      <c r="D2031" s="969"/>
      <c r="E2031" s="969"/>
    </row>
    <row r="2032" spans="2:5" ht="16.5" x14ac:dyDescent="0.2">
      <c r="B2032" s="982"/>
      <c r="C2032" s="985"/>
      <c r="D2032" s="969"/>
      <c r="E2032" s="969"/>
    </row>
    <row r="2033" spans="2:5" ht="16.5" x14ac:dyDescent="0.2">
      <c r="B2033" s="982"/>
      <c r="C2033" s="985"/>
      <c r="D2033" s="969"/>
      <c r="E2033" s="969"/>
    </row>
    <row r="2034" spans="2:5" ht="16.5" x14ac:dyDescent="0.2">
      <c r="B2034" s="982"/>
      <c r="C2034" s="985"/>
      <c r="D2034" s="969"/>
      <c r="E2034" s="969"/>
    </row>
    <row r="2035" spans="2:5" ht="16.5" x14ac:dyDescent="0.2">
      <c r="B2035" s="982"/>
      <c r="C2035" s="985"/>
      <c r="D2035" s="969"/>
      <c r="E2035" s="969"/>
    </row>
    <row r="2036" spans="2:5" ht="16.5" x14ac:dyDescent="0.2">
      <c r="B2036" s="982"/>
      <c r="C2036" s="985"/>
      <c r="D2036" s="969"/>
      <c r="E2036" s="969"/>
    </row>
    <row r="2037" spans="2:5" ht="16.5" x14ac:dyDescent="0.2">
      <c r="B2037" s="982"/>
      <c r="C2037" s="985"/>
      <c r="D2037" s="969"/>
      <c r="E2037" s="969"/>
    </row>
    <row r="2038" spans="2:5" ht="16.5" x14ac:dyDescent="0.2">
      <c r="B2038" s="982"/>
      <c r="C2038" s="985"/>
      <c r="D2038" s="969"/>
      <c r="E2038" s="969"/>
    </row>
    <row r="2039" spans="2:5" ht="16.5" x14ac:dyDescent="0.2">
      <c r="B2039" s="982"/>
      <c r="C2039" s="983"/>
      <c r="D2039" s="969"/>
      <c r="E2039" s="969"/>
    </row>
    <row r="2040" spans="2:5" ht="16.5" x14ac:dyDescent="0.2">
      <c r="B2040" s="982"/>
      <c r="C2040" s="985"/>
      <c r="D2040" s="969"/>
      <c r="E2040" s="969"/>
    </row>
    <row r="2041" spans="2:5" ht="16.5" x14ac:dyDescent="0.2">
      <c r="B2041" s="982"/>
      <c r="C2041" s="985"/>
      <c r="D2041" s="969"/>
      <c r="E2041" s="969"/>
    </row>
    <row r="2042" spans="2:5" ht="16.5" x14ac:dyDescent="0.2">
      <c r="B2042" s="982"/>
      <c r="C2042" s="985"/>
      <c r="D2042" s="969"/>
      <c r="E2042" s="969"/>
    </row>
    <row r="2043" spans="2:5" ht="16.5" x14ac:dyDescent="0.2">
      <c r="B2043" s="982"/>
      <c r="C2043" s="983"/>
      <c r="D2043" s="969"/>
      <c r="E2043" s="969"/>
    </row>
    <row r="2044" spans="2:5" ht="16.5" x14ac:dyDescent="0.2">
      <c r="B2044" s="982"/>
      <c r="C2044" s="985"/>
      <c r="D2044" s="969"/>
      <c r="E2044" s="969"/>
    </row>
    <row r="2045" spans="2:5" ht="16.5" x14ac:dyDescent="0.2">
      <c r="B2045" s="982"/>
      <c r="C2045" s="985"/>
      <c r="D2045" s="969"/>
      <c r="E2045" s="969"/>
    </row>
    <row r="2046" spans="2:5" ht="16.5" x14ac:dyDescent="0.2">
      <c r="B2046" s="982"/>
      <c r="C2046" s="985"/>
      <c r="D2046" s="969"/>
      <c r="E2046" s="969"/>
    </row>
    <row r="2047" spans="2:5" ht="16.5" x14ac:dyDescent="0.2">
      <c r="B2047" s="982"/>
      <c r="C2047" s="985"/>
      <c r="D2047" s="969"/>
      <c r="E2047" s="969"/>
    </row>
    <row r="2048" spans="2:5" ht="16.5" x14ac:dyDescent="0.2">
      <c r="B2048" s="982"/>
      <c r="C2048" s="985"/>
      <c r="D2048" s="969"/>
      <c r="E2048" s="969"/>
    </row>
    <row r="2049" spans="2:5" ht="16.5" x14ac:dyDescent="0.2">
      <c r="B2049" s="982"/>
      <c r="C2049" s="985"/>
      <c r="D2049" s="969"/>
      <c r="E2049" s="969"/>
    </row>
    <row r="2050" spans="2:5" ht="16.5" x14ac:dyDescent="0.2">
      <c r="B2050" s="982"/>
      <c r="C2050" s="985"/>
      <c r="D2050" s="969"/>
      <c r="E2050" s="969"/>
    </row>
    <row r="2051" spans="2:5" ht="16.5" x14ac:dyDescent="0.2">
      <c r="B2051" s="982"/>
      <c r="C2051" s="985"/>
      <c r="D2051" s="969"/>
      <c r="E2051" s="969"/>
    </row>
    <row r="2052" spans="2:5" ht="16.5" x14ac:dyDescent="0.2">
      <c r="B2052" s="982"/>
      <c r="C2052" s="985"/>
      <c r="D2052" s="969"/>
      <c r="E2052" s="969"/>
    </row>
    <row r="2053" spans="2:5" ht="16.5" x14ac:dyDescent="0.2">
      <c r="B2053" s="982"/>
      <c r="C2053" s="985"/>
      <c r="D2053" s="969"/>
      <c r="E2053" s="969"/>
    </row>
    <row r="2054" spans="2:5" ht="16.5" x14ac:dyDescent="0.2">
      <c r="B2054" s="982"/>
      <c r="C2054" s="985"/>
      <c r="D2054" s="969"/>
      <c r="E2054" s="969"/>
    </row>
    <row r="2055" spans="2:5" ht="16.5" x14ac:dyDescent="0.2">
      <c r="B2055" s="982"/>
      <c r="C2055" s="985"/>
      <c r="D2055" s="969"/>
      <c r="E2055" s="969"/>
    </row>
    <row r="2056" spans="2:5" ht="16.5" x14ac:dyDescent="0.2">
      <c r="B2056" s="982"/>
      <c r="C2056" s="985"/>
      <c r="D2056" s="969"/>
      <c r="E2056" s="969"/>
    </row>
    <row r="2057" spans="2:5" ht="16.5" x14ac:dyDescent="0.2">
      <c r="B2057" s="982"/>
      <c r="C2057" s="985"/>
      <c r="D2057" s="969"/>
      <c r="E2057" s="969"/>
    </row>
    <row r="2058" spans="2:5" ht="16.5" x14ac:dyDescent="0.2">
      <c r="B2058" s="982"/>
      <c r="C2058" s="985"/>
      <c r="D2058" s="969"/>
      <c r="E2058" s="969"/>
    </row>
    <row r="2059" spans="2:5" ht="16.5" x14ac:dyDescent="0.2">
      <c r="B2059" s="982"/>
      <c r="C2059" s="985"/>
      <c r="D2059" s="969"/>
      <c r="E2059" s="969"/>
    </row>
    <row r="2060" spans="2:5" ht="16.5" x14ac:dyDescent="0.2">
      <c r="B2060" s="982"/>
      <c r="C2060" s="985"/>
      <c r="D2060" s="969"/>
      <c r="E2060" s="969"/>
    </row>
    <row r="2061" spans="2:5" ht="16.5" x14ac:dyDescent="0.2">
      <c r="B2061" s="982"/>
      <c r="C2061" s="985"/>
      <c r="D2061" s="969"/>
      <c r="E2061" s="969"/>
    </row>
    <row r="2062" spans="2:5" ht="16.5" x14ac:dyDescent="0.2">
      <c r="B2062" s="982"/>
      <c r="C2062" s="985"/>
      <c r="D2062" s="969"/>
      <c r="E2062" s="969"/>
    </row>
    <row r="2063" spans="2:5" ht="16.5" x14ac:dyDescent="0.2">
      <c r="B2063" s="982"/>
      <c r="C2063" s="985"/>
      <c r="D2063" s="969"/>
      <c r="E2063" s="969"/>
    </row>
    <row r="2064" spans="2:5" ht="16.5" x14ac:dyDescent="0.2">
      <c r="B2064" s="982"/>
      <c r="C2064" s="985"/>
      <c r="D2064" s="969"/>
      <c r="E2064" s="969"/>
    </row>
    <row r="2065" spans="2:5" ht="16.5" x14ac:dyDescent="0.2">
      <c r="B2065" s="982"/>
      <c r="C2065" s="985"/>
      <c r="D2065" s="969"/>
      <c r="E2065" s="969"/>
    </row>
    <row r="2066" spans="2:5" ht="16.5" x14ac:dyDescent="0.2">
      <c r="B2066" s="982"/>
      <c r="C2066" s="985"/>
      <c r="D2066" s="969"/>
      <c r="E2066" s="969"/>
    </row>
    <row r="2067" spans="2:5" ht="16.5" x14ac:dyDescent="0.2">
      <c r="B2067" s="982"/>
      <c r="C2067" s="985"/>
      <c r="D2067" s="969"/>
      <c r="E2067" s="969"/>
    </row>
    <row r="2068" spans="2:5" ht="16.5" x14ac:dyDescent="0.2">
      <c r="B2068" s="982"/>
      <c r="C2068" s="985"/>
      <c r="D2068" s="969"/>
      <c r="E2068" s="969"/>
    </row>
    <row r="2069" spans="2:5" ht="16.5" x14ac:dyDescent="0.2">
      <c r="B2069" s="982"/>
      <c r="C2069" s="985"/>
      <c r="D2069" s="969"/>
      <c r="E2069" s="969"/>
    </row>
    <row r="2070" spans="2:5" ht="16.5" x14ac:dyDescent="0.2">
      <c r="B2070" s="982"/>
      <c r="C2070" s="985"/>
      <c r="D2070" s="969"/>
      <c r="E2070" s="969"/>
    </row>
    <row r="2071" spans="2:5" ht="16.5" x14ac:dyDescent="0.2">
      <c r="B2071" s="982"/>
      <c r="C2071" s="985"/>
      <c r="D2071" s="969"/>
      <c r="E2071" s="969"/>
    </row>
    <row r="2072" spans="2:5" ht="16.5" x14ac:dyDescent="0.2">
      <c r="B2072" s="982"/>
      <c r="C2072" s="985"/>
      <c r="D2072" s="969"/>
      <c r="E2072" s="969"/>
    </row>
    <row r="2073" spans="2:5" ht="16.5" x14ac:dyDescent="0.2">
      <c r="B2073" s="982"/>
      <c r="C2073" s="985"/>
      <c r="D2073" s="969"/>
      <c r="E2073" s="969"/>
    </row>
    <row r="2074" spans="2:5" ht="16.5" x14ac:dyDescent="0.2">
      <c r="B2074" s="982"/>
      <c r="C2074" s="985"/>
      <c r="D2074" s="969"/>
      <c r="E2074" s="969"/>
    </row>
    <row r="2075" spans="2:5" ht="16.5" x14ac:dyDescent="0.2">
      <c r="B2075" s="982"/>
      <c r="C2075" s="985"/>
      <c r="D2075" s="969"/>
      <c r="E2075" s="969"/>
    </row>
    <row r="2076" spans="2:5" ht="16.5" x14ac:dyDescent="0.2">
      <c r="B2076" s="982"/>
      <c r="C2076" s="985"/>
      <c r="D2076" s="969"/>
      <c r="E2076" s="969"/>
    </row>
    <row r="2077" spans="2:5" ht="16.5" x14ac:dyDescent="0.2">
      <c r="B2077" s="982"/>
      <c r="C2077" s="985"/>
      <c r="D2077" s="969"/>
      <c r="E2077" s="969"/>
    </row>
    <row r="2078" spans="2:5" ht="16.5" x14ac:dyDescent="0.2">
      <c r="B2078" s="982"/>
      <c r="C2078" s="985"/>
      <c r="D2078" s="969"/>
      <c r="E2078" s="969"/>
    </row>
    <row r="2079" spans="2:5" ht="16.5" x14ac:dyDescent="0.2">
      <c r="B2079" s="982"/>
      <c r="C2079" s="985"/>
      <c r="D2079" s="969"/>
      <c r="E2079" s="969"/>
    </row>
    <row r="2080" spans="2:5" ht="16.5" x14ac:dyDescent="0.2">
      <c r="B2080" s="982"/>
      <c r="C2080" s="985"/>
      <c r="D2080" s="969"/>
      <c r="E2080" s="969"/>
    </row>
    <row r="2081" spans="2:5" ht="16.5" x14ac:dyDescent="0.2">
      <c r="B2081" s="982"/>
      <c r="C2081" s="985"/>
      <c r="D2081" s="969"/>
      <c r="E2081" s="969"/>
    </row>
    <row r="2082" spans="2:5" ht="16.5" x14ac:dyDescent="0.2">
      <c r="B2082" s="982"/>
      <c r="C2082" s="985"/>
      <c r="D2082" s="969"/>
      <c r="E2082" s="969"/>
    </row>
    <row r="2083" spans="2:5" ht="16.5" x14ac:dyDescent="0.2">
      <c r="B2083" s="982"/>
      <c r="C2083" s="985"/>
      <c r="D2083" s="969"/>
      <c r="E2083" s="969"/>
    </row>
    <row r="2084" spans="2:5" ht="16.5" x14ac:dyDescent="0.2">
      <c r="B2084" s="982"/>
      <c r="C2084" s="982"/>
      <c r="D2084" s="969"/>
      <c r="E2084" s="969"/>
    </row>
    <row r="2085" spans="2:5" ht="16.5" x14ac:dyDescent="0.2">
      <c r="B2085" s="982"/>
      <c r="C2085" s="983"/>
      <c r="D2085" s="969"/>
      <c r="E2085" s="969"/>
    </row>
    <row r="2086" spans="2:5" ht="16.5" x14ac:dyDescent="0.2">
      <c r="B2086" s="982"/>
      <c r="C2086" s="985"/>
      <c r="D2086" s="969"/>
      <c r="E2086" s="969"/>
    </row>
    <row r="2087" spans="2:5" ht="16.5" x14ac:dyDescent="0.2">
      <c r="B2087" s="982"/>
      <c r="C2087" s="985"/>
      <c r="D2087" s="969"/>
      <c r="E2087" s="969"/>
    </row>
    <row r="2088" spans="2:5" ht="16.5" x14ac:dyDescent="0.2">
      <c r="B2088" s="982"/>
      <c r="C2088" s="985"/>
      <c r="D2088" s="969"/>
      <c r="E2088" s="969"/>
    </row>
    <row r="2089" spans="2:5" ht="16.5" x14ac:dyDescent="0.2">
      <c r="B2089" s="982"/>
      <c r="C2089" s="985"/>
      <c r="D2089" s="969"/>
      <c r="E2089" s="969"/>
    </row>
    <row r="2090" spans="2:5" ht="16.5" x14ac:dyDescent="0.2">
      <c r="B2090" s="982"/>
      <c r="C2090" s="985"/>
      <c r="D2090" s="969"/>
      <c r="E2090" s="969"/>
    </row>
    <row r="2091" spans="2:5" ht="16.5" x14ac:dyDescent="0.2">
      <c r="B2091" s="982"/>
      <c r="C2091" s="985"/>
      <c r="D2091" s="969"/>
      <c r="E2091" s="969"/>
    </row>
    <row r="2092" spans="2:5" ht="16.5" x14ac:dyDescent="0.2">
      <c r="B2092" s="982"/>
      <c r="C2092" s="985"/>
      <c r="D2092" s="969"/>
      <c r="E2092" s="969"/>
    </row>
    <row r="2093" spans="2:5" ht="16.5" x14ac:dyDescent="0.2">
      <c r="B2093" s="982"/>
      <c r="C2093" s="985"/>
      <c r="D2093" s="969"/>
      <c r="E2093" s="969"/>
    </row>
    <row r="2094" spans="2:5" ht="16.5" x14ac:dyDescent="0.2">
      <c r="B2094" s="982"/>
      <c r="C2094" s="985"/>
      <c r="D2094" s="969"/>
      <c r="E2094" s="969"/>
    </row>
    <row r="2095" spans="2:5" ht="16.5" x14ac:dyDescent="0.2">
      <c r="B2095" s="982"/>
      <c r="C2095" s="985"/>
      <c r="D2095" s="969"/>
      <c r="E2095" s="969"/>
    </row>
    <row r="2096" spans="2:5" ht="16.5" x14ac:dyDescent="0.2">
      <c r="B2096" s="982"/>
      <c r="C2096" s="985"/>
      <c r="D2096" s="969"/>
      <c r="E2096" s="969"/>
    </row>
    <row r="2097" spans="2:5" ht="16.5" x14ac:dyDescent="0.2">
      <c r="B2097" s="982"/>
      <c r="C2097" s="985"/>
      <c r="D2097" s="969"/>
      <c r="E2097" s="969"/>
    </row>
    <row r="2098" spans="2:5" ht="16.5" x14ac:dyDescent="0.2">
      <c r="B2098" s="982"/>
      <c r="C2098" s="985"/>
      <c r="D2098" s="969"/>
      <c r="E2098" s="969"/>
    </row>
    <row r="2099" spans="2:5" ht="16.5" x14ac:dyDescent="0.2">
      <c r="B2099" s="982"/>
      <c r="C2099" s="985"/>
      <c r="D2099" s="969"/>
      <c r="E2099" s="969"/>
    </row>
    <row r="2100" spans="2:5" ht="16.5" x14ac:dyDescent="0.2">
      <c r="B2100" s="982"/>
      <c r="C2100" s="985"/>
      <c r="D2100" s="969"/>
      <c r="E2100" s="969"/>
    </row>
    <row r="2101" spans="2:5" ht="16.5" x14ac:dyDescent="0.2">
      <c r="B2101" s="982"/>
      <c r="C2101" s="985"/>
      <c r="D2101" s="969"/>
      <c r="E2101" s="969"/>
    </row>
    <row r="2102" spans="2:5" ht="16.5" x14ac:dyDescent="0.2">
      <c r="B2102" s="982"/>
      <c r="C2102" s="985"/>
      <c r="D2102" s="969"/>
      <c r="E2102" s="969"/>
    </row>
    <row r="2103" spans="2:5" ht="16.5" x14ac:dyDescent="0.2">
      <c r="B2103" s="982"/>
      <c r="C2103" s="983"/>
      <c r="D2103" s="969"/>
      <c r="E2103" s="969"/>
    </row>
    <row r="2104" spans="2:5" ht="16.5" x14ac:dyDescent="0.2">
      <c r="B2104" s="982"/>
      <c r="C2104" s="985"/>
      <c r="D2104" s="969"/>
      <c r="E2104" s="969"/>
    </row>
    <row r="2105" spans="2:5" ht="16.5" x14ac:dyDescent="0.2">
      <c r="B2105" s="982"/>
      <c r="C2105" s="985"/>
      <c r="D2105" s="969"/>
      <c r="E2105" s="969"/>
    </row>
    <row r="2106" spans="2:5" ht="16.5" x14ac:dyDescent="0.2">
      <c r="B2106" s="982"/>
      <c r="C2106" s="983"/>
      <c r="D2106" s="969"/>
      <c r="E2106" s="969"/>
    </row>
    <row r="2107" spans="2:5" ht="16.5" x14ac:dyDescent="0.2">
      <c r="B2107" s="982"/>
      <c r="C2107" s="985"/>
      <c r="D2107" s="969"/>
      <c r="E2107" s="969"/>
    </row>
    <row r="2108" spans="2:5" ht="16.5" x14ac:dyDescent="0.2">
      <c r="B2108" s="982"/>
      <c r="C2108" s="985"/>
      <c r="D2108" s="969"/>
      <c r="E2108" s="969"/>
    </row>
    <row r="2109" spans="2:5" ht="16.5" x14ac:dyDescent="0.2">
      <c r="B2109" s="982"/>
      <c r="C2109" s="983"/>
      <c r="D2109" s="969"/>
      <c r="E2109" s="969"/>
    </row>
    <row r="2110" spans="2:5" ht="16.5" x14ac:dyDescent="0.2">
      <c r="B2110" s="982"/>
      <c r="C2110" s="985"/>
      <c r="D2110" s="969"/>
      <c r="E2110" s="969"/>
    </row>
    <row r="2111" spans="2:5" ht="16.5" x14ac:dyDescent="0.2">
      <c r="B2111" s="982"/>
      <c r="C2111" s="985"/>
      <c r="D2111" s="969"/>
      <c r="E2111" s="969"/>
    </row>
    <row r="2112" spans="2:5" ht="16.5" x14ac:dyDescent="0.2">
      <c r="B2112" s="982"/>
      <c r="C2112" s="983"/>
      <c r="D2112" s="969"/>
      <c r="E2112" s="969"/>
    </row>
    <row r="2113" spans="2:5" ht="16.5" x14ac:dyDescent="0.2">
      <c r="B2113" s="982"/>
      <c r="C2113" s="985"/>
      <c r="D2113" s="969"/>
      <c r="E2113" s="969"/>
    </row>
    <row r="2114" spans="2:5" ht="16.5" x14ac:dyDescent="0.2">
      <c r="B2114" s="982"/>
      <c r="C2114" s="985"/>
      <c r="D2114" s="969"/>
      <c r="E2114" s="969"/>
    </row>
    <row r="2115" spans="2:5" ht="16.5" x14ac:dyDescent="0.2">
      <c r="B2115" s="982"/>
      <c r="C2115" s="985"/>
      <c r="D2115" s="969"/>
      <c r="E2115" s="969"/>
    </row>
    <row r="2116" spans="2:5" ht="16.5" x14ac:dyDescent="0.2">
      <c r="B2116" s="982"/>
      <c r="C2116" s="985"/>
      <c r="D2116" s="969"/>
      <c r="E2116" s="969"/>
    </row>
    <row r="2117" spans="2:5" ht="16.5" x14ac:dyDescent="0.2">
      <c r="B2117" s="982"/>
      <c r="C2117" s="983"/>
      <c r="D2117" s="969"/>
      <c r="E2117" s="969"/>
    </row>
    <row r="2118" spans="2:5" ht="16.5" x14ac:dyDescent="0.2">
      <c r="B2118" s="982"/>
      <c r="C2118" s="985"/>
      <c r="D2118" s="969"/>
      <c r="E2118" s="969"/>
    </row>
    <row r="2119" spans="2:5" ht="16.5" x14ac:dyDescent="0.2">
      <c r="B2119" s="982"/>
      <c r="C2119" s="985"/>
      <c r="D2119" s="969"/>
      <c r="E2119" s="969"/>
    </row>
    <row r="2120" spans="2:5" ht="16.5" x14ac:dyDescent="0.2">
      <c r="B2120" s="982"/>
      <c r="C2120" s="985"/>
      <c r="D2120" s="969"/>
      <c r="E2120" s="969"/>
    </row>
    <row r="2121" spans="2:5" ht="16.5" x14ac:dyDescent="0.2">
      <c r="B2121" s="982"/>
      <c r="C2121" s="985"/>
      <c r="D2121" s="969"/>
      <c r="E2121" s="969"/>
    </row>
    <row r="2122" spans="2:5" ht="16.5" x14ac:dyDescent="0.2">
      <c r="B2122" s="982"/>
      <c r="C2122" s="985"/>
      <c r="D2122" s="969"/>
      <c r="E2122" s="969"/>
    </row>
    <row r="2123" spans="2:5" ht="16.5" x14ac:dyDescent="0.2">
      <c r="B2123" s="982"/>
      <c r="C2123" s="985"/>
      <c r="D2123" s="969"/>
      <c r="E2123" s="969"/>
    </row>
    <row r="2124" spans="2:5" ht="16.5" x14ac:dyDescent="0.2">
      <c r="B2124" s="982"/>
      <c r="C2124" s="985"/>
      <c r="D2124" s="969"/>
      <c r="E2124" s="969"/>
    </row>
    <row r="2125" spans="2:5" ht="16.5" x14ac:dyDescent="0.2">
      <c r="B2125" s="982"/>
      <c r="C2125" s="985"/>
      <c r="D2125" s="969"/>
      <c r="E2125" s="969"/>
    </row>
    <row r="2126" spans="2:5" ht="16.5" x14ac:dyDescent="0.2">
      <c r="B2126" s="982"/>
      <c r="C2126" s="985"/>
      <c r="D2126" s="969"/>
      <c r="E2126" s="969"/>
    </row>
    <row r="2127" spans="2:5" ht="16.5" x14ac:dyDescent="0.2">
      <c r="B2127" s="982"/>
      <c r="C2127" s="985"/>
      <c r="D2127" s="969"/>
      <c r="E2127" s="969"/>
    </row>
    <row r="2128" spans="2:5" ht="16.5" x14ac:dyDescent="0.2">
      <c r="B2128" s="982"/>
      <c r="C2128" s="985"/>
      <c r="D2128" s="969"/>
      <c r="E2128" s="969"/>
    </row>
    <row r="2129" spans="2:5" ht="16.5" x14ac:dyDescent="0.2">
      <c r="B2129" s="982"/>
      <c r="C2129" s="982"/>
      <c r="D2129" s="969"/>
      <c r="E2129" s="969"/>
    </row>
    <row r="2130" spans="2:5" ht="16.5" x14ac:dyDescent="0.2">
      <c r="B2130" s="982"/>
      <c r="C2130" s="983"/>
      <c r="D2130" s="969"/>
      <c r="E2130" s="969"/>
    </row>
    <row r="2131" spans="2:5" ht="16.5" x14ac:dyDescent="0.2">
      <c r="B2131" s="982"/>
      <c r="C2131" s="985"/>
      <c r="D2131" s="969"/>
      <c r="E2131" s="969"/>
    </row>
    <row r="2132" spans="2:5" ht="16.5" x14ac:dyDescent="0.2">
      <c r="B2132" s="982"/>
      <c r="C2132" s="985"/>
      <c r="D2132" s="969"/>
      <c r="E2132" s="969"/>
    </row>
    <row r="2133" spans="2:5" ht="16.5" x14ac:dyDescent="0.2">
      <c r="B2133" s="982"/>
      <c r="C2133" s="985"/>
      <c r="D2133" s="969"/>
      <c r="E2133" s="969"/>
    </row>
    <row r="2134" spans="2:5" ht="16.5" x14ac:dyDescent="0.2">
      <c r="B2134" s="982"/>
      <c r="C2134" s="983"/>
      <c r="D2134" s="969"/>
      <c r="E2134" s="969"/>
    </row>
    <row r="2135" spans="2:5" ht="16.5" x14ac:dyDescent="0.2">
      <c r="B2135" s="982"/>
      <c r="C2135" s="985"/>
      <c r="D2135" s="969"/>
      <c r="E2135" s="969"/>
    </row>
    <row r="2136" spans="2:5" ht="16.5" x14ac:dyDescent="0.2">
      <c r="B2136" s="982"/>
      <c r="C2136" s="985"/>
      <c r="D2136" s="969"/>
      <c r="E2136" s="969"/>
    </row>
    <row r="2137" spans="2:5" ht="16.5" x14ac:dyDescent="0.2">
      <c r="B2137" s="982"/>
      <c r="C2137" s="985"/>
      <c r="D2137" s="969"/>
      <c r="E2137" s="969"/>
    </row>
    <row r="2138" spans="2:5" ht="16.5" x14ac:dyDescent="0.2">
      <c r="B2138" s="982"/>
      <c r="C2138" s="985"/>
      <c r="D2138" s="969"/>
      <c r="E2138" s="969"/>
    </row>
    <row r="2139" spans="2:5" ht="16.5" x14ac:dyDescent="0.2">
      <c r="B2139" s="982"/>
      <c r="C2139" s="985"/>
      <c r="D2139" s="969"/>
      <c r="E2139" s="969"/>
    </row>
    <row r="2140" spans="2:5" ht="16.5" x14ac:dyDescent="0.2">
      <c r="B2140" s="982"/>
      <c r="C2140" s="985"/>
      <c r="D2140" s="969"/>
      <c r="E2140" s="969"/>
    </row>
    <row r="2141" spans="2:5" ht="16.5" x14ac:dyDescent="0.2">
      <c r="B2141" s="982"/>
      <c r="C2141" s="985"/>
      <c r="D2141" s="969"/>
      <c r="E2141" s="969"/>
    </row>
    <row r="2142" spans="2:5" ht="16.5" x14ac:dyDescent="0.2">
      <c r="B2142" s="982"/>
      <c r="C2142" s="985"/>
      <c r="D2142" s="969"/>
      <c r="E2142" s="969"/>
    </row>
    <row r="2143" spans="2:5" ht="16.5" x14ac:dyDescent="0.2">
      <c r="B2143" s="982"/>
      <c r="C2143" s="985"/>
      <c r="D2143" s="969"/>
      <c r="E2143" s="969"/>
    </row>
    <row r="2144" spans="2:5" ht="16.5" x14ac:dyDescent="0.2">
      <c r="B2144" s="982"/>
      <c r="C2144" s="985"/>
      <c r="D2144" s="969"/>
      <c r="E2144" s="969"/>
    </row>
    <row r="2145" spans="2:5" ht="16.5" x14ac:dyDescent="0.2">
      <c r="B2145" s="982"/>
      <c r="C2145" s="985"/>
      <c r="D2145" s="969"/>
      <c r="E2145" s="969"/>
    </row>
    <row r="2146" spans="2:5" ht="16.5" x14ac:dyDescent="0.2">
      <c r="B2146" s="982"/>
      <c r="C2146" s="982"/>
      <c r="D2146" s="969"/>
      <c r="E2146" s="969"/>
    </row>
    <row r="2147" spans="2:5" ht="16.5" x14ac:dyDescent="0.2">
      <c r="B2147" s="982"/>
      <c r="C2147" s="983"/>
      <c r="D2147" s="969"/>
      <c r="E2147" s="969"/>
    </row>
    <row r="2148" spans="2:5" ht="16.5" x14ac:dyDescent="0.2">
      <c r="B2148" s="982"/>
      <c r="C2148" s="985"/>
      <c r="D2148" s="969"/>
      <c r="E2148" s="969"/>
    </row>
    <row r="2149" spans="2:5" ht="16.5" x14ac:dyDescent="0.2">
      <c r="B2149" s="982"/>
      <c r="C2149" s="985"/>
      <c r="D2149" s="969"/>
      <c r="E2149" s="969"/>
    </row>
    <row r="2150" spans="2:5" ht="16.5" x14ac:dyDescent="0.2">
      <c r="B2150" s="982"/>
      <c r="C2150" s="985"/>
      <c r="D2150" s="969"/>
      <c r="E2150" s="969"/>
    </row>
    <row r="2151" spans="2:5" ht="16.5" x14ac:dyDescent="0.2">
      <c r="B2151" s="982"/>
      <c r="C2151" s="985"/>
      <c r="D2151" s="969"/>
      <c r="E2151" s="969"/>
    </row>
    <row r="2152" spans="2:5" ht="16.5" x14ac:dyDescent="0.2">
      <c r="B2152" s="982"/>
      <c r="C2152" s="985"/>
      <c r="D2152" s="969"/>
      <c r="E2152" s="969"/>
    </row>
    <row r="2153" spans="2:5" ht="16.5" x14ac:dyDescent="0.2">
      <c r="B2153" s="982"/>
      <c r="C2153" s="985"/>
      <c r="D2153" s="969"/>
      <c r="E2153" s="969"/>
    </row>
    <row r="2154" spans="2:5" ht="16.5" x14ac:dyDescent="0.2">
      <c r="B2154" s="982"/>
      <c r="C2154" s="985"/>
      <c r="D2154" s="969"/>
      <c r="E2154" s="969"/>
    </row>
    <row r="2155" spans="2:5" ht="16.5" x14ac:dyDescent="0.2">
      <c r="B2155" s="982"/>
      <c r="C2155" s="985"/>
      <c r="D2155" s="969"/>
      <c r="E2155" s="969"/>
    </row>
    <row r="2156" spans="2:5" ht="16.5" x14ac:dyDescent="0.2">
      <c r="B2156" s="982"/>
      <c r="C2156" s="985"/>
      <c r="D2156" s="969"/>
      <c r="E2156" s="969"/>
    </row>
    <row r="2157" spans="2:5" ht="16.5" x14ac:dyDescent="0.2">
      <c r="B2157" s="982"/>
      <c r="C2157" s="985"/>
      <c r="D2157" s="969"/>
      <c r="E2157" s="969"/>
    </row>
    <row r="2158" spans="2:5" ht="16.5" x14ac:dyDescent="0.2">
      <c r="B2158" s="982"/>
      <c r="C2158" s="985"/>
      <c r="D2158" s="969"/>
      <c r="E2158" s="969"/>
    </row>
    <row r="2159" spans="2:5" ht="16.5" x14ac:dyDescent="0.2">
      <c r="B2159" s="982"/>
      <c r="C2159" s="985"/>
      <c r="D2159" s="969"/>
      <c r="E2159" s="969"/>
    </row>
    <row r="2160" spans="2:5" ht="16.5" x14ac:dyDescent="0.2">
      <c r="B2160" s="982"/>
      <c r="C2160" s="985"/>
      <c r="D2160" s="969"/>
      <c r="E2160" s="969"/>
    </row>
    <row r="2161" spans="2:5" ht="16.5" x14ac:dyDescent="0.2">
      <c r="B2161" s="982"/>
      <c r="C2161" s="985"/>
      <c r="D2161" s="969"/>
      <c r="E2161" s="969"/>
    </row>
    <row r="2162" spans="2:5" ht="16.5" x14ac:dyDescent="0.2">
      <c r="B2162" s="982"/>
      <c r="C2162" s="985"/>
      <c r="D2162" s="969"/>
      <c r="E2162" s="969"/>
    </row>
    <row r="2163" spans="2:5" ht="16.5" x14ac:dyDescent="0.2">
      <c r="B2163" s="982"/>
      <c r="C2163" s="985"/>
      <c r="D2163" s="969"/>
      <c r="E2163" s="969"/>
    </row>
    <row r="2164" spans="2:5" ht="16.5" x14ac:dyDescent="0.2">
      <c r="B2164" s="982"/>
      <c r="C2164" s="985"/>
      <c r="D2164" s="969"/>
      <c r="E2164" s="969"/>
    </row>
    <row r="2165" spans="2:5" ht="16.5" x14ac:dyDescent="0.2">
      <c r="B2165" s="982"/>
      <c r="C2165" s="985"/>
      <c r="D2165" s="969"/>
      <c r="E2165" s="969"/>
    </row>
    <row r="2166" spans="2:5" ht="16.5" x14ac:dyDescent="0.2">
      <c r="B2166" s="982"/>
      <c r="C2166" s="985"/>
      <c r="D2166" s="969"/>
      <c r="E2166" s="969"/>
    </row>
    <row r="2167" spans="2:5" ht="16.5" x14ac:dyDescent="0.2">
      <c r="B2167" s="982"/>
      <c r="C2167" s="985"/>
      <c r="D2167" s="969"/>
      <c r="E2167" s="969"/>
    </row>
    <row r="2168" spans="2:5" ht="16.5" x14ac:dyDescent="0.2">
      <c r="B2168" s="982"/>
      <c r="C2168" s="985"/>
      <c r="D2168" s="969"/>
      <c r="E2168" s="969"/>
    </row>
    <row r="2169" spans="2:5" ht="16.5" x14ac:dyDescent="0.2">
      <c r="B2169" s="982"/>
      <c r="C2169" s="985"/>
      <c r="D2169" s="969"/>
      <c r="E2169" s="969"/>
    </row>
    <row r="2170" spans="2:5" ht="16.5" x14ac:dyDescent="0.2">
      <c r="B2170" s="982"/>
      <c r="C2170" s="985"/>
      <c r="D2170" s="969"/>
      <c r="E2170" s="969"/>
    </row>
    <row r="2171" spans="2:5" ht="16.5" x14ac:dyDescent="0.2">
      <c r="B2171" s="982"/>
      <c r="C2171" s="985"/>
      <c r="D2171" s="969"/>
      <c r="E2171" s="969"/>
    </row>
    <row r="2172" spans="2:5" ht="16.5" x14ac:dyDescent="0.2">
      <c r="B2172" s="982"/>
      <c r="C2172" s="985"/>
      <c r="D2172" s="969"/>
      <c r="E2172" s="969"/>
    </row>
    <row r="2173" spans="2:5" ht="16.5" x14ac:dyDescent="0.2">
      <c r="B2173" s="982"/>
      <c r="C2173" s="985"/>
      <c r="D2173" s="969"/>
      <c r="E2173" s="969"/>
    </row>
    <row r="2174" spans="2:5" ht="16.5" x14ac:dyDescent="0.2">
      <c r="B2174" s="982"/>
      <c r="C2174" s="985"/>
      <c r="D2174" s="969"/>
      <c r="E2174" s="969"/>
    </row>
    <row r="2175" spans="2:5" ht="16.5" x14ac:dyDescent="0.2">
      <c r="B2175" s="982"/>
      <c r="C2175" s="985"/>
      <c r="D2175" s="969"/>
      <c r="E2175" s="969"/>
    </row>
    <row r="2176" spans="2:5" ht="16.5" x14ac:dyDescent="0.2">
      <c r="B2176" s="982"/>
      <c r="C2176" s="985"/>
      <c r="D2176" s="969"/>
      <c r="E2176" s="969"/>
    </row>
    <row r="2177" spans="2:5" ht="16.5" x14ac:dyDescent="0.2">
      <c r="B2177" s="982"/>
      <c r="C2177" s="985"/>
      <c r="D2177" s="969"/>
      <c r="E2177" s="969"/>
    </row>
    <row r="2178" spans="2:5" ht="16.5" x14ac:dyDescent="0.2">
      <c r="B2178" s="982"/>
      <c r="C2178" s="985"/>
      <c r="D2178" s="969"/>
      <c r="E2178" s="969"/>
    </row>
    <row r="2179" spans="2:5" ht="16.5" x14ac:dyDescent="0.2">
      <c r="B2179" s="982"/>
      <c r="C2179" s="985"/>
      <c r="D2179" s="969"/>
      <c r="E2179" s="969"/>
    </row>
    <row r="2180" spans="2:5" ht="16.5" x14ac:dyDescent="0.2">
      <c r="B2180" s="982"/>
      <c r="C2180" s="985"/>
      <c r="D2180" s="969"/>
      <c r="E2180" s="969"/>
    </row>
    <row r="2181" spans="2:5" ht="16.5" x14ac:dyDescent="0.2">
      <c r="B2181" s="982"/>
      <c r="C2181" s="985"/>
      <c r="D2181" s="969"/>
      <c r="E2181" s="969"/>
    </row>
    <row r="2182" spans="2:5" ht="16.5" x14ac:dyDescent="0.2">
      <c r="B2182" s="982"/>
      <c r="C2182" s="985"/>
      <c r="D2182" s="969"/>
      <c r="E2182" s="969"/>
    </row>
    <row r="2183" spans="2:5" ht="16.5" x14ac:dyDescent="0.2">
      <c r="B2183" s="982"/>
      <c r="C2183" s="982"/>
      <c r="D2183" s="969"/>
      <c r="E2183" s="969"/>
    </row>
    <row r="2184" spans="2:5" ht="16.5" x14ac:dyDescent="0.2">
      <c r="B2184" s="982"/>
      <c r="C2184" s="983"/>
      <c r="D2184" s="969"/>
      <c r="E2184" s="969"/>
    </row>
    <row r="2185" spans="2:5" ht="16.5" x14ac:dyDescent="0.2">
      <c r="B2185" s="982"/>
      <c r="C2185" s="985"/>
      <c r="D2185" s="969"/>
      <c r="E2185" s="969"/>
    </row>
    <row r="2186" spans="2:5" ht="16.5" x14ac:dyDescent="0.2">
      <c r="B2186" s="982"/>
      <c r="C2186" s="985"/>
      <c r="D2186" s="969"/>
      <c r="E2186" s="969"/>
    </row>
    <row r="2187" spans="2:5" ht="16.5" x14ac:dyDescent="0.2">
      <c r="B2187" s="982"/>
      <c r="C2187" s="985"/>
      <c r="D2187" s="969"/>
      <c r="E2187" s="969"/>
    </row>
    <row r="2188" spans="2:5" ht="16.5" x14ac:dyDescent="0.2">
      <c r="B2188" s="982"/>
      <c r="C2188" s="985"/>
      <c r="D2188" s="969"/>
      <c r="E2188" s="969"/>
    </row>
    <row r="2189" spans="2:5" ht="16.5" x14ac:dyDescent="0.2">
      <c r="B2189" s="982"/>
      <c r="C2189" s="985"/>
      <c r="D2189" s="969"/>
      <c r="E2189" s="969"/>
    </row>
    <row r="2190" spans="2:5" ht="16.5" x14ac:dyDescent="0.2">
      <c r="B2190" s="982"/>
      <c r="C2190" s="985"/>
      <c r="D2190" s="969"/>
      <c r="E2190" s="969"/>
    </row>
    <row r="2191" spans="2:5" ht="16.5" x14ac:dyDescent="0.2">
      <c r="B2191" s="982"/>
      <c r="C2191" s="985"/>
      <c r="D2191" s="969"/>
      <c r="E2191" s="969"/>
    </row>
    <row r="2192" spans="2:5" ht="16.5" x14ac:dyDescent="0.2">
      <c r="B2192" s="982"/>
      <c r="C2192" s="985"/>
      <c r="D2192" s="969"/>
      <c r="E2192" s="969"/>
    </row>
    <row r="2193" spans="2:5" ht="16.5" x14ac:dyDescent="0.2">
      <c r="B2193" s="982"/>
      <c r="C2193" s="985"/>
      <c r="D2193" s="969"/>
      <c r="E2193" s="969"/>
    </row>
    <row r="2194" spans="2:5" ht="16.5" x14ac:dyDescent="0.2">
      <c r="B2194" s="982"/>
      <c r="C2194" s="983"/>
      <c r="D2194" s="969"/>
      <c r="E2194" s="969"/>
    </row>
    <row r="2195" spans="2:5" ht="16.5" x14ac:dyDescent="0.2">
      <c r="B2195" s="982"/>
      <c r="C2195" s="985"/>
      <c r="D2195" s="969"/>
      <c r="E2195" s="969"/>
    </row>
    <row r="2196" spans="2:5" ht="16.5" x14ac:dyDescent="0.2">
      <c r="B2196" s="982"/>
      <c r="C2196" s="985"/>
      <c r="D2196" s="969"/>
      <c r="E2196" s="969"/>
    </row>
    <row r="2197" spans="2:5" ht="16.5" x14ac:dyDescent="0.2">
      <c r="B2197" s="982"/>
      <c r="C2197" s="985"/>
      <c r="D2197" s="969"/>
      <c r="E2197" s="969"/>
    </row>
    <row r="2198" spans="2:5" ht="16.5" x14ac:dyDescent="0.2">
      <c r="B2198" s="982"/>
      <c r="C2198" s="985"/>
      <c r="D2198" s="969"/>
      <c r="E2198" s="969"/>
    </row>
    <row r="2199" spans="2:5" ht="16.5" x14ac:dyDescent="0.2">
      <c r="B2199" s="982"/>
      <c r="C2199" s="985"/>
      <c r="D2199" s="969"/>
      <c r="E2199" s="969"/>
    </row>
    <row r="2200" spans="2:5" ht="16.5" x14ac:dyDescent="0.2">
      <c r="B2200" s="982"/>
      <c r="C2200" s="985"/>
      <c r="D2200" s="969"/>
      <c r="E2200" s="969"/>
    </row>
    <row r="2201" spans="2:5" ht="16.5" x14ac:dyDescent="0.2">
      <c r="B2201" s="982"/>
      <c r="C2201" s="983"/>
      <c r="D2201" s="969"/>
      <c r="E2201" s="969"/>
    </row>
    <row r="2202" spans="2:5" ht="16.5" x14ac:dyDescent="0.2">
      <c r="B2202" s="982"/>
      <c r="C2202" s="985"/>
      <c r="D2202" s="969"/>
      <c r="E2202" s="969"/>
    </row>
    <row r="2203" spans="2:5" ht="16.5" x14ac:dyDescent="0.2">
      <c r="B2203" s="982"/>
      <c r="C2203" s="985"/>
      <c r="D2203" s="969"/>
      <c r="E2203" s="969"/>
    </row>
    <row r="2204" spans="2:5" ht="16.5" x14ac:dyDescent="0.2">
      <c r="B2204" s="982"/>
      <c r="C2204" s="985"/>
      <c r="D2204" s="969"/>
      <c r="E2204" s="969"/>
    </row>
    <row r="2205" spans="2:5" ht="16.5" x14ac:dyDescent="0.2">
      <c r="B2205" s="982"/>
      <c r="C2205" s="982"/>
      <c r="D2205" s="969"/>
      <c r="E2205" s="969"/>
    </row>
    <row r="2206" spans="2:5" ht="16.5" x14ac:dyDescent="0.2">
      <c r="B2206" s="982"/>
      <c r="C2206" s="983"/>
      <c r="D2206" s="969"/>
      <c r="E2206" s="969"/>
    </row>
    <row r="2207" spans="2:5" ht="16.5" x14ac:dyDescent="0.2">
      <c r="B2207" s="982"/>
      <c r="C2207" s="985"/>
      <c r="D2207" s="969"/>
      <c r="E2207" s="969"/>
    </row>
    <row r="2208" spans="2:5" ht="16.5" x14ac:dyDescent="0.2">
      <c r="B2208" s="982"/>
      <c r="C2208" s="983"/>
      <c r="D2208" s="969"/>
      <c r="E2208" s="969"/>
    </row>
    <row r="2209" spans="2:5" ht="16.5" x14ac:dyDescent="0.2">
      <c r="B2209" s="982"/>
      <c r="C2209" s="985"/>
      <c r="D2209" s="969"/>
      <c r="E2209" s="969"/>
    </row>
    <row r="2210" spans="2:5" ht="16.5" x14ac:dyDescent="0.2">
      <c r="B2210" s="982"/>
      <c r="C2210" s="985"/>
      <c r="D2210" s="969"/>
      <c r="E2210" s="969"/>
    </row>
    <row r="2211" spans="2:5" ht="16.5" x14ac:dyDescent="0.2">
      <c r="B2211" s="982"/>
      <c r="C2211" s="985"/>
      <c r="D2211" s="969"/>
      <c r="E2211" s="969"/>
    </row>
    <row r="2212" spans="2:5" ht="16.5" x14ac:dyDescent="0.2">
      <c r="B2212" s="982"/>
      <c r="C2212" s="985"/>
      <c r="D2212" s="969"/>
      <c r="E2212" s="969"/>
    </row>
    <row r="2213" spans="2:5" ht="16.5" x14ac:dyDescent="0.2">
      <c r="B2213" s="982"/>
      <c r="C2213" s="985"/>
      <c r="D2213" s="969"/>
      <c r="E2213" s="969"/>
    </row>
    <row r="2214" spans="2:5" ht="16.5" x14ac:dyDescent="0.2">
      <c r="B2214" s="982"/>
      <c r="C2214" s="985"/>
      <c r="D2214" s="969"/>
      <c r="E2214" s="969"/>
    </row>
    <row r="2215" spans="2:5" ht="16.5" x14ac:dyDescent="0.2">
      <c r="B2215" s="982"/>
      <c r="C2215" s="985"/>
      <c r="D2215" s="969"/>
      <c r="E2215" s="969"/>
    </row>
    <row r="2216" spans="2:5" ht="16.5" x14ac:dyDescent="0.2">
      <c r="B2216" s="982"/>
      <c r="C2216" s="985"/>
      <c r="D2216" s="969"/>
      <c r="E2216" s="969"/>
    </row>
    <row r="2217" spans="2:5" ht="16.5" x14ac:dyDescent="0.2">
      <c r="B2217" s="982"/>
      <c r="C2217" s="985"/>
      <c r="D2217" s="969"/>
      <c r="E2217" s="969"/>
    </row>
    <row r="2218" spans="2:5" ht="16.5" x14ac:dyDescent="0.2">
      <c r="B2218" s="982"/>
      <c r="C2218" s="985"/>
      <c r="D2218" s="969"/>
      <c r="E2218" s="969"/>
    </row>
    <row r="2219" spans="2:5" ht="16.5" x14ac:dyDescent="0.2">
      <c r="B2219" s="982"/>
      <c r="C2219" s="985"/>
      <c r="D2219" s="969"/>
      <c r="E2219" s="969"/>
    </row>
    <row r="2220" spans="2:5" ht="16.5" x14ac:dyDescent="0.2">
      <c r="B2220" s="982"/>
      <c r="C2220" s="983"/>
      <c r="D2220" s="969"/>
      <c r="E2220" s="969"/>
    </row>
    <row r="2221" spans="2:5" ht="16.5" x14ac:dyDescent="0.2">
      <c r="B2221" s="982"/>
      <c r="C2221" s="985"/>
      <c r="D2221" s="969"/>
      <c r="E2221" s="969"/>
    </row>
    <row r="2222" spans="2:5" ht="16.5" x14ac:dyDescent="0.2">
      <c r="B2222" s="982"/>
      <c r="C2222" s="985"/>
      <c r="D2222" s="969"/>
      <c r="E2222" s="969"/>
    </row>
    <row r="2223" spans="2:5" ht="16.5" x14ac:dyDescent="0.2">
      <c r="B2223" s="982"/>
      <c r="C2223" s="985"/>
      <c r="D2223" s="969"/>
      <c r="E2223" s="969"/>
    </row>
    <row r="2224" spans="2:5" ht="16.5" x14ac:dyDescent="0.2">
      <c r="B2224" s="982"/>
      <c r="C2224" s="985"/>
      <c r="D2224" s="969"/>
      <c r="E2224" s="969"/>
    </row>
    <row r="2225" spans="2:5" ht="16.5" x14ac:dyDescent="0.2">
      <c r="B2225" s="982"/>
      <c r="C2225" s="985"/>
      <c r="D2225" s="969"/>
      <c r="E2225" s="969"/>
    </row>
    <row r="2226" spans="2:5" ht="16.5" x14ac:dyDescent="0.2">
      <c r="B2226" s="982"/>
      <c r="C2226" s="985"/>
      <c r="D2226" s="969"/>
      <c r="E2226" s="969"/>
    </row>
    <row r="2227" spans="2:5" ht="16.5" x14ac:dyDescent="0.2">
      <c r="B2227" s="982"/>
      <c r="C2227" s="985"/>
      <c r="D2227" s="969"/>
      <c r="E2227" s="969"/>
    </row>
    <row r="2228" spans="2:5" ht="16.5" x14ac:dyDescent="0.2">
      <c r="B2228" s="982"/>
      <c r="C2228" s="985"/>
      <c r="D2228" s="969"/>
      <c r="E2228" s="969"/>
    </row>
    <row r="2229" spans="2:5" ht="16.5" x14ac:dyDescent="0.2">
      <c r="B2229" s="982"/>
      <c r="C2229" s="982"/>
      <c r="D2229" s="969"/>
      <c r="E2229" s="969"/>
    </row>
    <row r="2230" spans="2:5" ht="16.5" x14ac:dyDescent="0.2">
      <c r="B2230" s="982"/>
      <c r="C2230" s="983"/>
      <c r="D2230" s="969"/>
      <c r="E2230" s="969"/>
    </row>
    <row r="2231" spans="2:5" ht="16.5" x14ac:dyDescent="0.2">
      <c r="B2231" s="982"/>
      <c r="C2231" s="985"/>
      <c r="D2231" s="969"/>
      <c r="E2231" s="969"/>
    </row>
    <row r="2232" spans="2:5" ht="16.5" x14ac:dyDescent="0.2">
      <c r="B2232" s="982"/>
      <c r="C2232" s="985"/>
      <c r="D2232" s="969"/>
      <c r="E2232" s="969"/>
    </row>
    <row r="2233" spans="2:5" ht="16.5" x14ac:dyDescent="0.2">
      <c r="B2233" s="982"/>
      <c r="C2233" s="985"/>
      <c r="D2233" s="969"/>
      <c r="E2233" s="969"/>
    </row>
    <row r="2234" spans="2:5" ht="16.5" x14ac:dyDescent="0.2">
      <c r="B2234" s="982"/>
      <c r="C2234" s="983"/>
      <c r="D2234" s="969"/>
      <c r="E2234" s="969"/>
    </row>
    <row r="2235" spans="2:5" ht="16.5" x14ac:dyDescent="0.2">
      <c r="B2235" s="982"/>
      <c r="C2235" s="985"/>
      <c r="D2235" s="969"/>
      <c r="E2235" s="969"/>
    </row>
    <row r="2236" spans="2:5" ht="16.5" x14ac:dyDescent="0.2">
      <c r="B2236" s="982"/>
      <c r="C2236" s="985"/>
      <c r="D2236" s="969"/>
      <c r="E2236" s="969"/>
    </row>
    <row r="2237" spans="2:5" ht="16.5" x14ac:dyDescent="0.2">
      <c r="B2237" s="982"/>
      <c r="C2237" s="985"/>
      <c r="D2237" s="969"/>
      <c r="E2237" s="969"/>
    </row>
    <row r="2238" spans="2:5" ht="16.5" x14ac:dyDescent="0.2">
      <c r="B2238" s="982"/>
      <c r="C2238" s="985"/>
      <c r="D2238" s="969"/>
      <c r="E2238" s="969"/>
    </row>
    <row r="2239" spans="2:5" ht="16.5" x14ac:dyDescent="0.2">
      <c r="B2239" s="982"/>
      <c r="C2239" s="982"/>
      <c r="D2239" s="969"/>
      <c r="E2239" s="969"/>
    </row>
    <row r="2240" spans="2:5" ht="16.5" x14ac:dyDescent="0.2">
      <c r="B2240" s="982"/>
      <c r="C2240" s="983"/>
      <c r="D2240" s="969"/>
      <c r="E2240" s="969"/>
    </row>
    <row r="2241" spans="2:5" ht="16.5" x14ac:dyDescent="0.2">
      <c r="B2241" s="982"/>
      <c r="C2241" s="985"/>
      <c r="D2241" s="969"/>
      <c r="E2241" s="969"/>
    </row>
    <row r="2242" spans="2:5" ht="16.5" x14ac:dyDescent="0.2">
      <c r="B2242" s="982"/>
      <c r="C2242" s="985"/>
      <c r="D2242" s="969"/>
      <c r="E2242" s="969"/>
    </row>
    <row r="2243" spans="2:5" ht="16.5" x14ac:dyDescent="0.2">
      <c r="B2243" s="982"/>
      <c r="C2243" s="985"/>
      <c r="D2243" s="969"/>
      <c r="E2243" s="969"/>
    </row>
    <row r="2244" spans="2:5" ht="16.5" x14ac:dyDescent="0.2">
      <c r="B2244" s="982"/>
      <c r="C2244" s="983"/>
      <c r="D2244" s="969"/>
      <c r="E2244" s="969"/>
    </row>
    <row r="2245" spans="2:5" ht="16.5" x14ac:dyDescent="0.2">
      <c r="B2245" s="982"/>
      <c r="C2245" s="985"/>
      <c r="D2245" s="969"/>
      <c r="E2245" s="969"/>
    </row>
    <row r="2246" spans="2:5" ht="16.5" x14ac:dyDescent="0.2">
      <c r="B2246" s="982"/>
      <c r="C2246" s="985"/>
      <c r="D2246" s="969"/>
      <c r="E2246" s="969"/>
    </row>
    <row r="2247" spans="2:5" ht="16.5" x14ac:dyDescent="0.2">
      <c r="B2247" s="982"/>
      <c r="C2247" s="985"/>
      <c r="D2247" s="969"/>
      <c r="E2247" s="969"/>
    </row>
    <row r="2248" spans="2:5" ht="16.5" x14ac:dyDescent="0.2">
      <c r="B2248" s="982"/>
      <c r="C2248" s="985"/>
      <c r="D2248" s="969"/>
      <c r="E2248" s="969"/>
    </row>
    <row r="2249" spans="2:5" ht="16.5" x14ac:dyDescent="0.2">
      <c r="B2249" s="982"/>
      <c r="C2249" s="985"/>
      <c r="D2249" s="969"/>
      <c r="E2249" s="969"/>
    </row>
    <row r="2250" spans="2:5" ht="16.5" x14ac:dyDescent="0.2">
      <c r="B2250" s="982"/>
      <c r="C2250" s="985"/>
      <c r="D2250" s="969"/>
      <c r="E2250" s="969"/>
    </row>
    <row r="2251" spans="2:5" ht="16.5" x14ac:dyDescent="0.2">
      <c r="B2251" s="982"/>
      <c r="C2251" s="985"/>
      <c r="D2251" s="969"/>
      <c r="E2251" s="969"/>
    </row>
    <row r="2252" spans="2:5" ht="16.5" x14ac:dyDescent="0.2">
      <c r="B2252" s="982"/>
      <c r="C2252" s="985"/>
      <c r="D2252" s="969"/>
      <c r="E2252" s="969"/>
    </row>
    <row r="2253" spans="2:5" ht="16.5" x14ac:dyDescent="0.2">
      <c r="B2253" s="982"/>
      <c r="C2253" s="983"/>
      <c r="D2253" s="969"/>
      <c r="E2253" s="969"/>
    </row>
    <row r="2254" spans="2:5" ht="16.5" x14ac:dyDescent="0.2">
      <c r="B2254" s="982"/>
      <c r="C2254" s="985"/>
      <c r="D2254" s="969"/>
      <c r="E2254" s="969"/>
    </row>
    <row r="2255" spans="2:5" ht="16.5" x14ac:dyDescent="0.2">
      <c r="B2255" s="982"/>
      <c r="C2255" s="985"/>
      <c r="D2255" s="969"/>
      <c r="E2255" s="969"/>
    </row>
    <row r="2256" spans="2:5" ht="16.5" x14ac:dyDescent="0.2">
      <c r="B2256" s="982"/>
      <c r="C2256" s="985"/>
      <c r="D2256" s="969"/>
      <c r="E2256" s="969"/>
    </row>
    <row r="2257" spans="2:5" ht="16.5" x14ac:dyDescent="0.2">
      <c r="B2257" s="982"/>
      <c r="C2257" s="985"/>
      <c r="D2257" s="969"/>
      <c r="E2257" s="969"/>
    </row>
    <row r="2258" spans="2:5" ht="16.5" x14ac:dyDescent="0.2">
      <c r="B2258" s="982"/>
      <c r="C2258" s="985"/>
      <c r="D2258" s="969"/>
      <c r="E2258" s="969"/>
    </row>
    <row r="2259" spans="2:5" ht="16.5" x14ac:dyDescent="0.2">
      <c r="B2259" s="982"/>
      <c r="C2259" s="983"/>
      <c r="D2259" s="969"/>
      <c r="E2259" s="969"/>
    </row>
    <row r="2260" spans="2:5" ht="16.5" x14ac:dyDescent="0.2">
      <c r="B2260" s="982"/>
      <c r="C2260" s="985"/>
      <c r="D2260" s="969"/>
      <c r="E2260" s="969"/>
    </row>
    <row r="2261" spans="2:5" ht="16.5" x14ac:dyDescent="0.2">
      <c r="B2261" s="982"/>
      <c r="C2261" s="985"/>
      <c r="D2261" s="969"/>
      <c r="E2261" s="969"/>
    </row>
    <row r="2262" spans="2:5" ht="16.5" x14ac:dyDescent="0.2">
      <c r="B2262" s="982"/>
      <c r="C2262" s="985"/>
      <c r="D2262" s="969"/>
      <c r="E2262" s="969"/>
    </row>
    <row r="2263" spans="2:5" ht="16.5" x14ac:dyDescent="0.2">
      <c r="B2263" s="982"/>
      <c r="C2263" s="983"/>
      <c r="D2263" s="969"/>
      <c r="E2263" s="969"/>
    </row>
    <row r="2264" spans="2:5" ht="16.5" x14ac:dyDescent="0.2">
      <c r="B2264" s="982"/>
      <c r="C2264" s="985"/>
      <c r="D2264" s="969"/>
      <c r="E2264" s="969"/>
    </row>
    <row r="2265" spans="2:5" ht="16.5" x14ac:dyDescent="0.2">
      <c r="B2265" s="982"/>
      <c r="C2265" s="983"/>
      <c r="D2265" s="969"/>
      <c r="E2265" s="969"/>
    </row>
    <row r="2266" spans="2:5" ht="16.5" x14ac:dyDescent="0.2">
      <c r="B2266" s="982"/>
      <c r="C2266" s="985"/>
      <c r="D2266" s="969"/>
      <c r="E2266" s="969"/>
    </row>
    <row r="2267" spans="2:5" ht="16.5" x14ac:dyDescent="0.2">
      <c r="B2267" s="982"/>
      <c r="C2267" s="983"/>
      <c r="D2267" s="969"/>
      <c r="E2267" s="969"/>
    </row>
    <row r="2268" spans="2:5" ht="16.5" x14ac:dyDescent="0.2">
      <c r="B2268" s="982"/>
      <c r="C2268" s="985"/>
      <c r="D2268" s="969"/>
      <c r="E2268" s="969"/>
    </row>
    <row r="2269" spans="2:5" ht="16.5" x14ac:dyDescent="0.2">
      <c r="B2269" s="982"/>
      <c r="C2269" s="982"/>
      <c r="D2269" s="969"/>
      <c r="E2269" s="969"/>
    </row>
    <row r="2270" spans="2:5" ht="16.5" x14ac:dyDescent="0.2">
      <c r="B2270" s="982"/>
      <c r="C2270" s="983"/>
      <c r="D2270" s="969"/>
      <c r="E2270" s="969"/>
    </row>
    <row r="2271" spans="2:5" ht="16.5" x14ac:dyDescent="0.2">
      <c r="B2271" s="982"/>
      <c r="C2271" s="985"/>
      <c r="D2271" s="969"/>
      <c r="E2271" s="969"/>
    </row>
    <row r="2272" spans="2:5" ht="16.5" x14ac:dyDescent="0.2">
      <c r="B2272" s="982"/>
      <c r="C2272" s="985"/>
      <c r="D2272" s="969"/>
      <c r="E2272" s="969"/>
    </row>
    <row r="2273" spans="2:5" ht="16.5" x14ac:dyDescent="0.2">
      <c r="B2273" s="982"/>
      <c r="C2273" s="985"/>
      <c r="D2273" s="969"/>
      <c r="E2273" s="969"/>
    </row>
    <row r="2274" spans="2:5" ht="16.5" x14ac:dyDescent="0.2">
      <c r="B2274" s="982"/>
      <c r="C2274" s="983"/>
      <c r="D2274" s="969"/>
      <c r="E2274" s="969"/>
    </row>
    <row r="2275" spans="2:5" ht="16.5" x14ac:dyDescent="0.2">
      <c r="B2275" s="982"/>
      <c r="C2275" s="985"/>
      <c r="D2275" s="969"/>
      <c r="E2275" s="969"/>
    </row>
    <row r="2276" spans="2:5" ht="16.5" x14ac:dyDescent="0.2">
      <c r="B2276" s="982"/>
      <c r="C2276" s="983"/>
      <c r="D2276" s="969"/>
      <c r="E2276" s="969"/>
    </row>
    <row r="2277" spans="2:5" ht="16.5" x14ac:dyDescent="0.2">
      <c r="B2277" s="982"/>
      <c r="C2277" s="985"/>
      <c r="D2277" s="969"/>
      <c r="E2277" s="969"/>
    </row>
    <row r="2278" spans="2:5" ht="16.5" x14ac:dyDescent="0.2">
      <c r="B2278" s="982"/>
      <c r="C2278" s="982"/>
      <c r="D2278" s="969"/>
      <c r="E2278" s="969"/>
    </row>
    <row r="2279" spans="2:5" ht="16.5" x14ac:dyDescent="0.2">
      <c r="B2279" s="982"/>
      <c r="C2279" s="985"/>
      <c r="D2279" s="969"/>
      <c r="E2279" s="969"/>
    </row>
    <row r="2280" spans="2:5" ht="16.5" x14ac:dyDescent="0.2">
      <c r="B2280" s="982"/>
      <c r="C2280" s="985"/>
      <c r="D2280" s="969"/>
      <c r="E2280" s="969"/>
    </row>
    <row r="2281" spans="2:5" ht="16.5" x14ac:dyDescent="0.2">
      <c r="B2281" s="982"/>
      <c r="C2281" s="985"/>
      <c r="D2281" s="969"/>
      <c r="E2281" s="969"/>
    </row>
    <row r="2282" spans="2:5" ht="16.5" x14ac:dyDescent="0.2">
      <c r="B2282" s="982"/>
      <c r="C2282" s="985"/>
      <c r="D2282" s="969"/>
      <c r="E2282" s="969"/>
    </row>
    <row r="2283" spans="2:5" ht="16.5" x14ac:dyDescent="0.2">
      <c r="B2283" s="982"/>
      <c r="C2283" s="985"/>
      <c r="D2283" s="969"/>
      <c r="E2283" s="969"/>
    </row>
    <row r="2284" spans="2:5" ht="16.5" x14ac:dyDescent="0.2">
      <c r="B2284" s="982"/>
      <c r="C2284" s="982"/>
      <c r="D2284" s="969"/>
      <c r="E2284" s="969"/>
    </row>
    <row r="2285" spans="2:5" ht="16.5" x14ac:dyDescent="0.2">
      <c r="B2285" s="982"/>
      <c r="C2285" s="985"/>
      <c r="D2285" s="969"/>
      <c r="E2285" s="969"/>
    </row>
    <row r="2286" spans="2:5" ht="16.5" x14ac:dyDescent="0.2">
      <c r="B2286" s="982"/>
      <c r="C2286" s="985"/>
      <c r="D2286" s="969"/>
      <c r="E2286" s="969"/>
    </row>
    <row r="2287" spans="2:5" ht="16.5" x14ac:dyDescent="0.2">
      <c r="B2287" s="982"/>
      <c r="C2287" s="985"/>
      <c r="D2287" s="969"/>
      <c r="E2287" s="969"/>
    </row>
    <row r="2288" spans="2:5" ht="16.5" x14ac:dyDescent="0.2">
      <c r="B2288" s="982"/>
      <c r="C2288" s="982"/>
      <c r="D2288" s="969"/>
      <c r="E2288" s="969"/>
    </row>
    <row r="2289" spans="2:5" ht="16.5" x14ac:dyDescent="0.2">
      <c r="B2289" s="982"/>
      <c r="C2289" s="985"/>
      <c r="D2289" s="969"/>
      <c r="E2289" s="969"/>
    </row>
    <row r="2290" spans="2:5" ht="16.5" x14ac:dyDescent="0.2">
      <c r="B2290" s="982"/>
      <c r="C2290" s="985"/>
      <c r="D2290" s="969"/>
      <c r="E2290" s="969"/>
    </row>
    <row r="2291" spans="2:5" ht="16.5" x14ac:dyDescent="0.2">
      <c r="B2291" s="982"/>
      <c r="C2291" s="985"/>
      <c r="D2291" s="969"/>
      <c r="E2291" s="969"/>
    </row>
    <row r="2292" spans="2:5" ht="16.5" x14ac:dyDescent="0.2">
      <c r="B2292" s="982"/>
      <c r="C2292" s="985"/>
      <c r="D2292" s="969"/>
      <c r="E2292" s="969"/>
    </row>
    <row r="2293" spans="2:5" ht="16.5" x14ac:dyDescent="0.2">
      <c r="B2293" s="982"/>
      <c r="C2293" s="982"/>
      <c r="D2293" s="969"/>
      <c r="E2293" s="969"/>
    </row>
    <row r="2294" spans="2:5" ht="16.5" x14ac:dyDescent="0.2">
      <c r="B2294" s="982"/>
      <c r="C2294" s="983"/>
      <c r="D2294" s="969"/>
      <c r="E2294" s="969"/>
    </row>
    <row r="2295" spans="2:5" ht="16.5" x14ac:dyDescent="0.2">
      <c r="B2295" s="982"/>
      <c r="C2295" s="985"/>
      <c r="D2295" s="969"/>
      <c r="E2295" s="969"/>
    </row>
    <row r="2296" spans="2:5" ht="16.5" x14ac:dyDescent="0.2">
      <c r="B2296" s="982"/>
      <c r="C2296" s="985"/>
      <c r="D2296" s="969"/>
      <c r="E2296" s="969"/>
    </row>
    <row r="2297" spans="2:5" ht="16.5" x14ac:dyDescent="0.2">
      <c r="B2297" s="982"/>
      <c r="C2297" s="985"/>
      <c r="D2297" s="969"/>
      <c r="E2297" s="969"/>
    </row>
    <row r="2298" spans="2:5" ht="16.5" x14ac:dyDescent="0.2">
      <c r="B2298" s="982"/>
      <c r="C2298" s="985"/>
      <c r="D2298" s="969"/>
      <c r="E2298" s="969"/>
    </row>
    <row r="2299" spans="2:5" ht="16.5" x14ac:dyDescent="0.2">
      <c r="B2299" s="982"/>
      <c r="C2299" s="983"/>
      <c r="D2299" s="969"/>
      <c r="E2299" s="969"/>
    </row>
    <row r="2300" spans="2:5" ht="16.5" x14ac:dyDescent="0.2">
      <c r="B2300" s="982"/>
      <c r="C2300" s="985"/>
      <c r="D2300" s="969"/>
      <c r="E2300" s="969"/>
    </row>
    <row r="2301" spans="2:5" ht="16.5" x14ac:dyDescent="0.2">
      <c r="B2301" s="982"/>
      <c r="C2301" s="985"/>
      <c r="D2301" s="969"/>
      <c r="E2301" s="969"/>
    </row>
    <row r="2302" spans="2:5" ht="16.5" x14ac:dyDescent="0.2">
      <c r="B2302" s="982"/>
      <c r="C2302" s="985"/>
      <c r="D2302" s="969"/>
      <c r="E2302" s="969"/>
    </row>
    <row r="2303" spans="2:5" ht="16.5" x14ac:dyDescent="0.2">
      <c r="B2303" s="982"/>
      <c r="C2303" s="983"/>
      <c r="D2303" s="969"/>
      <c r="E2303" s="969"/>
    </row>
    <row r="2304" spans="2:5" ht="16.5" x14ac:dyDescent="0.2">
      <c r="B2304" s="982"/>
      <c r="C2304" s="985"/>
      <c r="D2304" s="969"/>
      <c r="E2304" s="969"/>
    </row>
    <row r="2305" spans="2:5" ht="16.5" x14ac:dyDescent="0.2">
      <c r="B2305" s="982"/>
      <c r="C2305" s="985"/>
      <c r="D2305" s="969"/>
      <c r="E2305" s="969"/>
    </row>
    <row r="2306" spans="2:5" ht="16.5" x14ac:dyDescent="0.2">
      <c r="B2306" s="982"/>
      <c r="C2306" s="985"/>
      <c r="D2306" s="969"/>
      <c r="E2306" s="969"/>
    </row>
    <row r="2307" spans="2:5" ht="16.5" x14ac:dyDescent="0.2">
      <c r="B2307" s="982"/>
      <c r="C2307" s="983"/>
      <c r="D2307" s="969"/>
      <c r="E2307" s="969"/>
    </row>
    <row r="2308" spans="2:5" ht="16.5" x14ac:dyDescent="0.2">
      <c r="B2308" s="982"/>
      <c r="C2308" s="985"/>
      <c r="D2308" s="969"/>
      <c r="E2308" s="969"/>
    </row>
    <row r="2309" spans="2:5" ht="16.5" x14ac:dyDescent="0.2">
      <c r="B2309" s="982"/>
      <c r="C2309" s="985"/>
      <c r="D2309" s="969"/>
      <c r="E2309" s="969"/>
    </row>
    <row r="2310" spans="2:5" ht="16.5" x14ac:dyDescent="0.2">
      <c r="B2310" s="982"/>
      <c r="C2310" s="985"/>
      <c r="D2310" s="969"/>
      <c r="E2310" s="969"/>
    </row>
    <row r="2311" spans="2:5" ht="16.5" x14ac:dyDescent="0.2">
      <c r="B2311" s="982"/>
      <c r="C2311" s="985"/>
      <c r="D2311" s="969"/>
      <c r="E2311" s="969"/>
    </row>
    <row r="2312" spans="2:5" ht="16.5" x14ac:dyDescent="0.2">
      <c r="B2312" s="982"/>
      <c r="C2312" s="983"/>
      <c r="D2312" s="969"/>
      <c r="E2312" s="969"/>
    </row>
    <row r="2313" spans="2:5" ht="16.5" x14ac:dyDescent="0.2">
      <c r="B2313" s="982"/>
      <c r="C2313" s="985"/>
      <c r="D2313" s="969"/>
      <c r="E2313" s="969"/>
    </row>
    <row r="2314" spans="2:5" ht="16.5" x14ac:dyDescent="0.2">
      <c r="B2314" s="982"/>
      <c r="C2314" s="983"/>
      <c r="D2314" s="969"/>
      <c r="E2314" s="969"/>
    </row>
    <row r="2315" spans="2:5" ht="16.5" x14ac:dyDescent="0.2">
      <c r="B2315" s="982"/>
      <c r="C2315" s="985"/>
      <c r="D2315" s="969"/>
      <c r="E2315" s="969"/>
    </row>
    <row r="2316" spans="2:5" ht="16.5" x14ac:dyDescent="0.2">
      <c r="B2316" s="982"/>
      <c r="C2316" s="985"/>
      <c r="D2316" s="969"/>
      <c r="E2316" s="969"/>
    </row>
    <row r="2317" spans="2:5" ht="16.5" x14ac:dyDescent="0.2">
      <c r="B2317" s="982"/>
      <c r="C2317" s="985"/>
      <c r="D2317" s="969"/>
      <c r="E2317" s="969"/>
    </row>
    <row r="2318" spans="2:5" ht="16.5" x14ac:dyDescent="0.2">
      <c r="B2318" s="982"/>
      <c r="C2318" s="982"/>
      <c r="D2318" s="969"/>
      <c r="E2318" s="969"/>
    </row>
    <row r="2319" spans="2:5" ht="16.5" x14ac:dyDescent="0.2">
      <c r="B2319" s="982"/>
      <c r="C2319" s="985"/>
      <c r="D2319" s="969"/>
      <c r="E2319" s="969"/>
    </row>
    <row r="2320" spans="2:5" ht="16.5" x14ac:dyDescent="0.2">
      <c r="B2320" s="982"/>
      <c r="C2320" s="985"/>
      <c r="D2320" s="969"/>
      <c r="E2320" s="969"/>
    </row>
    <row r="2321" spans="2:5" ht="16.5" x14ac:dyDescent="0.2">
      <c r="B2321" s="982"/>
      <c r="C2321" s="985"/>
      <c r="D2321" s="969"/>
      <c r="E2321" s="969"/>
    </row>
    <row r="2322" spans="2:5" ht="16.5" x14ac:dyDescent="0.2">
      <c r="B2322" s="982"/>
      <c r="C2322" s="985"/>
      <c r="D2322" s="969"/>
      <c r="E2322" s="969"/>
    </row>
    <row r="2323" spans="2:5" ht="16.5" x14ac:dyDescent="0.2">
      <c r="B2323" s="982"/>
      <c r="C2323" s="985"/>
      <c r="D2323" s="969"/>
      <c r="E2323" s="969"/>
    </row>
    <row r="2324" spans="2:5" ht="16.5" x14ac:dyDescent="0.2">
      <c r="B2324" s="982"/>
      <c r="C2324" s="982"/>
      <c r="D2324" s="969"/>
      <c r="E2324" s="969"/>
    </row>
    <row r="2325" spans="2:5" ht="16.5" x14ac:dyDescent="0.2">
      <c r="B2325" s="982"/>
      <c r="C2325" s="983"/>
      <c r="D2325" s="969"/>
      <c r="E2325" s="969"/>
    </row>
    <row r="2326" spans="2:5" ht="16.5" x14ac:dyDescent="0.2">
      <c r="B2326" s="982"/>
      <c r="C2326" s="985"/>
      <c r="D2326" s="969"/>
      <c r="E2326" s="969"/>
    </row>
    <row r="2327" spans="2:5" ht="16.5" x14ac:dyDescent="0.2">
      <c r="B2327" s="982"/>
      <c r="C2327" s="985"/>
      <c r="D2327" s="969"/>
      <c r="E2327" s="969"/>
    </row>
    <row r="2328" spans="2:5" ht="16.5" x14ac:dyDescent="0.2">
      <c r="B2328" s="982"/>
      <c r="C2328" s="983"/>
      <c r="D2328" s="969"/>
      <c r="E2328" s="969"/>
    </row>
    <row r="2329" spans="2:5" ht="16.5" x14ac:dyDescent="0.2">
      <c r="B2329" s="982"/>
      <c r="C2329" s="985"/>
      <c r="D2329" s="969"/>
      <c r="E2329" s="969"/>
    </row>
    <row r="2330" spans="2:5" ht="16.5" x14ac:dyDescent="0.2">
      <c r="B2330" s="982"/>
      <c r="C2330" s="985"/>
      <c r="D2330" s="969"/>
      <c r="E2330" s="969"/>
    </row>
    <row r="2331" spans="2:5" ht="16.5" x14ac:dyDescent="0.2">
      <c r="B2331" s="982"/>
      <c r="C2331" s="985"/>
      <c r="D2331" s="969"/>
      <c r="E2331" s="969"/>
    </row>
    <row r="2332" spans="2:5" ht="16.5" x14ac:dyDescent="0.2">
      <c r="B2332" s="982"/>
      <c r="C2332" s="985"/>
      <c r="D2332" s="969"/>
      <c r="E2332" s="969"/>
    </row>
    <row r="2333" spans="2:5" ht="16.5" x14ac:dyDescent="0.2">
      <c r="B2333" s="982"/>
      <c r="C2333" s="985"/>
      <c r="D2333" s="969"/>
      <c r="E2333" s="969"/>
    </row>
    <row r="2334" spans="2:5" ht="16.5" x14ac:dyDescent="0.2">
      <c r="B2334" s="982"/>
      <c r="C2334" s="985"/>
      <c r="D2334" s="969"/>
      <c r="E2334" s="969"/>
    </row>
    <row r="2335" spans="2:5" ht="16.5" x14ac:dyDescent="0.2">
      <c r="B2335" s="982"/>
      <c r="C2335" s="983"/>
      <c r="D2335" s="969"/>
      <c r="E2335" s="969"/>
    </row>
    <row r="2336" spans="2:5" ht="16.5" x14ac:dyDescent="0.2">
      <c r="B2336" s="982"/>
      <c r="C2336" s="985"/>
      <c r="D2336" s="969"/>
      <c r="E2336" s="969"/>
    </row>
    <row r="2337" spans="2:5" ht="16.5" x14ac:dyDescent="0.2">
      <c r="B2337" s="982"/>
      <c r="C2337" s="986"/>
      <c r="D2337" s="969"/>
      <c r="E2337" s="969"/>
    </row>
    <row r="2338" spans="2:5" ht="16.5" x14ac:dyDescent="0.2">
      <c r="B2338" s="982"/>
      <c r="C2338" s="986"/>
      <c r="D2338" s="969"/>
      <c r="E2338" s="969"/>
    </row>
    <row r="2339" spans="2:5" ht="16.5" x14ac:dyDescent="0.2">
      <c r="B2339" s="982"/>
      <c r="C2339" s="986"/>
      <c r="D2339" s="969"/>
      <c r="E2339" s="969"/>
    </row>
    <row r="2340" spans="2:5" ht="16.5" x14ac:dyDescent="0.2">
      <c r="B2340" s="982"/>
      <c r="C2340" s="985"/>
      <c r="D2340" s="969"/>
      <c r="E2340" s="969"/>
    </row>
    <row r="2341" spans="2:5" ht="16.5" x14ac:dyDescent="0.2">
      <c r="B2341" s="982"/>
      <c r="C2341" s="986"/>
      <c r="D2341" s="969"/>
      <c r="E2341" s="969"/>
    </row>
    <row r="2342" spans="2:5" ht="16.5" x14ac:dyDescent="0.2">
      <c r="B2342" s="982"/>
      <c r="C2342" s="986"/>
      <c r="D2342" s="969"/>
      <c r="E2342" s="969"/>
    </row>
    <row r="2343" spans="2:5" ht="16.5" x14ac:dyDescent="0.2">
      <c r="B2343" s="982"/>
      <c r="C2343" s="986"/>
      <c r="D2343" s="969"/>
      <c r="E2343" s="969"/>
    </row>
    <row r="2344" spans="2:5" ht="16.5" x14ac:dyDescent="0.2">
      <c r="B2344" s="982"/>
      <c r="C2344" s="983"/>
      <c r="D2344" s="969"/>
      <c r="E2344" s="969"/>
    </row>
    <row r="2345" spans="2:5" ht="16.5" x14ac:dyDescent="0.2">
      <c r="B2345" s="982"/>
      <c r="C2345" s="985"/>
      <c r="D2345" s="969"/>
      <c r="E2345" s="969"/>
    </row>
    <row r="2346" spans="2:5" ht="16.5" x14ac:dyDescent="0.2">
      <c r="B2346" s="982"/>
      <c r="C2346" s="986"/>
      <c r="D2346" s="969"/>
      <c r="E2346" s="969"/>
    </row>
    <row r="2347" spans="2:5" ht="16.5" x14ac:dyDescent="0.2">
      <c r="B2347" s="982"/>
      <c r="C2347" s="986"/>
      <c r="D2347" s="969"/>
      <c r="E2347" s="969"/>
    </row>
    <row r="2348" spans="2:5" ht="16.5" x14ac:dyDescent="0.2">
      <c r="B2348" s="982"/>
      <c r="C2348" s="986"/>
      <c r="D2348" s="969"/>
      <c r="E2348" s="969"/>
    </row>
    <row r="2349" spans="2:5" ht="16.5" x14ac:dyDescent="0.2">
      <c r="B2349" s="982"/>
      <c r="C2349" s="986"/>
      <c r="D2349" s="969"/>
      <c r="E2349" s="969"/>
    </row>
    <row r="2350" spans="2:5" ht="16.5" x14ac:dyDescent="0.2">
      <c r="B2350" s="982"/>
      <c r="C2350" s="986"/>
      <c r="D2350" s="969"/>
      <c r="E2350" s="969"/>
    </row>
    <row r="2351" spans="2:5" ht="16.5" x14ac:dyDescent="0.2">
      <c r="B2351" s="982"/>
      <c r="C2351" s="983"/>
      <c r="D2351" s="969"/>
      <c r="E2351" s="969"/>
    </row>
    <row r="2352" spans="2:5" ht="16.5" x14ac:dyDescent="0.2">
      <c r="B2352" s="982"/>
      <c r="C2352" s="985"/>
      <c r="D2352" s="969"/>
      <c r="E2352" s="969"/>
    </row>
    <row r="2353" spans="2:5" ht="16.5" x14ac:dyDescent="0.2">
      <c r="B2353" s="982"/>
      <c r="C2353" s="985"/>
      <c r="D2353" s="969"/>
      <c r="E2353" s="969"/>
    </row>
    <row r="2354" spans="2:5" ht="16.5" x14ac:dyDescent="0.2">
      <c r="B2354" s="982"/>
      <c r="C2354" s="982"/>
      <c r="D2354" s="969"/>
      <c r="E2354" s="969"/>
    </row>
    <row r="2355" spans="2:5" ht="16.5" x14ac:dyDescent="0.2">
      <c r="B2355" s="982"/>
      <c r="C2355" s="985"/>
      <c r="D2355" s="969"/>
      <c r="E2355" s="969"/>
    </row>
    <row r="2356" spans="2:5" ht="16.5" x14ac:dyDescent="0.2">
      <c r="B2356" s="982"/>
      <c r="C2356" s="985"/>
      <c r="D2356" s="969"/>
      <c r="E2356" s="969"/>
    </row>
    <row r="2357" spans="2:5" ht="16.5" x14ac:dyDescent="0.2">
      <c r="B2357" s="982"/>
      <c r="C2357" s="985"/>
      <c r="D2357" s="969"/>
      <c r="E2357" s="969"/>
    </row>
    <row r="2358" spans="2:5" ht="16.5" x14ac:dyDescent="0.2">
      <c r="B2358" s="982"/>
      <c r="C2358" s="985"/>
      <c r="D2358" s="969"/>
      <c r="E2358" s="969"/>
    </row>
    <row r="2359" spans="2:5" ht="16.5" x14ac:dyDescent="0.2">
      <c r="B2359" s="982"/>
      <c r="C2359" s="985"/>
      <c r="D2359" s="969"/>
      <c r="E2359" s="969"/>
    </row>
    <row r="2360" spans="2:5" ht="16.5" x14ac:dyDescent="0.2">
      <c r="B2360" s="982"/>
      <c r="C2360" s="985"/>
      <c r="D2360" s="969"/>
      <c r="E2360" s="969"/>
    </row>
    <row r="2361" spans="2:5" ht="16.5" x14ac:dyDescent="0.2">
      <c r="B2361" s="982"/>
      <c r="C2361" s="985"/>
      <c r="D2361" s="969"/>
      <c r="E2361" s="969"/>
    </row>
    <row r="2362" spans="2:5" ht="16.5" x14ac:dyDescent="0.2">
      <c r="B2362" s="982"/>
      <c r="C2362" s="985"/>
      <c r="D2362" s="969"/>
      <c r="E2362" s="969"/>
    </row>
    <row r="2363" spans="2:5" ht="16.5" x14ac:dyDescent="0.2">
      <c r="B2363" s="982"/>
      <c r="C2363" s="985"/>
      <c r="D2363" s="969"/>
      <c r="E2363" s="969"/>
    </row>
    <row r="2364" spans="2:5" ht="16.5" x14ac:dyDescent="0.2">
      <c r="B2364" s="982"/>
      <c r="C2364" s="985"/>
      <c r="D2364" s="969"/>
      <c r="E2364" s="969"/>
    </row>
    <row r="2365" spans="2:5" ht="16.5" x14ac:dyDescent="0.2">
      <c r="B2365" s="982"/>
      <c r="C2365" s="985"/>
      <c r="D2365" s="969"/>
      <c r="E2365" s="969"/>
    </row>
    <row r="2366" spans="2:5" ht="16.5" x14ac:dyDescent="0.2">
      <c r="B2366" s="982"/>
      <c r="C2366" s="985"/>
      <c r="D2366" s="969"/>
      <c r="E2366" s="969"/>
    </row>
    <row r="2367" spans="2:5" ht="16.5" x14ac:dyDescent="0.2">
      <c r="B2367" s="982"/>
      <c r="C2367" s="982"/>
      <c r="D2367" s="969"/>
      <c r="E2367" s="969"/>
    </row>
    <row r="2368" spans="2:5" ht="16.5" x14ac:dyDescent="0.2">
      <c r="B2368" s="982"/>
      <c r="C2368" s="985"/>
      <c r="D2368" s="969"/>
      <c r="E2368" s="969"/>
    </row>
    <row r="2369" spans="2:5" ht="16.5" x14ac:dyDescent="0.2">
      <c r="B2369" s="982"/>
      <c r="C2369" s="985"/>
      <c r="D2369" s="969"/>
      <c r="E2369" s="969"/>
    </row>
    <row r="2370" spans="2:5" ht="16.5" x14ac:dyDescent="0.2">
      <c r="B2370" s="982"/>
      <c r="C2370" s="985"/>
      <c r="D2370" s="969"/>
      <c r="E2370" s="969"/>
    </row>
    <row r="2371" spans="2:5" ht="16.5" x14ac:dyDescent="0.2">
      <c r="B2371" s="982"/>
      <c r="C2371" s="985"/>
      <c r="D2371" s="969"/>
      <c r="E2371" s="969"/>
    </row>
    <row r="2372" spans="2:5" ht="16.5" x14ac:dyDescent="0.2">
      <c r="B2372" s="982"/>
      <c r="C2372" s="985"/>
      <c r="D2372" s="969"/>
      <c r="E2372" s="969"/>
    </row>
    <row r="2373" spans="2:5" ht="16.5" x14ac:dyDescent="0.2">
      <c r="B2373" s="982"/>
      <c r="C2373" s="985"/>
      <c r="D2373" s="969"/>
      <c r="E2373" s="969"/>
    </row>
    <row r="2374" spans="2:5" ht="16.5" x14ac:dyDescent="0.2">
      <c r="B2374" s="982"/>
      <c r="C2374" s="985"/>
      <c r="D2374" s="969"/>
      <c r="E2374" s="969"/>
    </row>
    <row r="2375" spans="2:5" ht="16.5" x14ac:dyDescent="0.2">
      <c r="B2375" s="982"/>
      <c r="C2375" s="985"/>
      <c r="D2375" s="969"/>
      <c r="E2375" s="969"/>
    </row>
    <row r="2376" spans="2:5" ht="16.5" x14ac:dyDescent="0.2">
      <c r="B2376" s="982"/>
      <c r="C2376" s="982"/>
      <c r="D2376" s="969"/>
      <c r="E2376" s="969"/>
    </row>
    <row r="2377" spans="2:5" ht="16.5" x14ac:dyDescent="0.2">
      <c r="B2377" s="982"/>
      <c r="C2377" s="985"/>
      <c r="D2377" s="969"/>
      <c r="E2377" s="969"/>
    </row>
    <row r="2378" spans="2:5" ht="16.5" x14ac:dyDescent="0.2">
      <c r="B2378" s="982"/>
      <c r="C2378" s="985"/>
      <c r="D2378" s="969"/>
      <c r="E2378" s="969"/>
    </row>
    <row r="2379" spans="2:5" ht="16.5" x14ac:dyDescent="0.2">
      <c r="B2379" s="982"/>
      <c r="C2379" s="982"/>
      <c r="D2379" s="969"/>
      <c r="E2379" s="969"/>
    </row>
    <row r="2380" spans="2:5" ht="16.5" x14ac:dyDescent="0.2">
      <c r="B2380" s="982"/>
      <c r="C2380" s="983"/>
      <c r="D2380" s="969"/>
      <c r="E2380" s="969"/>
    </row>
    <row r="2381" spans="2:5" ht="16.5" x14ac:dyDescent="0.2">
      <c r="B2381" s="982"/>
      <c r="C2381" s="985"/>
      <c r="D2381" s="969"/>
      <c r="E2381" s="969"/>
    </row>
    <row r="2382" spans="2:5" ht="16.5" x14ac:dyDescent="0.2">
      <c r="B2382" s="982"/>
      <c r="C2382" s="985"/>
      <c r="D2382" s="969"/>
      <c r="E2382" s="969"/>
    </row>
    <row r="2383" spans="2:5" ht="16.5" x14ac:dyDescent="0.2">
      <c r="B2383" s="982"/>
      <c r="C2383" s="985"/>
      <c r="D2383" s="969"/>
      <c r="E2383" s="969"/>
    </row>
    <row r="2384" spans="2:5" ht="16.5" x14ac:dyDescent="0.2">
      <c r="B2384" s="982"/>
      <c r="C2384" s="985"/>
      <c r="D2384" s="969"/>
      <c r="E2384" s="969"/>
    </row>
    <row r="2385" spans="2:5" ht="16.5" x14ac:dyDescent="0.2">
      <c r="B2385" s="982"/>
      <c r="C2385" s="985"/>
      <c r="D2385" s="969"/>
      <c r="E2385" s="969"/>
    </row>
    <row r="2386" spans="2:5" ht="16.5" x14ac:dyDescent="0.2">
      <c r="B2386" s="982"/>
      <c r="C2386" s="983"/>
      <c r="D2386" s="969"/>
      <c r="E2386" s="969"/>
    </row>
    <row r="2387" spans="2:5" ht="16.5" x14ac:dyDescent="0.2">
      <c r="B2387" s="982"/>
      <c r="C2387" s="985"/>
      <c r="D2387" s="969"/>
      <c r="E2387" s="969"/>
    </row>
    <row r="2388" spans="2:5" ht="16.5" x14ac:dyDescent="0.2">
      <c r="B2388" s="982"/>
      <c r="C2388" s="985"/>
      <c r="D2388" s="969"/>
      <c r="E2388" s="969"/>
    </row>
    <row r="2389" spans="2:5" ht="16.5" x14ac:dyDescent="0.2">
      <c r="B2389" s="982"/>
      <c r="C2389" s="985"/>
      <c r="D2389" s="969"/>
      <c r="E2389" s="969"/>
    </row>
    <row r="2390" spans="2:5" ht="16.5" x14ac:dyDescent="0.2">
      <c r="B2390" s="982"/>
      <c r="C2390" s="985"/>
      <c r="D2390" s="969"/>
      <c r="E2390" s="969"/>
    </row>
    <row r="2391" spans="2:5" ht="16.5" x14ac:dyDescent="0.2">
      <c r="B2391" s="982"/>
      <c r="C2391" s="983"/>
      <c r="D2391" s="969"/>
      <c r="E2391" s="969"/>
    </row>
    <row r="2392" spans="2:5" ht="16.5" x14ac:dyDescent="0.2">
      <c r="B2392" s="982"/>
      <c r="C2392" s="985"/>
      <c r="D2392" s="969"/>
      <c r="E2392" s="969"/>
    </row>
    <row r="2393" spans="2:5" ht="16.5" x14ac:dyDescent="0.2">
      <c r="B2393" s="982"/>
      <c r="C2393" s="985"/>
      <c r="D2393" s="969"/>
      <c r="E2393" s="969"/>
    </row>
    <row r="2394" spans="2:5" ht="16.5" x14ac:dyDescent="0.2">
      <c r="B2394" s="982"/>
      <c r="C2394" s="982"/>
      <c r="D2394" s="969"/>
      <c r="E2394" s="969"/>
    </row>
    <row r="2395" spans="2:5" ht="16.5" x14ac:dyDescent="0.2">
      <c r="B2395" s="982"/>
      <c r="C2395" s="983"/>
      <c r="D2395" s="969"/>
      <c r="E2395" s="969"/>
    </row>
    <row r="2396" spans="2:5" ht="16.5" x14ac:dyDescent="0.2">
      <c r="B2396" s="982"/>
      <c r="C2396" s="985"/>
      <c r="D2396" s="969"/>
      <c r="E2396" s="969"/>
    </row>
    <row r="2397" spans="2:5" ht="16.5" x14ac:dyDescent="0.2">
      <c r="B2397" s="982"/>
      <c r="C2397" s="983"/>
      <c r="D2397" s="969"/>
      <c r="E2397" s="969"/>
    </row>
    <row r="2398" spans="2:5" ht="16.5" x14ac:dyDescent="0.2">
      <c r="B2398" s="982"/>
      <c r="C2398" s="985"/>
      <c r="D2398" s="969"/>
      <c r="E2398" s="969"/>
    </row>
    <row r="2399" spans="2:5" ht="16.5" x14ac:dyDescent="0.2">
      <c r="B2399" s="982"/>
      <c r="C2399" s="985"/>
      <c r="D2399" s="969"/>
      <c r="E2399" s="969"/>
    </row>
    <row r="2400" spans="2:5" ht="16.5" x14ac:dyDescent="0.2">
      <c r="B2400" s="982"/>
      <c r="C2400" s="985"/>
      <c r="D2400" s="969"/>
      <c r="E2400" s="969"/>
    </row>
    <row r="2401" spans="2:5" ht="16.5" x14ac:dyDescent="0.2">
      <c r="B2401" s="982"/>
      <c r="C2401" s="985"/>
      <c r="D2401" s="969"/>
      <c r="E2401" s="969"/>
    </row>
    <row r="2402" spans="2:5" ht="16.5" x14ac:dyDescent="0.2">
      <c r="B2402" s="982"/>
      <c r="C2402" s="985"/>
      <c r="D2402" s="969"/>
      <c r="E2402" s="969"/>
    </row>
    <row r="2403" spans="2:5" ht="16.5" x14ac:dyDescent="0.2">
      <c r="B2403" s="982"/>
      <c r="C2403" s="985"/>
      <c r="D2403" s="969"/>
      <c r="E2403" s="969"/>
    </row>
    <row r="2404" spans="2:5" ht="16.5" x14ac:dyDescent="0.2">
      <c r="B2404" s="982"/>
      <c r="C2404" s="983"/>
      <c r="D2404" s="969"/>
      <c r="E2404" s="969"/>
    </row>
    <row r="2405" spans="2:5" ht="16.5" x14ac:dyDescent="0.2">
      <c r="B2405" s="982"/>
      <c r="C2405" s="985"/>
      <c r="D2405" s="969"/>
      <c r="E2405" s="969"/>
    </row>
    <row r="2406" spans="2:5" ht="16.5" x14ac:dyDescent="0.2">
      <c r="B2406" s="982"/>
      <c r="C2406" s="985"/>
      <c r="D2406" s="969"/>
      <c r="E2406" s="969"/>
    </row>
    <row r="2407" spans="2:5" ht="16.5" x14ac:dyDescent="0.2">
      <c r="B2407" s="982"/>
      <c r="C2407" s="985"/>
      <c r="D2407" s="969"/>
      <c r="E2407" s="969"/>
    </row>
    <row r="2408" spans="2:5" ht="16.5" x14ac:dyDescent="0.2">
      <c r="B2408" s="982"/>
      <c r="C2408" s="983"/>
      <c r="D2408" s="969"/>
      <c r="E2408" s="969"/>
    </row>
    <row r="2409" spans="2:5" ht="16.5" x14ac:dyDescent="0.2">
      <c r="B2409" s="982"/>
      <c r="C2409" s="985"/>
      <c r="D2409" s="969"/>
      <c r="E2409" s="969"/>
    </row>
    <row r="2410" spans="2:5" ht="16.5" x14ac:dyDescent="0.2">
      <c r="B2410" s="982"/>
      <c r="C2410" s="985"/>
      <c r="D2410" s="969"/>
      <c r="E2410" s="969"/>
    </row>
    <row r="2411" spans="2:5" ht="16.5" x14ac:dyDescent="0.2">
      <c r="B2411" s="982"/>
      <c r="C2411" s="983"/>
      <c r="D2411" s="969"/>
      <c r="E2411" s="969"/>
    </row>
    <row r="2412" spans="2:5" ht="16.5" x14ac:dyDescent="0.2">
      <c r="B2412" s="982"/>
      <c r="C2412" s="985"/>
      <c r="D2412" s="969"/>
      <c r="E2412" s="969"/>
    </row>
    <row r="2413" spans="2:5" ht="16.5" x14ac:dyDescent="0.2">
      <c r="B2413" s="982"/>
      <c r="C2413" s="985"/>
      <c r="D2413" s="969"/>
      <c r="E2413" s="969"/>
    </row>
    <row r="2414" spans="2:5" ht="16.5" x14ac:dyDescent="0.2">
      <c r="B2414" s="982"/>
      <c r="C2414" s="982"/>
      <c r="D2414" s="969"/>
      <c r="E2414" s="969"/>
    </row>
    <row r="2415" spans="2:5" ht="16.5" x14ac:dyDescent="0.2">
      <c r="B2415" s="982"/>
      <c r="C2415" s="983"/>
      <c r="D2415" s="969"/>
      <c r="E2415" s="969"/>
    </row>
    <row r="2416" spans="2:5" ht="16.5" x14ac:dyDescent="0.2">
      <c r="B2416" s="982"/>
      <c r="C2416" s="985"/>
      <c r="D2416" s="969"/>
      <c r="E2416" s="969"/>
    </row>
    <row r="2417" spans="2:5" ht="16.5" x14ac:dyDescent="0.2">
      <c r="B2417" s="982"/>
      <c r="C2417" s="985"/>
      <c r="D2417" s="969"/>
      <c r="E2417" s="969"/>
    </row>
    <row r="2418" spans="2:5" ht="16.5" x14ac:dyDescent="0.2">
      <c r="B2418" s="982"/>
      <c r="C2418" s="983"/>
      <c r="D2418" s="969"/>
      <c r="E2418" s="969"/>
    </row>
    <row r="2419" spans="2:5" ht="16.5" x14ac:dyDescent="0.2">
      <c r="B2419" s="982"/>
      <c r="C2419" s="985"/>
      <c r="D2419" s="969"/>
      <c r="E2419" s="969"/>
    </row>
    <row r="2420" spans="2:5" ht="16.5" x14ac:dyDescent="0.2">
      <c r="B2420" s="982"/>
      <c r="C2420" s="985"/>
      <c r="D2420" s="969"/>
      <c r="E2420" s="969"/>
    </row>
    <row r="2421" spans="2:5" ht="16.5" x14ac:dyDescent="0.2">
      <c r="B2421" s="982"/>
      <c r="C2421" s="985"/>
      <c r="D2421" s="969"/>
      <c r="E2421" s="969"/>
    </row>
    <row r="2422" spans="2:5" ht="16.5" x14ac:dyDescent="0.2">
      <c r="B2422" s="982"/>
      <c r="C2422" s="983"/>
      <c r="D2422" s="969"/>
      <c r="E2422" s="969"/>
    </row>
    <row r="2423" spans="2:5" ht="16.5" x14ac:dyDescent="0.2">
      <c r="B2423" s="982"/>
      <c r="C2423" s="985"/>
      <c r="D2423" s="969"/>
      <c r="E2423" s="969"/>
    </row>
    <row r="2424" spans="2:5" ht="16.5" x14ac:dyDescent="0.2">
      <c r="B2424" s="982"/>
      <c r="C2424" s="985"/>
      <c r="D2424" s="969"/>
      <c r="E2424" s="969"/>
    </row>
    <row r="2425" spans="2:5" ht="16.5" x14ac:dyDescent="0.2">
      <c r="B2425" s="982"/>
      <c r="C2425" s="985"/>
      <c r="D2425" s="969"/>
      <c r="E2425" s="969"/>
    </row>
    <row r="2426" spans="2:5" ht="16.5" x14ac:dyDescent="0.2">
      <c r="B2426" s="982"/>
      <c r="C2426" s="985"/>
      <c r="D2426" s="969"/>
      <c r="E2426" s="969"/>
    </row>
    <row r="2427" spans="2:5" ht="16.5" x14ac:dyDescent="0.2">
      <c r="B2427" s="982"/>
      <c r="C2427" s="985"/>
      <c r="D2427" s="969"/>
      <c r="E2427" s="969"/>
    </row>
    <row r="2428" spans="2:5" ht="16.5" x14ac:dyDescent="0.2">
      <c r="B2428" s="982"/>
      <c r="C2428" s="983"/>
      <c r="D2428" s="969"/>
      <c r="E2428" s="969"/>
    </row>
    <row r="2429" spans="2:5" ht="16.5" x14ac:dyDescent="0.2">
      <c r="B2429" s="982"/>
      <c r="C2429" s="985"/>
      <c r="D2429" s="969"/>
      <c r="E2429" s="969"/>
    </row>
    <row r="2430" spans="2:5" ht="16.5" x14ac:dyDescent="0.2">
      <c r="B2430" s="982"/>
      <c r="C2430" s="985"/>
      <c r="D2430" s="969"/>
      <c r="E2430" s="969"/>
    </row>
    <row r="2431" spans="2:5" ht="16.5" x14ac:dyDescent="0.2">
      <c r="B2431" s="982"/>
      <c r="C2431" s="985"/>
      <c r="D2431" s="969"/>
      <c r="E2431" s="969"/>
    </row>
    <row r="2432" spans="2:5" ht="16.5" x14ac:dyDescent="0.2">
      <c r="B2432" s="982"/>
      <c r="C2432" s="985"/>
      <c r="D2432" s="969"/>
      <c r="E2432" s="969"/>
    </row>
    <row r="2433" spans="2:5" ht="16.5" x14ac:dyDescent="0.2">
      <c r="B2433" s="982"/>
      <c r="C2433" s="983"/>
      <c r="D2433" s="969"/>
      <c r="E2433" s="969"/>
    </row>
    <row r="2434" spans="2:5" ht="16.5" x14ac:dyDescent="0.2">
      <c r="B2434" s="982"/>
      <c r="C2434" s="985"/>
      <c r="D2434" s="969"/>
      <c r="E2434" s="969"/>
    </row>
    <row r="2435" spans="2:5" ht="16.5" x14ac:dyDescent="0.2">
      <c r="B2435" s="982"/>
      <c r="C2435" s="985"/>
      <c r="D2435" s="969"/>
      <c r="E2435" s="969"/>
    </row>
    <row r="2436" spans="2:5" ht="16.5" x14ac:dyDescent="0.2">
      <c r="B2436" s="982"/>
      <c r="C2436" s="985"/>
      <c r="D2436" s="969"/>
      <c r="E2436" s="969"/>
    </row>
    <row r="2437" spans="2:5" ht="16.5" x14ac:dyDescent="0.2">
      <c r="B2437" s="982"/>
      <c r="C2437" s="982"/>
      <c r="D2437" s="969"/>
      <c r="E2437" s="969"/>
    </row>
    <row r="2438" spans="2:5" ht="16.5" x14ac:dyDescent="0.2">
      <c r="B2438" s="982"/>
      <c r="C2438" s="983"/>
      <c r="D2438" s="969"/>
      <c r="E2438" s="969"/>
    </row>
    <row r="2439" spans="2:5" ht="16.5" x14ac:dyDescent="0.2">
      <c r="B2439" s="982"/>
      <c r="C2439" s="985"/>
      <c r="D2439" s="969"/>
      <c r="E2439" s="969"/>
    </row>
    <row r="2440" spans="2:5" ht="16.5" x14ac:dyDescent="0.2">
      <c r="B2440" s="982"/>
      <c r="C2440" s="985"/>
      <c r="D2440" s="969"/>
      <c r="E2440" s="969"/>
    </row>
    <row r="2441" spans="2:5" ht="16.5" x14ac:dyDescent="0.2">
      <c r="B2441" s="982"/>
      <c r="C2441" s="983"/>
      <c r="D2441" s="969"/>
      <c r="E2441" s="969"/>
    </row>
    <row r="2442" spans="2:5" ht="16.5" x14ac:dyDescent="0.2">
      <c r="B2442" s="982"/>
      <c r="C2442" s="985"/>
      <c r="D2442" s="969"/>
      <c r="E2442" s="969"/>
    </row>
    <row r="2443" spans="2:5" ht="16.5" x14ac:dyDescent="0.2">
      <c r="B2443" s="982"/>
      <c r="C2443" s="985"/>
      <c r="D2443" s="969"/>
      <c r="E2443" s="969"/>
    </row>
    <row r="2444" spans="2:5" ht="16.5" x14ac:dyDescent="0.2">
      <c r="B2444" s="982"/>
      <c r="C2444" s="983"/>
      <c r="D2444" s="969"/>
      <c r="E2444" s="969"/>
    </row>
    <row r="2445" spans="2:5" ht="16.5" x14ac:dyDescent="0.2">
      <c r="B2445" s="982"/>
      <c r="C2445" s="985"/>
      <c r="D2445" s="969"/>
      <c r="E2445" s="969"/>
    </row>
    <row r="2446" spans="2:5" ht="16.5" x14ac:dyDescent="0.2">
      <c r="B2446" s="982"/>
      <c r="C2446" s="985"/>
      <c r="D2446" s="969"/>
      <c r="E2446" s="969"/>
    </row>
    <row r="2447" spans="2:5" ht="16.5" x14ac:dyDescent="0.2">
      <c r="B2447" s="982"/>
      <c r="C2447" s="983"/>
      <c r="D2447" s="969"/>
      <c r="E2447" s="969"/>
    </row>
    <row r="2448" spans="2:5" ht="16.5" x14ac:dyDescent="0.2">
      <c r="B2448" s="982"/>
      <c r="C2448" s="985"/>
      <c r="D2448" s="969"/>
      <c r="E2448" s="969"/>
    </row>
    <row r="2449" spans="2:5" ht="16.5" x14ac:dyDescent="0.2">
      <c r="B2449" s="982"/>
      <c r="C2449" s="985"/>
      <c r="D2449" s="969"/>
      <c r="E2449" s="969"/>
    </row>
    <row r="2450" spans="2:5" ht="16.5" x14ac:dyDescent="0.2">
      <c r="B2450" s="982"/>
      <c r="C2450" s="985"/>
      <c r="D2450" s="969"/>
      <c r="E2450" s="969"/>
    </row>
    <row r="2451" spans="2:5" ht="16.5" x14ac:dyDescent="0.2">
      <c r="B2451" s="982"/>
      <c r="C2451" s="985"/>
      <c r="D2451" s="969"/>
      <c r="E2451" s="969"/>
    </row>
    <row r="2452" spans="2:5" ht="16.5" x14ac:dyDescent="0.2">
      <c r="B2452" s="982"/>
      <c r="C2452" s="985"/>
      <c r="D2452" s="969"/>
      <c r="E2452" s="969"/>
    </row>
    <row r="2453" spans="2:5" ht="16.5" x14ac:dyDescent="0.2">
      <c r="B2453" s="982"/>
      <c r="C2453" s="985"/>
      <c r="D2453" s="969"/>
      <c r="E2453" s="969"/>
    </row>
    <row r="2454" spans="2:5" ht="16.5" x14ac:dyDescent="0.2">
      <c r="B2454" s="982"/>
      <c r="C2454" s="985"/>
      <c r="D2454" s="969"/>
      <c r="E2454" s="969"/>
    </row>
    <row r="2455" spans="2:5" ht="16.5" x14ac:dyDescent="0.2">
      <c r="B2455" s="982"/>
      <c r="C2455" s="982"/>
      <c r="D2455" s="969"/>
      <c r="E2455" s="969"/>
    </row>
    <row r="2456" spans="2:5" ht="16.5" x14ac:dyDescent="0.2">
      <c r="B2456" s="982"/>
      <c r="C2456" s="983"/>
      <c r="D2456" s="969"/>
      <c r="E2456" s="969"/>
    </row>
    <row r="2457" spans="2:5" ht="16.5" x14ac:dyDescent="0.2">
      <c r="B2457" s="982"/>
      <c r="C2457" s="985"/>
      <c r="D2457" s="969"/>
      <c r="E2457" s="969"/>
    </row>
    <row r="2458" spans="2:5" ht="16.5" x14ac:dyDescent="0.2">
      <c r="B2458" s="982"/>
      <c r="C2458" s="985"/>
      <c r="D2458" s="969"/>
      <c r="E2458" s="969"/>
    </row>
    <row r="2459" spans="2:5" ht="16.5" x14ac:dyDescent="0.2">
      <c r="B2459" s="982"/>
      <c r="C2459" s="985"/>
      <c r="D2459" s="969"/>
      <c r="E2459" s="969"/>
    </row>
    <row r="2460" spans="2:5" ht="16.5" x14ac:dyDescent="0.2">
      <c r="B2460" s="982"/>
      <c r="C2460" s="983"/>
      <c r="D2460" s="969"/>
      <c r="E2460" s="969"/>
    </row>
    <row r="2461" spans="2:5" ht="16.5" x14ac:dyDescent="0.2">
      <c r="B2461" s="982"/>
      <c r="C2461" s="985"/>
      <c r="D2461" s="969"/>
      <c r="E2461" s="969"/>
    </row>
    <row r="2462" spans="2:5" ht="16.5" x14ac:dyDescent="0.2">
      <c r="B2462" s="982"/>
      <c r="C2462" s="985"/>
      <c r="D2462" s="969"/>
      <c r="E2462" s="969"/>
    </row>
    <row r="2463" spans="2:5" ht="16.5" x14ac:dyDescent="0.2">
      <c r="B2463" s="982"/>
      <c r="C2463" s="983"/>
      <c r="D2463" s="969"/>
      <c r="E2463" s="969"/>
    </row>
    <row r="2464" spans="2:5" ht="16.5" x14ac:dyDescent="0.2">
      <c r="B2464" s="982"/>
      <c r="C2464" s="985"/>
      <c r="D2464" s="969"/>
      <c r="E2464" s="969"/>
    </row>
    <row r="2465" spans="2:5" ht="16.5" x14ac:dyDescent="0.2">
      <c r="B2465" s="982"/>
      <c r="C2465" s="985"/>
      <c r="D2465" s="969"/>
      <c r="E2465" s="969"/>
    </row>
    <row r="2466" spans="2:5" ht="16.5" x14ac:dyDescent="0.2">
      <c r="B2466" s="982"/>
      <c r="C2466" s="983"/>
      <c r="D2466" s="969"/>
      <c r="E2466" s="969"/>
    </row>
    <row r="2467" spans="2:5" ht="16.5" x14ac:dyDescent="0.2">
      <c r="B2467" s="982"/>
      <c r="C2467" s="985"/>
      <c r="D2467" s="969"/>
      <c r="E2467" s="969"/>
    </row>
    <row r="2468" spans="2:5" ht="16.5" x14ac:dyDescent="0.2">
      <c r="B2468" s="982"/>
      <c r="C2468" s="985"/>
      <c r="D2468" s="969"/>
      <c r="E2468" s="969"/>
    </row>
    <row r="2469" spans="2:5" ht="16.5" x14ac:dyDescent="0.2">
      <c r="B2469" s="982"/>
      <c r="C2469" s="985"/>
      <c r="D2469" s="969"/>
      <c r="E2469" s="969"/>
    </row>
    <row r="2470" spans="2:5" ht="16.5" x14ac:dyDescent="0.2">
      <c r="B2470" s="982"/>
      <c r="C2470" s="985"/>
      <c r="D2470" s="969"/>
      <c r="E2470" s="969"/>
    </row>
    <row r="2471" spans="2:5" ht="16.5" x14ac:dyDescent="0.2">
      <c r="B2471" s="982"/>
      <c r="C2471" s="985"/>
      <c r="D2471" s="969"/>
      <c r="E2471" s="969"/>
    </row>
    <row r="2472" spans="2:5" ht="16.5" x14ac:dyDescent="0.2">
      <c r="B2472" s="982"/>
      <c r="C2472" s="985"/>
      <c r="D2472" s="969"/>
      <c r="E2472" s="969"/>
    </row>
    <row r="2473" spans="2:5" ht="16.5" x14ac:dyDescent="0.2">
      <c r="B2473" s="982"/>
      <c r="C2473" s="983"/>
      <c r="D2473" s="969"/>
      <c r="E2473" s="969"/>
    </row>
    <row r="2474" spans="2:5" ht="16.5" x14ac:dyDescent="0.2">
      <c r="B2474" s="982"/>
      <c r="C2474" s="985"/>
      <c r="D2474" s="969"/>
      <c r="E2474" s="969"/>
    </row>
    <row r="2475" spans="2:5" ht="16.5" x14ac:dyDescent="0.2">
      <c r="B2475" s="982"/>
      <c r="C2475" s="985"/>
      <c r="D2475" s="969"/>
      <c r="E2475" s="969"/>
    </row>
    <row r="2476" spans="2:5" ht="16.5" x14ac:dyDescent="0.2">
      <c r="B2476" s="982"/>
      <c r="C2476" s="982"/>
      <c r="D2476" s="969"/>
      <c r="E2476" s="969"/>
    </row>
    <row r="2477" spans="2:5" ht="16.5" x14ac:dyDescent="0.2">
      <c r="B2477" s="982"/>
      <c r="C2477" s="985"/>
      <c r="D2477" s="969"/>
      <c r="E2477" s="969"/>
    </row>
    <row r="2478" spans="2:5" ht="16.5" x14ac:dyDescent="0.2">
      <c r="B2478" s="982"/>
      <c r="C2478" s="985"/>
      <c r="D2478" s="969"/>
      <c r="E2478" s="969"/>
    </row>
    <row r="2479" spans="2:5" ht="16.5" x14ac:dyDescent="0.2">
      <c r="B2479" s="982"/>
      <c r="C2479" s="985"/>
      <c r="D2479" s="969"/>
      <c r="E2479" s="969"/>
    </row>
    <row r="2480" spans="2:5" ht="16.5" x14ac:dyDescent="0.2">
      <c r="B2480" s="982"/>
      <c r="C2480" s="985"/>
      <c r="D2480" s="969"/>
      <c r="E2480" s="969"/>
    </row>
    <row r="2481" spans="2:5" ht="16.5" x14ac:dyDescent="0.2">
      <c r="B2481" s="982"/>
      <c r="C2481" s="985"/>
      <c r="D2481" s="969"/>
      <c r="E2481" s="969"/>
    </row>
    <row r="2482" spans="2:5" ht="16.5" x14ac:dyDescent="0.2">
      <c r="B2482" s="982"/>
      <c r="C2482" s="985"/>
      <c r="D2482" s="969"/>
      <c r="E2482" s="969"/>
    </row>
    <row r="2483" spans="2:5" ht="16.5" x14ac:dyDescent="0.2">
      <c r="B2483" s="982"/>
      <c r="C2483" s="985"/>
      <c r="D2483" s="969"/>
      <c r="E2483" s="969"/>
    </row>
    <row r="2484" spans="2:5" ht="16.5" x14ac:dyDescent="0.2">
      <c r="B2484" s="982"/>
      <c r="C2484" s="985"/>
      <c r="D2484" s="969"/>
      <c r="E2484" s="969"/>
    </row>
    <row r="2485" spans="2:5" ht="16.5" x14ac:dyDescent="0.2">
      <c r="B2485" s="982"/>
      <c r="C2485" s="985"/>
      <c r="D2485" s="969"/>
      <c r="E2485" s="969"/>
    </row>
    <row r="2486" spans="2:5" ht="16.5" x14ac:dyDescent="0.2">
      <c r="B2486" s="982"/>
      <c r="C2486" s="985"/>
      <c r="D2486" s="969"/>
      <c r="E2486" s="969"/>
    </row>
    <row r="2487" spans="2:5" ht="16.5" x14ac:dyDescent="0.2">
      <c r="B2487" s="982"/>
      <c r="C2487" s="985"/>
      <c r="D2487" s="969"/>
      <c r="E2487" s="969"/>
    </row>
    <row r="2488" spans="2:5" ht="16.5" x14ac:dyDescent="0.2">
      <c r="B2488" s="982"/>
      <c r="C2488" s="985"/>
      <c r="D2488" s="969"/>
      <c r="E2488" s="969"/>
    </row>
    <row r="2489" spans="2:5" ht="16.5" x14ac:dyDescent="0.2">
      <c r="B2489" s="982"/>
      <c r="C2489" s="985"/>
      <c r="D2489" s="969"/>
      <c r="E2489" s="969"/>
    </row>
    <row r="2490" spans="2:5" ht="16.5" x14ac:dyDescent="0.2">
      <c r="B2490" s="982"/>
      <c r="C2490" s="982"/>
      <c r="D2490" s="969"/>
      <c r="E2490" s="969"/>
    </row>
    <row r="2491" spans="2:5" ht="16.5" x14ac:dyDescent="0.2">
      <c r="B2491" s="982"/>
      <c r="C2491" s="983"/>
      <c r="D2491" s="969"/>
      <c r="E2491" s="969"/>
    </row>
    <row r="2492" spans="2:5" ht="16.5" x14ac:dyDescent="0.2">
      <c r="B2492" s="982"/>
      <c r="C2492" s="985"/>
      <c r="D2492" s="969"/>
      <c r="E2492" s="969"/>
    </row>
    <row r="2493" spans="2:5" ht="16.5" x14ac:dyDescent="0.2">
      <c r="B2493" s="982"/>
      <c r="C2493" s="985"/>
      <c r="D2493" s="969"/>
      <c r="E2493" s="969"/>
    </row>
    <row r="2494" spans="2:5" ht="16.5" x14ac:dyDescent="0.2">
      <c r="B2494" s="982"/>
      <c r="C2494" s="985"/>
      <c r="D2494" s="969"/>
      <c r="E2494" s="969"/>
    </row>
    <row r="2495" spans="2:5" ht="16.5" x14ac:dyDescent="0.2">
      <c r="B2495" s="982"/>
      <c r="C2495" s="983"/>
      <c r="D2495" s="969"/>
      <c r="E2495" s="969"/>
    </row>
    <row r="2496" spans="2:5" ht="16.5" x14ac:dyDescent="0.2">
      <c r="B2496" s="982"/>
      <c r="C2496" s="985"/>
      <c r="D2496" s="969"/>
      <c r="E2496" s="969"/>
    </row>
    <row r="2497" spans="2:5" ht="16.5" x14ac:dyDescent="0.2">
      <c r="B2497" s="982"/>
      <c r="C2497" s="985"/>
      <c r="D2497" s="969"/>
      <c r="E2497" s="969"/>
    </row>
    <row r="2498" spans="2:5" ht="16.5" x14ac:dyDescent="0.2">
      <c r="B2498" s="982"/>
      <c r="C2498" s="985"/>
      <c r="D2498" s="969"/>
      <c r="E2498" s="969"/>
    </row>
    <row r="2499" spans="2:5" ht="16.5" x14ac:dyDescent="0.2">
      <c r="B2499" s="982"/>
      <c r="C2499" s="982"/>
      <c r="D2499" s="969"/>
      <c r="E2499" s="969"/>
    </row>
    <row r="2500" spans="2:5" ht="16.5" x14ac:dyDescent="0.2">
      <c r="B2500" s="982"/>
      <c r="C2500" s="983"/>
      <c r="D2500" s="969"/>
      <c r="E2500" s="969"/>
    </row>
    <row r="2501" spans="2:5" ht="16.5" x14ac:dyDescent="0.2">
      <c r="B2501" s="982"/>
      <c r="C2501" s="985"/>
      <c r="D2501" s="969"/>
      <c r="E2501" s="969"/>
    </row>
    <row r="2502" spans="2:5" ht="16.5" x14ac:dyDescent="0.2">
      <c r="B2502" s="982"/>
      <c r="C2502" s="985"/>
      <c r="D2502" s="969"/>
      <c r="E2502" s="969"/>
    </row>
    <row r="2503" spans="2:5" ht="16.5" x14ac:dyDescent="0.2">
      <c r="B2503" s="982"/>
      <c r="C2503" s="985"/>
      <c r="D2503" s="969"/>
      <c r="E2503" s="969"/>
    </row>
    <row r="2504" spans="2:5" ht="16.5" x14ac:dyDescent="0.2">
      <c r="B2504" s="982"/>
      <c r="C2504" s="982"/>
      <c r="D2504" s="969"/>
      <c r="E2504" s="969"/>
    </row>
    <row r="2505" spans="2:5" ht="16.5" x14ac:dyDescent="0.2">
      <c r="B2505" s="982"/>
      <c r="C2505" s="983"/>
      <c r="D2505" s="969"/>
      <c r="E2505" s="969"/>
    </row>
    <row r="2506" spans="2:5" ht="16.5" x14ac:dyDescent="0.2">
      <c r="B2506" s="982"/>
      <c r="C2506" s="985"/>
      <c r="D2506" s="969"/>
      <c r="E2506" s="969"/>
    </row>
    <row r="2507" spans="2:5" ht="16.5" x14ac:dyDescent="0.2">
      <c r="B2507" s="982"/>
      <c r="C2507" s="985"/>
      <c r="D2507" s="969"/>
      <c r="E2507" s="969"/>
    </row>
    <row r="2508" spans="2:5" ht="16.5" x14ac:dyDescent="0.2">
      <c r="B2508" s="982"/>
      <c r="C2508" s="985"/>
      <c r="D2508" s="969"/>
      <c r="E2508" s="969"/>
    </row>
    <row r="2509" spans="2:5" ht="16.5" x14ac:dyDescent="0.2">
      <c r="B2509" s="982"/>
      <c r="C2509" s="985"/>
      <c r="D2509" s="969"/>
      <c r="E2509" s="969"/>
    </row>
    <row r="2510" spans="2:5" ht="16.5" x14ac:dyDescent="0.2">
      <c r="B2510" s="982"/>
      <c r="C2510" s="985"/>
      <c r="D2510" s="969"/>
      <c r="E2510" s="969"/>
    </row>
    <row r="2511" spans="2:5" ht="16.5" x14ac:dyDescent="0.2">
      <c r="B2511" s="982"/>
      <c r="C2511" s="985"/>
      <c r="D2511" s="969"/>
      <c r="E2511" s="969"/>
    </row>
    <row r="2512" spans="2:5" ht="16.5" x14ac:dyDescent="0.2">
      <c r="B2512" s="982"/>
      <c r="C2512" s="985"/>
      <c r="D2512" s="969"/>
      <c r="E2512" s="969"/>
    </row>
    <row r="2513" spans="2:5" ht="16.5" x14ac:dyDescent="0.2">
      <c r="B2513" s="982"/>
      <c r="C2513" s="985"/>
      <c r="D2513" s="969"/>
      <c r="E2513" s="969"/>
    </row>
    <row r="2514" spans="2:5" ht="16.5" x14ac:dyDescent="0.2">
      <c r="B2514" s="982"/>
      <c r="C2514" s="985"/>
      <c r="D2514" s="969"/>
      <c r="E2514" s="969"/>
    </row>
    <row r="2515" spans="2:5" ht="16.5" x14ac:dyDescent="0.2">
      <c r="B2515" s="982"/>
      <c r="C2515" s="983"/>
      <c r="D2515" s="969"/>
      <c r="E2515" s="969"/>
    </row>
    <row r="2516" spans="2:5" ht="16.5" x14ac:dyDescent="0.2">
      <c r="B2516" s="982"/>
      <c r="C2516" s="985"/>
      <c r="D2516" s="969"/>
      <c r="E2516" s="969"/>
    </row>
    <row r="2517" spans="2:5" ht="16.5" x14ac:dyDescent="0.2">
      <c r="B2517" s="982"/>
      <c r="C2517" s="986"/>
      <c r="D2517" s="969"/>
      <c r="E2517" s="969"/>
    </row>
    <row r="2518" spans="2:5" ht="16.5" x14ac:dyDescent="0.2">
      <c r="B2518" s="982"/>
      <c r="C2518" s="986"/>
      <c r="D2518" s="969"/>
      <c r="E2518" s="969"/>
    </row>
    <row r="2519" spans="2:5" ht="16.5" x14ac:dyDescent="0.2">
      <c r="B2519" s="982"/>
      <c r="C2519" s="986"/>
      <c r="D2519" s="969"/>
      <c r="E2519" s="969"/>
    </row>
    <row r="2520" spans="2:5" ht="16.5" x14ac:dyDescent="0.2">
      <c r="B2520" s="982"/>
      <c r="C2520" s="985"/>
      <c r="D2520" s="969"/>
      <c r="E2520" s="969"/>
    </row>
    <row r="2521" spans="2:5" ht="16.5" x14ac:dyDescent="0.2">
      <c r="B2521" s="982"/>
      <c r="C2521" s="986"/>
      <c r="D2521" s="969"/>
      <c r="E2521" s="969"/>
    </row>
    <row r="2522" spans="2:5" ht="16.5" x14ac:dyDescent="0.2">
      <c r="B2522" s="982"/>
      <c r="C2522" s="986"/>
      <c r="D2522" s="969"/>
      <c r="E2522" s="969"/>
    </row>
    <row r="2523" spans="2:5" ht="16.5" x14ac:dyDescent="0.2">
      <c r="B2523" s="982"/>
      <c r="C2523" s="986"/>
      <c r="D2523" s="969"/>
      <c r="E2523" s="969"/>
    </row>
    <row r="2524" spans="2:5" ht="16.5" x14ac:dyDescent="0.2">
      <c r="B2524" s="982"/>
      <c r="C2524" s="986"/>
      <c r="D2524" s="969"/>
      <c r="E2524" s="969"/>
    </row>
    <row r="2525" spans="2:5" ht="16.5" x14ac:dyDescent="0.2">
      <c r="B2525" s="982"/>
      <c r="C2525" s="985"/>
      <c r="D2525" s="969"/>
      <c r="E2525" s="969"/>
    </row>
    <row r="2526" spans="2:5" ht="16.5" x14ac:dyDescent="0.2">
      <c r="B2526" s="982"/>
      <c r="C2526" s="986"/>
      <c r="D2526" s="969"/>
      <c r="E2526" s="969"/>
    </row>
    <row r="2527" spans="2:5" ht="16.5" x14ac:dyDescent="0.2">
      <c r="B2527" s="982"/>
      <c r="C2527" s="986"/>
      <c r="D2527" s="969"/>
      <c r="E2527" s="969"/>
    </row>
    <row r="2528" spans="2:5" ht="16.5" x14ac:dyDescent="0.2">
      <c r="B2528" s="982"/>
      <c r="C2528" s="986"/>
      <c r="D2528" s="969"/>
      <c r="E2528" s="969"/>
    </row>
    <row r="2529" spans="2:5" ht="16.5" x14ac:dyDescent="0.2">
      <c r="B2529" s="982"/>
      <c r="C2529" s="983"/>
      <c r="D2529" s="969"/>
      <c r="E2529" s="969"/>
    </row>
    <row r="2530" spans="2:5" ht="16.5" x14ac:dyDescent="0.2">
      <c r="B2530" s="982"/>
      <c r="C2530" s="985"/>
      <c r="D2530" s="969"/>
      <c r="E2530" s="969"/>
    </row>
    <row r="2531" spans="2:5" ht="16.5" x14ac:dyDescent="0.2">
      <c r="B2531" s="982"/>
      <c r="C2531" s="982"/>
      <c r="D2531" s="969"/>
      <c r="E2531" s="969"/>
    </row>
    <row r="2532" spans="2:5" ht="16.5" x14ac:dyDescent="0.2">
      <c r="B2532" s="982"/>
      <c r="C2532" s="985"/>
      <c r="D2532" s="969"/>
      <c r="E2532" s="969"/>
    </row>
    <row r="2533" spans="2:5" ht="16.5" x14ac:dyDescent="0.2">
      <c r="B2533" s="982"/>
      <c r="C2533" s="985"/>
      <c r="D2533" s="969"/>
      <c r="E2533" s="969"/>
    </row>
    <row r="2534" spans="2:5" ht="16.5" x14ac:dyDescent="0.2">
      <c r="B2534" s="982"/>
      <c r="C2534" s="985"/>
      <c r="D2534" s="969"/>
      <c r="E2534" s="969"/>
    </row>
    <row r="2535" spans="2:5" ht="16.5" x14ac:dyDescent="0.2">
      <c r="B2535" s="982"/>
      <c r="C2535" s="985"/>
      <c r="D2535" s="969"/>
      <c r="E2535" s="969"/>
    </row>
    <row r="2536" spans="2:5" ht="16.5" x14ac:dyDescent="0.2">
      <c r="B2536" s="982"/>
      <c r="C2536" s="985"/>
      <c r="D2536" s="969"/>
      <c r="E2536" s="969"/>
    </row>
    <row r="2537" spans="2:5" ht="16.5" x14ac:dyDescent="0.2">
      <c r="B2537" s="982"/>
      <c r="C2537" s="982"/>
      <c r="D2537" s="969"/>
      <c r="E2537" s="969"/>
    </row>
    <row r="2538" spans="2:5" ht="16.5" x14ac:dyDescent="0.2">
      <c r="B2538" s="982"/>
      <c r="C2538" s="985"/>
      <c r="D2538" s="969"/>
      <c r="E2538" s="969"/>
    </row>
    <row r="2539" spans="2:5" ht="16.5" x14ac:dyDescent="0.2">
      <c r="B2539" s="982"/>
      <c r="C2539" s="985"/>
      <c r="D2539" s="969"/>
      <c r="E2539" s="969"/>
    </row>
    <row r="2540" spans="2:5" ht="16.5" x14ac:dyDescent="0.2">
      <c r="B2540" s="982"/>
      <c r="C2540" s="985"/>
      <c r="D2540" s="969"/>
      <c r="E2540" s="969"/>
    </row>
    <row r="2541" spans="2:5" ht="16.5" x14ac:dyDescent="0.2">
      <c r="B2541" s="982"/>
      <c r="C2541" s="985"/>
      <c r="D2541" s="969"/>
      <c r="E2541" s="969"/>
    </row>
    <row r="2542" spans="2:5" ht="16.5" x14ac:dyDescent="0.2">
      <c r="B2542" s="982"/>
      <c r="C2542" s="985"/>
      <c r="D2542" s="969"/>
      <c r="E2542" s="969"/>
    </row>
    <row r="2543" spans="2:5" ht="16.5" x14ac:dyDescent="0.2">
      <c r="B2543" s="982"/>
      <c r="C2543" s="985"/>
      <c r="D2543" s="969"/>
      <c r="E2543" s="969"/>
    </row>
    <row r="2544" spans="2:5" ht="16.5" x14ac:dyDescent="0.2">
      <c r="B2544" s="982"/>
      <c r="C2544" s="985"/>
      <c r="D2544" s="969"/>
      <c r="E2544" s="969"/>
    </row>
    <row r="2545" spans="2:5" ht="16.5" x14ac:dyDescent="0.2">
      <c r="B2545" s="982"/>
      <c r="C2545" s="985"/>
      <c r="D2545" s="969"/>
      <c r="E2545" s="969"/>
    </row>
    <row r="2546" spans="2:5" ht="16.5" x14ac:dyDescent="0.2">
      <c r="B2546" s="982"/>
      <c r="C2546" s="982"/>
      <c r="D2546" s="969"/>
      <c r="E2546" s="969"/>
    </row>
    <row r="2547" spans="2:5" ht="16.5" x14ac:dyDescent="0.2">
      <c r="B2547" s="982"/>
      <c r="C2547" s="985"/>
      <c r="D2547" s="969"/>
      <c r="E2547" s="969"/>
    </row>
    <row r="2548" spans="2:5" ht="16.5" x14ac:dyDescent="0.2">
      <c r="B2548" s="982"/>
      <c r="C2548" s="985"/>
      <c r="D2548" s="969"/>
      <c r="E2548" s="969"/>
    </row>
    <row r="2549" spans="2:5" ht="16.5" x14ac:dyDescent="0.2">
      <c r="B2549" s="982"/>
      <c r="C2549" s="985"/>
      <c r="D2549" s="969"/>
      <c r="E2549" s="969"/>
    </row>
    <row r="2550" spans="2:5" ht="16.5" x14ac:dyDescent="0.2">
      <c r="B2550" s="982"/>
      <c r="C2550" s="982"/>
      <c r="D2550" s="969"/>
      <c r="E2550" s="969"/>
    </row>
    <row r="2551" spans="2:5" ht="16.5" x14ac:dyDescent="0.2">
      <c r="B2551" s="982"/>
      <c r="C2551" s="985"/>
      <c r="D2551" s="969"/>
      <c r="E2551" s="969"/>
    </row>
    <row r="2552" spans="2:5" ht="16.5" x14ac:dyDescent="0.2">
      <c r="B2552" s="982"/>
      <c r="C2552" s="985"/>
      <c r="D2552" s="969"/>
      <c r="E2552" s="969"/>
    </row>
    <row r="2553" spans="2:5" ht="16.5" x14ac:dyDescent="0.2">
      <c r="B2553" s="982"/>
      <c r="C2553" s="985"/>
      <c r="D2553" s="969"/>
      <c r="E2553" s="969"/>
    </row>
    <row r="2554" spans="2:5" ht="16.5" x14ac:dyDescent="0.2">
      <c r="B2554" s="982"/>
      <c r="C2554" s="982"/>
      <c r="D2554" s="969"/>
      <c r="E2554" s="969"/>
    </row>
    <row r="2555" spans="2:5" ht="16.5" x14ac:dyDescent="0.2">
      <c r="B2555" s="982"/>
      <c r="C2555" s="985"/>
      <c r="D2555" s="969"/>
      <c r="E2555" s="969"/>
    </row>
    <row r="2556" spans="2:5" ht="16.5" x14ac:dyDescent="0.2">
      <c r="B2556" s="982"/>
      <c r="C2556" s="985"/>
      <c r="D2556" s="969"/>
      <c r="E2556" s="969"/>
    </row>
    <row r="2557" spans="2:5" ht="16.5" x14ac:dyDescent="0.2">
      <c r="B2557" s="982"/>
      <c r="C2557" s="985"/>
      <c r="D2557" s="969"/>
      <c r="E2557" s="969"/>
    </row>
    <row r="2558" spans="2:5" ht="16.5" x14ac:dyDescent="0.2">
      <c r="B2558" s="982"/>
      <c r="C2558" s="985"/>
      <c r="D2558" s="969"/>
      <c r="E2558" s="969"/>
    </row>
    <row r="2559" spans="2:5" ht="16.5" x14ac:dyDescent="0.2">
      <c r="B2559" s="982"/>
      <c r="C2559" s="985"/>
      <c r="D2559" s="969"/>
      <c r="E2559" s="969"/>
    </row>
    <row r="2560" spans="2:5" ht="16.5" x14ac:dyDescent="0.2">
      <c r="B2560" s="982"/>
      <c r="C2560" s="985"/>
      <c r="D2560" s="969"/>
      <c r="E2560" s="969"/>
    </row>
    <row r="2561" spans="2:5" ht="16.5" x14ac:dyDescent="0.3">
      <c r="B2561" s="987"/>
      <c r="C2561" s="988"/>
      <c r="D2561" s="969"/>
      <c r="E2561" s="969"/>
    </row>
    <row r="2562" spans="2:5" ht="16.5" x14ac:dyDescent="0.2">
      <c r="B2562" s="971"/>
      <c r="C2562" s="982"/>
      <c r="D2562" s="969"/>
      <c r="E2562" s="969"/>
    </row>
    <row r="2563" spans="2:5" ht="16.5" x14ac:dyDescent="0.2">
      <c r="B2563" s="971"/>
      <c r="C2563" s="982"/>
      <c r="D2563" s="969"/>
      <c r="E2563" s="969"/>
    </row>
    <row r="2564" spans="2:5" ht="16.5" x14ac:dyDescent="0.2">
      <c r="B2564" s="971"/>
      <c r="C2564" s="982"/>
      <c r="D2564" s="969"/>
      <c r="E2564" s="969"/>
    </row>
    <row r="2565" spans="2:5" ht="16.5" x14ac:dyDescent="0.2">
      <c r="B2565" s="971"/>
      <c r="C2565" s="982"/>
      <c r="D2565" s="969"/>
      <c r="E2565" s="969"/>
    </row>
    <row r="2566" spans="2:5" ht="16.5" x14ac:dyDescent="0.2">
      <c r="B2566" s="989"/>
      <c r="C2566" s="990"/>
      <c r="D2566" s="969"/>
      <c r="E2566" s="969"/>
    </row>
    <row r="2567" spans="2:5" ht="16.5" x14ac:dyDescent="0.2">
      <c r="B2567" s="971"/>
      <c r="C2567" s="991"/>
      <c r="D2567" s="969"/>
      <c r="E2567" s="969"/>
    </row>
    <row r="2568" spans="2:5" ht="16.5" x14ac:dyDescent="0.2">
      <c r="B2568" s="982"/>
      <c r="C2568" s="983"/>
      <c r="D2568" s="969"/>
      <c r="E2568" s="969"/>
    </row>
    <row r="2569" spans="2:5" ht="16.5" x14ac:dyDescent="0.2">
      <c r="B2569" s="982"/>
      <c r="C2569" s="985"/>
      <c r="D2569" s="969"/>
      <c r="E2569" s="969"/>
    </row>
    <row r="2570" spans="2:5" ht="16.5" x14ac:dyDescent="0.2">
      <c r="B2570" s="982"/>
      <c r="C2570" s="985"/>
      <c r="D2570" s="969"/>
      <c r="E2570" s="969"/>
    </row>
    <row r="2571" spans="2:5" ht="16.5" x14ac:dyDescent="0.2">
      <c r="B2571" s="982"/>
      <c r="C2571" s="985"/>
      <c r="D2571" s="969"/>
      <c r="E2571" s="969"/>
    </row>
    <row r="2572" spans="2:5" ht="16.5" x14ac:dyDescent="0.2">
      <c r="B2572" s="982"/>
      <c r="C2572" s="985"/>
      <c r="D2572" s="969"/>
      <c r="E2572" s="969"/>
    </row>
    <row r="2573" spans="2:5" ht="16.5" x14ac:dyDescent="0.2">
      <c r="B2573" s="982"/>
      <c r="C2573" s="983"/>
      <c r="D2573" s="969"/>
      <c r="E2573" s="969"/>
    </row>
    <row r="2574" spans="2:5" ht="16.5" x14ac:dyDescent="0.2">
      <c r="B2574" s="982"/>
      <c r="C2574" s="982"/>
      <c r="D2574" s="969"/>
      <c r="E2574" s="969"/>
    </row>
    <row r="2575" spans="2:5" ht="16.5" x14ac:dyDescent="0.2">
      <c r="B2575" s="982"/>
      <c r="C2575" s="983"/>
      <c r="D2575" s="969"/>
      <c r="E2575" s="969"/>
    </row>
    <row r="2576" spans="2:5" ht="16.5" x14ac:dyDescent="0.2">
      <c r="B2576" s="982"/>
      <c r="C2576" s="985"/>
      <c r="D2576" s="969"/>
      <c r="E2576" s="969"/>
    </row>
    <row r="2577" spans="2:5" ht="16.5" x14ac:dyDescent="0.2">
      <c r="B2577" s="992"/>
      <c r="C2577" s="990"/>
      <c r="D2577" s="969"/>
      <c r="E2577" s="969"/>
    </row>
    <row r="2578" spans="2:5" ht="16.5" x14ac:dyDescent="0.2">
      <c r="B2578" s="982"/>
      <c r="C2578" s="991"/>
      <c r="D2578" s="969"/>
      <c r="E2578" s="969"/>
    </row>
    <row r="2579" spans="2:5" ht="16.5" x14ac:dyDescent="0.2">
      <c r="B2579" s="982"/>
      <c r="C2579" s="993"/>
      <c r="D2579" s="969"/>
      <c r="E2579" s="969"/>
    </row>
    <row r="2580" spans="2:5" ht="16.5" x14ac:dyDescent="0.3">
      <c r="B2580" s="987"/>
      <c r="C2580" s="988"/>
      <c r="D2580" s="969"/>
      <c r="E2580" s="969"/>
    </row>
    <row r="2581" spans="2:5" ht="16.5" x14ac:dyDescent="0.2">
      <c r="B2581" s="971"/>
      <c r="C2581" s="982"/>
      <c r="D2581" s="969"/>
      <c r="E2581" s="969"/>
    </row>
    <row r="2582" spans="2:5" ht="16.5" x14ac:dyDescent="0.2">
      <c r="B2582" s="971"/>
      <c r="C2582" s="982"/>
      <c r="D2582" s="969"/>
      <c r="E2582" s="969"/>
    </row>
    <row r="2583" spans="2:5" ht="16.5" x14ac:dyDescent="0.2">
      <c r="B2583" s="971"/>
      <c r="C2583" s="982"/>
      <c r="D2583" s="969"/>
      <c r="E2583" s="969"/>
    </row>
    <row r="2584" spans="2:5" ht="16.5" x14ac:dyDescent="0.2">
      <c r="B2584" s="971"/>
      <c r="C2584" s="982"/>
      <c r="D2584" s="969"/>
      <c r="E2584" s="969"/>
    </row>
    <row r="2585" spans="2:5" ht="16.5" x14ac:dyDescent="0.2">
      <c r="B2585" s="989"/>
      <c r="C2585" s="990"/>
      <c r="D2585" s="969"/>
      <c r="E2585" s="969"/>
    </row>
    <row r="2586" spans="2:5" ht="16.5" x14ac:dyDescent="0.2">
      <c r="B2586" s="971"/>
      <c r="C2586" s="991"/>
      <c r="D2586" s="969"/>
      <c r="E2586" s="969"/>
    </row>
    <row r="2587" spans="2:5" ht="16.5" x14ac:dyDescent="0.2">
      <c r="B2587" s="982"/>
      <c r="C2587" s="983"/>
      <c r="D2587" s="969"/>
      <c r="E2587" s="969"/>
    </row>
    <row r="2588" spans="2:5" ht="16.5" x14ac:dyDescent="0.2">
      <c r="B2588" s="982"/>
      <c r="C2588" s="985"/>
      <c r="D2588" s="969"/>
      <c r="E2588" s="969"/>
    </row>
    <row r="2589" spans="2:5" ht="16.5" x14ac:dyDescent="0.2">
      <c r="B2589" s="982"/>
      <c r="C2589" s="985"/>
      <c r="D2589" s="969"/>
      <c r="E2589" s="969"/>
    </row>
    <row r="2590" spans="2:5" ht="16.5" x14ac:dyDescent="0.2">
      <c r="B2590" s="982"/>
      <c r="C2590" s="985"/>
      <c r="D2590" s="969"/>
      <c r="E2590" s="969"/>
    </row>
    <row r="2591" spans="2:5" ht="16.5" x14ac:dyDescent="0.2">
      <c r="B2591" s="982"/>
      <c r="C2591" s="985"/>
      <c r="D2591" s="969"/>
      <c r="E2591" s="969"/>
    </row>
    <row r="2592" spans="2:5" ht="16.5" x14ac:dyDescent="0.2">
      <c r="B2592" s="982"/>
      <c r="C2592" s="983"/>
      <c r="D2592" s="969"/>
      <c r="E2592" s="969"/>
    </row>
    <row r="2593" spans="2:26" ht="16.5" x14ac:dyDescent="0.2">
      <c r="B2593" s="982"/>
      <c r="C2593" s="982"/>
      <c r="D2593" s="969"/>
      <c r="E2593" s="969"/>
    </row>
    <row r="2594" spans="2:26" ht="16.5" x14ac:dyDescent="0.2">
      <c r="B2594" s="982"/>
      <c r="C2594" s="983"/>
      <c r="D2594" s="969"/>
      <c r="E2594" s="969"/>
    </row>
    <row r="2595" spans="2:26" ht="16.5" x14ac:dyDescent="0.2">
      <c r="B2595" s="982"/>
      <c r="C2595" s="985"/>
      <c r="D2595" s="969"/>
      <c r="E2595" s="969"/>
    </row>
    <row r="2596" spans="2:26" ht="16.5" x14ac:dyDescent="0.2">
      <c r="B2596" s="992"/>
      <c r="C2596" s="990"/>
      <c r="D2596" s="969"/>
      <c r="E2596" s="969"/>
    </row>
    <row r="2597" spans="2:26" ht="16.5" x14ac:dyDescent="0.2">
      <c r="B2597" s="982"/>
      <c r="C2597" s="991"/>
      <c r="D2597" s="969"/>
      <c r="E2597" s="969"/>
      <c r="F2597" s="969"/>
      <c r="G2597" s="1001"/>
      <c r="H2597" s="1001"/>
    </row>
    <row r="2598" spans="2:26" ht="16.5" x14ac:dyDescent="0.2">
      <c r="B2598" s="982"/>
      <c r="C2598" s="993"/>
      <c r="D2598" s="969"/>
      <c r="E2598" s="969"/>
      <c r="F2598" s="969"/>
      <c r="G2598" s="1001"/>
      <c r="H2598" s="1001"/>
    </row>
    <row r="2599" spans="2:26" ht="16.5" x14ac:dyDescent="0.3">
      <c r="B2599" s="987"/>
      <c r="C2599" s="988"/>
      <c r="D2599" s="995"/>
      <c r="E2599" s="996"/>
      <c r="F2599" s="995"/>
      <c r="G2599" s="1002"/>
      <c r="H2599" s="1009"/>
      <c r="I2599" s="1011"/>
      <c r="J2599" s="1007"/>
      <c r="K2599" s="1007"/>
      <c r="L2599" s="1007"/>
      <c r="M2599" s="1007"/>
      <c r="N2599" s="1007"/>
      <c r="O2599" s="1007"/>
      <c r="P2599" s="1007"/>
      <c r="Q2599" s="1007"/>
      <c r="R2599" s="1007"/>
      <c r="S2599" s="1007"/>
      <c r="T2599" s="1007"/>
      <c r="U2599" s="1007"/>
      <c r="V2599" s="1007"/>
      <c r="W2599" s="1007"/>
      <c r="X2599" s="1007"/>
      <c r="Y2599" s="1007"/>
      <c r="Z2599" s="1007"/>
    </row>
    <row r="2600" spans="2:26" ht="16.5" x14ac:dyDescent="0.25">
      <c r="B2600" s="971"/>
      <c r="C2600" s="982"/>
      <c r="D2600" s="972"/>
      <c r="E2600" s="996"/>
      <c r="F2600" s="972"/>
      <c r="G2600" s="1002"/>
      <c r="H2600" s="1009"/>
      <c r="I2600" s="1011"/>
      <c r="J2600" s="1007"/>
      <c r="K2600" s="1007"/>
      <c r="L2600" s="1007"/>
      <c r="M2600" s="1007"/>
      <c r="N2600" s="1007"/>
      <c r="O2600" s="1007"/>
      <c r="P2600" s="1007"/>
      <c r="Q2600" s="1007"/>
      <c r="R2600" s="1007"/>
      <c r="S2600" s="1007"/>
      <c r="T2600" s="1007"/>
      <c r="U2600" s="1007"/>
      <c r="V2600" s="1007"/>
      <c r="W2600" s="1007"/>
      <c r="X2600" s="1007"/>
      <c r="Y2600" s="1007"/>
      <c r="Z2600" s="1007" t="s">
        <v>3168</v>
      </c>
    </row>
    <row r="2601" spans="2:26" ht="16.5" x14ac:dyDescent="0.25">
      <c r="B2601" s="971"/>
      <c r="C2601" s="982"/>
      <c r="D2601" s="972"/>
      <c r="E2601" s="996"/>
      <c r="F2601" s="997"/>
      <c r="G2601" s="1002"/>
      <c r="H2601" s="1009"/>
      <c r="I2601" s="1011"/>
      <c r="J2601" s="1007"/>
      <c r="K2601" s="1007"/>
      <c r="L2601" s="1007"/>
      <c r="M2601" s="1007"/>
      <c r="N2601" s="1007"/>
      <c r="O2601" s="1007"/>
      <c r="P2601" s="1007"/>
      <c r="Q2601" s="1007"/>
      <c r="R2601" s="1007"/>
      <c r="S2601" s="1007"/>
      <c r="T2601" s="1007"/>
      <c r="U2601" s="1007"/>
      <c r="V2601" s="1007"/>
      <c r="W2601" s="1007"/>
      <c r="X2601" s="1007"/>
      <c r="Y2601" s="1007"/>
      <c r="Z2601" s="1007" t="s">
        <v>3169</v>
      </c>
    </row>
    <row r="2602" spans="2:26" ht="16.5" x14ac:dyDescent="0.25">
      <c r="B2602" s="971"/>
      <c r="C2602" s="982"/>
      <c r="D2602" s="972"/>
      <c r="E2602" s="996"/>
      <c r="F2602" s="997"/>
      <c r="G2602" s="1002"/>
      <c r="H2602" s="1009"/>
      <c r="I2602" s="1011"/>
      <c r="J2602" s="1007"/>
      <c r="K2602" s="1007"/>
      <c r="L2602" s="1007"/>
      <c r="M2602" s="1007"/>
      <c r="N2602" s="1007"/>
      <c r="O2602" s="1007"/>
      <c r="P2602" s="1007"/>
      <c r="Q2602" s="1007"/>
      <c r="R2602" s="1007"/>
      <c r="S2602" s="1007"/>
      <c r="T2602" s="1007"/>
      <c r="U2602" s="1007"/>
      <c r="V2602" s="1007"/>
      <c r="W2602" s="1007"/>
      <c r="X2602" s="1007"/>
      <c r="Y2602" s="1007"/>
      <c r="Z2602" s="1007" t="s">
        <v>1117</v>
      </c>
    </row>
    <row r="2603" spans="2:26" ht="16.5" x14ac:dyDescent="0.25">
      <c r="B2603" s="971"/>
      <c r="C2603" s="982"/>
      <c r="D2603" s="972"/>
      <c r="E2603" s="996"/>
      <c r="F2603" s="998"/>
      <c r="G2603" s="1002"/>
      <c r="H2603" s="1009"/>
      <c r="I2603" s="1011"/>
      <c r="J2603" s="1007"/>
      <c r="K2603" s="1007"/>
      <c r="L2603" s="1007"/>
      <c r="M2603" s="1007"/>
      <c r="N2603" s="1007"/>
      <c r="O2603" s="1007"/>
      <c r="P2603" s="1007"/>
      <c r="Q2603" s="1007"/>
      <c r="R2603" s="1007"/>
      <c r="S2603" s="1007"/>
      <c r="T2603" s="1007"/>
      <c r="U2603" s="1007"/>
      <c r="V2603" s="1007"/>
      <c r="W2603" s="1007"/>
      <c r="X2603" s="1007"/>
      <c r="Y2603" s="1007"/>
      <c r="Z2603" s="1007" t="s">
        <v>940</v>
      </c>
    </row>
    <row r="2604" spans="2:26" ht="16.5" x14ac:dyDescent="0.25">
      <c r="B2604" s="989"/>
      <c r="C2604" s="990"/>
      <c r="D2604" s="972"/>
      <c r="E2604" s="996"/>
      <c r="F2604" s="972"/>
      <c r="G2604" s="1002"/>
      <c r="H2604" s="1009"/>
      <c r="I2604" s="1011"/>
      <c r="J2604" s="1007"/>
      <c r="K2604" s="1007"/>
      <c r="L2604" s="1007"/>
      <c r="M2604" s="1007"/>
      <c r="N2604" s="1007"/>
      <c r="O2604" s="1007"/>
      <c r="P2604" s="1007"/>
      <c r="Q2604" s="1007"/>
      <c r="R2604" s="1007"/>
      <c r="S2604" s="1007"/>
      <c r="T2604" s="1007"/>
      <c r="U2604" s="1007"/>
      <c r="V2604" s="1007"/>
      <c r="W2604" s="1007"/>
      <c r="X2604" s="1007"/>
      <c r="Y2604" s="1007"/>
      <c r="Z2604" s="1007"/>
    </row>
    <row r="2605" spans="2:26" ht="16.5" x14ac:dyDescent="0.25">
      <c r="B2605" s="971"/>
      <c r="C2605" s="991"/>
      <c r="D2605" s="995"/>
      <c r="E2605" s="996"/>
      <c r="F2605" s="995"/>
      <c r="G2605" s="1002"/>
      <c r="H2605" s="1009"/>
      <c r="I2605" s="1011"/>
      <c r="J2605" s="1007"/>
      <c r="K2605" s="1007"/>
      <c r="L2605" s="1007"/>
      <c r="M2605" s="1007"/>
      <c r="N2605" s="1007"/>
      <c r="O2605" s="1007"/>
      <c r="P2605" s="1007"/>
      <c r="Q2605" s="1007"/>
      <c r="R2605" s="1007"/>
      <c r="S2605" s="1007"/>
      <c r="T2605" s="1007"/>
      <c r="U2605" s="1007"/>
      <c r="V2605" s="1007"/>
      <c r="W2605" s="1007"/>
      <c r="X2605" s="1007"/>
      <c r="Y2605" s="1007"/>
      <c r="Z2605" s="1007"/>
    </row>
    <row r="2606" spans="2:26" ht="16.5" x14ac:dyDescent="0.25">
      <c r="B2606" s="982"/>
      <c r="C2606" s="983"/>
      <c r="D2606" s="972"/>
      <c r="E2606" s="996"/>
      <c r="F2606" s="995"/>
      <c r="G2606" s="1002"/>
      <c r="H2606" s="1009"/>
      <c r="I2606" s="1011"/>
      <c r="J2606" s="1007"/>
      <c r="K2606" s="1007"/>
      <c r="L2606" s="1007"/>
      <c r="M2606" s="1007"/>
      <c r="N2606" s="1007"/>
      <c r="O2606" s="1007"/>
      <c r="P2606" s="1007"/>
      <c r="Q2606" s="1007"/>
      <c r="R2606" s="1007"/>
      <c r="S2606" s="1007"/>
      <c r="T2606" s="1007"/>
      <c r="U2606" s="1007"/>
      <c r="V2606" s="1007"/>
      <c r="W2606" s="1007"/>
      <c r="X2606" s="1007"/>
      <c r="Y2606" s="1007"/>
      <c r="Z2606" s="1007"/>
    </row>
    <row r="2607" spans="2:26" ht="16.5" x14ac:dyDescent="0.25">
      <c r="B2607" s="982"/>
      <c r="C2607" s="985"/>
      <c r="D2607" s="972"/>
      <c r="E2607" s="996"/>
      <c r="F2607" s="999"/>
      <c r="G2607" s="1002"/>
      <c r="H2607" s="1015"/>
      <c r="I2607" s="1011"/>
      <c r="J2607" s="1007"/>
      <c r="K2607" s="1007"/>
      <c r="L2607" s="1007"/>
      <c r="M2607" s="1007"/>
      <c r="N2607" s="1007"/>
      <c r="O2607" s="1007"/>
      <c r="P2607" s="1007"/>
      <c r="Q2607" s="1007"/>
      <c r="R2607" s="1007"/>
      <c r="S2607" s="1007"/>
      <c r="T2607" s="1007"/>
      <c r="U2607" s="1007"/>
      <c r="V2607" s="1007"/>
      <c r="W2607" s="1007"/>
      <c r="X2607" s="1007"/>
      <c r="Y2607" s="1007"/>
      <c r="Z2607" s="1007"/>
    </row>
    <row r="2608" spans="2:26" ht="16.5" x14ac:dyDescent="0.25">
      <c r="B2608" s="982"/>
      <c r="C2608" s="985"/>
      <c r="D2608" s="972"/>
      <c r="E2608" s="996"/>
      <c r="F2608" s="999"/>
      <c r="G2608" s="1002"/>
      <c r="H2608" s="1009"/>
      <c r="I2608" s="1011"/>
      <c r="J2608" s="1007"/>
      <c r="K2608" s="1007"/>
      <c r="L2608" s="1007"/>
      <c r="M2608" s="1007"/>
      <c r="N2608" s="1007"/>
      <c r="O2608" s="1007"/>
      <c r="P2608" s="1007"/>
      <c r="Q2608" s="1007"/>
      <c r="R2608" s="1007"/>
      <c r="S2608" s="1007"/>
      <c r="T2608" s="1007"/>
      <c r="U2608" s="1007"/>
      <c r="V2608" s="1007"/>
      <c r="W2608" s="1007"/>
      <c r="X2608" s="1007"/>
      <c r="Y2608" s="1007"/>
      <c r="Z2608" s="1007"/>
    </row>
    <row r="2609" spans="2:26" ht="16.5" x14ac:dyDescent="0.25">
      <c r="B2609" s="982"/>
      <c r="C2609" s="985"/>
      <c r="D2609" s="972"/>
      <c r="E2609" s="996"/>
      <c r="F2609" s="999"/>
      <c r="G2609" s="1002"/>
      <c r="H2609" s="1009"/>
      <c r="I2609" s="1011"/>
      <c r="J2609" s="1007"/>
      <c r="K2609" s="1007"/>
      <c r="L2609" s="1007"/>
      <c r="M2609" s="1007"/>
      <c r="N2609" s="1007"/>
      <c r="O2609" s="1007"/>
      <c r="P2609" s="1007"/>
      <c r="Q2609" s="1007"/>
      <c r="R2609" s="1007"/>
      <c r="S2609" s="1007"/>
      <c r="T2609" s="1007"/>
      <c r="U2609" s="1007"/>
      <c r="V2609" s="1007"/>
      <c r="W2609" s="1007"/>
      <c r="X2609" s="1007"/>
      <c r="Y2609" s="1007"/>
      <c r="Z2609" s="1007"/>
    </row>
    <row r="2610" spans="2:26" ht="16.5" x14ac:dyDescent="0.25">
      <c r="B2610" s="982"/>
      <c r="C2610" s="985"/>
      <c r="D2610" s="972"/>
      <c r="E2610" s="996"/>
      <c r="F2610" s="995"/>
      <c r="G2610" s="1002"/>
      <c r="H2610" s="1009"/>
      <c r="I2610" s="1006"/>
      <c r="J2610" s="1007"/>
      <c r="K2610" s="1007"/>
      <c r="L2610" s="1007"/>
      <c r="M2610" s="1007"/>
      <c r="N2610" s="1007"/>
      <c r="O2610" s="1007"/>
      <c r="P2610" s="1007"/>
      <c r="Q2610" s="1007"/>
      <c r="R2610" s="1007"/>
      <c r="S2610" s="1007"/>
      <c r="T2610" s="1007"/>
      <c r="U2610" s="1007"/>
      <c r="V2610" s="1007"/>
      <c r="W2610" s="1007"/>
      <c r="X2610" s="1007"/>
      <c r="Y2610" s="1007"/>
      <c r="Z2610" s="1007"/>
    </row>
    <row r="2611" spans="2:26" ht="16.5" x14ac:dyDescent="0.25">
      <c r="B2611" s="982"/>
      <c r="C2611" s="983"/>
      <c r="D2611" s="972"/>
      <c r="E2611" s="996"/>
      <c r="F2611" s="995"/>
      <c r="G2611" s="1002"/>
      <c r="H2611" s="1009"/>
      <c r="I2611" s="1016"/>
      <c r="J2611" s="1016"/>
      <c r="Q2611" s="1007"/>
      <c r="R2611" s="1007"/>
      <c r="S2611" s="1007"/>
      <c r="T2611" s="1007"/>
      <c r="U2611" s="1007"/>
      <c r="V2611" s="1007"/>
      <c r="W2611" s="1007"/>
      <c r="X2611" s="1007"/>
      <c r="Y2611" s="1007"/>
      <c r="Z2611" s="1007"/>
    </row>
    <row r="2612" spans="2:26" ht="16.5" x14ac:dyDescent="0.25">
      <c r="B2612" s="982"/>
      <c r="C2612" s="982"/>
      <c r="D2612" s="972"/>
      <c r="E2612" s="996"/>
      <c r="F2612" s="995"/>
      <c r="G2612" s="1002"/>
      <c r="H2612" s="1009"/>
      <c r="I2612" s="1006"/>
      <c r="J2612" s="1007"/>
      <c r="K2612" s="1007"/>
      <c r="L2612" s="1007"/>
      <c r="M2612" s="1007"/>
      <c r="N2612" s="1007"/>
      <c r="O2612" s="1007"/>
      <c r="P2612" s="1007"/>
      <c r="Q2612" s="1007"/>
      <c r="R2612" s="1007"/>
      <c r="S2612" s="1007"/>
      <c r="T2612" s="1007"/>
      <c r="U2612" s="1007"/>
      <c r="V2612" s="1007"/>
      <c r="W2612" s="1007"/>
      <c r="X2612" s="1007"/>
      <c r="Y2612" s="1007"/>
      <c r="Z2612" s="1007"/>
    </row>
    <row r="2613" spans="2:26" ht="16.5" x14ac:dyDescent="0.25">
      <c r="B2613" s="982"/>
      <c r="C2613" s="983"/>
      <c r="D2613" s="972"/>
      <c r="E2613" s="996"/>
      <c r="F2613" s="995"/>
      <c r="G2613" s="1002"/>
      <c r="H2613" s="1009"/>
      <c r="I2613" s="1006"/>
      <c r="J2613" s="1007"/>
      <c r="K2613" s="1007"/>
      <c r="L2613" s="1007"/>
      <c r="M2613" s="1007"/>
      <c r="N2613" s="1007"/>
      <c r="O2613" s="1007"/>
      <c r="P2613" s="1007"/>
      <c r="Q2613" s="1007"/>
      <c r="R2613" s="1007"/>
      <c r="S2613" s="1007"/>
      <c r="T2613" s="1007"/>
      <c r="U2613" s="1007"/>
      <c r="V2613" s="1007"/>
      <c r="W2613" s="1007"/>
      <c r="X2613" s="1007"/>
      <c r="Y2613" s="1007"/>
      <c r="Z2613" s="1007"/>
    </row>
    <row r="2614" spans="2:26" ht="16.5" x14ac:dyDescent="0.25">
      <c r="B2614" s="982"/>
      <c r="C2614" s="985"/>
      <c r="D2614" s="972"/>
      <c r="E2614" s="996"/>
      <c r="F2614" s="999"/>
      <c r="G2614" s="1002"/>
      <c r="H2614" s="1009"/>
      <c r="I2614" s="1006"/>
      <c r="J2614" s="1007"/>
      <c r="K2614" s="1007"/>
      <c r="L2614" s="1007"/>
      <c r="M2614" s="1007"/>
      <c r="N2614" s="1007"/>
      <c r="O2614" s="1007"/>
      <c r="P2614" s="1007"/>
      <c r="Q2614" s="1007"/>
      <c r="R2614" s="1007"/>
      <c r="S2614" s="1007"/>
      <c r="T2614" s="1007"/>
      <c r="U2614" s="1007"/>
      <c r="V2614" s="1007"/>
      <c r="W2614" s="1007"/>
      <c r="X2614" s="1007"/>
      <c r="Y2614" s="1007"/>
      <c r="Z2614" s="1007"/>
    </row>
    <row r="2615" spans="2:26" ht="16.5" x14ac:dyDescent="0.25">
      <c r="B2615" s="992"/>
      <c r="C2615" s="990"/>
      <c r="D2615" s="972"/>
      <c r="E2615" s="996"/>
      <c r="F2615" s="995"/>
      <c r="G2615" s="1002"/>
      <c r="H2615" s="1009"/>
      <c r="I2615" s="1006"/>
      <c r="J2615" s="1007"/>
      <c r="K2615" s="1007"/>
      <c r="L2615" s="1007"/>
      <c r="M2615" s="1007"/>
      <c r="N2615" s="1007"/>
      <c r="O2615" s="1007"/>
      <c r="P2615" s="1007"/>
      <c r="Q2615" s="1007"/>
      <c r="R2615" s="1007"/>
      <c r="S2615" s="1007"/>
      <c r="T2615" s="1007"/>
      <c r="U2615" s="1007"/>
      <c r="V2615" s="1007"/>
      <c r="W2615" s="1007"/>
      <c r="X2615" s="1007"/>
      <c r="Y2615" s="1007"/>
      <c r="Z2615" s="1007"/>
    </row>
    <row r="2616" spans="2:26" ht="16.5" x14ac:dyDescent="0.25">
      <c r="B2616" s="982"/>
      <c r="C2616" s="991"/>
      <c r="D2616" s="995"/>
      <c r="E2616" s="996"/>
      <c r="F2616" s="995"/>
      <c r="G2616" s="1002"/>
      <c r="H2616" s="1009"/>
      <c r="I2616" s="1006"/>
      <c r="J2616" s="1007"/>
      <c r="K2616" s="1007"/>
      <c r="L2616" s="1007"/>
      <c r="M2616" s="1007"/>
      <c r="N2616" s="1007"/>
      <c r="O2616" s="1007"/>
      <c r="P2616" s="1007"/>
      <c r="Q2616" s="1007"/>
      <c r="R2616" s="1007"/>
      <c r="S2616" s="1007"/>
      <c r="T2616" s="1007"/>
      <c r="U2616" s="1007"/>
      <c r="V2616" s="1007"/>
      <c r="W2616" s="1007"/>
      <c r="X2616" s="1007"/>
      <c r="Y2616" s="1007"/>
      <c r="Z2616" s="1007"/>
    </row>
    <row r="2617" spans="2:26" ht="16.5" x14ac:dyDescent="0.25">
      <c r="B2617" s="982"/>
      <c r="C2617" s="993"/>
      <c r="D2617" s="972"/>
      <c r="E2617" s="996"/>
      <c r="F2617" s="995"/>
      <c r="G2617" s="1002"/>
      <c r="H2617" s="1009"/>
      <c r="I2617" s="1006"/>
      <c r="J2617" s="1007"/>
      <c r="K2617" s="1007"/>
      <c r="L2617" s="1007"/>
      <c r="M2617" s="1007"/>
      <c r="N2617" s="1007"/>
      <c r="O2617" s="1007"/>
      <c r="P2617" s="1007"/>
      <c r="Q2617" s="1007"/>
      <c r="R2617" s="1007"/>
      <c r="S2617" s="1007"/>
      <c r="T2617" s="1007"/>
      <c r="U2617" s="1007"/>
      <c r="V2617" s="1007"/>
      <c r="W2617" s="1007"/>
      <c r="X2617" s="1007"/>
      <c r="Y2617" s="1007"/>
      <c r="Z2617" s="1007"/>
    </row>
    <row r="2618" spans="2:26" ht="16.5" x14ac:dyDescent="0.3">
      <c r="B2618" s="987"/>
      <c r="C2618" s="988"/>
      <c r="D2618" s="969"/>
      <c r="E2618" s="969"/>
      <c r="F2618" s="969"/>
      <c r="G2618" s="1001"/>
      <c r="H2618" s="1001"/>
      <c r="I2618" s="1001"/>
      <c r="J2618" s="1001"/>
      <c r="K2618" s="1001"/>
      <c r="L2618" s="1001"/>
      <c r="M2618" s="1001"/>
    </row>
    <row r="2619" spans="2:26" ht="16.5" x14ac:dyDescent="0.2">
      <c r="B2619" s="971"/>
      <c r="C2619" s="982"/>
      <c r="D2619" s="969"/>
      <c r="E2619" s="969"/>
      <c r="F2619" s="969"/>
      <c r="G2619" s="1001"/>
      <c r="H2619" s="1001"/>
      <c r="I2619" s="1001"/>
      <c r="J2619" s="1001"/>
      <c r="K2619" s="1001"/>
      <c r="L2619" s="1001"/>
      <c r="M2619" s="1001"/>
    </row>
    <row r="2620" spans="2:26" ht="16.5" x14ac:dyDescent="0.2">
      <c r="B2620" s="971"/>
      <c r="C2620" s="982"/>
      <c r="D2620" s="969"/>
      <c r="E2620" s="969"/>
      <c r="F2620" s="969"/>
      <c r="G2620" s="1001"/>
      <c r="H2620" s="1001"/>
      <c r="I2620" s="1001"/>
      <c r="J2620" s="1001"/>
      <c r="K2620" s="1001"/>
      <c r="L2620" s="1001"/>
      <c r="M2620" s="1001"/>
    </row>
    <row r="2621" spans="2:26" ht="16.5" x14ac:dyDescent="0.2">
      <c r="B2621" s="971"/>
      <c r="C2621" s="982"/>
      <c r="D2621" s="969"/>
      <c r="E2621" s="969"/>
      <c r="F2621" s="969"/>
      <c r="G2621" s="1001"/>
      <c r="H2621" s="1001"/>
      <c r="I2621" s="1001"/>
      <c r="J2621" s="1001"/>
      <c r="K2621" s="1001"/>
      <c r="L2621" s="1001"/>
      <c r="M2621" s="1001"/>
    </row>
    <row r="2622" spans="2:26" ht="16.5" x14ac:dyDescent="0.2">
      <c r="B2622" s="971"/>
      <c r="C2622" s="982"/>
      <c r="D2622" s="969"/>
      <c r="E2622" s="969"/>
      <c r="F2622" s="969"/>
      <c r="G2622" s="1001"/>
      <c r="H2622" s="1001"/>
      <c r="I2622" s="1001"/>
      <c r="J2622" s="1001"/>
      <c r="K2622" s="1001"/>
      <c r="L2622" s="1001"/>
      <c r="M2622" s="1001"/>
    </row>
    <row r="2623" spans="2:26" ht="16.5" x14ac:dyDescent="0.2">
      <c r="B2623" s="989"/>
      <c r="C2623" s="990"/>
      <c r="D2623" s="969"/>
      <c r="E2623" s="969"/>
      <c r="F2623" s="969"/>
      <c r="G2623" s="1001"/>
      <c r="H2623" s="1001"/>
      <c r="I2623" s="1001"/>
      <c r="J2623" s="1001"/>
      <c r="K2623" s="1001"/>
      <c r="L2623" s="1001"/>
      <c r="M2623" s="1001"/>
    </row>
    <row r="2624" spans="2:26" ht="16.5" x14ac:dyDescent="0.2">
      <c r="B2624" s="971"/>
      <c r="C2624" s="991"/>
      <c r="D2624" s="969"/>
      <c r="E2624" s="969"/>
      <c r="F2624" s="969"/>
      <c r="G2624" s="1001"/>
      <c r="H2624" s="1001"/>
      <c r="I2624" s="1001"/>
      <c r="J2624" s="1001"/>
      <c r="K2624" s="1001"/>
      <c r="L2624" s="1001"/>
      <c r="M2624" s="1001"/>
    </row>
    <row r="2625" spans="2:13" ht="16.5" x14ac:dyDescent="0.2">
      <c r="B2625" s="982"/>
      <c r="C2625" s="983"/>
      <c r="D2625" s="969"/>
      <c r="E2625" s="969"/>
      <c r="F2625" s="969"/>
      <c r="G2625" s="1001"/>
      <c r="H2625" s="1001"/>
      <c r="I2625" s="1001"/>
      <c r="J2625" s="1001"/>
      <c r="K2625" s="1001"/>
      <c r="L2625" s="1001"/>
      <c r="M2625" s="1001"/>
    </row>
    <row r="2626" spans="2:13" ht="16.5" x14ac:dyDescent="0.2">
      <c r="B2626" s="982"/>
      <c r="C2626" s="985"/>
      <c r="D2626" s="969"/>
      <c r="E2626" s="969"/>
      <c r="F2626" s="969"/>
      <c r="G2626" s="1001"/>
      <c r="H2626" s="1001"/>
      <c r="I2626" s="1001"/>
      <c r="J2626" s="1001"/>
      <c r="K2626" s="1001"/>
      <c r="L2626" s="1001"/>
      <c r="M2626" s="1001"/>
    </row>
    <row r="2627" spans="2:13" ht="16.5" x14ac:dyDescent="0.2">
      <c r="B2627" s="982"/>
      <c r="C2627" s="985"/>
      <c r="D2627" s="969"/>
      <c r="E2627" s="969"/>
      <c r="F2627" s="969"/>
      <c r="G2627" s="1001"/>
      <c r="H2627" s="1001"/>
      <c r="I2627" s="1001"/>
      <c r="J2627" s="1001"/>
      <c r="K2627" s="1001"/>
      <c r="L2627" s="1001"/>
      <c r="M2627" s="1001"/>
    </row>
    <row r="2628" spans="2:13" ht="16.5" x14ac:dyDescent="0.2">
      <c r="B2628" s="982"/>
      <c r="C2628" s="985"/>
      <c r="D2628" s="969"/>
      <c r="E2628" s="969"/>
      <c r="F2628" s="969"/>
      <c r="G2628" s="1001"/>
      <c r="H2628" s="1001"/>
      <c r="I2628" s="1001"/>
      <c r="J2628" s="1001"/>
      <c r="K2628" s="1001"/>
      <c r="L2628" s="1001"/>
      <c r="M2628" s="1001"/>
    </row>
    <row r="2629" spans="2:13" ht="16.5" x14ac:dyDescent="0.2">
      <c r="B2629" s="982"/>
      <c r="C2629" s="985"/>
      <c r="D2629" s="969"/>
      <c r="E2629" s="969"/>
      <c r="F2629" s="969"/>
      <c r="G2629" s="1001"/>
      <c r="H2629" s="1001"/>
      <c r="I2629" s="1001"/>
      <c r="J2629" s="1001"/>
      <c r="K2629" s="1001"/>
      <c r="L2629" s="1001"/>
      <c r="M2629" s="1001"/>
    </row>
    <row r="2630" spans="2:13" ht="16.5" x14ac:dyDescent="0.2">
      <c r="B2630" s="982"/>
      <c r="C2630" s="983"/>
      <c r="D2630" s="969"/>
      <c r="E2630" s="969"/>
      <c r="F2630" s="969"/>
      <c r="G2630" s="1001"/>
      <c r="H2630" s="1001"/>
      <c r="I2630" s="1001"/>
      <c r="J2630" s="1001"/>
      <c r="K2630" s="1001"/>
      <c r="L2630" s="1001"/>
      <c r="M2630" s="1001"/>
    </row>
    <row r="2631" spans="2:13" ht="16.5" x14ac:dyDescent="0.2">
      <c r="B2631" s="982"/>
      <c r="C2631" s="982"/>
      <c r="D2631" s="969"/>
      <c r="E2631" s="969"/>
      <c r="F2631" s="969"/>
      <c r="G2631" s="1001"/>
      <c r="H2631" s="1001"/>
      <c r="I2631" s="1001"/>
      <c r="J2631" s="1001"/>
      <c r="K2631" s="1001"/>
      <c r="L2631" s="1001"/>
      <c r="M2631" s="1001"/>
    </row>
    <row r="2632" spans="2:13" ht="16.5" x14ac:dyDescent="0.2">
      <c r="B2632" s="982"/>
      <c r="C2632" s="983"/>
      <c r="D2632" s="969"/>
      <c r="E2632" s="969"/>
      <c r="F2632" s="969"/>
      <c r="G2632" s="1001"/>
      <c r="H2632" s="1001"/>
      <c r="I2632" s="1001"/>
      <c r="J2632" s="1001"/>
      <c r="K2632" s="1001"/>
      <c r="L2632" s="1001"/>
      <c r="M2632" s="1001"/>
    </row>
    <row r="2633" spans="2:13" ht="16.5" x14ac:dyDescent="0.2">
      <c r="B2633" s="982"/>
      <c r="C2633" s="985"/>
      <c r="D2633" s="969"/>
      <c r="E2633" s="969"/>
      <c r="F2633" s="969"/>
      <c r="G2633" s="1001"/>
      <c r="H2633" s="1001"/>
      <c r="I2633" s="1001"/>
      <c r="J2633" s="1001"/>
      <c r="K2633" s="1001"/>
      <c r="L2633" s="1001"/>
      <c r="M2633" s="1001"/>
    </row>
    <row r="2634" spans="2:13" ht="16.5" x14ac:dyDescent="0.2">
      <c r="B2634" s="992"/>
      <c r="C2634" s="990"/>
      <c r="D2634" s="969"/>
      <c r="E2634" s="969"/>
      <c r="F2634" s="969"/>
      <c r="G2634" s="1001"/>
      <c r="H2634" s="1001"/>
      <c r="I2634" s="1001"/>
      <c r="J2634" s="1001"/>
      <c r="K2634" s="1001"/>
      <c r="L2634" s="1001"/>
      <c r="M2634" s="1001"/>
    </row>
    <row r="2635" spans="2:13" ht="16.5" x14ac:dyDescent="0.2">
      <c r="B2635" s="982"/>
      <c r="C2635" s="991"/>
      <c r="D2635" s="969"/>
      <c r="E2635" s="969"/>
      <c r="F2635" s="969"/>
      <c r="G2635" s="1001"/>
      <c r="H2635" s="1001"/>
      <c r="I2635" s="1001"/>
      <c r="J2635" s="1001"/>
      <c r="K2635" s="1001"/>
      <c r="L2635" s="1001"/>
      <c r="M2635" s="1001"/>
    </row>
    <row r="2636" spans="2:13" ht="16.5" x14ac:dyDescent="0.2">
      <c r="B2636" s="982"/>
      <c r="C2636" s="993"/>
      <c r="D2636" s="969"/>
      <c r="E2636" s="969"/>
      <c r="F2636" s="969"/>
      <c r="G2636" s="1001"/>
      <c r="H2636" s="1001"/>
      <c r="I2636" s="1001"/>
      <c r="J2636" s="1001"/>
      <c r="K2636" s="1001"/>
      <c r="L2636" s="1001"/>
      <c r="M2636" s="1001"/>
    </row>
    <row r="2637" spans="2:13" ht="16.5" x14ac:dyDescent="0.3">
      <c r="B2637" s="987"/>
      <c r="C2637" s="988"/>
      <c r="D2637" s="969"/>
      <c r="E2637" s="969"/>
      <c r="F2637" s="969"/>
      <c r="G2637" s="1001"/>
      <c r="H2637" s="1001"/>
      <c r="I2637" s="1001"/>
      <c r="J2637" s="1001"/>
      <c r="K2637" s="1001"/>
      <c r="L2637" s="1001"/>
      <c r="M2637" s="1001"/>
    </row>
    <row r="2638" spans="2:13" ht="16.5" x14ac:dyDescent="0.2">
      <c r="B2638" s="971"/>
      <c r="C2638" s="982"/>
      <c r="D2638" s="969"/>
      <c r="E2638" s="969"/>
      <c r="F2638" s="969"/>
      <c r="G2638" s="1001"/>
      <c r="H2638" s="1001"/>
      <c r="I2638" s="1001"/>
      <c r="J2638" s="1001"/>
      <c r="K2638" s="1001"/>
      <c r="L2638" s="1001"/>
      <c r="M2638" s="1001"/>
    </row>
    <row r="2639" spans="2:13" ht="16.5" x14ac:dyDescent="0.2">
      <c r="B2639" s="971"/>
      <c r="C2639" s="982"/>
      <c r="D2639" s="969"/>
      <c r="E2639" s="969"/>
      <c r="F2639" s="969"/>
      <c r="G2639" s="1001"/>
      <c r="H2639" s="1001"/>
      <c r="I2639" s="1001"/>
      <c r="J2639" s="1001"/>
      <c r="K2639" s="1001"/>
      <c r="L2639" s="1001"/>
      <c r="M2639" s="1001"/>
    </row>
    <row r="2640" spans="2:13" ht="16.5" x14ac:dyDescent="0.2">
      <c r="B2640" s="971"/>
      <c r="C2640" s="982"/>
      <c r="D2640" s="969"/>
      <c r="E2640" s="969"/>
      <c r="F2640" s="969"/>
      <c r="G2640" s="1001"/>
      <c r="H2640" s="1001"/>
      <c r="I2640" s="1001"/>
      <c r="J2640" s="1001"/>
      <c r="K2640" s="1001"/>
      <c r="L2640" s="1001"/>
      <c r="M2640" s="1001"/>
    </row>
    <row r="2641" spans="2:13" ht="16.5" x14ac:dyDescent="0.2">
      <c r="B2641" s="971"/>
      <c r="C2641" s="982"/>
      <c r="D2641" s="969"/>
      <c r="E2641" s="969"/>
      <c r="F2641" s="969"/>
      <c r="G2641" s="1001"/>
      <c r="H2641" s="1001"/>
      <c r="I2641" s="1001"/>
      <c r="J2641" s="1001"/>
      <c r="K2641" s="1001"/>
      <c r="L2641" s="1001"/>
      <c r="M2641" s="1001"/>
    </row>
    <row r="2642" spans="2:13" ht="16.5" x14ac:dyDescent="0.2">
      <c r="B2642" s="989"/>
      <c r="C2642" s="990"/>
      <c r="D2642" s="969"/>
      <c r="E2642" s="969"/>
      <c r="F2642" s="969"/>
      <c r="G2642" s="1001"/>
      <c r="H2642" s="1001"/>
      <c r="I2642" s="1001"/>
      <c r="J2642" s="1001"/>
      <c r="K2642" s="1001"/>
      <c r="L2642" s="1001"/>
      <c r="M2642" s="1001"/>
    </row>
    <row r="2643" spans="2:13" ht="16.5" x14ac:dyDescent="0.2">
      <c r="B2643" s="971"/>
      <c r="C2643" s="991"/>
      <c r="D2643" s="969"/>
      <c r="E2643" s="969"/>
      <c r="F2643" s="969"/>
      <c r="G2643" s="1001"/>
      <c r="H2643" s="1001"/>
      <c r="I2643" s="1001"/>
      <c r="J2643" s="1001"/>
      <c r="K2643" s="1001"/>
      <c r="L2643" s="1001"/>
      <c r="M2643" s="1001"/>
    </row>
    <row r="2644" spans="2:13" ht="16.5" x14ac:dyDescent="0.2">
      <c r="B2644" s="982"/>
      <c r="C2644" s="983"/>
      <c r="D2644" s="969"/>
      <c r="E2644" s="969"/>
      <c r="F2644" s="969"/>
      <c r="G2644" s="1001"/>
      <c r="H2644" s="1001"/>
      <c r="I2644" s="1001"/>
      <c r="J2644" s="1001"/>
      <c r="K2644" s="1001"/>
      <c r="L2644" s="1001"/>
      <c r="M2644" s="1001"/>
    </row>
    <row r="2645" spans="2:13" ht="16.5" x14ac:dyDescent="0.2">
      <c r="B2645" s="982"/>
      <c r="C2645" s="985"/>
      <c r="D2645" s="969"/>
      <c r="E2645" s="969"/>
      <c r="F2645" s="969"/>
      <c r="G2645" s="1001"/>
      <c r="H2645" s="1001"/>
      <c r="I2645" s="1001"/>
      <c r="J2645" s="1001"/>
      <c r="K2645" s="1001"/>
      <c r="L2645" s="1001"/>
      <c r="M2645" s="1001"/>
    </row>
    <row r="2646" spans="2:13" ht="16.5" x14ac:dyDescent="0.2">
      <c r="B2646" s="982"/>
      <c r="C2646" s="985"/>
      <c r="D2646" s="969"/>
      <c r="E2646" s="969"/>
      <c r="F2646" s="969"/>
      <c r="G2646" s="1001"/>
      <c r="H2646" s="1001"/>
      <c r="I2646" s="1001"/>
      <c r="J2646" s="1001"/>
      <c r="K2646" s="1001"/>
      <c r="L2646" s="1001"/>
      <c r="M2646" s="1001"/>
    </row>
    <row r="2647" spans="2:13" ht="16.5" x14ac:dyDescent="0.2">
      <c r="B2647" s="982"/>
      <c r="C2647" s="985"/>
      <c r="D2647" s="969"/>
      <c r="E2647" s="969"/>
      <c r="F2647" s="969"/>
      <c r="G2647" s="1001"/>
      <c r="H2647" s="1001"/>
      <c r="I2647" s="1001"/>
      <c r="J2647" s="1001"/>
      <c r="K2647" s="1001"/>
      <c r="L2647" s="1001"/>
      <c r="M2647" s="1001"/>
    </row>
    <row r="2648" spans="2:13" ht="16.5" x14ac:dyDescent="0.2">
      <c r="B2648" s="982"/>
      <c r="C2648" s="985"/>
      <c r="D2648" s="969"/>
      <c r="E2648" s="969"/>
      <c r="F2648" s="969"/>
      <c r="G2648" s="1001"/>
      <c r="H2648" s="1001"/>
      <c r="I2648" s="1001"/>
      <c r="J2648" s="1001"/>
      <c r="K2648" s="1001"/>
      <c r="L2648" s="1001"/>
      <c r="M2648" s="1001"/>
    </row>
    <row r="2649" spans="2:13" ht="16.5" x14ac:dyDescent="0.2">
      <c r="B2649" s="982"/>
      <c r="C2649" s="983"/>
      <c r="D2649" s="969"/>
      <c r="E2649" s="969"/>
      <c r="F2649" s="969"/>
      <c r="G2649" s="1001"/>
      <c r="H2649" s="1001"/>
      <c r="I2649" s="1001"/>
      <c r="J2649" s="1001"/>
      <c r="K2649" s="1001"/>
      <c r="L2649" s="1001"/>
      <c r="M2649" s="1001"/>
    </row>
    <row r="2650" spans="2:13" ht="16.5" x14ac:dyDescent="0.2">
      <c r="B2650" s="982"/>
      <c r="C2650" s="982"/>
      <c r="D2650" s="969"/>
      <c r="E2650" s="969"/>
      <c r="F2650" s="969"/>
      <c r="G2650" s="1001"/>
      <c r="H2650" s="1001"/>
      <c r="I2650" s="1001"/>
      <c r="J2650" s="1001"/>
      <c r="K2650" s="1001"/>
      <c r="L2650" s="1001"/>
      <c r="M2650" s="1001"/>
    </row>
    <row r="2651" spans="2:13" ht="16.5" x14ac:dyDescent="0.2">
      <c r="B2651" s="982"/>
      <c r="C2651" s="983"/>
      <c r="D2651" s="969"/>
      <c r="E2651" s="969"/>
      <c r="F2651" s="969"/>
      <c r="G2651" s="1001"/>
      <c r="H2651" s="1001"/>
      <c r="I2651" s="1001"/>
      <c r="J2651" s="1001"/>
      <c r="K2651" s="1001"/>
      <c r="L2651" s="1001"/>
      <c r="M2651" s="1001"/>
    </row>
    <row r="2652" spans="2:13" ht="16.5" x14ac:dyDescent="0.2">
      <c r="B2652" s="982"/>
      <c r="C2652" s="985"/>
      <c r="D2652" s="969"/>
      <c r="E2652" s="969"/>
      <c r="F2652" s="969"/>
      <c r="G2652" s="1001"/>
      <c r="H2652" s="1001"/>
      <c r="I2652" s="1001"/>
      <c r="J2652" s="1001"/>
      <c r="K2652" s="1001"/>
      <c r="L2652" s="1001"/>
      <c r="M2652" s="1001"/>
    </row>
    <row r="2653" spans="2:13" ht="16.5" x14ac:dyDescent="0.2">
      <c r="B2653" s="992"/>
      <c r="C2653" s="990"/>
      <c r="D2653" s="969"/>
      <c r="E2653" s="969"/>
      <c r="F2653" s="969"/>
      <c r="G2653" s="1001"/>
      <c r="H2653" s="1001"/>
      <c r="I2653" s="1001"/>
      <c r="J2653" s="1001"/>
      <c r="K2653" s="1001"/>
      <c r="L2653" s="1001"/>
      <c r="M2653" s="1001"/>
    </row>
    <row r="2654" spans="2:13" ht="16.5" x14ac:dyDescent="0.2">
      <c r="B2654" s="982"/>
      <c r="C2654" s="991"/>
      <c r="D2654" s="969"/>
      <c r="E2654" s="969"/>
      <c r="F2654" s="969"/>
      <c r="G2654" s="1001"/>
      <c r="H2654" s="1001"/>
      <c r="I2654" s="1001"/>
      <c r="J2654" s="1001"/>
      <c r="K2654" s="1001"/>
      <c r="L2654" s="1001"/>
      <c r="M2654" s="1001"/>
    </row>
    <row r="2655" spans="2:13" ht="16.5" x14ac:dyDescent="0.2">
      <c r="B2655" s="982"/>
      <c r="C2655" s="993"/>
      <c r="D2655" s="969"/>
      <c r="E2655" s="969"/>
      <c r="F2655" s="969"/>
      <c r="G2655" s="1001"/>
      <c r="H2655" s="1001"/>
      <c r="I2655" s="1001"/>
      <c r="J2655" s="1001"/>
      <c r="K2655" s="1001"/>
      <c r="L2655" s="1001"/>
      <c r="M2655" s="1001"/>
    </row>
    <row r="2656" spans="2:13" ht="16.5" x14ac:dyDescent="0.3">
      <c r="B2656" s="987"/>
      <c r="C2656" s="988"/>
      <c r="D2656" s="969"/>
      <c r="E2656" s="969"/>
      <c r="F2656" s="969"/>
      <c r="G2656" s="1001"/>
      <c r="H2656" s="1001"/>
      <c r="I2656" s="1001"/>
      <c r="J2656" s="1001"/>
      <c r="K2656" s="1001"/>
      <c r="L2656" s="1001"/>
      <c r="M2656" s="1001"/>
    </row>
    <row r="2657" spans="2:13" ht="16.5" x14ac:dyDescent="0.2">
      <c r="B2657" s="971"/>
      <c r="C2657" s="982"/>
      <c r="D2657" s="969"/>
      <c r="E2657" s="969"/>
      <c r="F2657" s="969"/>
      <c r="G2657" s="1001"/>
      <c r="H2657" s="1001"/>
      <c r="I2657" s="1001"/>
      <c r="J2657" s="1001"/>
      <c r="K2657" s="1001"/>
      <c r="L2657" s="1001"/>
      <c r="M2657" s="1001"/>
    </row>
    <row r="2658" spans="2:13" ht="16.5" x14ac:dyDescent="0.2">
      <c r="B2658" s="971"/>
      <c r="C2658" s="982"/>
      <c r="D2658" s="969"/>
      <c r="E2658" s="969"/>
      <c r="F2658" s="969"/>
      <c r="G2658" s="1001"/>
      <c r="H2658" s="1001"/>
      <c r="I2658" s="1001"/>
      <c r="J2658" s="1001"/>
      <c r="K2658" s="1001"/>
      <c r="L2658" s="1001"/>
      <c r="M2658" s="1001"/>
    </row>
    <row r="2659" spans="2:13" ht="16.5" x14ac:dyDescent="0.2">
      <c r="B2659" s="971"/>
      <c r="C2659" s="982"/>
      <c r="D2659" s="969"/>
      <c r="E2659" s="969"/>
      <c r="F2659" s="969"/>
      <c r="G2659" s="1001"/>
      <c r="H2659" s="1001"/>
      <c r="I2659" s="1001"/>
      <c r="J2659" s="1001"/>
      <c r="K2659" s="1001"/>
      <c r="L2659" s="1001"/>
      <c r="M2659" s="1001"/>
    </row>
    <row r="2660" spans="2:13" ht="16.5" x14ac:dyDescent="0.2">
      <c r="B2660" s="971"/>
      <c r="C2660" s="982"/>
      <c r="D2660" s="969"/>
      <c r="E2660" s="969"/>
      <c r="F2660" s="969"/>
      <c r="G2660" s="1001"/>
      <c r="H2660" s="1001"/>
      <c r="I2660" s="1001"/>
      <c r="J2660" s="1001"/>
      <c r="K2660" s="1001"/>
      <c r="L2660" s="1001"/>
      <c r="M2660" s="1001"/>
    </row>
    <row r="2661" spans="2:13" ht="16.5" x14ac:dyDescent="0.2">
      <c r="B2661" s="989"/>
      <c r="C2661" s="990"/>
      <c r="D2661" s="969"/>
      <c r="E2661" s="969"/>
      <c r="F2661" s="969"/>
      <c r="G2661" s="1001"/>
      <c r="H2661" s="1001"/>
      <c r="I2661" s="1001"/>
      <c r="J2661" s="1001"/>
      <c r="K2661" s="1001"/>
      <c r="L2661" s="1001"/>
      <c r="M2661" s="1001"/>
    </row>
    <row r="2662" spans="2:13" ht="16.5" x14ac:dyDescent="0.2">
      <c r="B2662" s="971"/>
      <c r="C2662" s="991"/>
      <c r="D2662" s="969"/>
      <c r="E2662" s="969"/>
      <c r="F2662" s="969"/>
      <c r="G2662" s="1001"/>
      <c r="H2662" s="1001"/>
      <c r="I2662" s="1001"/>
      <c r="J2662" s="1001"/>
      <c r="K2662" s="1001"/>
      <c r="L2662" s="1001"/>
      <c r="M2662" s="1001"/>
    </row>
    <row r="2663" spans="2:13" ht="16.5" x14ac:dyDescent="0.2">
      <c r="B2663" s="982"/>
      <c r="C2663" s="983"/>
      <c r="D2663" s="969"/>
      <c r="E2663" s="969"/>
      <c r="F2663" s="969"/>
      <c r="G2663" s="1001"/>
      <c r="H2663" s="1001"/>
      <c r="I2663" s="1001"/>
      <c r="J2663" s="1001"/>
      <c r="K2663" s="1001"/>
      <c r="L2663" s="1001"/>
      <c r="M2663" s="1001"/>
    </row>
    <row r="2664" spans="2:13" ht="16.5" x14ac:dyDescent="0.2">
      <c r="B2664" s="982"/>
      <c r="C2664" s="985"/>
      <c r="D2664" s="969"/>
      <c r="E2664" s="969"/>
      <c r="F2664" s="969"/>
      <c r="G2664" s="1001"/>
      <c r="H2664" s="1001"/>
      <c r="I2664" s="1001"/>
      <c r="J2664" s="1001"/>
      <c r="K2664" s="1001"/>
      <c r="L2664" s="1001"/>
      <c r="M2664" s="1001"/>
    </row>
    <row r="2665" spans="2:13" ht="16.5" x14ac:dyDescent="0.2">
      <c r="B2665" s="982"/>
      <c r="C2665" s="985"/>
      <c r="D2665" s="969"/>
      <c r="E2665" s="969"/>
      <c r="F2665" s="969"/>
      <c r="G2665" s="1001"/>
      <c r="H2665" s="1001"/>
      <c r="I2665" s="1001"/>
      <c r="J2665" s="1001"/>
      <c r="K2665" s="1001"/>
      <c r="L2665" s="1001"/>
      <c r="M2665" s="1001"/>
    </row>
    <row r="2666" spans="2:13" ht="16.5" x14ac:dyDescent="0.2">
      <c r="B2666" s="982"/>
      <c r="C2666" s="985"/>
      <c r="D2666" s="969"/>
      <c r="E2666" s="969"/>
      <c r="F2666" s="969"/>
      <c r="G2666" s="1001"/>
      <c r="H2666" s="1001"/>
      <c r="I2666" s="1001"/>
      <c r="J2666" s="1001"/>
      <c r="K2666" s="1001"/>
      <c r="L2666" s="1001"/>
      <c r="M2666" s="1001"/>
    </row>
    <row r="2667" spans="2:13" ht="16.5" x14ac:dyDescent="0.2">
      <c r="B2667" s="982"/>
      <c r="C2667" s="985"/>
      <c r="D2667" s="969"/>
      <c r="E2667" s="969"/>
      <c r="F2667" s="969"/>
      <c r="G2667" s="1001"/>
      <c r="H2667" s="1001"/>
      <c r="I2667" s="1001"/>
      <c r="J2667" s="1001"/>
      <c r="K2667" s="1001"/>
      <c r="L2667" s="1001"/>
      <c r="M2667" s="1001"/>
    </row>
    <row r="2668" spans="2:13" ht="16.5" x14ac:dyDescent="0.2">
      <c r="B2668" s="982"/>
      <c r="C2668" s="983"/>
      <c r="D2668" s="969"/>
      <c r="E2668" s="969"/>
      <c r="F2668" s="969"/>
      <c r="G2668" s="1001"/>
      <c r="H2668" s="1001"/>
      <c r="I2668" s="1001"/>
      <c r="J2668" s="1001"/>
      <c r="K2668" s="1001"/>
      <c r="L2668" s="1001"/>
      <c r="M2668" s="1001"/>
    </row>
    <row r="2669" spans="2:13" ht="16.5" x14ac:dyDescent="0.2">
      <c r="B2669" s="982"/>
      <c r="C2669" s="982"/>
      <c r="D2669" s="969"/>
      <c r="E2669" s="969"/>
      <c r="F2669" s="969"/>
      <c r="G2669" s="1001"/>
      <c r="H2669" s="1001"/>
      <c r="I2669" s="1001"/>
      <c r="J2669" s="1001"/>
      <c r="K2669" s="1001"/>
      <c r="L2669" s="1001"/>
      <c r="M2669" s="1001"/>
    </row>
    <row r="2670" spans="2:13" ht="16.5" x14ac:dyDescent="0.2">
      <c r="B2670" s="982"/>
      <c r="C2670" s="983"/>
      <c r="D2670" s="969"/>
      <c r="E2670" s="969"/>
      <c r="F2670" s="969"/>
      <c r="G2670" s="1001"/>
      <c r="H2670" s="1001"/>
      <c r="I2670" s="1001"/>
      <c r="J2670" s="1001"/>
      <c r="K2670" s="1001"/>
      <c r="L2670" s="1001"/>
      <c r="M2670" s="1001"/>
    </row>
    <row r="2671" spans="2:13" ht="16.5" x14ac:dyDescent="0.2">
      <c r="B2671" s="982"/>
      <c r="C2671" s="985"/>
      <c r="D2671" s="969"/>
      <c r="E2671" s="969"/>
      <c r="F2671" s="969"/>
      <c r="G2671" s="1001"/>
      <c r="H2671" s="1001"/>
      <c r="I2671" s="1001"/>
      <c r="J2671" s="1001"/>
      <c r="K2671" s="1001"/>
      <c r="L2671" s="1001"/>
      <c r="M2671" s="1001"/>
    </row>
    <row r="2672" spans="2:13" ht="16.5" x14ac:dyDescent="0.2">
      <c r="B2672" s="992"/>
      <c r="C2672" s="990"/>
      <c r="D2672" s="969"/>
      <c r="E2672" s="969"/>
      <c r="F2672" s="969"/>
      <c r="G2672" s="1001"/>
      <c r="H2672" s="1001"/>
      <c r="I2672" s="1001"/>
      <c r="J2672" s="1001"/>
      <c r="K2672" s="1001"/>
      <c r="L2672" s="1001"/>
      <c r="M2672" s="1001"/>
    </row>
    <row r="2673" spans="2:13" ht="16.5" x14ac:dyDescent="0.2">
      <c r="B2673" s="982"/>
      <c r="C2673" s="991"/>
      <c r="D2673" s="969"/>
      <c r="E2673" s="969"/>
      <c r="F2673" s="969"/>
      <c r="G2673" s="1001"/>
      <c r="H2673" s="1001"/>
      <c r="I2673" s="1001"/>
      <c r="J2673" s="1001"/>
      <c r="K2673" s="1001"/>
      <c r="L2673" s="1001"/>
      <c r="M2673" s="1001"/>
    </row>
    <row r="2674" spans="2:13" ht="16.5" x14ac:dyDescent="0.2">
      <c r="B2674" s="982"/>
      <c r="C2674" s="993"/>
      <c r="D2674" s="969"/>
      <c r="E2674" s="969"/>
      <c r="F2674" s="969"/>
      <c r="G2674" s="1001"/>
      <c r="H2674" s="1001"/>
      <c r="I2674" s="1001"/>
      <c r="J2674" s="1001"/>
      <c r="K2674" s="1001"/>
      <c r="L2674" s="1001"/>
      <c r="M2674" s="1001"/>
    </row>
    <row r="2675" spans="2:13" ht="16.5" x14ac:dyDescent="0.2">
      <c r="B2675" s="971"/>
      <c r="C2675" s="982"/>
      <c r="D2675" s="969"/>
      <c r="E2675" s="969"/>
      <c r="F2675" s="969"/>
      <c r="G2675" s="1001"/>
      <c r="H2675" s="1001"/>
      <c r="I2675" s="1001"/>
      <c r="J2675" s="1001"/>
      <c r="K2675" s="1001"/>
      <c r="L2675" s="1001"/>
      <c r="M2675" s="1001"/>
    </row>
    <row r="2676" spans="2:13" ht="16.5" x14ac:dyDescent="0.2">
      <c r="B2676" s="971"/>
      <c r="C2676" s="982"/>
      <c r="D2676" s="969"/>
      <c r="E2676" s="969"/>
      <c r="F2676" s="969"/>
      <c r="G2676" s="1001"/>
      <c r="H2676" s="1001"/>
      <c r="I2676" s="1001"/>
      <c r="J2676" s="1001"/>
      <c r="K2676" s="1001"/>
      <c r="L2676" s="1001"/>
      <c r="M2676" s="1001"/>
    </row>
    <row r="2677" spans="2:13" ht="16.5" x14ac:dyDescent="0.2">
      <c r="B2677" s="971"/>
      <c r="C2677" s="982"/>
      <c r="D2677" s="969"/>
      <c r="E2677" s="969"/>
      <c r="F2677" s="969"/>
      <c r="G2677" s="1001"/>
      <c r="H2677" s="1001"/>
      <c r="I2677" s="1001"/>
      <c r="J2677" s="1001"/>
      <c r="K2677" s="1001"/>
      <c r="L2677" s="1001"/>
      <c r="M2677" s="1001"/>
    </row>
    <row r="2678" spans="2:13" ht="16.5" x14ac:dyDescent="0.2">
      <c r="B2678" s="971"/>
      <c r="C2678" s="982"/>
      <c r="D2678" s="969"/>
      <c r="E2678" s="969"/>
      <c r="F2678" s="969"/>
      <c r="G2678" s="1001"/>
      <c r="H2678" s="1001"/>
      <c r="I2678" s="1001"/>
      <c r="J2678" s="1001"/>
      <c r="K2678" s="1001"/>
      <c r="L2678" s="1001"/>
      <c r="M2678" s="1001"/>
    </row>
    <row r="2679" spans="2:13" ht="16.5" x14ac:dyDescent="0.2">
      <c r="B2679" s="989"/>
      <c r="C2679" s="990"/>
      <c r="D2679" s="969"/>
      <c r="E2679" s="969"/>
      <c r="F2679" s="969"/>
      <c r="G2679" s="1001"/>
      <c r="H2679" s="1001"/>
      <c r="I2679" s="1001"/>
      <c r="J2679" s="1001"/>
      <c r="K2679" s="1001"/>
      <c r="L2679" s="1001"/>
      <c r="M2679" s="1001"/>
    </row>
    <row r="2680" spans="2:13" ht="16.5" x14ac:dyDescent="0.2">
      <c r="B2680" s="971"/>
      <c r="C2680" s="991"/>
      <c r="D2680" s="969"/>
      <c r="E2680" s="969"/>
      <c r="F2680" s="969"/>
      <c r="G2680" s="1001"/>
      <c r="H2680" s="1001"/>
      <c r="I2680" s="1001"/>
      <c r="J2680" s="1001"/>
      <c r="K2680" s="1001"/>
      <c r="L2680" s="1001"/>
      <c r="M2680" s="1001"/>
    </row>
    <row r="2681" spans="2:13" ht="16.5" x14ac:dyDescent="0.2">
      <c r="B2681" s="982"/>
      <c r="C2681" s="983"/>
      <c r="D2681" s="969"/>
      <c r="E2681" s="969"/>
      <c r="F2681" s="969"/>
      <c r="G2681" s="1001"/>
      <c r="H2681" s="1001"/>
      <c r="I2681" s="1001"/>
      <c r="J2681" s="1001"/>
      <c r="K2681" s="1001"/>
      <c r="L2681" s="1001"/>
      <c r="M2681" s="1001"/>
    </row>
    <row r="2682" spans="2:13" ht="16.5" x14ac:dyDescent="0.2">
      <c r="B2682" s="982"/>
      <c r="C2682" s="985"/>
      <c r="D2682" s="969"/>
      <c r="E2682" s="969"/>
      <c r="F2682" s="969"/>
      <c r="G2682" s="1001"/>
      <c r="H2682" s="1001"/>
      <c r="I2682" s="1001"/>
      <c r="J2682" s="1001"/>
      <c r="K2682" s="1001"/>
      <c r="L2682" s="1001"/>
      <c r="M2682" s="1001"/>
    </row>
    <row r="2683" spans="2:13" ht="16.5" x14ac:dyDescent="0.2">
      <c r="B2683" s="982"/>
      <c r="C2683" s="985"/>
      <c r="D2683" s="969"/>
      <c r="E2683" s="969"/>
      <c r="F2683" s="969"/>
      <c r="G2683" s="1001"/>
      <c r="H2683" s="1001"/>
      <c r="I2683" s="1001"/>
      <c r="J2683" s="1001"/>
      <c r="K2683" s="1001"/>
      <c r="L2683" s="1001"/>
      <c r="M2683" s="1001"/>
    </row>
    <row r="2684" spans="2:13" ht="16.5" x14ac:dyDescent="0.2">
      <c r="B2684" s="982"/>
      <c r="C2684" s="985"/>
      <c r="D2684" s="969"/>
      <c r="E2684" s="969"/>
      <c r="F2684" s="969"/>
      <c r="G2684" s="1001"/>
      <c r="H2684" s="1001"/>
      <c r="I2684" s="1001"/>
      <c r="J2684" s="1001"/>
      <c r="K2684" s="1001"/>
      <c r="L2684" s="1001"/>
      <c r="M2684" s="1001"/>
    </row>
    <row r="2685" spans="2:13" ht="16.5" x14ac:dyDescent="0.2">
      <c r="B2685" s="982"/>
      <c r="C2685" s="985"/>
      <c r="D2685" s="969"/>
      <c r="E2685" s="969"/>
      <c r="F2685" s="969"/>
      <c r="G2685" s="1001"/>
      <c r="H2685" s="1001"/>
      <c r="I2685" s="1001"/>
      <c r="J2685" s="1001"/>
      <c r="K2685" s="1001"/>
      <c r="L2685" s="1001"/>
      <c r="M2685" s="1001"/>
    </row>
    <row r="2686" spans="2:13" ht="16.5" x14ac:dyDescent="0.2">
      <c r="B2686" s="982"/>
      <c r="C2686" s="983"/>
      <c r="D2686" s="969"/>
      <c r="E2686" s="969"/>
      <c r="F2686" s="969"/>
      <c r="G2686" s="1001"/>
      <c r="H2686" s="1001"/>
      <c r="I2686" s="1001"/>
      <c r="J2686" s="1001"/>
      <c r="K2686" s="1001"/>
      <c r="L2686" s="1001"/>
      <c r="M2686" s="1001"/>
    </row>
    <row r="2687" spans="2:13" ht="16.5" x14ac:dyDescent="0.2">
      <c r="B2687" s="982"/>
      <c r="C2687" s="982"/>
      <c r="D2687" s="969"/>
      <c r="E2687" s="969"/>
      <c r="F2687" s="969"/>
      <c r="G2687" s="1001"/>
      <c r="H2687" s="1001"/>
      <c r="I2687" s="1001"/>
      <c r="J2687" s="1001"/>
      <c r="K2687" s="1001"/>
      <c r="L2687" s="1001"/>
      <c r="M2687" s="1001"/>
    </row>
    <row r="2688" spans="2:13" ht="16.5" x14ac:dyDescent="0.2">
      <c r="B2688" s="982"/>
      <c r="C2688" s="983"/>
      <c r="D2688" s="969"/>
      <c r="E2688" s="969"/>
      <c r="F2688" s="969"/>
      <c r="G2688" s="1001"/>
      <c r="H2688" s="1001"/>
      <c r="I2688" s="1001"/>
      <c r="J2688" s="1001"/>
      <c r="K2688" s="1001"/>
      <c r="L2688" s="1001"/>
      <c r="M2688" s="1001"/>
    </row>
    <row r="2689" spans="2:13" ht="16.5" x14ac:dyDescent="0.2">
      <c r="B2689" s="982"/>
      <c r="C2689" s="985"/>
      <c r="D2689" s="969"/>
      <c r="E2689" s="969"/>
      <c r="F2689" s="969"/>
      <c r="G2689" s="1001"/>
      <c r="H2689" s="1001"/>
      <c r="I2689" s="1001"/>
      <c r="J2689" s="1001"/>
      <c r="K2689" s="1001"/>
      <c r="L2689" s="1001"/>
      <c r="M2689" s="1001"/>
    </row>
    <row r="2690" spans="2:13" ht="16.5" x14ac:dyDescent="0.2">
      <c r="B2690" s="992"/>
      <c r="C2690" s="990"/>
      <c r="D2690" s="969"/>
      <c r="E2690" s="969"/>
      <c r="F2690" s="969"/>
      <c r="G2690" s="1001"/>
      <c r="H2690" s="1001"/>
      <c r="I2690" s="1001"/>
      <c r="J2690" s="1001"/>
      <c r="K2690" s="1001"/>
      <c r="L2690" s="1001"/>
      <c r="M2690" s="1001"/>
    </row>
    <row r="2691" spans="2:13" ht="16.5" x14ac:dyDescent="0.2">
      <c r="B2691" s="982"/>
      <c r="C2691" s="991"/>
      <c r="D2691" s="969"/>
      <c r="E2691" s="969"/>
      <c r="F2691" s="969"/>
      <c r="G2691" s="1001"/>
      <c r="H2691" s="1001"/>
      <c r="I2691" s="1001"/>
      <c r="J2691" s="1001"/>
      <c r="K2691" s="1001"/>
      <c r="L2691" s="1001"/>
      <c r="M2691" s="1001"/>
    </row>
    <row r="2692" spans="2:13" ht="16.5" x14ac:dyDescent="0.2">
      <c r="B2692" s="982"/>
      <c r="C2692" s="993"/>
      <c r="D2692" s="969"/>
      <c r="E2692" s="969"/>
      <c r="F2692" s="969"/>
      <c r="G2692" s="1001"/>
      <c r="H2692" s="1001"/>
      <c r="I2692" s="1001"/>
      <c r="J2692" s="1001"/>
      <c r="K2692" s="1001"/>
      <c r="L2692" s="1001"/>
      <c r="M2692" s="1001"/>
    </row>
    <row r="2693" spans="2:13" ht="16.5" x14ac:dyDescent="0.3">
      <c r="B2693" s="987"/>
      <c r="C2693" s="988"/>
      <c r="D2693" s="969"/>
      <c r="E2693" s="969"/>
      <c r="F2693" s="969"/>
      <c r="G2693" s="1001"/>
      <c r="H2693" s="1001"/>
      <c r="I2693" s="1001"/>
      <c r="J2693" s="1001"/>
      <c r="K2693" s="1001"/>
      <c r="L2693" s="1001"/>
      <c r="M2693" s="1001"/>
    </row>
    <row r="2694" spans="2:13" ht="16.5" x14ac:dyDescent="0.2">
      <c r="B2694" s="971"/>
      <c r="C2694" s="982"/>
      <c r="D2694" s="969"/>
      <c r="E2694" s="969"/>
      <c r="F2694" s="969"/>
      <c r="G2694" s="1001"/>
      <c r="H2694" s="1001"/>
      <c r="I2694" s="1001"/>
      <c r="J2694" s="1001"/>
      <c r="K2694" s="1001"/>
      <c r="L2694" s="1001"/>
      <c r="M2694" s="1001"/>
    </row>
    <row r="2695" spans="2:13" ht="16.5" x14ac:dyDescent="0.2">
      <c r="B2695" s="971"/>
      <c r="C2695" s="982"/>
      <c r="D2695" s="969"/>
      <c r="E2695" s="969"/>
      <c r="F2695" s="969"/>
      <c r="G2695" s="1001"/>
      <c r="H2695" s="1001"/>
      <c r="I2695" s="1001"/>
      <c r="J2695" s="1001"/>
      <c r="K2695" s="1001"/>
      <c r="L2695" s="1001"/>
      <c r="M2695" s="1001"/>
    </row>
    <row r="2696" spans="2:13" ht="16.5" x14ac:dyDescent="0.2">
      <c r="B2696" s="971"/>
      <c r="C2696" s="982"/>
      <c r="D2696" s="969"/>
      <c r="E2696" s="969"/>
      <c r="F2696" s="969"/>
      <c r="G2696" s="1001"/>
      <c r="H2696" s="1001"/>
      <c r="I2696" s="1001"/>
      <c r="J2696" s="1001"/>
      <c r="K2696" s="1001"/>
      <c r="L2696" s="1001"/>
      <c r="M2696" s="1001"/>
    </row>
    <row r="2697" spans="2:13" ht="16.5" x14ac:dyDescent="0.2">
      <c r="B2697" s="971"/>
      <c r="C2697" s="982"/>
      <c r="D2697" s="969"/>
      <c r="E2697" s="969"/>
      <c r="F2697" s="969"/>
      <c r="G2697" s="1001"/>
      <c r="H2697" s="1001"/>
      <c r="I2697" s="1001"/>
      <c r="J2697" s="1001"/>
      <c r="K2697" s="1001"/>
      <c r="L2697" s="1001"/>
      <c r="M2697" s="1001"/>
    </row>
    <row r="2698" spans="2:13" ht="16.5" x14ac:dyDescent="0.2">
      <c r="B2698" s="989"/>
      <c r="C2698" s="990"/>
      <c r="D2698" s="969"/>
      <c r="E2698" s="969"/>
      <c r="F2698" s="969"/>
      <c r="G2698" s="1001"/>
      <c r="H2698" s="1001"/>
      <c r="I2698" s="1001"/>
      <c r="J2698" s="1001"/>
      <c r="K2698" s="1001"/>
      <c r="L2698" s="1001"/>
      <c r="M2698" s="1001"/>
    </row>
    <row r="2699" spans="2:13" ht="16.5" x14ac:dyDescent="0.2">
      <c r="B2699" s="971"/>
      <c r="C2699" s="991"/>
      <c r="D2699" s="969"/>
      <c r="E2699" s="969"/>
      <c r="F2699" s="969"/>
      <c r="G2699" s="1001"/>
      <c r="H2699" s="1001"/>
      <c r="I2699" s="1001"/>
      <c r="J2699" s="1001"/>
      <c r="K2699" s="1001"/>
      <c r="L2699" s="1001"/>
      <c r="M2699" s="1001"/>
    </row>
    <row r="2700" spans="2:13" ht="16.5" x14ac:dyDescent="0.2">
      <c r="B2700" s="982"/>
      <c r="C2700" s="983"/>
      <c r="D2700" s="969"/>
      <c r="E2700" s="969"/>
      <c r="F2700" s="969"/>
      <c r="G2700" s="1001"/>
      <c r="H2700" s="1001"/>
      <c r="I2700" s="1001"/>
      <c r="J2700" s="1001"/>
      <c r="K2700" s="1001"/>
      <c r="L2700" s="1001"/>
      <c r="M2700" s="1001"/>
    </row>
    <row r="2701" spans="2:13" ht="16.5" x14ac:dyDescent="0.2">
      <c r="B2701" s="982"/>
      <c r="C2701" s="985"/>
      <c r="D2701" s="969"/>
      <c r="E2701" s="969"/>
      <c r="F2701" s="969"/>
      <c r="G2701" s="1001"/>
      <c r="H2701" s="1001"/>
      <c r="I2701" s="1001"/>
      <c r="J2701" s="1001"/>
      <c r="K2701" s="1001"/>
      <c r="L2701" s="1001"/>
      <c r="M2701" s="1001"/>
    </row>
    <row r="2702" spans="2:13" ht="16.5" x14ac:dyDescent="0.2">
      <c r="B2702" s="982"/>
      <c r="C2702" s="985"/>
      <c r="D2702" s="969"/>
      <c r="E2702" s="969"/>
      <c r="F2702" s="969"/>
      <c r="G2702" s="1001"/>
      <c r="H2702" s="1001"/>
      <c r="I2702" s="1001"/>
      <c r="J2702" s="1001"/>
      <c r="K2702" s="1001"/>
      <c r="L2702" s="1001"/>
      <c r="M2702" s="1001"/>
    </row>
    <row r="2703" spans="2:13" ht="16.5" x14ac:dyDescent="0.2">
      <c r="B2703" s="982"/>
      <c r="C2703" s="985"/>
      <c r="D2703" s="969"/>
      <c r="E2703" s="969"/>
      <c r="F2703" s="969"/>
      <c r="G2703" s="1001"/>
      <c r="H2703" s="1001"/>
      <c r="I2703" s="1001"/>
      <c r="J2703" s="1001"/>
      <c r="K2703" s="1001"/>
      <c r="L2703" s="1001"/>
      <c r="M2703" s="1001"/>
    </row>
    <row r="2704" spans="2:13" ht="16.5" x14ac:dyDescent="0.2">
      <c r="B2704" s="982"/>
      <c r="C2704" s="985"/>
      <c r="D2704" s="969"/>
      <c r="E2704" s="969"/>
      <c r="F2704" s="969"/>
      <c r="G2704" s="1001"/>
      <c r="H2704" s="1001"/>
      <c r="I2704" s="1001"/>
      <c r="J2704" s="1001"/>
      <c r="K2704" s="1001"/>
      <c r="L2704" s="1001"/>
      <c r="M2704" s="1001"/>
    </row>
    <row r="2705" spans="2:13" ht="16.5" x14ac:dyDescent="0.2">
      <c r="B2705" s="982"/>
      <c r="C2705" s="983"/>
      <c r="D2705" s="969"/>
      <c r="E2705" s="969"/>
      <c r="F2705" s="969"/>
      <c r="G2705" s="1001"/>
      <c r="H2705" s="1001"/>
      <c r="I2705" s="1001"/>
      <c r="J2705" s="1001"/>
      <c r="K2705" s="1001"/>
      <c r="L2705" s="1001"/>
      <c r="M2705" s="1001"/>
    </row>
    <row r="2706" spans="2:13" ht="16.5" x14ac:dyDescent="0.2">
      <c r="B2706" s="982"/>
      <c r="C2706" s="982"/>
      <c r="D2706" s="969"/>
      <c r="E2706" s="969"/>
      <c r="F2706" s="969"/>
      <c r="G2706" s="1001"/>
      <c r="H2706" s="1001"/>
      <c r="I2706" s="1001"/>
      <c r="J2706" s="1001"/>
      <c r="K2706" s="1001"/>
      <c r="L2706" s="1001"/>
      <c r="M2706" s="1001"/>
    </row>
    <row r="2707" spans="2:13" ht="16.5" x14ac:dyDescent="0.2">
      <c r="B2707" s="982"/>
      <c r="C2707" s="983"/>
      <c r="D2707" s="969"/>
      <c r="E2707" s="969"/>
      <c r="F2707" s="969"/>
      <c r="G2707" s="1001"/>
      <c r="H2707" s="1001"/>
      <c r="I2707" s="1001"/>
      <c r="J2707" s="1001"/>
      <c r="K2707" s="1001"/>
      <c r="L2707" s="1001"/>
      <c r="M2707" s="1001"/>
    </row>
    <row r="2708" spans="2:13" ht="16.5" x14ac:dyDescent="0.2">
      <c r="B2708" s="982"/>
      <c r="C2708" s="985"/>
      <c r="D2708" s="969"/>
      <c r="E2708" s="969"/>
      <c r="F2708" s="969"/>
      <c r="G2708" s="1001"/>
      <c r="H2708" s="1001"/>
      <c r="I2708" s="1001"/>
      <c r="J2708" s="1001"/>
      <c r="K2708" s="1001"/>
      <c r="L2708" s="1001"/>
      <c r="M2708" s="1001"/>
    </row>
    <row r="2709" spans="2:13" ht="16.5" x14ac:dyDescent="0.2">
      <c r="B2709" s="992"/>
      <c r="C2709" s="990"/>
      <c r="D2709" s="969"/>
      <c r="E2709" s="969"/>
      <c r="F2709" s="969"/>
      <c r="G2709" s="1001"/>
      <c r="H2709" s="1001"/>
      <c r="I2709" s="1001"/>
      <c r="J2709" s="1001"/>
      <c r="K2709" s="1001"/>
      <c r="L2709" s="1001"/>
      <c r="M2709" s="1001"/>
    </row>
    <row r="2710" spans="2:13" ht="16.5" x14ac:dyDescent="0.2">
      <c r="B2710" s="982"/>
      <c r="C2710" s="991"/>
      <c r="D2710" s="969"/>
      <c r="E2710" s="969"/>
      <c r="F2710" s="969"/>
      <c r="G2710" s="1001"/>
      <c r="H2710" s="1001"/>
      <c r="I2710" s="1001"/>
      <c r="J2710" s="1001"/>
      <c r="K2710" s="1001"/>
      <c r="L2710" s="1001"/>
      <c r="M2710" s="1001"/>
    </row>
    <row r="2711" spans="2:13" ht="16.5" x14ac:dyDescent="0.2">
      <c r="B2711" s="982"/>
      <c r="C2711" s="993"/>
      <c r="D2711" s="969"/>
      <c r="E2711" s="969"/>
      <c r="F2711" s="969"/>
      <c r="G2711" s="1001"/>
      <c r="H2711" s="1001"/>
      <c r="I2711" s="1001"/>
      <c r="J2711" s="1001"/>
      <c r="K2711" s="1001"/>
      <c r="L2711" s="1001"/>
      <c r="M2711" s="1001"/>
    </row>
    <row r="2712" spans="2:13" ht="16.5" x14ac:dyDescent="0.3">
      <c r="B2712" s="987"/>
      <c r="C2712" s="988"/>
      <c r="D2712" s="969"/>
      <c r="E2712" s="969"/>
      <c r="F2712" s="969"/>
      <c r="G2712" s="1001"/>
      <c r="H2712" s="1001"/>
      <c r="I2712" s="1001"/>
      <c r="J2712" s="1001"/>
      <c r="K2712" s="1001"/>
      <c r="L2712" s="1001"/>
      <c r="M2712" s="1001"/>
    </row>
    <row r="2713" spans="2:13" ht="16.5" x14ac:dyDescent="0.2">
      <c r="B2713" s="971"/>
      <c r="C2713" s="982"/>
      <c r="D2713" s="969"/>
      <c r="E2713" s="969"/>
      <c r="F2713" s="969"/>
      <c r="G2713" s="1001"/>
      <c r="H2713" s="1001"/>
      <c r="I2713" s="1001"/>
      <c r="J2713" s="1001"/>
      <c r="K2713" s="1001"/>
      <c r="L2713" s="1001"/>
      <c r="M2713" s="1001"/>
    </row>
    <row r="2714" spans="2:13" ht="16.5" x14ac:dyDescent="0.2">
      <c r="B2714" s="971"/>
      <c r="C2714" s="982"/>
      <c r="D2714" s="969"/>
      <c r="E2714" s="969"/>
      <c r="F2714" s="969"/>
      <c r="G2714" s="1001"/>
      <c r="H2714" s="1001"/>
      <c r="I2714" s="1001"/>
      <c r="J2714" s="1001"/>
      <c r="K2714" s="1001"/>
      <c r="L2714" s="1001"/>
      <c r="M2714" s="1001"/>
    </row>
    <row r="2715" spans="2:13" ht="16.5" x14ac:dyDescent="0.2">
      <c r="B2715" s="971"/>
      <c r="C2715" s="982"/>
      <c r="D2715" s="969"/>
      <c r="E2715" s="969"/>
      <c r="F2715" s="969"/>
      <c r="G2715" s="1001"/>
      <c r="H2715" s="1001"/>
      <c r="I2715" s="1001"/>
      <c r="J2715" s="1001"/>
      <c r="K2715" s="1001"/>
      <c r="L2715" s="1001"/>
      <c r="M2715" s="1001"/>
    </row>
    <row r="2716" spans="2:13" ht="16.5" x14ac:dyDescent="0.2">
      <c r="B2716" s="982"/>
      <c r="C2716" s="985"/>
      <c r="D2716" s="969"/>
      <c r="E2716" s="969"/>
      <c r="F2716" s="969"/>
      <c r="G2716" s="1001"/>
      <c r="H2716" s="1001"/>
      <c r="I2716" s="1001"/>
      <c r="J2716" s="1001"/>
      <c r="K2716" s="1001"/>
      <c r="L2716" s="1001"/>
      <c r="M2716" s="1001"/>
    </row>
    <row r="2717" spans="2:13" ht="16.5" x14ac:dyDescent="0.2">
      <c r="B2717" s="982"/>
      <c r="C2717" s="985"/>
      <c r="D2717" s="969"/>
      <c r="E2717" s="969"/>
      <c r="F2717" s="969"/>
      <c r="G2717" s="1001"/>
      <c r="H2717" s="1001"/>
      <c r="I2717" s="1001"/>
      <c r="J2717" s="1001"/>
      <c r="K2717" s="1001"/>
      <c r="L2717" s="1001"/>
      <c r="M2717" s="1001"/>
    </row>
    <row r="2718" spans="2:13" ht="16.5" x14ac:dyDescent="0.2">
      <c r="B2718" s="982"/>
      <c r="C2718" s="985"/>
      <c r="D2718" s="969"/>
      <c r="E2718" s="969"/>
      <c r="F2718" s="969"/>
      <c r="G2718" s="1001"/>
      <c r="H2718" s="1001"/>
      <c r="I2718" s="1001"/>
      <c r="J2718" s="1001"/>
      <c r="K2718" s="1001"/>
      <c r="L2718" s="1001"/>
      <c r="M2718" s="1001"/>
    </row>
    <row r="2719" spans="2:13" ht="16.5" x14ac:dyDescent="0.2">
      <c r="B2719" s="982"/>
      <c r="C2719" s="985"/>
      <c r="D2719" s="969"/>
      <c r="E2719" s="969"/>
      <c r="F2719" s="969"/>
      <c r="G2719" s="1001"/>
      <c r="H2719" s="1001"/>
      <c r="I2719" s="1001"/>
      <c r="J2719" s="1001"/>
      <c r="K2719" s="1001"/>
      <c r="L2719" s="1001"/>
      <c r="M2719" s="1001"/>
    </row>
    <row r="2720" spans="2:13" ht="16.5" x14ac:dyDescent="0.2">
      <c r="B2720" s="982"/>
      <c r="C2720" s="983"/>
      <c r="D2720" s="969"/>
      <c r="E2720" s="969"/>
      <c r="F2720" s="969"/>
      <c r="G2720" s="1001"/>
      <c r="H2720" s="1001"/>
      <c r="I2720" s="1001"/>
      <c r="J2720" s="1001"/>
      <c r="K2720" s="1001"/>
      <c r="L2720" s="1001"/>
      <c r="M2720" s="1001"/>
    </row>
    <row r="2721" spans="2:13" ht="16.5" x14ac:dyDescent="0.2">
      <c r="B2721" s="982"/>
      <c r="C2721" s="982"/>
      <c r="D2721" s="969"/>
      <c r="E2721" s="969"/>
      <c r="F2721" s="969"/>
      <c r="G2721" s="1001"/>
      <c r="H2721" s="1001"/>
      <c r="I2721" s="1001"/>
      <c r="J2721" s="1001"/>
      <c r="K2721" s="1001"/>
      <c r="L2721" s="1001"/>
      <c r="M2721" s="1001"/>
    </row>
    <row r="2722" spans="2:13" ht="16.5" x14ac:dyDescent="0.2">
      <c r="B2722" s="982"/>
      <c r="C2722" s="983"/>
      <c r="D2722" s="969"/>
      <c r="E2722" s="969"/>
      <c r="F2722" s="969"/>
      <c r="G2722" s="1001"/>
      <c r="H2722" s="1001"/>
      <c r="I2722" s="1001"/>
      <c r="J2722" s="1001"/>
      <c r="K2722" s="1001"/>
      <c r="L2722" s="1001"/>
      <c r="M2722" s="1001"/>
    </row>
    <row r="2723" spans="2:13" ht="16.5" x14ac:dyDescent="0.2">
      <c r="B2723" s="982"/>
      <c r="C2723" s="985"/>
      <c r="D2723" s="969"/>
      <c r="E2723" s="969"/>
      <c r="F2723" s="969"/>
      <c r="G2723" s="1001"/>
      <c r="H2723" s="1001"/>
      <c r="I2723" s="1001"/>
      <c r="J2723" s="1001"/>
      <c r="K2723" s="1001"/>
      <c r="L2723" s="1001"/>
      <c r="M2723" s="1001"/>
    </row>
    <row r="2724" spans="2:13" ht="16.5" x14ac:dyDescent="0.2">
      <c r="B2724" s="992"/>
      <c r="C2724" s="990"/>
      <c r="D2724" s="969"/>
      <c r="E2724" s="969"/>
      <c r="F2724" s="969"/>
      <c r="G2724" s="1001"/>
      <c r="H2724" s="1001"/>
      <c r="I2724" s="1001"/>
      <c r="J2724" s="1001"/>
      <c r="K2724" s="1001"/>
      <c r="L2724" s="1001"/>
      <c r="M2724" s="1001"/>
    </row>
    <row r="2725" spans="2:13" ht="16.5" x14ac:dyDescent="0.2">
      <c r="B2725" s="982"/>
      <c r="C2725" s="991"/>
      <c r="D2725" s="969"/>
      <c r="E2725" s="969"/>
      <c r="F2725" s="969"/>
      <c r="G2725" s="1001"/>
      <c r="H2725" s="1001"/>
      <c r="I2725" s="1001"/>
      <c r="J2725" s="1001"/>
      <c r="K2725" s="1001"/>
      <c r="L2725" s="1001"/>
      <c r="M2725" s="1001"/>
    </row>
    <row r="2726" spans="2:13" ht="16.5" x14ac:dyDescent="0.2">
      <c r="B2726" s="982"/>
      <c r="C2726" s="993"/>
      <c r="D2726" s="969"/>
      <c r="E2726" s="969"/>
      <c r="F2726" s="969"/>
      <c r="G2726" s="1001"/>
      <c r="H2726" s="1001"/>
      <c r="I2726" s="1001"/>
      <c r="J2726" s="1001"/>
      <c r="K2726" s="1001"/>
      <c r="L2726" s="1001"/>
      <c r="M2726" s="1001"/>
    </row>
    <row r="2727" spans="2:13" ht="16.5" x14ac:dyDescent="0.3">
      <c r="B2727" s="987"/>
      <c r="C2727" s="988"/>
      <c r="D2727" s="969"/>
      <c r="E2727" s="969"/>
      <c r="F2727" s="969"/>
      <c r="G2727" s="1001"/>
      <c r="H2727" s="1001"/>
      <c r="I2727" s="1001"/>
      <c r="J2727" s="1001"/>
      <c r="K2727" s="1001"/>
      <c r="L2727" s="1001"/>
      <c r="M2727" s="1001"/>
    </row>
    <row r="2728" spans="2:13" ht="16.5" x14ac:dyDescent="0.2">
      <c r="B2728" s="971"/>
      <c r="C2728" s="982"/>
      <c r="D2728" s="969"/>
      <c r="E2728" s="969"/>
      <c r="F2728" s="969"/>
      <c r="G2728" s="1001"/>
      <c r="H2728" s="1001"/>
      <c r="I2728" s="1001"/>
      <c r="J2728" s="1001"/>
      <c r="K2728" s="1001"/>
      <c r="L2728" s="1001"/>
      <c r="M2728" s="1001"/>
    </row>
    <row r="2729" spans="2:13" ht="16.5" x14ac:dyDescent="0.2">
      <c r="B2729" s="971"/>
      <c r="C2729" s="982"/>
      <c r="D2729" s="969"/>
      <c r="E2729" s="969"/>
      <c r="F2729" s="969"/>
      <c r="G2729" s="1001"/>
      <c r="H2729" s="1001"/>
      <c r="I2729" s="1001"/>
      <c r="J2729" s="1001"/>
      <c r="K2729" s="1001"/>
      <c r="L2729" s="1001"/>
      <c r="M2729" s="1001"/>
    </row>
    <row r="2730" spans="2:13" ht="16.5" x14ac:dyDescent="0.2">
      <c r="B2730" s="971"/>
      <c r="C2730" s="982"/>
      <c r="D2730" s="969"/>
      <c r="E2730" s="969"/>
      <c r="F2730" s="969"/>
      <c r="G2730" s="1001"/>
      <c r="H2730" s="1001"/>
      <c r="I2730" s="1001"/>
      <c r="J2730" s="1001"/>
      <c r="K2730" s="1001"/>
      <c r="L2730" s="1001"/>
      <c r="M2730" s="1001"/>
    </row>
    <row r="2731" spans="2:13" ht="16.5" x14ac:dyDescent="0.2">
      <c r="B2731" s="982"/>
      <c r="C2731" s="985"/>
      <c r="D2731" s="969"/>
      <c r="E2731" s="969"/>
      <c r="F2731" s="969"/>
      <c r="G2731" s="1001"/>
      <c r="H2731" s="1001"/>
      <c r="I2731" s="1001"/>
      <c r="J2731" s="1001"/>
      <c r="K2731" s="1001"/>
      <c r="L2731" s="1001"/>
      <c r="M2731" s="1001"/>
    </row>
    <row r="2732" spans="2:13" ht="16.5" x14ac:dyDescent="0.2">
      <c r="B2732" s="982"/>
      <c r="C2732" s="985"/>
      <c r="D2732" s="969"/>
      <c r="E2732" s="969"/>
      <c r="F2732" s="969"/>
      <c r="G2732" s="1001"/>
      <c r="H2732" s="1001"/>
      <c r="I2732" s="1001"/>
      <c r="J2732" s="1001"/>
      <c r="K2732" s="1001"/>
      <c r="L2732" s="1001"/>
      <c r="M2732" s="1001"/>
    </row>
    <row r="2733" spans="2:13" ht="16.5" x14ac:dyDescent="0.2">
      <c r="B2733" s="982"/>
      <c r="C2733" s="985"/>
      <c r="D2733" s="969"/>
      <c r="E2733" s="969"/>
      <c r="F2733" s="969"/>
      <c r="G2733" s="1001"/>
      <c r="H2733" s="1001"/>
      <c r="I2733" s="1001"/>
      <c r="J2733" s="1001"/>
      <c r="K2733" s="1001"/>
      <c r="L2733" s="1001"/>
      <c r="M2733" s="1001"/>
    </row>
    <row r="2734" spans="2:13" ht="16.5" x14ac:dyDescent="0.2">
      <c r="B2734" s="982"/>
      <c r="C2734" s="985"/>
      <c r="D2734" s="969"/>
      <c r="E2734" s="969"/>
      <c r="F2734" s="969"/>
      <c r="G2734" s="1001"/>
      <c r="H2734" s="1001"/>
      <c r="I2734" s="1001"/>
      <c r="J2734" s="1001"/>
      <c r="K2734" s="1001"/>
      <c r="L2734" s="1001"/>
      <c r="M2734" s="1001"/>
    </row>
    <row r="2735" spans="2:13" ht="16.5" x14ac:dyDescent="0.2">
      <c r="B2735" s="982"/>
      <c r="C2735" s="983"/>
      <c r="D2735" s="969"/>
      <c r="E2735" s="969"/>
      <c r="F2735" s="969"/>
      <c r="G2735" s="1001"/>
      <c r="H2735" s="1001"/>
      <c r="I2735" s="1001"/>
      <c r="J2735" s="1001"/>
      <c r="K2735" s="1001"/>
      <c r="L2735" s="1001"/>
      <c r="M2735" s="1001"/>
    </row>
    <row r="2736" spans="2:13" ht="16.5" x14ac:dyDescent="0.2">
      <c r="B2736" s="982"/>
      <c r="C2736" s="982"/>
      <c r="D2736" s="969"/>
      <c r="E2736" s="969"/>
      <c r="F2736" s="969"/>
      <c r="G2736" s="1001"/>
      <c r="H2736" s="1001"/>
      <c r="I2736" s="1001"/>
      <c r="J2736" s="1001"/>
      <c r="K2736" s="1001"/>
      <c r="L2736" s="1001"/>
      <c r="M2736" s="1001"/>
    </row>
    <row r="2737" spans="2:13" ht="16.5" x14ac:dyDescent="0.2">
      <c r="B2737" s="982"/>
      <c r="C2737" s="983"/>
      <c r="D2737" s="969"/>
      <c r="E2737" s="969"/>
      <c r="F2737" s="969"/>
      <c r="G2737" s="1001"/>
      <c r="H2737" s="1001"/>
      <c r="I2737" s="1001"/>
      <c r="J2737" s="1001"/>
      <c r="K2737" s="1001"/>
      <c r="L2737" s="1001"/>
      <c r="M2737" s="1001"/>
    </row>
    <row r="2738" spans="2:13" ht="16.5" x14ac:dyDescent="0.2">
      <c r="B2738" s="982"/>
      <c r="C2738" s="985"/>
      <c r="D2738" s="969"/>
      <c r="E2738" s="969"/>
      <c r="F2738" s="969"/>
      <c r="G2738" s="1001"/>
      <c r="H2738" s="1001"/>
      <c r="I2738" s="1001"/>
      <c r="J2738" s="1001"/>
      <c r="K2738" s="1001"/>
      <c r="L2738" s="1001"/>
      <c r="M2738" s="1001"/>
    </row>
    <row r="2739" spans="2:13" ht="16.5" x14ac:dyDescent="0.2">
      <c r="B2739" s="992"/>
      <c r="C2739" s="990"/>
      <c r="D2739" s="969"/>
      <c r="E2739" s="969"/>
      <c r="F2739" s="969"/>
      <c r="G2739" s="1001"/>
      <c r="H2739" s="1001"/>
      <c r="I2739" s="1001"/>
      <c r="J2739" s="1001"/>
      <c r="K2739" s="1001"/>
      <c r="L2739" s="1001"/>
      <c r="M2739" s="1001"/>
    </row>
    <row r="2740" spans="2:13" ht="16.5" x14ac:dyDescent="0.2">
      <c r="B2740" s="982"/>
      <c r="C2740" s="991"/>
      <c r="D2740" s="969"/>
      <c r="E2740" s="969"/>
      <c r="F2740" s="969"/>
      <c r="G2740" s="1001"/>
      <c r="H2740" s="1001"/>
      <c r="I2740" s="1001"/>
      <c r="J2740" s="1001"/>
      <c r="K2740" s="1001"/>
      <c r="L2740" s="1001"/>
      <c r="M2740" s="1001"/>
    </row>
    <row r="2741" spans="2:13" ht="16.5" x14ac:dyDescent="0.2">
      <c r="B2741" s="982"/>
      <c r="C2741" s="993"/>
      <c r="D2741" s="969"/>
      <c r="E2741" s="969"/>
      <c r="F2741" s="969"/>
      <c r="G2741" s="1001"/>
      <c r="H2741" s="1001"/>
      <c r="I2741" s="1001"/>
      <c r="J2741" s="1001"/>
      <c r="K2741" s="1001"/>
      <c r="L2741" s="1001"/>
      <c r="M2741" s="1001"/>
    </row>
    <row r="2742" spans="2:13" ht="16.5" x14ac:dyDescent="0.3">
      <c r="B2742" s="987"/>
      <c r="C2742" s="988"/>
      <c r="D2742" s="969"/>
      <c r="E2742" s="969"/>
      <c r="F2742" s="969"/>
      <c r="G2742" s="1001"/>
      <c r="H2742" s="1001"/>
      <c r="I2742" s="1001"/>
      <c r="J2742" s="1001"/>
      <c r="K2742" s="1001"/>
      <c r="L2742" s="1001"/>
      <c r="M2742" s="1001"/>
    </row>
    <row r="2743" spans="2:13" ht="16.5" x14ac:dyDescent="0.2">
      <c r="B2743" s="971"/>
      <c r="C2743" s="982"/>
      <c r="D2743" s="969"/>
      <c r="E2743" s="969"/>
      <c r="F2743" s="969"/>
      <c r="G2743" s="1001"/>
      <c r="H2743" s="1001"/>
      <c r="I2743" s="1001"/>
      <c r="J2743" s="1001"/>
      <c r="K2743" s="1001"/>
      <c r="L2743" s="1001"/>
      <c r="M2743" s="1001"/>
    </row>
    <row r="2744" spans="2:13" ht="16.5" x14ac:dyDescent="0.2">
      <c r="B2744" s="971"/>
      <c r="C2744" s="982"/>
      <c r="D2744" s="969"/>
      <c r="E2744" s="969"/>
      <c r="F2744" s="969"/>
      <c r="G2744" s="1001"/>
      <c r="H2744" s="1001"/>
      <c r="I2744" s="1001"/>
      <c r="J2744" s="1001"/>
      <c r="K2744" s="1001"/>
      <c r="L2744" s="1001"/>
      <c r="M2744" s="1001"/>
    </row>
    <row r="2745" spans="2:13" ht="16.5" x14ac:dyDescent="0.2">
      <c r="B2745" s="971"/>
      <c r="C2745" s="982"/>
      <c r="D2745" s="969"/>
      <c r="E2745" s="969"/>
      <c r="F2745" s="969"/>
      <c r="G2745" s="1001"/>
      <c r="H2745" s="1001"/>
      <c r="I2745" s="1001"/>
      <c r="J2745" s="1001"/>
      <c r="K2745" s="1001"/>
      <c r="L2745" s="1001"/>
      <c r="M2745" s="1001"/>
    </row>
    <row r="2746" spans="2:13" ht="16.5" x14ac:dyDescent="0.2">
      <c r="B2746" s="982"/>
      <c r="C2746" s="985"/>
      <c r="D2746" s="969"/>
      <c r="E2746" s="969"/>
      <c r="F2746" s="969"/>
      <c r="G2746" s="1001"/>
      <c r="H2746" s="1001"/>
      <c r="I2746" s="1001"/>
      <c r="J2746" s="1001"/>
      <c r="K2746" s="1001"/>
      <c r="L2746" s="1001"/>
      <c r="M2746" s="1001"/>
    </row>
    <row r="2747" spans="2:13" ht="16.5" x14ac:dyDescent="0.2">
      <c r="B2747" s="982"/>
      <c r="C2747" s="985"/>
      <c r="D2747" s="969"/>
      <c r="E2747" s="969"/>
      <c r="F2747" s="969"/>
      <c r="G2747" s="1001"/>
      <c r="H2747" s="1001"/>
      <c r="I2747" s="1001"/>
      <c r="J2747" s="1001"/>
      <c r="K2747" s="1001"/>
      <c r="L2747" s="1001"/>
      <c r="M2747" s="1001"/>
    </row>
    <row r="2748" spans="2:13" ht="16.5" x14ac:dyDescent="0.2">
      <c r="B2748" s="982"/>
      <c r="C2748" s="985"/>
      <c r="D2748" s="969"/>
      <c r="E2748" s="969"/>
      <c r="F2748" s="969"/>
      <c r="G2748" s="1001"/>
      <c r="H2748" s="1001"/>
      <c r="I2748" s="1001"/>
      <c r="J2748" s="1001"/>
      <c r="K2748" s="1001"/>
      <c r="L2748" s="1001"/>
      <c r="M2748" s="1001"/>
    </row>
    <row r="2749" spans="2:13" ht="16.5" x14ac:dyDescent="0.2">
      <c r="B2749" s="982"/>
      <c r="C2749" s="985"/>
      <c r="D2749" s="969"/>
      <c r="E2749" s="969"/>
      <c r="F2749" s="969"/>
      <c r="G2749" s="1001"/>
      <c r="H2749" s="1001"/>
      <c r="I2749" s="1001"/>
      <c r="J2749" s="1001"/>
      <c r="K2749" s="1001"/>
      <c r="L2749" s="1001"/>
      <c r="M2749" s="1001"/>
    </row>
    <row r="2750" spans="2:13" ht="16.5" x14ac:dyDescent="0.2">
      <c r="B2750" s="982"/>
      <c r="C2750" s="983"/>
      <c r="D2750" s="969"/>
      <c r="E2750" s="969"/>
      <c r="F2750" s="969"/>
      <c r="G2750" s="1001"/>
      <c r="H2750" s="1001"/>
      <c r="I2750" s="1001"/>
      <c r="J2750" s="1001"/>
      <c r="K2750" s="1001"/>
      <c r="L2750" s="1001"/>
      <c r="M2750" s="1001"/>
    </row>
    <row r="2751" spans="2:13" ht="16.5" x14ac:dyDescent="0.2">
      <c r="B2751" s="982"/>
      <c r="C2751" s="982"/>
      <c r="D2751" s="969"/>
      <c r="E2751" s="969"/>
      <c r="F2751" s="969"/>
      <c r="G2751" s="1001"/>
      <c r="H2751" s="1001"/>
      <c r="I2751" s="1001"/>
      <c r="J2751" s="1001"/>
      <c r="K2751" s="1001"/>
      <c r="L2751" s="1001"/>
      <c r="M2751" s="1001"/>
    </row>
    <row r="2752" spans="2:13" ht="16.5" x14ac:dyDescent="0.2">
      <c r="B2752" s="982"/>
      <c r="C2752" s="983"/>
      <c r="D2752" s="969"/>
      <c r="E2752" s="969"/>
      <c r="F2752" s="969"/>
      <c r="G2752" s="1001"/>
      <c r="H2752" s="1001"/>
      <c r="I2752" s="1001"/>
      <c r="J2752" s="1001"/>
      <c r="K2752" s="1001"/>
      <c r="L2752" s="1001"/>
      <c r="M2752" s="1001"/>
    </row>
    <row r="2753" spans="2:13" ht="16.5" x14ac:dyDescent="0.2">
      <c r="B2753" s="982"/>
      <c r="C2753" s="985"/>
      <c r="D2753" s="969"/>
      <c r="E2753" s="969"/>
      <c r="F2753" s="969"/>
      <c r="G2753" s="1001"/>
      <c r="H2753" s="1001"/>
      <c r="I2753" s="1001"/>
      <c r="J2753" s="1001"/>
      <c r="K2753" s="1001"/>
      <c r="L2753" s="1001"/>
      <c r="M2753" s="1001"/>
    </row>
    <row r="2754" spans="2:13" ht="16.5" x14ac:dyDescent="0.2">
      <c r="B2754" s="992"/>
      <c r="C2754" s="990"/>
      <c r="D2754" s="969"/>
      <c r="E2754" s="969"/>
      <c r="F2754" s="969"/>
      <c r="G2754" s="1001"/>
      <c r="H2754" s="1001"/>
      <c r="I2754" s="1001"/>
      <c r="J2754" s="1001"/>
      <c r="K2754" s="1001"/>
      <c r="L2754" s="1001"/>
      <c r="M2754" s="1001"/>
    </row>
    <row r="2755" spans="2:13" ht="16.5" x14ac:dyDescent="0.2">
      <c r="B2755" s="982"/>
      <c r="C2755" s="991"/>
      <c r="D2755" s="969"/>
      <c r="E2755" s="969"/>
      <c r="F2755" s="969"/>
      <c r="G2755" s="1001"/>
      <c r="H2755" s="1001"/>
      <c r="I2755" s="1001"/>
      <c r="J2755" s="1001"/>
      <c r="K2755" s="1001"/>
      <c r="L2755" s="1001"/>
      <c r="M2755" s="1001"/>
    </row>
    <row r="2756" spans="2:13" ht="16.5" x14ac:dyDescent="0.2">
      <c r="B2756" s="982"/>
      <c r="C2756" s="993"/>
      <c r="D2756" s="969"/>
      <c r="E2756" s="969"/>
      <c r="F2756" s="969"/>
      <c r="G2756" s="1001"/>
      <c r="H2756" s="1001"/>
      <c r="I2756" s="1001"/>
      <c r="J2756" s="1001"/>
      <c r="K2756" s="1001"/>
      <c r="L2756" s="1001"/>
      <c r="M2756" s="1001"/>
    </row>
    <row r="2757" spans="2:13" ht="16.5" x14ac:dyDescent="0.3">
      <c r="B2757" s="987"/>
      <c r="C2757" s="988"/>
      <c r="D2757" s="969"/>
      <c r="E2757" s="969"/>
      <c r="F2757" s="969"/>
      <c r="G2757" s="1001"/>
      <c r="H2757" s="1001"/>
      <c r="I2757" s="1001"/>
      <c r="J2757" s="1001"/>
      <c r="K2757" s="1001"/>
      <c r="L2757" s="1001"/>
      <c r="M2757" s="1001"/>
    </row>
    <row r="2758" spans="2:13" ht="16.5" x14ac:dyDescent="0.2">
      <c r="B2758" s="971"/>
      <c r="C2758" s="982"/>
      <c r="D2758" s="969"/>
      <c r="E2758" s="969"/>
      <c r="F2758" s="969"/>
      <c r="G2758" s="1001"/>
      <c r="H2758" s="1001"/>
      <c r="I2758" s="1001"/>
      <c r="J2758" s="1001"/>
      <c r="K2758" s="1001"/>
      <c r="L2758" s="1001"/>
      <c r="M2758" s="1001"/>
    </row>
    <row r="2759" spans="2:13" ht="16.5" x14ac:dyDescent="0.2">
      <c r="B2759" s="971"/>
      <c r="C2759" s="982"/>
      <c r="D2759" s="969"/>
      <c r="E2759" s="969"/>
      <c r="F2759" s="969"/>
      <c r="G2759" s="1001"/>
      <c r="H2759" s="1001"/>
      <c r="I2759" s="1001"/>
      <c r="J2759" s="1001"/>
      <c r="K2759" s="1001"/>
      <c r="L2759" s="1001"/>
      <c r="M2759" s="1001"/>
    </row>
    <row r="2760" spans="2:13" ht="16.5" x14ac:dyDescent="0.2">
      <c r="B2760" s="971"/>
      <c r="C2760" s="982"/>
      <c r="D2760" s="969"/>
      <c r="E2760" s="969"/>
      <c r="F2760" s="969"/>
      <c r="G2760" s="1001"/>
      <c r="H2760" s="1001"/>
      <c r="I2760" s="1001"/>
      <c r="J2760" s="1001"/>
      <c r="K2760" s="1001"/>
      <c r="L2760" s="1001"/>
      <c r="M2760" s="1001"/>
    </row>
    <row r="2761" spans="2:13" ht="16.5" x14ac:dyDescent="0.2">
      <c r="B2761" s="971"/>
      <c r="C2761" s="982"/>
      <c r="D2761" s="969"/>
      <c r="E2761" s="969"/>
      <c r="F2761" s="969"/>
      <c r="G2761" s="1001"/>
      <c r="H2761" s="1001"/>
      <c r="I2761" s="1001"/>
      <c r="J2761" s="1001"/>
      <c r="K2761" s="1001"/>
      <c r="L2761" s="1001"/>
      <c r="M2761" s="1001"/>
    </row>
    <row r="2762" spans="2:13" ht="16.5" x14ac:dyDescent="0.2">
      <c r="B2762" s="989"/>
      <c r="C2762" s="990"/>
      <c r="D2762" s="969"/>
      <c r="E2762" s="969"/>
      <c r="F2762" s="969"/>
      <c r="G2762" s="1001"/>
      <c r="H2762" s="1001"/>
      <c r="I2762" s="1001"/>
      <c r="J2762" s="1001"/>
      <c r="K2762" s="1001"/>
      <c r="L2762" s="1001"/>
      <c r="M2762" s="1001"/>
    </row>
    <row r="2763" spans="2:13" ht="16.5" x14ac:dyDescent="0.2">
      <c r="B2763" s="971"/>
      <c r="C2763" s="991"/>
      <c r="D2763" s="969"/>
      <c r="E2763" s="969"/>
      <c r="F2763" s="969"/>
      <c r="G2763" s="1001"/>
      <c r="H2763" s="1001"/>
      <c r="I2763" s="1001"/>
      <c r="J2763" s="1001"/>
      <c r="K2763" s="1001"/>
      <c r="L2763" s="1001"/>
      <c r="M2763" s="1001"/>
    </row>
    <row r="2764" spans="2:13" ht="16.5" x14ac:dyDescent="0.2">
      <c r="B2764" s="982"/>
      <c r="C2764" s="983"/>
      <c r="D2764" s="969"/>
      <c r="E2764" s="969"/>
      <c r="F2764" s="969"/>
      <c r="G2764" s="1001"/>
      <c r="H2764" s="1001"/>
      <c r="I2764" s="1001"/>
      <c r="J2764" s="1001"/>
      <c r="K2764" s="1001"/>
      <c r="L2764" s="1001"/>
      <c r="M2764" s="1001"/>
    </row>
    <row r="2765" spans="2:13" ht="16.5" x14ac:dyDescent="0.2">
      <c r="B2765" s="982"/>
      <c r="C2765" s="985"/>
      <c r="D2765" s="969"/>
      <c r="E2765" s="969"/>
      <c r="F2765" s="969"/>
      <c r="G2765" s="1001"/>
      <c r="H2765" s="1001"/>
      <c r="I2765" s="1001"/>
      <c r="J2765" s="1001"/>
      <c r="K2765" s="1001"/>
      <c r="L2765" s="1001"/>
      <c r="M2765" s="1001"/>
    </row>
    <row r="2766" spans="2:13" ht="16.5" x14ac:dyDescent="0.2">
      <c r="B2766" s="982"/>
      <c r="C2766" s="985"/>
      <c r="D2766" s="969"/>
      <c r="E2766" s="969"/>
      <c r="F2766" s="969"/>
      <c r="G2766" s="1001"/>
      <c r="H2766" s="1001"/>
      <c r="I2766" s="1001"/>
      <c r="J2766" s="1001"/>
      <c r="K2766" s="1001"/>
      <c r="L2766" s="1001"/>
      <c r="M2766" s="1001"/>
    </row>
    <row r="2767" spans="2:13" ht="16.5" x14ac:dyDescent="0.2">
      <c r="B2767" s="982"/>
      <c r="C2767" s="985"/>
      <c r="D2767" s="969"/>
      <c r="E2767" s="969"/>
      <c r="F2767" s="969"/>
      <c r="G2767" s="1001"/>
      <c r="H2767" s="1001"/>
      <c r="I2767" s="1001"/>
      <c r="J2767" s="1001"/>
      <c r="K2767" s="1001"/>
      <c r="L2767" s="1001"/>
      <c r="M2767" s="1001"/>
    </row>
    <row r="2768" spans="2:13" ht="16.5" x14ac:dyDescent="0.2">
      <c r="B2768" s="982"/>
      <c r="C2768" s="985"/>
      <c r="D2768" s="969"/>
      <c r="E2768" s="969"/>
      <c r="F2768" s="969"/>
      <c r="G2768" s="1001"/>
      <c r="H2768" s="1001"/>
      <c r="I2768" s="1001"/>
      <c r="J2768" s="1001"/>
      <c r="K2768" s="1001"/>
      <c r="L2768" s="1001"/>
      <c r="M2768" s="1001"/>
    </row>
    <row r="2769" spans="2:13" ht="16.5" x14ac:dyDescent="0.2">
      <c r="B2769" s="982"/>
      <c r="C2769" s="985"/>
      <c r="D2769" s="969"/>
      <c r="E2769" s="969"/>
      <c r="F2769" s="969"/>
      <c r="G2769" s="1001"/>
      <c r="H2769" s="1001"/>
      <c r="I2769" s="1001"/>
      <c r="J2769" s="1001"/>
      <c r="K2769" s="1001"/>
      <c r="L2769" s="1001"/>
      <c r="M2769" s="1001"/>
    </row>
    <row r="2770" spans="2:13" ht="16.5" x14ac:dyDescent="0.2">
      <c r="B2770" s="982"/>
      <c r="C2770" s="985"/>
      <c r="D2770" s="969"/>
      <c r="E2770" s="969"/>
      <c r="F2770" s="969"/>
      <c r="G2770" s="1001"/>
      <c r="H2770" s="1001"/>
      <c r="I2770" s="1001"/>
      <c r="J2770" s="1001"/>
      <c r="K2770" s="1001"/>
      <c r="L2770" s="1001"/>
      <c r="M2770" s="1001"/>
    </row>
    <row r="2771" spans="2:13" ht="16.5" x14ac:dyDescent="0.2">
      <c r="B2771" s="982"/>
      <c r="C2771" s="983"/>
      <c r="D2771" s="969"/>
      <c r="E2771" s="969"/>
      <c r="F2771" s="969"/>
      <c r="G2771" s="1001"/>
      <c r="H2771" s="1001"/>
      <c r="I2771" s="1001"/>
      <c r="J2771" s="1001"/>
      <c r="K2771" s="1001"/>
      <c r="L2771" s="1001"/>
      <c r="M2771" s="1001"/>
    </row>
    <row r="2772" spans="2:13" ht="16.5" x14ac:dyDescent="0.2">
      <c r="B2772" s="982"/>
      <c r="C2772" s="982"/>
      <c r="D2772" s="969"/>
      <c r="E2772" s="969"/>
      <c r="F2772" s="969"/>
      <c r="G2772" s="1001"/>
      <c r="H2772" s="1001"/>
      <c r="I2772" s="1001"/>
      <c r="J2772" s="1001"/>
      <c r="K2772" s="1001"/>
      <c r="L2772" s="1001"/>
      <c r="M2772" s="1001"/>
    </row>
    <row r="2773" spans="2:13" ht="16.5" x14ac:dyDescent="0.2">
      <c r="B2773" s="982"/>
      <c r="C2773" s="983"/>
      <c r="D2773" s="969"/>
      <c r="E2773" s="969"/>
      <c r="F2773" s="969"/>
      <c r="G2773" s="1001"/>
      <c r="H2773" s="1001"/>
      <c r="I2773" s="1001"/>
      <c r="J2773" s="1001"/>
      <c r="K2773" s="1001"/>
      <c r="L2773" s="1001"/>
      <c r="M2773" s="1001"/>
    </row>
    <row r="2774" spans="2:13" ht="16.5" x14ac:dyDescent="0.2">
      <c r="B2774" s="982"/>
      <c r="C2774" s="985"/>
      <c r="D2774" s="969"/>
      <c r="E2774" s="969"/>
      <c r="F2774" s="969"/>
      <c r="G2774" s="1001"/>
      <c r="H2774" s="1001"/>
      <c r="I2774" s="1001"/>
      <c r="J2774" s="1001"/>
      <c r="K2774" s="1001"/>
      <c r="L2774" s="1001"/>
      <c r="M2774" s="1001"/>
    </row>
    <row r="2775" spans="2:13" ht="16.5" x14ac:dyDescent="0.2">
      <c r="B2775" s="992"/>
      <c r="C2775" s="990"/>
      <c r="D2775" s="969"/>
      <c r="E2775" s="969"/>
      <c r="F2775" s="969"/>
      <c r="G2775" s="1001"/>
      <c r="H2775" s="1001"/>
      <c r="I2775" s="1001"/>
      <c r="J2775" s="1001"/>
      <c r="K2775" s="1001"/>
      <c r="L2775" s="1001"/>
      <c r="M2775" s="1001"/>
    </row>
    <row r="2776" spans="2:13" ht="16.5" x14ac:dyDescent="0.2">
      <c r="B2776" s="982"/>
      <c r="C2776" s="991"/>
      <c r="D2776" s="969"/>
      <c r="E2776" s="969"/>
      <c r="F2776" s="969"/>
      <c r="G2776" s="1001"/>
      <c r="H2776" s="1001"/>
      <c r="I2776" s="1001"/>
      <c r="J2776" s="1001"/>
      <c r="K2776" s="1001"/>
      <c r="L2776" s="1001"/>
      <c r="M2776" s="1001"/>
    </row>
    <row r="2777" spans="2:13" ht="16.5" x14ac:dyDescent="0.2">
      <c r="B2777" s="982"/>
      <c r="C2777" s="993"/>
      <c r="D2777" s="969"/>
      <c r="E2777" s="969"/>
      <c r="F2777" s="969"/>
      <c r="G2777" s="1001"/>
      <c r="H2777" s="1001"/>
      <c r="I2777" s="1001"/>
      <c r="J2777" s="1001"/>
      <c r="K2777" s="1001"/>
      <c r="L2777" s="1001"/>
      <c r="M2777" s="1001"/>
    </row>
    <row r="2778" spans="2:13" ht="16.5" x14ac:dyDescent="0.3">
      <c r="B2778" s="987"/>
      <c r="C2778" s="988"/>
      <c r="D2778" s="969"/>
      <c r="E2778" s="969"/>
      <c r="F2778" s="969"/>
      <c r="G2778" s="1001"/>
      <c r="H2778" s="1001"/>
      <c r="I2778" s="1001"/>
      <c r="J2778" s="1001"/>
      <c r="K2778" s="1001"/>
      <c r="L2778" s="1001"/>
      <c r="M2778" s="1001"/>
    </row>
    <row r="2779" spans="2:13" ht="16.5" x14ac:dyDescent="0.2">
      <c r="B2779" s="971"/>
      <c r="C2779" s="982"/>
      <c r="D2779" s="969"/>
      <c r="E2779" s="969"/>
      <c r="F2779" s="969"/>
      <c r="G2779" s="1001"/>
      <c r="H2779" s="1001"/>
      <c r="I2779" s="1001"/>
      <c r="J2779" s="1001"/>
      <c r="K2779" s="1001"/>
      <c r="L2779" s="1001"/>
      <c r="M2779" s="1001"/>
    </row>
    <row r="2780" spans="2:13" ht="16.5" x14ac:dyDescent="0.2">
      <c r="B2780" s="971"/>
      <c r="C2780" s="982"/>
      <c r="D2780" s="969"/>
      <c r="E2780" s="969"/>
      <c r="F2780" s="969"/>
      <c r="G2780" s="1001"/>
      <c r="H2780" s="1001"/>
      <c r="I2780" s="1001"/>
      <c r="J2780" s="1001"/>
      <c r="K2780" s="1001"/>
      <c r="L2780" s="1001"/>
      <c r="M2780" s="1001"/>
    </row>
    <row r="2781" spans="2:13" ht="16.5" x14ac:dyDescent="0.2">
      <c r="B2781" s="971"/>
      <c r="C2781" s="982"/>
      <c r="D2781" s="969"/>
      <c r="E2781" s="969"/>
      <c r="F2781" s="969"/>
      <c r="G2781" s="1001"/>
      <c r="H2781" s="1001"/>
      <c r="I2781" s="1001"/>
      <c r="J2781" s="1001"/>
      <c r="K2781" s="1001"/>
      <c r="L2781" s="1001"/>
      <c r="M2781" s="1001"/>
    </row>
    <row r="2782" spans="2:13" ht="16.5" x14ac:dyDescent="0.2">
      <c r="B2782" s="971"/>
      <c r="C2782" s="982"/>
      <c r="D2782" s="969"/>
      <c r="E2782" s="969"/>
      <c r="F2782" s="969"/>
      <c r="G2782" s="1001"/>
      <c r="H2782" s="1001"/>
      <c r="I2782" s="1001"/>
      <c r="J2782" s="1001"/>
      <c r="K2782" s="1001"/>
      <c r="L2782" s="1001"/>
      <c r="M2782" s="1001"/>
    </row>
    <row r="2783" spans="2:13" ht="16.5" x14ac:dyDescent="0.2">
      <c r="B2783" s="989"/>
      <c r="C2783" s="990"/>
      <c r="D2783" s="969"/>
      <c r="E2783" s="969"/>
      <c r="F2783" s="969"/>
      <c r="G2783" s="1001"/>
      <c r="H2783" s="1001"/>
      <c r="I2783" s="1001"/>
      <c r="J2783" s="1001"/>
      <c r="K2783" s="1001"/>
      <c r="L2783" s="1001"/>
      <c r="M2783" s="1001"/>
    </row>
    <row r="2784" spans="2:13" ht="16.5" x14ac:dyDescent="0.2">
      <c r="B2784" s="971"/>
      <c r="C2784" s="991"/>
      <c r="D2784" s="969"/>
      <c r="E2784" s="969"/>
      <c r="F2784" s="969"/>
      <c r="G2784" s="1001"/>
      <c r="H2784" s="1001"/>
      <c r="I2784" s="1001"/>
      <c r="J2784" s="1001"/>
      <c r="K2784" s="1001"/>
      <c r="L2784" s="1001"/>
      <c r="M2784" s="1001"/>
    </row>
    <row r="2785" spans="2:13" ht="16.5" x14ac:dyDescent="0.2">
      <c r="B2785" s="982"/>
      <c r="C2785" s="983"/>
      <c r="D2785" s="969"/>
      <c r="E2785" s="969"/>
      <c r="F2785" s="969"/>
      <c r="G2785" s="1001"/>
      <c r="H2785" s="1001"/>
      <c r="I2785" s="1001"/>
      <c r="J2785" s="1001"/>
      <c r="K2785" s="1001"/>
      <c r="L2785" s="1001"/>
      <c r="M2785" s="1001"/>
    </row>
    <row r="2786" spans="2:13" ht="16.5" x14ac:dyDescent="0.2">
      <c r="B2786" s="982"/>
      <c r="C2786" s="985"/>
      <c r="D2786" s="969"/>
      <c r="E2786" s="969"/>
      <c r="F2786" s="969"/>
      <c r="G2786" s="1001"/>
      <c r="H2786" s="1001"/>
      <c r="I2786" s="1001"/>
      <c r="J2786" s="1001"/>
      <c r="K2786" s="1001"/>
      <c r="L2786" s="1001"/>
      <c r="M2786" s="1001"/>
    </row>
    <row r="2787" spans="2:13" ht="16.5" x14ac:dyDescent="0.2">
      <c r="B2787" s="982"/>
      <c r="C2787" s="985"/>
      <c r="D2787" s="969"/>
      <c r="E2787" s="969"/>
      <c r="F2787" s="969"/>
      <c r="G2787" s="1001"/>
      <c r="H2787" s="1001"/>
      <c r="I2787" s="1001"/>
      <c r="J2787" s="1001"/>
      <c r="K2787" s="1001"/>
      <c r="L2787" s="1001"/>
      <c r="M2787" s="1001"/>
    </row>
    <row r="2788" spans="2:13" ht="16.5" x14ac:dyDescent="0.2">
      <c r="B2788" s="982"/>
      <c r="C2788" s="985"/>
      <c r="D2788" s="969"/>
      <c r="E2788" s="969"/>
      <c r="F2788" s="969"/>
      <c r="G2788" s="1001"/>
      <c r="H2788" s="1001"/>
      <c r="I2788" s="1001"/>
      <c r="J2788" s="1001"/>
      <c r="K2788" s="1001"/>
      <c r="L2788" s="1001"/>
      <c r="M2788" s="1001"/>
    </row>
    <row r="2789" spans="2:13" ht="16.5" x14ac:dyDescent="0.2">
      <c r="B2789" s="982"/>
      <c r="C2789" s="985"/>
      <c r="D2789" s="969"/>
      <c r="E2789" s="969"/>
      <c r="F2789" s="969"/>
      <c r="G2789" s="1001"/>
      <c r="H2789" s="1001"/>
      <c r="I2789" s="1001"/>
      <c r="J2789" s="1001"/>
      <c r="K2789" s="1001"/>
      <c r="L2789" s="1001"/>
      <c r="M2789" s="1001"/>
    </row>
    <row r="2790" spans="2:13" ht="16.5" x14ac:dyDescent="0.2">
      <c r="B2790" s="982"/>
      <c r="C2790" s="985"/>
      <c r="D2790" s="969"/>
      <c r="E2790" s="969"/>
      <c r="F2790" s="969"/>
      <c r="G2790" s="1001"/>
      <c r="H2790" s="1001"/>
      <c r="I2790" s="1001"/>
      <c r="J2790" s="1001"/>
      <c r="K2790" s="1001"/>
      <c r="L2790" s="1001"/>
      <c r="M2790" s="1001"/>
    </row>
    <row r="2791" spans="2:13" ht="16.5" x14ac:dyDescent="0.2">
      <c r="B2791" s="982"/>
      <c r="C2791" s="985"/>
      <c r="D2791" s="969"/>
      <c r="E2791" s="969"/>
      <c r="F2791" s="969"/>
      <c r="G2791" s="1001"/>
      <c r="H2791" s="1001"/>
      <c r="I2791" s="1001"/>
      <c r="J2791" s="1001"/>
      <c r="K2791" s="1001"/>
      <c r="L2791" s="1001"/>
      <c r="M2791" s="1001"/>
    </row>
    <row r="2792" spans="2:13" ht="16.5" x14ac:dyDescent="0.2">
      <c r="B2792" s="982"/>
      <c r="C2792" s="983"/>
      <c r="D2792" s="969"/>
      <c r="E2792" s="969"/>
      <c r="F2792" s="969"/>
      <c r="G2792" s="1001"/>
      <c r="H2792" s="1001"/>
      <c r="I2792" s="1001"/>
      <c r="J2792" s="1001"/>
      <c r="K2792" s="1001"/>
      <c r="L2792" s="1001"/>
      <c r="M2792" s="1001"/>
    </row>
    <row r="2793" spans="2:13" ht="16.5" x14ac:dyDescent="0.2">
      <c r="B2793" s="982"/>
      <c r="C2793" s="982"/>
      <c r="D2793" s="969"/>
      <c r="E2793" s="969"/>
      <c r="F2793" s="969"/>
      <c r="G2793" s="1001"/>
      <c r="H2793" s="1001"/>
      <c r="I2793" s="1001"/>
      <c r="J2793" s="1001"/>
      <c r="K2793" s="1001"/>
      <c r="L2793" s="1001"/>
      <c r="M2793" s="1001"/>
    </row>
    <row r="2794" spans="2:13" ht="16.5" x14ac:dyDescent="0.2">
      <c r="B2794" s="982"/>
      <c r="C2794" s="983"/>
      <c r="D2794" s="969"/>
      <c r="E2794" s="969"/>
      <c r="F2794" s="969"/>
      <c r="G2794" s="1001"/>
      <c r="H2794" s="1001"/>
      <c r="I2794" s="1001"/>
      <c r="J2794" s="1001"/>
      <c r="K2794" s="1001"/>
      <c r="L2794" s="1001"/>
      <c r="M2794" s="1001"/>
    </row>
    <row r="2795" spans="2:13" ht="16.5" x14ac:dyDescent="0.2">
      <c r="B2795" s="982"/>
      <c r="C2795" s="985"/>
      <c r="D2795" s="969"/>
      <c r="E2795" s="969"/>
      <c r="F2795" s="969"/>
      <c r="G2795" s="1001"/>
      <c r="H2795" s="1001"/>
      <c r="I2795" s="1001"/>
      <c r="J2795" s="1001"/>
      <c r="K2795" s="1001"/>
      <c r="L2795" s="1001"/>
      <c r="M2795" s="1001"/>
    </row>
    <row r="2796" spans="2:13" ht="16.5" x14ac:dyDescent="0.2">
      <c r="B2796" s="992"/>
      <c r="C2796" s="990"/>
      <c r="D2796" s="969"/>
      <c r="E2796" s="969"/>
      <c r="F2796" s="969"/>
      <c r="G2796" s="1001"/>
      <c r="H2796" s="1001"/>
      <c r="I2796" s="1001"/>
      <c r="J2796" s="1001"/>
      <c r="K2796" s="1001"/>
      <c r="L2796" s="1001"/>
      <c r="M2796" s="1001"/>
    </row>
    <row r="2797" spans="2:13" ht="16.5" x14ac:dyDescent="0.2">
      <c r="B2797" s="982"/>
      <c r="C2797" s="991"/>
      <c r="D2797" s="969"/>
      <c r="E2797" s="969"/>
      <c r="F2797" s="969"/>
      <c r="G2797" s="1001"/>
      <c r="H2797" s="1001"/>
      <c r="I2797" s="1001"/>
      <c r="J2797" s="1001"/>
      <c r="K2797" s="1001"/>
      <c r="L2797" s="1001"/>
      <c r="M2797" s="1001"/>
    </row>
    <row r="2798" spans="2:13" ht="16.5" x14ac:dyDescent="0.2">
      <c r="B2798" s="982"/>
      <c r="C2798" s="993"/>
      <c r="D2798" s="969"/>
      <c r="E2798" s="969"/>
      <c r="F2798" s="969"/>
      <c r="G2798" s="1001"/>
      <c r="H2798" s="1001"/>
      <c r="I2798" s="1001"/>
      <c r="J2798" s="1001"/>
      <c r="K2798" s="1001"/>
      <c r="L2798" s="1001"/>
      <c r="M2798" s="1001"/>
    </row>
    <row r="2799" spans="2:13" ht="16.5" x14ac:dyDescent="0.2">
      <c r="B2799" s="982"/>
      <c r="C2799" s="982"/>
      <c r="D2799" s="969"/>
      <c r="E2799" s="969"/>
      <c r="F2799" s="969"/>
      <c r="G2799" s="1001"/>
      <c r="H2799" s="1001"/>
      <c r="I2799" s="1001"/>
      <c r="J2799" s="1001"/>
      <c r="K2799" s="1001"/>
      <c r="L2799" s="1001"/>
      <c r="M2799" s="1001"/>
    </row>
    <row r="2800" spans="2:13" ht="16.5" x14ac:dyDescent="0.3">
      <c r="B2800" s="987"/>
      <c r="C2800" s="988"/>
      <c r="D2800" s="969"/>
      <c r="E2800" s="969"/>
      <c r="F2800" s="969"/>
      <c r="G2800" s="1001"/>
      <c r="H2800" s="1001"/>
      <c r="I2800" s="1001"/>
      <c r="J2800" s="1001"/>
      <c r="K2800" s="1001"/>
      <c r="L2800" s="1001"/>
      <c r="M2800" s="1001"/>
    </row>
    <row r="2801" spans="2:13" ht="16.5" x14ac:dyDescent="0.2">
      <c r="B2801" s="971"/>
      <c r="C2801" s="982"/>
      <c r="D2801" s="969"/>
      <c r="E2801" s="969"/>
      <c r="F2801" s="969"/>
      <c r="G2801" s="1001"/>
      <c r="H2801" s="1001"/>
      <c r="I2801" s="1001"/>
      <c r="J2801" s="1001"/>
      <c r="K2801" s="1001"/>
      <c r="L2801" s="1001"/>
      <c r="M2801" s="1001"/>
    </row>
    <row r="2802" spans="2:13" ht="16.5" x14ac:dyDescent="0.2">
      <c r="B2802" s="971"/>
      <c r="C2802" s="982"/>
      <c r="D2802" s="969"/>
      <c r="E2802" s="969"/>
      <c r="F2802" s="969"/>
      <c r="G2802" s="1001"/>
      <c r="H2802" s="1001"/>
      <c r="I2802" s="1001"/>
      <c r="J2802" s="1001"/>
      <c r="K2802" s="1001"/>
      <c r="L2802" s="1001"/>
      <c r="M2802" s="1001"/>
    </row>
    <row r="2803" spans="2:13" ht="16.5" x14ac:dyDescent="0.2">
      <c r="B2803" s="971"/>
      <c r="C2803" s="982"/>
      <c r="D2803" s="969"/>
      <c r="E2803" s="969"/>
      <c r="F2803" s="969"/>
      <c r="G2803" s="1001"/>
      <c r="H2803" s="1001"/>
      <c r="I2803" s="1001"/>
      <c r="J2803" s="1001"/>
      <c r="K2803" s="1001"/>
      <c r="L2803" s="1001"/>
      <c r="M2803" s="1001"/>
    </row>
    <row r="2804" spans="2:13" ht="16.5" x14ac:dyDescent="0.2">
      <c r="B2804" s="971"/>
      <c r="C2804" s="982"/>
      <c r="D2804" s="969"/>
      <c r="E2804" s="969"/>
      <c r="F2804" s="969"/>
      <c r="G2804" s="1001"/>
      <c r="H2804" s="1001"/>
      <c r="I2804" s="1001"/>
      <c r="J2804" s="1001"/>
      <c r="K2804" s="1001"/>
      <c r="L2804" s="1001"/>
      <c r="M2804" s="1001"/>
    </row>
    <row r="2805" spans="2:13" ht="16.5" x14ac:dyDescent="0.2">
      <c r="B2805" s="989"/>
      <c r="C2805" s="990"/>
      <c r="D2805" s="969"/>
      <c r="E2805" s="969"/>
      <c r="F2805" s="969"/>
      <c r="G2805" s="1001"/>
      <c r="H2805" s="1001"/>
      <c r="I2805" s="1001"/>
      <c r="J2805" s="1001"/>
      <c r="K2805" s="1001"/>
      <c r="L2805" s="1001"/>
      <c r="M2805" s="1001"/>
    </row>
    <row r="2806" spans="2:13" ht="16.5" x14ac:dyDescent="0.2">
      <c r="B2806" s="971"/>
      <c r="C2806" s="991"/>
      <c r="D2806" s="969"/>
      <c r="E2806" s="969"/>
      <c r="F2806" s="969"/>
      <c r="G2806" s="1001"/>
      <c r="H2806" s="1001"/>
      <c r="I2806" s="1001"/>
      <c r="J2806" s="1001"/>
      <c r="K2806" s="1001"/>
      <c r="L2806" s="1001"/>
      <c r="M2806" s="1001"/>
    </row>
    <row r="2807" spans="2:13" ht="16.5" x14ac:dyDescent="0.2">
      <c r="B2807" s="982"/>
      <c r="C2807" s="983"/>
      <c r="D2807" s="969"/>
      <c r="E2807" s="969"/>
      <c r="F2807" s="969"/>
      <c r="G2807" s="1001"/>
      <c r="H2807" s="1001"/>
      <c r="I2807" s="1001"/>
      <c r="J2807" s="1001"/>
      <c r="K2807" s="1001"/>
      <c r="L2807" s="1001"/>
      <c r="M2807" s="1001"/>
    </row>
    <row r="2808" spans="2:13" ht="16.5" x14ac:dyDescent="0.2">
      <c r="B2808" s="982"/>
      <c r="C2808" s="985"/>
      <c r="D2808" s="969"/>
      <c r="E2808" s="969"/>
      <c r="F2808" s="969"/>
      <c r="G2808" s="1001"/>
      <c r="H2808" s="1001"/>
      <c r="I2808" s="1001"/>
      <c r="J2808" s="1001"/>
      <c r="K2808" s="1001"/>
      <c r="L2808" s="1001"/>
      <c r="M2808" s="1001"/>
    </row>
    <row r="2809" spans="2:13" ht="16.5" x14ac:dyDescent="0.2">
      <c r="B2809" s="982"/>
      <c r="C2809" s="985"/>
      <c r="D2809" s="969"/>
      <c r="E2809" s="969"/>
      <c r="F2809" s="969"/>
      <c r="G2809" s="1001"/>
      <c r="H2809" s="1001"/>
      <c r="I2809" s="1001"/>
      <c r="J2809" s="1001"/>
      <c r="K2809" s="1001"/>
      <c r="L2809" s="1001"/>
      <c r="M2809" s="1001"/>
    </row>
    <row r="2810" spans="2:13" ht="16.5" x14ac:dyDescent="0.2">
      <c r="B2810" s="982"/>
      <c r="C2810" s="985"/>
      <c r="D2810" s="969"/>
      <c r="E2810" s="969"/>
      <c r="F2810" s="969"/>
      <c r="G2810" s="1001"/>
      <c r="H2810" s="1001"/>
      <c r="I2810" s="1001"/>
      <c r="J2810" s="1001"/>
      <c r="K2810" s="1001"/>
      <c r="L2810" s="1001"/>
      <c r="M2810" s="1001"/>
    </row>
    <row r="2811" spans="2:13" ht="16.5" x14ac:dyDescent="0.2">
      <c r="B2811" s="982"/>
      <c r="C2811" s="985"/>
      <c r="D2811" s="969"/>
      <c r="E2811" s="969"/>
      <c r="F2811" s="969"/>
      <c r="G2811" s="1001"/>
      <c r="H2811" s="1001"/>
      <c r="I2811" s="1001"/>
      <c r="J2811" s="1001"/>
      <c r="K2811" s="1001"/>
      <c r="L2811" s="1001"/>
      <c r="M2811" s="1001"/>
    </row>
    <row r="2812" spans="2:13" ht="16.5" x14ac:dyDescent="0.2">
      <c r="B2812" s="982"/>
      <c r="C2812" s="985"/>
      <c r="D2812" s="969"/>
      <c r="E2812" s="969"/>
      <c r="F2812" s="969"/>
      <c r="G2812" s="1001"/>
      <c r="H2812" s="1001"/>
      <c r="I2812" s="1001"/>
      <c r="J2812" s="1001"/>
      <c r="K2812" s="1001"/>
      <c r="L2812" s="1001"/>
      <c r="M2812" s="1001"/>
    </row>
    <row r="2813" spans="2:13" ht="16.5" x14ac:dyDescent="0.2">
      <c r="B2813" s="982"/>
      <c r="C2813" s="985"/>
      <c r="D2813" s="969"/>
      <c r="E2813" s="969"/>
      <c r="F2813" s="969"/>
      <c r="G2813" s="1001"/>
      <c r="H2813" s="1001"/>
      <c r="I2813" s="1001"/>
      <c r="J2813" s="1001"/>
      <c r="K2813" s="1001"/>
      <c r="L2813" s="1001"/>
      <c r="M2813" s="1001"/>
    </row>
    <row r="2814" spans="2:13" ht="16.5" x14ac:dyDescent="0.2">
      <c r="B2814" s="982"/>
      <c r="C2814" s="983"/>
      <c r="D2814" s="969"/>
      <c r="E2814" s="969"/>
      <c r="F2814" s="969"/>
      <c r="G2814" s="1001"/>
      <c r="H2814" s="1001"/>
      <c r="I2814" s="1001"/>
      <c r="J2814" s="1001"/>
      <c r="K2814" s="1001"/>
      <c r="L2814" s="1001"/>
      <c r="M2814" s="1001"/>
    </row>
    <row r="2815" spans="2:13" ht="16.5" x14ac:dyDescent="0.2">
      <c r="B2815" s="982"/>
      <c r="C2815" s="982"/>
      <c r="D2815" s="969"/>
      <c r="E2815" s="969"/>
      <c r="F2815" s="969"/>
      <c r="G2815" s="1001"/>
      <c r="H2815" s="1001"/>
      <c r="I2815" s="1001"/>
      <c r="J2815" s="1001"/>
      <c r="K2815" s="1001"/>
      <c r="L2815" s="1001"/>
      <c r="M2815" s="1001"/>
    </row>
    <row r="2816" spans="2:13" ht="16.5" x14ac:dyDescent="0.2">
      <c r="B2816" s="982"/>
      <c r="C2816" s="983"/>
      <c r="D2816" s="969"/>
      <c r="E2816" s="969"/>
      <c r="F2816" s="969"/>
      <c r="G2816" s="1001"/>
      <c r="H2816" s="1001"/>
      <c r="I2816" s="1001"/>
      <c r="J2816" s="1001"/>
      <c r="K2816" s="1001"/>
      <c r="L2816" s="1001"/>
      <c r="M2816" s="1001"/>
    </row>
    <row r="2817" spans="2:13" ht="16.5" x14ac:dyDescent="0.2">
      <c r="B2817" s="982"/>
      <c r="C2817" s="985"/>
      <c r="D2817" s="969"/>
      <c r="E2817" s="969"/>
      <c r="F2817" s="969"/>
      <c r="G2817" s="1001"/>
      <c r="H2817" s="1001"/>
      <c r="I2817" s="1001"/>
      <c r="J2817" s="1001"/>
      <c r="K2817" s="1001"/>
      <c r="L2817" s="1001"/>
      <c r="M2817" s="1001"/>
    </row>
    <row r="2818" spans="2:13" ht="16.5" x14ac:dyDescent="0.2">
      <c r="B2818" s="982"/>
      <c r="C2818" s="985"/>
      <c r="D2818" s="969"/>
      <c r="E2818" s="969"/>
      <c r="F2818" s="969"/>
      <c r="G2818" s="1001"/>
      <c r="H2818" s="1001"/>
      <c r="I2818" s="1001"/>
      <c r="J2818" s="1001"/>
      <c r="K2818" s="1001"/>
      <c r="L2818" s="1001"/>
      <c r="M2818" s="1001"/>
    </row>
    <row r="2819" spans="2:13" ht="16.5" x14ac:dyDescent="0.2">
      <c r="B2819" s="992"/>
      <c r="C2819" s="990"/>
      <c r="D2819" s="969"/>
      <c r="E2819" s="969"/>
      <c r="F2819" s="969"/>
      <c r="G2819" s="1001"/>
      <c r="H2819" s="1001"/>
      <c r="I2819" s="1001"/>
      <c r="J2819" s="1001"/>
      <c r="K2819" s="1001"/>
      <c r="L2819" s="1001"/>
      <c r="M2819" s="1001"/>
    </row>
    <row r="2820" spans="2:13" ht="16.5" x14ac:dyDescent="0.2">
      <c r="B2820" s="982"/>
      <c r="C2820" s="991"/>
      <c r="D2820" s="969"/>
      <c r="E2820" s="969"/>
      <c r="F2820" s="969"/>
      <c r="G2820" s="1001"/>
      <c r="H2820" s="1001"/>
      <c r="I2820" s="1001"/>
      <c r="J2820" s="1001"/>
      <c r="K2820" s="1001"/>
      <c r="L2820" s="1001"/>
      <c r="M2820" s="1001"/>
    </row>
    <row r="2821" spans="2:13" ht="16.5" x14ac:dyDescent="0.2">
      <c r="B2821" s="982"/>
      <c r="C2821" s="993"/>
      <c r="D2821" s="969"/>
      <c r="E2821" s="969"/>
      <c r="F2821" s="969"/>
      <c r="G2821" s="1001"/>
      <c r="H2821" s="1001"/>
      <c r="I2821" s="1001"/>
      <c r="J2821" s="1001"/>
      <c r="K2821" s="1001"/>
      <c r="L2821" s="1001"/>
      <c r="M2821" s="1001"/>
    </row>
    <row r="2822" spans="2:13" ht="16.5" x14ac:dyDescent="0.2">
      <c r="B2822" s="982"/>
      <c r="C2822" s="982"/>
      <c r="D2822" s="969"/>
      <c r="E2822" s="969"/>
      <c r="F2822" s="969"/>
      <c r="G2822" s="1001"/>
      <c r="H2822" s="1001"/>
      <c r="I2822" s="1001"/>
      <c r="J2822" s="1001"/>
      <c r="K2822" s="1001"/>
      <c r="L2822" s="1001"/>
      <c r="M2822" s="1001"/>
    </row>
    <row r="2823" spans="2:13" ht="16.5" x14ac:dyDescent="0.3">
      <c r="B2823" s="987"/>
      <c r="C2823" s="988"/>
      <c r="D2823" s="969"/>
      <c r="E2823" s="969"/>
      <c r="F2823" s="969"/>
      <c r="G2823" s="1001"/>
      <c r="H2823" s="1001"/>
      <c r="I2823" s="1001"/>
      <c r="J2823" s="1001"/>
      <c r="K2823" s="1001"/>
      <c r="L2823" s="1001"/>
      <c r="M2823" s="1001"/>
    </row>
    <row r="2824" spans="2:13" ht="16.5" x14ac:dyDescent="0.2">
      <c r="B2824" s="971"/>
      <c r="C2824" s="982"/>
      <c r="D2824" s="969"/>
      <c r="E2824" s="969"/>
      <c r="F2824" s="969"/>
      <c r="G2824" s="1001"/>
      <c r="H2824" s="1001"/>
      <c r="I2824" s="1001"/>
      <c r="J2824" s="1001"/>
      <c r="K2824" s="1001"/>
      <c r="L2824" s="1001"/>
      <c r="M2824" s="1001"/>
    </row>
    <row r="2825" spans="2:13" ht="16.5" x14ac:dyDescent="0.2">
      <c r="B2825" s="971"/>
      <c r="C2825" s="982"/>
      <c r="D2825" s="969"/>
      <c r="E2825" s="969"/>
      <c r="F2825" s="969"/>
      <c r="G2825" s="1001"/>
      <c r="H2825" s="1001"/>
      <c r="I2825" s="1001"/>
      <c r="J2825" s="1001"/>
      <c r="K2825" s="1001"/>
      <c r="L2825" s="1001"/>
      <c r="M2825" s="1001"/>
    </row>
    <row r="2826" spans="2:13" ht="16.5" x14ac:dyDescent="0.2">
      <c r="B2826" s="971"/>
      <c r="C2826" s="982"/>
      <c r="D2826" s="969"/>
      <c r="E2826" s="969"/>
      <c r="F2826" s="969"/>
      <c r="G2826" s="1001"/>
      <c r="H2826" s="1001"/>
      <c r="I2826" s="1001"/>
      <c r="J2826" s="1001"/>
      <c r="K2826" s="1001"/>
      <c r="L2826" s="1001"/>
      <c r="M2826" s="1001"/>
    </row>
    <row r="2827" spans="2:13" ht="16.5" x14ac:dyDescent="0.2">
      <c r="B2827" s="971"/>
      <c r="C2827" s="982"/>
      <c r="D2827" s="969"/>
      <c r="E2827" s="969"/>
      <c r="F2827" s="969"/>
      <c r="G2827" s="1001"/>
      <c r="H2827" s="1001"/>
      <c r="I2827" s="1001"/>
      <c r="J2827" s="1001"/>
      <c r="K2827" s="1001"/>
      <c r="L2827" s="1001"/>
      <c r="M2827" s="1001"/>
    </row>
    <row r="2828" spans="2:13" ht="16.5" x14ac:dyDescent="0.2">
      <c r="B2828" s="989"/>
      <c r="C2828" s="990"/>
      <c r="D2828" s="969"/>
      <c r="E2828" s="969"/>
      <c r="F2828" s="969"/>
      <c r="G2828" s="1001"/>
      <c r="H2828" s="1001"/>
      <c r="I2828" s="1001"/>
      <c r="J2828" s="1001"/>
      <c r="K2828" s="1001"/>
      <c r="L2828" s="1001"/>
      <c r="M2828" s="1001"/>
    </row>
    <row r="2829" spans="2:13" ht="16.5" x14ac:dyDescent="0.2">
      <c r="B2829" s="971"/>
      <c r="C2829" s="991"/>
      <c r="D2829" s="969"/>
      <c r="E2829" s="969"/>
      <c r="F2829" s="969"/>
      <c r="G2829" s="1001"/>
      <c r="H2829" s="1001"/>
      <c r="I2829" s="1001"/>
      <c r="J2829" s="1001"/>
      <c r="K2829" s="1001"/>
      <c r="L2829" s="1001"/>
      <c r="M2829" s="1001"/>
    </row>
    <row r="2830" spans="2:13" ht="16.5" x14ac:dyDescent="0.2">
      <c r="B2830" s="982"/>
      <c r="C2830" s="983"/>
      <c r="D2830" s="969"/>
      <c r="E2830" s="969"/>
      <c r="F2830" s="969"/>
      <c r="G2830" s="1001"/>
      <c r="H2830" s="1001"/>
      <c r="I2830" s="1001"/>
      <c r="J2830" s="1001"/>
      <c r="K2830" s="1001"/>
      <c r="L2830" s="1001"/>
      <c r="M2830" s="1001"/>
    </row>
    <row r="2831" spans="2:13" ht="16.5" x14ac:dyDescent="0.2">
      <c r="B2831" s="982"/>
      <c r="C2831" s="985"/>
      <c r="D2831" s="969"/>
      <c r="E2831" s="969"/>
      <c r="F2831" s="969"/>
      <c r="G2831" s="1001"/>
      <c r="H2831" s="1001"/>
      <c r="I2831" s="1001"/>
      <c r="J2831" s="1001"/>
      <c r="K2831" s="1001"/>
      <c r="L2831" s="1001"/>
      <c r="M2831" s="1001"/>
    </row>
    <row r="2832" spans="2:13" ht="16.5" x14ac:dyDescent="0.2">
      <c r="B2832" s="982"/>
      <c r="C2832" s="985"/>
      <c r="D2832" s="969"/>
      <c r="E2832" s="969"/>
      <c r="F2832" s="969"/>
      <c r="G2832" s="1001"/>
      <c r="H2832" s="1001"/>
      <c r="I2832" s="1001"/>
      <c r="J2832" s="1001"/>
      <c r="K2832" s="1001"/>
      <c r="L2832" s="1001"/>
      <c r="M2832" s="1001"/>
    </row>
    <row r="2833" spans="2:13" ht="16.5" x14ac:dyDescent="0.2">
      <c r="B2833" s="982"/>
      <c r="C2833" s="985"/>
      <c r="D2833" s="969"/>
      <c r="E2833" s="969"/>
      <c r="F2833" s="969"/>
      <c r="G2833" s="1001"/>
      <c r="H2833" s="1001"/>
      <c r="I2833" s="1001"/>
      <c r="J2833" s="1001"/>
      <c r="K2833" s="1001"/>
      <c r="L2833" s="1001"/>
      <c r="M2833" s="1001"/>
    </row>
    <row r="2834" spans="2:13" ht="16.5" x14ac:dyDescent="0.2">
      <c r="B2834" s="982"/>
      <c r="C2834" s="985"/>
      <c r="D2834" s="969"/>
      <c r="E2834" s="969"/>
      <c r="F2834" s="969"/>
      <c r="G2834" s="1001"/>
      <c r="H2834" s="1001"/>
      <c r="I2834" s="1001"/>
      <c r="J2834" s="1001"/>
      <c r="K2834" s="1001"/>
      <c r="L2834" s="1001"/>
      <c r="M2834" s="1001"/>
    </row>
    <row r="2835" spans="2:13" ht="16.5" x14ac:dyDescent="0.2">
      <c r="B2835" s="982"/>
      <c r="C2835" s="985"/>
      <c r="D2835" s="969"/>
      <c r="E2835" s="969"/>
      <c r="F2835" s="969"/>
      <c r="G2835" s="1001"/>
      <c r="H2835" s="1001"/>
      <c r="I2835" s="1001"/>
      <c r="J2835" s="1001"/>
      <c r="K2835" s="1001"/>
      <c r="L2835" s="1001"/>
      <c r="M2835" s="1001"/>
    </row>
    <row r="2836" spans="2:13" ht="16.5" x14ac:dyDescent="0.2">
      <c r="B2836" s="982"/>
      <c r="C2836" s="985"/>
      <c r="D2836" s="969"/>
      <c r="E2836" s="969"/>
      <c r="F2836" s="969"/>
      <c r="G2836" s="1001"/>
      <c r="H2836" s="1001"/>
      <c r="I2836" s="1001"/>
      <c r="J2836" s="1001"/>
      <c r="K2836" s="1001"/>
      <c r="L2836" s="1001"/>
      <c r="M2836" s="1001"/>
    </row>
    <row r="2837" spans="2:13" ht="16.5" x14ac:dyDescent="0.2">
      <c r="B2837" s="982"/>
      <c r="C2837" s="983"/>
      <c r="D2837" s="969"/>
      <c r="E2837" s="969"/>
      <c r="F2837" s="969"/>
      <c r="G2837" s="1001"/>
      <c r="H2837" s="1001"/>
      <c r="I2837" s="1001"/>
      <c r="J2837" s="1001"/>
      <c r="K2837" s="1001"/>
      <c r="L2837" s="1001"/>
      <c r="M2837" s="1001"/>
    </row>
    <row r="2838" spans="2:13" ht="16.5" x14ac:dyDescent="0.2">
      <c r="B2838" s="982"/>
      <c r="C2838" s="982"/>
      <c r="D2838" s="969"/>
      <c r="E2838" s="969"/>
      <c r="F2838" s="969"/>
      <c r="G2838" s="1001"/>
      <c r="H2838" s="1001"/>
      <c r="I2838" s="1001"/>
      <c r="J2838" s="1001"/>
      <c r="K2838" s="1001"/>
      <c r="L2838" s="1001"/>
      <c r="M2838" s="1001"/>
    </row>
    <row r="2839" spans="2:13" ht="16.5" x14ac:dyDescent="0.2">
      <c r="B2839" s="982"/>
      <c r="C2839" s="983"/>
      <c r="D2839" s="969"/>
      <c r="E2839" s="969"/>
      <c r="F2839" s="969"/>
      <c r="G2839" s="1001"/>
      <c r="H2839" s="1001"/>
      <c r="I2839" s="1001"/>
      <c r="J2839" s="1001"/>
      <c r="K2839" s="1001"/>
      <c r="L2839" s="1001"/>
      <c r="M2839" s="1001"/>
    </row>
    <row r="2840" spans="2:13" ht="16.5" x14ac:dyDescent="0.2">
      <c r="B2840" s="982"/>
      <c r="C2840" s="985"/>
      <c r="D2840" s="969"/>
      <c r="E2840" s="969"/>
      <c r="F2840" s="969"/>
      <c r="G2840" s="1001"/>
      <c r="H2840" s="1001"/>
      <c r="I2840" s="1001"/>
      <c r="J2840" s="1001"/>
      <c r="K2840" s="1001"/>
      <c r="L2840" s="1001"/>
      <c r="M2840" s="1001"/>
    </row>
    <row r="2841" spans="2:13" ht="16.5" x14ac:dyDescent="0.2">
      <c r="B2841" s="982"/>
      <c r="C2841" s="985"/>
      <c r="D2841" s="969"/>
      <c r="E2841" s="969"/>
      <c r="F2841" s="969"/>
      <c r="G2841" s="1001"/>
      <c r="H2841" s="1001"/>
      <c r="I2841" s="1001"/>
      <c r="J2841" s="1001"/>
      <c r="K2841" s="1001"/>
      <c r="L2841" s="1001"/>
      <c r="M2841" s="1001"/>
    </row>
    <row r="2842" spans="2:13" ht="16.5" x14ac:dyDescent="0.2">
      <c r="B2842" s="992"/>
      <c r="C2842" s="990"/>
      <c r="D2842" s="969"/>
      <c r="E2842" s="969"/>
      <c r="F2842" s="969"/>
      <c r="G2842" s="1001"/>
      <c r="H2842" s="1001"/>
      <c r="I2842" s="1001"/>
      <c r="J2842" s="1001"/>
      <c r="K2842" s="1001"/>
      <c r="L2842" s="1001"/>
      <c r="M2842" s="1001"/>
    </row>
    <row r="2843" spans="2:13" ht="16.5" x14ac:dyDescent="0.2">
      <c r="B2843" s="982"/>
      <c r="C2843" s="991"/>
      <c r="D2843" s="969"/>
      <c r="E2843" s="969"/>
      <c r="F2843" s="969"/>
      <c r="G2843" s="1001"/>
      <c r="H2843" s="1001"/>
      <c r="I2843" s="1001"/>
      <c r="J2843" s="1001"/>
      <c r="K2843" s="1001"/>
      <c r="L2843" s="1001"/>
      <c r="M2843" s="1001"/>
    </row>
    <row r="2844" spans="2:13" ht="16.5" x14ac:dyDescent="0.2">
      <c r="B2844" s="982"/>
      <c r="C2844" s="993"/>
      <c r="D2844" s="969"/>
      <c r="E2844" s="969"/>
      <c r="F2844" s="969"/>
      <c r="G2844" s="1001"/>
      <c r="H2844" s="1001"/>
      <c r="I2844" s="1001"/>
      <c r="J2844" s="1001"/>
      <c r="K2844" s="1001"/>
      <c r="L2844" s="1001"/>
      <c r="M2844" s="1001"/>
    </row>
    <row r="2845" spans="2:13" ht="16.5" x14ac:dyDescent="0.2">
      <c r="B2845" s="982"/>
      <c r="C2845" s="982"/>
      <c r="D2845" s="969"/>
      <c r="E2845" s="969"/>
      <c r="F2845" s="969"/>
      <c r="G2845" s="1001"/>
      <c r="H2845" s="1001"/>
      <c r="I2845" s="1001"/>
      <c r="J2845" s="1001"/>
      <c r="K2845" s="1001"/>
      <c r="L2845" s="1001"/>
      <c r="M2845" s="1001"/>
    </row>
    <row r="2846" spans="2:13" ht="16.5" x14ac:dyDescent="0.2">
      <c r="B2846" s="982"/>
      <c r="C2846" s="985"/>
      <c r="D2846" s="969"/>
      <c r="E2846" s="969"/>
      <c r="F2846" s="969"/>
      <c r="G2846" s="1001"/>
      <c r="H2846" s="1001"/>
      <c r="I2846" s="1001"/>
      <c r="J2846" s="1001"/>
      <c r="K2846" s="1001"/>
      <c r="L2846" s="1001"/>
      <c r="M2846" s="1001"/>
    </row>
    <row r="2847" spans="2:13" ht="16.5" x14ac:dyDescent="0.3">
      <c r="B2847" s="987"/>
      <c r="C2847" s="988"/>
      <c r="D2847" s="969"/>
      <c r="E2847" s="969"/>
      <c r="F2847" s="969"/>
      <c r="G2847" s="1001"/>
      <c r="H2847" s="1001"/>
      <c r="I2847" s="1001"/>
      <c r="J2847" s="1001"/>
      <c r="K2847" s="1001"/>
      <c r="L2847" s="1001"/>
      <c r="M2847" s="1001"/>
    </row>
    <row r="2848" spans="2:13" ht="16.5" x14ac:dyDescent="0.2">
      <c r="B2848" s="971"/>
      <c r="C2848" s="982"/>
      <c r="D2848" s="969"/>
      <c r="E2848" s="969"/>
      <c r="F2848" s="969"/>
      <c r="G2848" s="1001"/>
      <c r="H2848" s="1001"/>
      <c r="I2848" s="1001"/>
      <c r="J2848" s="1001"/>
      <c r="K2848" s="1001"/>
      <c r="L2848" s="1001"/>
      <c r="M2848" s="1001"/>
    </row>
    <row r="2849" spans="2:13" ht="16.5" x14ac:dyDescent="0.2">
      <c r="B2849" s="971"/>
      <c r="C2849" s="982"/>
      <c r="D2849" s="969"/>
      <c r="E2849" s="969"/>
      <c r="F2849" s="969"/>
      <c r="G2849" s="1001"/>
      <c r="H2849" s="1001"/>
      <c r="I2849" s="1001"/>
      <c r="J2849" s="1001"/>
      <c r="K2849" s="1001"/>
      <c r="L2849" s="1001"/>
      <c r="M2849" s="1001"/>
    </row>
    <row r="2850" spans="2:13" ht="16.5" x14ac:dyDescent="0.2">
      <c r="B2850" s="971"/>
      <c r="C2850" s="982"/>
      <c r="D2850" s="969"/>
      <c r="E2850" s="969"/>
      <c r="F2850" s="969"/>
      <c r="G2850" s="1001"/>
      <c r="H2850" s="1001"/>
      <c r="I2850" s="1001"/>
      <c r="J2850" s="1001"/>
      <c r="K2850" s="1001"/>
      <c r="L2850" s="1001"/>
      <c r="M2850" s="1001"/>
    </row>
    <row r="2851" spans="2:13" ht="16.5" x14ac:dyDescent="0.2">
      <c r="B2851" s="971"/>
      <c r="C2851" s="982"/>
      <c r="D2851" s="969"/>
      <c r="E2851" s="969"/>
      <c r="F2851" s="969"/>
      <c r="G2851" s="1001"/>
      <c r="H2851" s="1001"/>
      <c r="I2851" s="1001"/>
      <c r="J2851" s="1001"/>
      <c r="K2851" s="1001"/>
      <c r="L2851" s="1001"/>
      <c r="M2851" s="1001"/>
    </row>
    <row r="2852" spans="2:13" ht="16.5" x14ac:dyDescent="0.2">
      <c r="B2852" s="989"/>
      <c r="C2852" s="990"/>
      <c r="D2852" s="969"/>
      <c r="E2852" s="969"/>
      <c r="F2852" s="969"/>
      <c r="G2852" s="1001"/>
      <c r="H2852" s="1001"/>
      <c r="I2852" s="1001"/>
      <c r="J2852" s="1001"/>
      <c r="K2852" s="1001"/>
      <c r="L2852" s="1001"/>
      <c r="M2852" s="1001"/>
    </row>
    <row r="2853" spans="2:13" ht="16.5" x14ac:dyDescent="0.2">
      <c r="B2853" s="971"/>
      <c r="C2853" s="991"/>
      <c r="D2853" s="969"/>
      <c r="E2853" s="969"/>
      <c r="F2853" s="969"/>
      <c r="G2853" s="1001"/>
      <c r="H2853" s="1001"/>
      <c r="I2853" s="1001"/>
      <c r="J2853" s="1001"/>
      <c r="K2853" s="1001"/>
      <c r="L2853" s="1001"/>
      <c r="M2853" s="1001"/>
    </row>
    <row r="2854" spans="2:13" ht="16.5" x14ac:dyDescent="0.2">
      <c r="B2854" s="982"/>
      <c r="C2854" s="983"/>
      <c r="D2854" s="969"/>
      <c r="E2854" s="969"/>
      <c r="F2854" s="969"/>
      <c r="G2854" s="1001"/>
      <c r="H2854" s="1001"/>
      <c r="I2854" s="1001"/>
      <c r="J2854" s="1001"/>
      <c r="K2854" s="1001"/>
      <c r="L2854" s="1001"/>
      <c r="M2854" s="1001"/>
    </row>
    <row r="2855" spans="2:13" ht="16.5" x14ac:dyDescent="0.2">
      <c r="B2855" s="982"/>
      <c r="C2855" s="985"/>
      <c r="D2855" s="969"/>
      <c r="E2855" s="969"/>
      <c r="F2855" s="969"/>
      <c r="G2855" s="1001"/>
      <c r="H2855" s="1001"/>
      <c r="I2855" s="1001"/>
      <c r="J2855" s="1001"/>
      <c r="K2855" s="1001"/>
      <c r="L2855" s="1001"/>
      <c r="M2855" s="1001"/>
    </row>
    <row r="2856" spans="2:13" ht="16.5" x14ac:dyDescent="0.2">
      <c r="B2856" s="982"/>
      <c r="C2856" s="985"/>
      <c r="D2856" s="969"/>
      <c r="E2856" s="969"/>
      <c r="F2856" s="969"/>
      <c r="G2856" s="1001"/>
      <c r="H2856" s="1001"/>
      <c r="I2856" s="1001"/>
      <c r="J2856" s="1001"/>
      <c r="K2856" s="1001"/>
      <c r="L2856" s="1001"/>
      <c r="M2856" s="1001"/>
    </row>
    <row r="2857" spans="2:13" ht="16.5" x14ac:dyDescent="0.2">
      <c r="B2857" s="982"/>
      <c r="C2857" s="985"/>
      <c r="D2857" s="969"/>
      <c r="E2857" s="969"/>
      <c r="F2857" s="969"/>
      <c r="G2857" s="1001"/>
      <c r="H2857" s="1001"/>
      <c r="I2857" s="1001"/>
      <c r="J2857" s="1001"/>
      <c r="K2857" s="1001"/>
      <c r="L2857" s="1001"/>
      <c r="M2857" s="1001"/>
    </row>
    <row r="2858" spans="2:13" ht="16.5" x14ac:dyDescent="0.2">
      <c r="B2858" s="982"/>
      <c r="C2858" s="985"/>
      <c r="D2858" s="969"/>
      <c r="E2858" s="969"/>
      <c r="F2858" s="969"/>
      <c r="G2858" s="1001"/>
      <c r="H2858" s="1001"/>
      <c r="I2858" s="1001"/>
      <c r="J2858" s="1001"/>
      <c r="K2858" s="1001"/>
      <c r="L2858" s="1001"/>
      <c r="M2858" s="1001"/>
    </row>
    <row r="2859" spans="2:13" ht="16.5" x14ac:dyDescent="0.2">
      <c r="B2859" s="982"/>
      <c r="C2859" s="985"/>
      <c r="D2859" s="969"/>
      <c r="E2859" s="969"/>
      <c r="F2859" s="969"/>
      <c r="G2859" s="1001"/>
      <c r="H2859" s="1001"/>
      <c r="I2859" s="1001"/>
      <c r="J2859" s="1001"/>
      <c r="K2859" s="1001"/>
      <c r="L2859" s="1001"/>
      <c r="M2859" s="1001"/>
    </row>
    <row r="2860" spans="2:13" ht="16.5" x14ac:dyDescent="0.2">
      <c r="B2860" s="982"/>
      <c r="C2860" s="985"/>
      <c r="D2860" s="969"/>
      <c r="E2860" s="969"/>
      <c r="F2860" s="969"/>
      <c r="G2860" s="1001"/>
      <c r="H2860" s="1001"/>
      <c r="I2860" s="1001"/>
      <c r="J2860" s="1001"/>
      <c r="K2860" s="1001"/>
      <c r="L2860" s="1001"/>
      <c r="M2860" s="1001"/>
    </row>
    <row r="2861" spans="2:13" ht="16.5" x14ac:dyDescent="0.2">
      <c r="B2861" s="982"/>
      <c r="C2861" s="983"/>
      <c r="D2861" s="969"/>
      <c r="E2861" s="969"/>
      <c r="F2861" s="969"/>
      <c r="G2861" s="1001"/>
      <c r="H2861" s="1001"/>
      <c r="I2861" s="1001"/>
      <c r="J2861" s="1001"/>
      <c r="K2861" s="1001"/>
      <c r="L2861" s="1001"/>
      <c r="M2861" s="1001"/>
    </row>
    <row r="2862" spans="2:13" ht="16.5" x14ac:dyDescent="0.2">
      <c r="B2862" s="982"/>
      <c r="C2862" s="982"/>
      <c r="D2862" s="969"/>
      <c r="E2862" s="969"/>
      <c r="F2862" s="969"/>
      <c r="G2862" s="1001"/>
      <c r="H2862" s="1001"/>
      <c r="I2862" s="1001"/>
      <c r="J2862" s="1001"/>
      <c r="K2862" s="1001"/>
      <c r="L2862" s="1001"/>
      <c r="M2862" s="1001"/>
    </row>
    <row r="2863" spans="2:13" ht="16.5" x14ac:dyDescent="0.2">
      <c r="B2863" s="982"/>
      <c r="C2863" s="983"/>
      <c r="D2863" s="969"/>
      <c r="E2863" s="969"/>
      <c r="F2863" s="969"/>
      <c r="G2863" s="1001"/>
      <c r="H2863" s="1001"/>
      <c r="I2863" s="1001"/>
      <c r="J2863" s="1001"/>
      <c r="K2863" s="1001"/>
      <c r="L2863" s="1001"/>
      <c r="M2863" s="1001"/>
    </row>
    <row r="2864" spans="2:13" ht="16.5" x14ac:dyDescent="0.2">
      <c r="B2864" s="982"/>
      <c r="C2864" s="985"/>
      <c r="D2864" s="969"/>
      <c r="E2864" s="969"/>
      <c r="F2864" s="969"/>
      <c r="G2864" s="1001"/>
      <c r="H2864" s="1001"/>
      <c r="I2864" s="1001"/>
      <c r="J2864" s="1001"/>
      <c r="K2864" s="1001"/>
      <c r="L2864" s="1001"/>
      <c r="M2864" s="1001"/>
    </row>
    <row r="2865" spans="2:13" ht="16.5" x14ac:dyDescent="0.2">
      <c r="B2865" s="982"/>
      <c r="C2865" s="985"/>
      <c r="D2865" s="969"/>
      <c r="E2865" s="969"/>
      <c r="F2865" s="969"/>
      <c r="G2865" s="1001"/>
      <c r="H2865" s="1001"/>
      <c r="I2865" s="1001"/>
      <c r="J2865" s="1001"/>
      <c r="K2865" s="1001"/>
      <c r="L2865" s="1001"/>
      <c r="M2865" s="1001"/>
    </row>
    <row r="2866" spans="2:13" ht="16.5" x14ac:dyDescent="0.2">
      <c r="B2866" s="992"/>
      <c r="C2866" s="990"/>
      <c r="D2866" s="969"/>
      <c r="E2866" s="969"/>
      <c r="F2866" s="969"/>
      <c r="G2866" s="1001"/>
      <c r="H2866" s="1001"/>
      <c r="I2866" s="1001"/>
      <c r="J2866" s="1001"/>
      <c r="K2866" s="1001"/>
      <c r="L2866" s="1001"/>
      <c r="M2866" s="1001"/>
    </row>
    <row r="2867" spans="2:13" ht="16.5" x14ac:dyDescent="0.2">
      <c r="B2867" s="982"/>
      <c r="C2867" s="991"/>
      <c r="D2867" s="969"/>
      <c r="E2867" s="969"/>
      <c r="F2867" s="969"/>
      <c r="G2867" s="1001"/>
      <c r="H2867" s="1001"/>
      <c r="I2867" s="1001"/>
      <c r="J2867" s="1001"/>
      <c r="K2867" s="1001"/>
      <c r="L2867" s="1001"/>
      <c r="M2867" s="1001"/>
    </row>
    <row r="2868" spans="2:13" ht="16.5" x14ac:dyDescent="0.2">
      <c r="B2868" s="982"/>
      <c r="C2868" s="993"/>
      <c r="D2868" s="969"/>
      <c r="E2868" s="969"/>
      <c r="F2868" s="969"/>
      <c r="G2868" s="1001"/>
      <c r="H2868" s="1001"/>
      <c r="I2868" s="1001"/>
      <c r="J2868" s="1001"/>
      <c r="K2868" s="1001"/>
      <c r="L2868" s="1001"/>
      <c r="M2868" s="1001"/>
    </row>
    <row r="2869" spans="2:13" ht="16.5" x14ac:dyDescent="0.2">
      <c r="B2869" s="982"/>
      <c r="C2869" s="982"/>
      <c r="D2869" s="969"/>
      <c r="E2869" s="969"/>
      <c r="F2869" s="969"/>
      <c r="G2869" s="1001"/>
      <c r="H2869" s="1001"/>
      <c r="I2869" s="1001"/>
      <c r="J2869" s="1001"/>
      <c r="K2869" s="1001"/>
      <c r="L2869" s="1001"/>
      <c r="M2869" s="1001"/>
    </row>
    <row r="2870" spans="2:13" ht="16.5" x14ac:dyDescent="0.2">
      <c r="B2870" s="982"/>
      <c r="C2870" s="985"/>
      <c r="D2870" s="969"/>
      <c r="E2870" s="969"/>
      <c r="F2870" s="969"/>
      <c r="G2870" s="1001"/>
      <c r="H2870" s="1001"/>
      <c r="I2870" s="1001"/>
      <c r="J2870" s="1001"/>
      <c r="K2870" s="1001"/>
      <c r="L2870" s="1001"/>
      <c r="M2870" s="1001"/>
    </row>
    <row r="2871" spans="2:13" ht="16.5" x14ac:dyDescent="0.3">
      <c r="B2871" s="987"/>
      <c r="C2871" s="988"/>
      <c r="D2871" s="995"/>
      <c r="E2871" s="996"/>
      <c r="F2871" s="995"/>
      <c r="G2871" s="1002"/>
      <c r="H2871" s="1009"/>
      <c r="I2871" s="1001"/>
      <c r="J2871" s="1001"/>
      <c r="K2871" s="1001"/>
      <c r="L2871" s="1001"/>
      <c r="M2871" s="1001"/>
    </row>
    <row r="2872" spans="2:13" x14ac:dyDescent="0.2">
      <c r="B2872" s="967"/>
      <c r="C2872" s="968"/>
      <c r="D2872" s="969"/>
      <c r="E2872" s="969"/>
      <c r="F2872" s="969"/>
      <c r="G2872" s="1001"/>
      <c r="H2872" s="1001"/>
      <c r="I2872" s="1001"/>
      <c r="J2872" s="1001"/>
      <c r="K2872" s="1001"/>
      <c r="L2872" s="1001"/>
      <c r="M2872" s="1001"/>
    </row>
    <row r="2873" spans="2:13" x14ac:dyDescent="0.2">
      <c r="B2873" s="967"/>
      <c r="C2873" s="968"/>
      <c r="D2873" s="969"/>
      <c r="E2873" s="969"/>
      <c r="F2873" s="969"/>
      <c r="G2873" s="1001"/>
      <c r="H2873" s="1001"/>
      <c r="I2873" s="1001"/>
      <c r="J2873" s="1001"/>
      <c r="K2873" s="1001"/>
      <c r="L2873" s="1001"/>
      <c r="M2873" s="1001"/>
    </row>
    <row r="2874" spans="2:13" x14ac:dyDescent="0.2">
      <c r="B2874" s="967"/>
      <c r="C2874" s="968"/>
      <c r="D2874" s="969"/>
      <c r="E2874" s="969"/>
      <c r="F2874" s="969"/>
      <c r="G2874" s="1001"/>
      <c r="H2874" s="1001"/>
      <c r="I2874" s="1001"/>
      <c r="J2874" s="1001"/>
      <c r="K2874" s="1001"/>
      <c r="L2874" s="1001"/>
      <c r="M2874" s="1001"/>
    </row>
    <row r="2875" spans="2:13" x14ac:dyDescent="0.2">
      <c r="B2875" s="967"/>
      <c r="C2875" s="968"/>
      <c r="D2875" s="969"/>
      <c r="E2875" s="969"/>
      <c r="F2875" s="969"/>
      <c r="G2875" s="1001"/>
      <c r="H2875" s="1001"/>
      <c r="I2875" s="1001"/>
      <c r="J2875" s="1001"/>
      <c r="K2875" s="1001"/>
      <c r="L2875" s="1001"/>
      <c r="M2875" s="1001"/>
    </row>
    <row r="2876" spans="2:13" x14ac:dyDescent="0.2">
      <c r="B2876" s="967"/>
      <c r="C2876" s="968"/>
      <c r="D2876" s="969"/>
      <c r="E2876" s="969"/>
      <c r="F2876" s="969"/>
      <c r="G2876" s="1001"/>
      <c r="H2876" s="1001"/>
      <c r="I2876" s="1001"/>
      <c r="J2876" s="1001"/>
      <c r="K2876" s="1001"/>
      <c r="L2876" s="1001"/>
      <c r="M2876" s="1001"/>
    </row>
    <row r="2877" spans="2:13" x14ac:dyDescent="0.2">
      <c r="B2877" s="967"/>
      <c r="C2877" s="968"/>
      <c r="D2877" s="969"/>
      <c r="E2877" s="969"/>
      <c r="F2877" s="969"/>
      <c r="G2877" s="1001"/>
      <c r="H2877" s="1001"/>
      <c r="I2877" s="1001"/>
      <c r="J2877" s="1001"/>
      <c r="K2877" s="1001"/>
      <c r="L2877" s="1001"/>
      <c r="M2877" s="1001"/>
    </row>
    <row r="2878" spans="2:13" x14ac:dyDescent="0.2">
      <c r="B2878" s="967"/>
      <c r="C2878" s="968"/>
      <c r="D2878" s="969"/>
      <c r="E2878" s="969"/>
      <c r="F2878" s="969"/>
      <c r="G2878" s="1001"/>
      <c r="H2878" s="1001"/>
      <c r="I2878" s="1001"/>
      <c r="J2878" s="1001"/>
      <c r="K2878" s="1001"/>
      <c r="L2878" s="1001"/>
      <c r="M2878" s="1001"/>
    </row>
    <row r="2879" spans="2:13" x14ac:dyDescent="0.2">
      <c r="B2879" s="967"/>
      <c r="C2879" s="968"/>
      <c r="D2879" s="969"/>
      <c r="E2879" s="969"/>
      <c r="F2879" s="969"/>
      <c r="G2879" s="1001"/>
      <c r="H2879" s="1001"/>
      <c r="I2879" s="1001"/>
      <c r="J2879" s="1001"/>
      <c r="K2879" s="1001"/>
      <c r="L2879" s="1001"/>
      <c r="M2879" s="1001"/>
    </row>
    <row r="2880" spans="2:13" x14ac:dyDescent="0.2">
      <c r="B2880" s="967"/>
      <c r="C2880" s="968"/>
      <c r="D2880" s="969"/>
      <c r="E2880" s="969"/>
      <c r="F2880" s="969"/>
      <c r="G2880" s="1001"/>
      <c r="H2880" s="1001"/>
      <c r="I2880" s="1001"/>
      <c r="J2880" s="1001"/>
      <c r="K2880" s="1001"/>
      <c r="L2880" s="1001"/>
      <c r="M2880" s="1001"/>
    </row>
    <row r="2881" spans="2:13" x14ac:dyDescent="0.2">
      <c r="B2881" s="967"/>
      <c r="C2881" s="968"/>
      <c r="D2881" s="969"/>
      <c r="E2881" s="969"/>
      <c r="F2881" s="969"/>
      <c r="G2881" s="1001"/>
      <c r="H2881" s="1001"/>
      <c r="I2881" s="1001"/>
      <c r="J2881" s="1001"/>
      <c r="K2881" s="1001"/>
      <c r="L2881" s="1001"/>
      <c r="M2881" s="1001"/>
    </row>
    <row r="2882" spans="2:13" x14ac:dyDescent="0.2">
      <c r="B2882" s="967"/>
      <c r="C2882" s="968"/>
      <c r="D2882" s="969"/>
      <c r="E2882" s="969"/>
      <c r="F2882" s="969"/>
      <c r="G2882" s="1001"/>
      <c r="H2882" s="1001"/>
      <c r="I2882" s="1001"/>
      <c r="J2882" s="1001"/>
      <c r="K2882" s="1001"/>
      <c r="L2882" s="1001"/>
      <c r="M2882" s="1001"/>
    </row>
    <row r="2883" spans="2:13" x14ac:dyDescent="0.2">
      <c r="B2883" s="967"/>
      <c r="C2883" s="968"/>
      <c r="D2883" s="969"/>
      <c r="E2883" s="969"/>
      <c r="F2883" s="969"/>
      <c r="G2883" s="1001"/>
      <c r="H2883" s="1001"/>
      <c r="I2883" s="1001"/>
      <c r="J2883" s="1001"/>
      <c r="K2883" s="1001"/>
      <c r="L2883" s="1001"/>
      <c r="M2883" s="1001"/>
    </row>
    <row r="2884" spans="2:13" x14ac:dyDescent="0.2">
      <c r="B2884" s="967"/>
      <c r="C2884" s="968"/>
      <c r="D2884" s="969"/>
      <c r="E2884" s="969"/>
      <c r="F2884" s="969"/>
      <c r="G2884" s="1001"/>
      <c r="H2884" s="1001"/>
      <c r="I2884" s="1001"/>
      <c r="J2884" s="1001"/>
      <c r="K2884" s="1001"/>
      <c r="L2884" s="1001"/>
      <c r="M2884" s="1001"/>
    </row>
    <row r="2885" spans="2:13" x14ac:dyDescent="0.2">
      <c r="B2885" s="967"/>
      <c r="C2885" s="968"/>
      <c r="D2885" s="969"/>
      <c r="E2885" s="969"/>
      <c r="F2885" s="969"/>
      <c r="G2885" s="1001"/>
      <c r="H2885" s="1001"/>
      <c r="I2885" s="1001"/>
      <c r="J2885" s="1001"/>
      <c r="K2885" s="1001"/>
      <c r="L2885" s="1001"/>
      <c r="M2885" s="1001"/>
    </row>
    <row r="2886" spans="2:13" x14ac:dyDescent="0.2">
      <c r="B2886" s="967"/>
      <c r="C2886" s="968"/>
      <c r="D2886" s="969"/>
      <c r="E2886" s="969"/>
      <c r="F2886" s="969"/>
      <c r="G2886" s="1001"/>
      <c r="H2886" s="1001"/>
      <c r="I2886" s="1001"/>
      <c r="J2886" s="1001"/>
      <c r="K2886" s="1001"/>
      <c r="L2886" s="1001"/>
      <c r="M2886" s="1001"/>
    </row>
    <row r="2887" spans="2:13" x14ac:dyDescent="0.2">
      <c r="B2887" s="967"/>
      <c r="C2887" s="968"/>
      <c r="D2887" s="969"/>
      <c r="E2887" s="969"/>
      <c r="F2887" s="969"/>
      <c r="G2887" s="1001"/>
      <c r="H2887" s="1001"/>
      <c r="I2887" s="1001"/>
      <c r="J2887" s="1001"/>
      <c r="K2887" s="1001"/>
      <c r="L2887" s="1001"/>
      <c r="M2887" s="1001"/>
    </row>
    <row r="2888" spans="2:13" x14ac:dyDescent="0.2">
      <c r="B2888" s="967"/>
      <c r="C2888" s="968"/>
      <c r="D2888" s="969"/>
      <c r="E2888" s="969"/>
      <c r="F2888" s="969"/>
      <c r="G2888" s="1001"/>
      <c r="H2888" s="1001"/>
      <c r="I2888" s="1001"/>
      <c r="J2888" s="1001"/>
      <c r="K2888" s="1001"/>
      <c r="L2888" s="1001"/>
      <c r="M2888" s="1001"/>
    </row>
    <row r="2889" spans="2:13" x14ac:dyDescent="0.2">
      <c r="B2889" s="967"/>
      <c r="C2889" s="968"/>
      <c r="D2889" s="969"/>
      <c r="E2889" s="969"/>
      <c r="F2889" s="969"/>
      <c r="G2889" s="1001"/>
      <c r="H2889" s="1001"/>
      <c r="I2889" s="1001"/>
      <c r="J2889" s="1001"/>
      <c r="K2889" s="1001"/>
      <c r="L2889" s="1001"/>
      <c r="M2889" s="1001"/>
    </row>
    <row r="2890" spans="2:13" x14ac:dyDescent="0.2">
      <c r="B2890" s="967"/>
      <c r="C2890" s="968"/>
      <c r="D2890" s="969"/>
      <c r="E2890" s="969"/>
      <c r="F2890" s="969"/>
      <c r="G2890" s="1001"/>
      <c r="H2890" s="1001"/>
      <c r="I2890" s="1001"/>
      <c r="J2890" s="1001"/>
      <c r="K2890" s="1001"/>
      <c r="L2890" s="1001"/>
      <c r="M2890" s="1001"/>
    </row>
    <row r="2891" spans="2:13" x14ac:dyDescent="0.2">
      <c r="B2891" s="967"/>
      <c r="C2891" s="968"/>
      <c r="D2891" s="969"/>
      <c r="E2891" s="969"/>
      <c r="F2891" s="969"/>
      <c r="G2891" s="1001"/>
      <c r="H2891" s="1001"/>
      <c r="I2891" s="1001"/>
      <c r="J2891" s="1001"/>
      <c r="K2891" s="1001"/>
      <c r="L2891" s="1001"/>
      <c r="M2891" s="1001"/>
    </row>
    <row r="2892" spans="2:13" x14ac:dyDescent="0.2">
      <c r="B2892" s="967"/>
      <c r="C2892" s="968"/>
      <c r="D2892" s="969"/>
      <c r="E2892" s="969"/>
      <c r="F2892" s="969"/>
      <c r="G2892" s="1001"/>
      <c r="H2892" s="1001"/>
      <c r="I2892" s="1001"/>
      <c r="J2892" s="1001"/>
      <c r="K2892" s="1001"/>
      <c r="L2892" s="1001"/>
      <c r="M2892" s="1001"/>
    </row>
    <row r="2893" spans="2:13" x14ac:dyDescent="0.2">
      <c r="B2893" s="967"/>
      <c r="C2893" s="968"/>
      <c r="D2893" s="969"/>
      <c r="E2893" s="969"/>
      <c r="F2893" s="969"/>
      <c r="G2893" s="1001"/>
      <c r="H2893" s="1001"/>
      <c r="I2893" s="1001"/>
      <c r="J2893" s="1001"/>
      <c r="K2893" s="1001"/>
      <c r="L2893" s="1001"/>
      <c r="M2893" s="1001"/>
    </row>
    <row r="2894" spans="2:13" x14ac:dyDescent="0.2">
      <c r="B2894" s="967"/>
      <c r="C2894" s="968"/>
      <c r="D2894" s="969"/>
      <c r="E2894" s="969"/>
      <c r="F2894" s="969"/>
      <c r="G2894" s="1001"/>
      <c r="H2894" s="1001"/>
      <c r="I2894" s="1001"/>
      <c r="J2894" s="1001"/>
      <c r="K2894" s="1001"/>
      <c r="L2894" s="1001"/>
      <c r="M2894" s="1001"/>
    </row>
    <row r="2895" spans="2:13" x14ac:dyDescent="0.2">
      <c r="B2895" s="967"/>
      <c r="C2895" s="968"/>
      <c r="D2895" s="969"/>
      <c r="E2895" s="969"/>
      <c r="F2895" s="969"/>
      <c r="G2895" s="1001"/>
      <c r="H2895" s="1001"/>
      <c r="I2895" s="1001"/>
      <c r="J2895" s="1001"/>
      <c r="K2895" s="1001"/>
      <c r="L2895" s="1001"/>
      <c r="M2895" s="1001"/>
    </row>
    <row r="2896" spans="2:13" x14ac:dyDescent="0.2">
      <c r="B2896" s="967"/>
      <c r="C2896" s="968"/>
      <c r="D2896" s="969"/>
      <c r="E2896" s="969"/>
      <c r="F2896" s="969"/>
      <c r="G2896" s="1001"/>
      <c r="H2896" s="1001"/>
      <c r="I2896" s="1001"/>
      <c r="J2896" s="1001"/>
      <c r="K2896" s="1001"/>
      <c r="L2896" s="1001"/>
      <c r="M2896" s="1001"/>
    </row>
    <row r="2897" spans="2:13" x14ac:dyDescent="0.2">
      <c r="B2897" s="967"/>
      <c r="C2897" s="968"/>
      <c r="D2897" s="969"/>
      <c r="E2897" s="969"/>
      <c r="F2897" s="969"/>
      <c r="G2897" s="1001"/>
      <c r="H2897" s="1001"/>
      <c r="I2897" s="1001"/>
      <c r="J2897" s="1001"/>
      <c r="K2897" s="1001"/>
      <c r="L2897" s="1001"/>
      <c r="M2897" s="1001"/>
    </row>
    <row r="2898" spans="2:13" x14ac:dyDescent="0.2">
      <c r="B2898" s="967"/>
      <c r="C2898" s="968"/>
      <c r="D2898" s="969"/>
      <c r="E2898" s="969"/>
      <c r="F2898" s="969"/>
      <c r="G2898" s="1001"/>
      <c r="H2898" s="1001"/>
      <c r="I2898" s="1001"/>
      <c r="J2898" s="1001"/>
      <c r="K2898" s="1001"/>
      <c r="L2898" s="1001"/>
      <c r="M2898" s="1001"/>
    </row>
    <row r="2899" spans="2:13" x14ac:dyDescent="0.2">
      <c r="B2899" s="967"/>
      <c r="C2899" s="968"/>
      <c r="D2899" s="969"/>
      <c r="E2899" s="969"/>
      <c r="F2899" s="969"/>
      <c r="G2899" s="1001"/>
      <c r="H2899" s="1001"/>
      <c r="I2899" s="1001"/>
      <c r="J2899" s="1001"/>
      <c r="K2899" s="1001"/>
      <c r="L2899" s="1001"/>
      <c r="M2899" s="1001"/>
    </row>
    <row r="2900" spans="2:13" x14ac:dyDescent="0.2">
      <c r="B2900" s="967"/>
      <c r="C2900" s="968"/>
      <c r="D2900" s="969"/>
      <c r="E2900" s="969"/>
      <c r="F2900" s="969"/>
      <c r="G2900" s="1001"/>
      <c r="H2900" s="1001"/>
      <c r="I2900" s="1001"/>
      <c r="J2900" s="1001"/>
      <c r="K2900" s="1001"/>
      <c r="L2900" s="1001"/>
      <c r="M2900" s="1001"/>
    </row>
    <row r="2901" spans="2:13" x14ac:dyDescent="0.2">
      <c r="B2901" s="967"/>
      <c r="C2901" s="968"/>
      <c r="D2901" s="969"/>
      <c r="E2901" s="969"/>
      <c r="F2901" s="969"/>
      <c r="G2901" s="1001"/>
      <c r="H2901" s="1001"/>
      <c r="I2901" s="1001"/>
      <c r="J2901" s="1001"/>
      <c r="K2901" s="1001"/>
      <c r="L2901" s="1001"/>
      <c r="M2901" s="1001"/>
    </row>
    <row r="2902" spans="2:13" x14ac:dyDescent="0.2">
      <c r="B2902" s="967"/>
      <c r="C2902" s="968"/>
      <c r="D2902" s="969"/>
      <c r="E2902" s="969"/>
      <c r="F2902" s="969"/>
      <c r="G2902" s="1001"/>
      <c r="H2902" s="1001"/>
      <c r="I2902" s="1001"/>
      <c r="J2902" s="1001"/>
      <c r="K2902" s="1001"/>
      <c r="L2902" s="1001"/>
      <c r="M2902" s="1001"/>
    </row>
    <row r="2903" spans="2:13" x14ac:dyDescent="0.2">
      <c r="B2903" s="967"/>
      <c r="C2903" s="968"/>
      <c r="D2903" s="969"/>
      <c r="E2903" s="969"/>
      <c r="F2903" s="969"/>
      <c r="G2903" s="1001"/>
      <c r="H2903" s="1001"/>
      <c r="I2903" s="1001"/>
      <c r="J2903" s="1001"/>
      <c r="K2903" s="1001"/>
      <c r="L2903" s="1001"/>
      <c r="M2903" s="1001"/>
    </row>
    <row r="2904" spans="2:13" x14ac:dyDescent="0.2">
      <c r="B2904" s="967"/>
      <c r="C2904" s="968"/>
      <c r="D2904" s="969"/>
      <c r="E2904" s="969"/>
      <c r="F2904" s="969"/>
      <c r="G2904" s="1001"/>
      <c r="H2904" s="1001"/>
      <c r="I2904" s="1001"/>
      <c r="J2904" s="1001"/>
      <c r="K2904" s="1001"/>
      <c r="L2904" s="1001"/>
      <c r="M2904" s="1001"/>
    </row>
    <row r="2905" spans="2:13" x14ac:dyDescent="0.2">
      <c r="B2905" s="967"/>
      <c r="C2905" s="968"/>
      <c r="D2905" s="969"/>
      <c r="E2905" s="969"/>
      <c r="F2905" s="969"/>
      <c r="G2905" s="1001"/>
      <c r="H2905" s="1001"/>
      <c r="I2905" s="1001"/>
      <c r="J2905" s="1001"/>
      <c r="K2905" s="1001"/>
      <c r="L2905" s="1001"/>
      <c r="M2905" s="1001"/>
    </row>
    <row r="2906" spans="2:13" x14ac:dyDescent="0.2">
      <c r="B2906" s="967"/>
      <c r="C2906" s="968"/>
      <c r="D2906" s="969"/>
      <c r="E2906" s="969"/>
      <c r="F2906" s="969"/>
      <c r="G2906" s="1001"/>
      <c r="H2906" s="1001"/>
      <c r="I2906" s="1001"/>
      <c r="J2906" s="1001"/>
      <c r="K2906" s="1001"/>
      <c r="L2906" s="1001"/>
      <c r="M2906" s="1001"/>
    </row>
    <row r="2907" spans="2:13" x14ac:dyDescent="0.2">
      <c r="B2907" s="967"/>
      <c r="C2907" s="968"/>
      <c r="D2907" s="969"/>
      <c r="E2907" s="969"/>
      <c r="F2907" s="969"/>
      <c r="G2907" s="1001"/>
      <c r="H2907" s="1001"/>
      <c r="I2907" s="1001"/>
      <c r="J2907" s="1001"/>
      <c r="K2907" s="1001"/>
      <c r="L2907" s="1001"/>
      <c r="M2907" s="1001"/>
    </row>
  </sheetData>
  <mergeCells count="1">
    <mergeCell ref="C2:F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PUHT!$E$68:$E$71</xm:f>
          </x14:formula1>
          <xm:sqref>F2612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DF1187"/>
  </sheetPr>
  <dimension ref="A1:I308"/>
  <sheetViews>
    <sheetView showGridLines="0" zoomScaleNormal="100" zoomScaleSheetLayoutView="90" workbookViewId="0">
      <pane ySplit="1" topLeftCell="A2" activePane="bottomLeft" state="frozen"/>
      <selection pane="bottomLeft" activeCell="F18" sqref="F18"/>
    </sheetView>
  </sheetViews>
  <sheetFormatPr baseColWidth="10" defaultColWidth="11.42578125" defaultRowHeight="15" x14ac:dyDescent="0.25"/>
  <cols>
    <col min="1" max="1" width="3.28515625" style="1" bestFit="1" customWidth="1"/>
    <col min="2" max="2" width="4.42578125" style="314" bestFit="1" customWidth="1"/>
    <col min="3" max="3" width="17.85546875" style="244" bestFit="1" customWidth="1"/>
    <col min="4" max="4" width="29.28515625" style="244" bestFit="1" customWidth="1"/>
    <col min="5" max="5" width="6.28515625" style="314" bestFit="1" customWidth="1"/>
    <col min="6" max="6" width="21.85546875" style="314" bestFit="1" customWidth="1"/>
    <col min="7" max="7" width="23.5703125" style="314" bestFit="1" customWidth="1"/>
    <col min="8" max="8" width="17.5703125" style="314" bestFit="1" customWidth="1"/>
    <col min="9" max="9" width="15.28515625" style="313" customWidth="1"/>
    <col min="10" max="16384" width="11.42578125" style="1"/>
  </cols>
  <sheetData>
    <row r="1" spans="1:9" s="8" customFormat="1" ht="45" x14ac:dyDescent="0.25">
      <c r="B1" s="317" t="s">
        <v>519</v>
      </c>
      <c r="C1" s="317" t="s">
        <v>518</v>
      </c>
      <c r="D1" s="317" t="s">
        <v>517</v>
      </c>
      <c r="E1" s="317" t="s">
        <v>25</v>
      </c>
      <c r="F1" s="318" t="s">
        <v>516</v>
      </c>
      <c r="G1" s="318" t="s">
        <v>520</v>
      </c>
      <c r="H1" s="318" t="s">
        <v>521</v>
      </c>
      <c r="I1" s="319" t="s">
        <v>522</v>
      </c>
    </row>
    <row r="2" spans="1:9" x14ac:dyDescent="0.25">
      <c r="B2" s="30">
        <v>1</v>
      </c>
      <c r="C2" s="315"/>
      <c r="D2" s="315"/>
      <c r="E2" s="30"/>
      <c r="F2" s="30"/>
      <c r="G2" s="30"/>
      <c r="H2" s="30" t="str">
        <f t="shared" ref="H2:H65" si="0">IF(AND(F2&lt;&gt;"",G2&lt;&gt;""),"8","")</f>
        <v/>
      </c>
      <c r="I2" s="126" t="str">
        <f t="shared" ref="I2:I65" si="1">IF(AND(F2&lt;&gt;"",G2&lt;&gt;"",H2&lt;&gt;""),H2*F2/G2,"")</f>
        <v/>
      </c>
    </row>
    <row r="3" spans="1:9" x14ac:dyDescent="0.25">
      <c r="B3" s="30">
        <v>2</v>
      </c>
      <c r="C3" s="315"/>
      <c r="D3" s="315"/>
      <c r="E3" s="30"/>
      <c r="F3" s="30"/>
      <c r="G3" s="30"/>
      <c r="H3" s="30" t="str">
        <f t="shared" si="0"/>
        <v/>
      </c>
      <c r="I3" s="126" t="str">
        <f t="shared" si="1"/>
        <v/>
      </c>
    </row>
    <row r="4" spans="1:9" x14ac:dyDescent="0.25">
      <c r="B4" s="30">
        <v>3</v>
      </c>
      <c r="C4" s="315"/>
      <c r="D4" s="315"/>
      <c r="E4" s="30"/>
      <c r="F4" s="30"/>
      <c r="G4" s="30"/>
      <c r="H4" s="30" t="str">
        <f t="shared" si="0"/>
        <v/>
      </c>
      <c r="I4" s="126" t="str">
        <f t="shared" si="1"/>
        <v/>
      </c>
    </row>
    <row r="5" spans="1:9" x14ac:dyDescent="0.25">
      <c r="B5" s="30">
        <v>4</v>
      </c>
      <c r="C5" s="315"/>
      <c r="D5" s="315"/>
      <c r="E5" s="30"/>
      <c r="F5" s="30"/>
      <c r="G5" s="30"/>
      <c r="H5" s="30" t="str">
        <f t="shared" si="0"/>
        <v/>
      </c>
      <c r="I5" s="126" t="str">
        <f t="shared" si="1"/>
        <v/>
      </c>
    </row>
    <row r="6" spans="1:9" x14ac:dyDescent="0.25">
      <c r="B6" s="30">
        <v>5</v>
      </c>
      <c r="C6" s="315"/>
      <c r="D6" s="315"/>
      <c r="E6" s="30"/>
      <c r="F6" s="30"/>
      <c r="G6" s="30"/>
      <c r="H6" s="30" t="str">
        <f t="shared" si="0"/>
        <v/>
      </c>
      <c r="I6" s="126" t="str">
        <f t="shared" si="1"/>
        <v/>
      </c>
    </row>
    <row r="7" spans="1:9" x14ac:dyDescent="0.25">
      <c r="B7" s="30">
        <v>6</v>
      </c>
      <c r="C7" s="315"/>
      <c r="D7" s="315"/>
      <c r="E7" s="30"/>
      <c r="F7" s="30"/>
      <c r="G7" s="30"/>
      <c r="H7" s="30" t="str">
        <f t="shared" si="0"/>
        <v/>
      </c>
      <c r="I7" s="126" t="str">
        <f t="shared" si="1"/>
        <v/>
      </c>
    </row>
    <row r="8" spans="1:9" x14ac:dyDescent="0.25">
      <c r="B8" s="30">
        <v>7</v>
      </c>
      <c r="C8" s="315"/>
      <c r="D8" s="315"/>
      <c r="E8" s="30"/>
      <c r="F8" s="30"/>
      <c r="G8" s="30"/>
      <c r="H8" s="30" t="str">
        <f t="shared" si="0"/>
        <v/>
      </c>
      <c r="I8" s="126" t="str">
        <f t="shared" si="1"/>
        <v/>
      </c>
    </row>
    <row r="9" spans="1:9" x14ac:dyDescent="0.25">
      <c r="B9" s="30">
        <v>8</v>
      </c>
      <c r="C9" s="315"/>
      <c r="D9" s="315"/>
      <c r="E9" s="30"/>
      <c r="F9" s="30"/>
      <c r="G9" s="30"/>
      <c r="H9" s="30" t="str">
        <f t="shared" si="0"/>
        <v/>
      </c>
      <c r="I9" s="126" t="str">
        <f t="shared" si="1"/>
        <v/>
      </c>
    </row>
    <row r="10" spans="1:9" x14ac:dyDescent="0.25">
      <c r="B10" s="30">
        <v>9</v>
      </c>
      <c r="C10" s="315"/>
      <c r="D10" s="315"/>
      <c r="E10" s="30"/>
      <c r="F10" s="30"/>
      <c r="G10" s="30"/>
      <c r="H10" s="30" t="str">
        <f t="shared" si="0"/>
        <v/>
      </c>
      <c r="I10" s="126" t="str">
        <f t="shared" si="1"/>
        <v/>
      </c>
    </row>
    <row r="11" spans="1:9" x14ac:dyDescent="0.25">
      <c r="B11" s="30">
        <v>10</v>
      </c>
      <c r="C11" s="315"/>
      <c r="D11" s="315"/>
      <c r="E11" s="30"/>
      <c r="F11" s="30"/>
      <c r="G11" s="30"/>
      <c r="H11" s="30" t="str">
        <f t="shared" si="0"/>
        <v/>
      </c>
      <c r="I11" s="126" t="str">
        <f t="shared" si="1"/>
        <v/>
      </c>
    </row>
    <row r="12" spans="1:9" x14ac:dyDescent="0.25">
      <c r="A12" s="1186" t="s">
        <v>32</v>
      </c>
      <c r="B12" s="30">
        <v>11</v>
      </c>
      <c r="C12" s="315"/>
      <c r="D12" s="315"/>
      <c r="E12" s="30"/>
      <c r="F12" s="30"/>
      <c r="G12" s="30"/>
      <c r="H12" s="30" t="str">
        <f t="shared" si="0"/>
        <v/>
      </c>
      <c r="I12" s="126" t="str">
        <f t="shared" si="1"/>
        <v/>
      </c>
    </row>
    <row r="13" spans="1:9" x14ac:dyDescent="0.25">
      <c r="A13" s="1186"/>
      <c r="B13" s="30">
        <v>12</v>
      </c>
      <c r="C13" s="315"/>
      <c r="D13" s="315"/>
      <c r="E13" s="30"/>
      <c r="F13" s="30"/>
      <c r="G13" s="30"/>
      <c r="H13" s="30" t="str">
        <f t="shared" si="0"/>
        <v/>
      </c>
      <c r="I13" s="126" t="str">
        <f t="shared" si="1"/>
        <v/>
      </c>
    </row>
    <row r="14" spans="1:9" x14ac:dyDescent="0.25">
      <c r="A14" s="1186"/>
      <c r="B14" s="30">
        <v>13</v>
      </c>
      <c r="C14" s="315"/>
      <c r="D14" s="315"/>
      <c r="E14" s="30"/>
      <c r="F14" s="30"/>
      <c r="G14" s="30"/>
      <c r="H14" s="30" t="str">
        <f t="shared" si="0"/>
        <v/>
      </c>
      <c r="I14" s="126" t="str">
        <f t="shared" si="1"/>
        <v/>
      </c>
    </row>
    <row r="15" spans="1:9" x14ac:dyDescent="0.25">
      <c r="A15" s="1186"/>
      <c r="B15" s="30">
        <v>14</v>
      </c>
      <c r="C15" s="315"/>
      <c r="D15" s="315"/>
      <c r="E15" s="30"/>
      <c r="F15" s="30"/>
      <c r="G15" s="30"/>
      <c r="H15" s="30" t="str">
        <f t="shared" si="0"/>
        <v/>
      </c>
      <c r="I15" s="126" t="str">
        <f t="shared" si="1"/>
        <v/>
      </c>
    </row>
    <row r="16" spans="1:9" x14ac:dyDescent="0.25">
      <c r="A16" s="1186"/>
      <c r="B16" s="30">
        <v>15</v>
      </c>
      <c r="C16" s="315"/>
      <c r="D16" s="315"/>
      <c r="E16" s="30"/>
      <c r="F16" s="30"/>
      <c r="G16" s="30"/>
      <c r="H16" s="30" t="str">
        <f t="shared" si="0"/>
        <v/>
      </c>
      <c r="I16" s="126" t="str">
        <f t="shared" si="1"/>
        <v/>
      </c>
    </row>
    <row r="17" spans="1:9" x14ac:dyDescent="0.25">
      <c r="A17" s="1186"/>
      <c r="B17" s="30">
        <v>16</v>
      </c>
      <c r="C17" s="315"/>
      <c r="D17" s="315"/>
      <c r="E17" s="30"/>
      <c r="F17" s="30"/>
      <c r="G17" s="30"/>
      <c r="H17" s="30" t="str">
        <f t="shared" si="0"/>
        <v/>
      </c>
      <c r="I17" s="126" t="str">
        <f t="shared" si="1"/>
        <v/>
      </c>
    </row>
    <row r="18" spans="1:9" x14ac:dyDescent="0.25">
      <c r="A18" s="1186"/>
      <c r="B18" s="30">
        <v>17</v>
      </c>
      <c r="C18" s="315"/>
      <c r="D18" s="315"/>
      <c r="E18" s="30"/>
      <c r="F18" s="30"/>
      <c r="G18" s="30"/>
      <c r="H18" s="30" t="str">
        <f t="shared" si="0"/>
        <v/>
      </c>
      <c r="I18" s="126" t="str">
        <f t="shared" si="1"/>
        <v/>
      </c>
    </row>
    <row r="19" spans="1:9" x14ac:dyDescent="0.25">
      <c r="A19" s="1186"/>
      <c r="B19" s="30">
        <v>18</v>
      </c>
      <c r="C19" s="315"/>
      <c r="D19" s="315"/>
      <c r="E19" s="30"/>
      <c r="F19" s="30"/>
      <c r="G19" s="30"/>
      <c r="H19" s="30" t="str">
        <f t="shared" si="0"/>
        <v/>
      </c>
      <c r="I19" s="126" t="str">
        <f t="shared" si="1"/>
        <v/>
      </c>
    </row>
    <row r="20" spans="1:9" x14ac:dyDescent="0.25">
      <c r="A20" s="1186"/>
      <c r="B20" s="30">
        <v>19</v>
      </c>
      <c r="C20" s="315"/>
      <c r="D20" s="315"/>
      <c r="E20" s="30"/>
      <c r="F20" s="30"/>
      <c r="G20" s="30"/>
      <c r="H20" s="30" t="str">
        <f t="shared" si="0"/>
        <v/>
      </c>
      <c r="I20" s="126" t="str">
        <f t="shared" si="1"/>
        <v/>
      </c>
    </row>
    <row r="21" spans="1:9" x14ac:dyDescent="0.25">
      <c r="A21" s="1186"/>
      <c r="B21" s="30">
        <v>20</v>
      </c>
      <c r="C21" s="315"/>
      <c r="D21" s="315"/>
      <c r="E21" s="30"/>
      <c r="F21" s="30"/>
      <c r="G21" s="30"/>
      <c r="H21" s="30" t="str">
        <f t="shared" si="0"/>
        <v/>
      </c>
      <c r="I21" s="126" t="str">
        <f t="shared" si="1"/>
        <v/>
      </c>
    </row>
    <row r="22" spans="1:9" x14ac:dyDescent="0.25">
      <c r="A22" s="1186"/>
      <c r="B22" s="30">
        <v>21</v>
      </c>
      <c r="C22" s="315"/>
      <c r="D22" s="315"/>
      <c r="E22" s="30"/>
      <c r="F22" s="30"/>
      <c r="G22" s="30"/>
      <c r="H22" s="30" t="str">
        <f t="shared" si="0"/>
        <v/>
      </c>
      <c r="I22" s="126" t="str">
        <f t="shared" si="1"/>
        <v/>
      </c>
    </row>
    <row r="23" spans="1:9" x14ac:dyDescent="0.25">
      <c r="A23" s="1186"/>
      <c r="B23" s="30">
        <v>22</v>
      </c>
      <c r="C23" s="315"/>
      <c r="D23" s="315"/>
      <c r="E23" s="30"/>
      <c r="F23" s="30"/>
      <c r="G23" s="30"/>
      <c r="H23" s="30" t="str">
        <f t="shared" si="0"/>
        <v/>
      </c>
      <c r="I23" s="126" t="str">
        <f t="shared" si="1"/>
        <v/>
      </c>
    </row>
    <row r="24" spans="1:9" x14ac:dyDescent="0.25">
      <c r="A24" s="1186"/>
      <c r="B24" s="30">
        <v>23</v>
      </c>
      <c r="C24" s="315"/>
      <c r="D24" s="315"/>
      <c r="E24" s="30"/>
      <c r="F24" s="30"/>
      <c r="G24" s="30"/>
      <c r="H24" s="30" t="str">
        <f t="shared" si="0"/>
        <v/>
      </c>
      <c r="I24" s="126" t="str">
        <f t="shared" si="1"/>
        <v/>
      </c>
    </row>
    <row r="25" spans="1:9" x14ac:dyDescent="0.25">
      <c r="A25" s="1186"/>
      <c r="B25" s="30">
        <v>24</v>
      </c>
      <c r="C25" s="315"/>
      <c r="D25" s="315"/>
      <c r="E25" s="30"/>
      <c r="F25" s="30"/>
      <c r="G25" s="30"/>
      <c r="H25" s="30" t="str">
        <f t="shared" si="0"/>
        <v/>
      </c>
      <c r="I25" s="126" t="str">
        <f t="shared" si="1"/>
        <v/>
      </c>
    </row>
    <row r="26" spans="1:9" x14ac:dyDescent="0.25">
      <c r="A26" s="1186"/>
      <c r="B26" s="30">
        <v>25</v>
      </c>
      <c r="C26" s="315"/>
      <c r="D26" s="315"/>
      <c r="E26" s="30"/>
      <c r="F26" s="30"/>
      <c r="G26" s="30"/>
      <c r="H26" s="30" t="str">
        <f t="shared" si="0"/>
        <v/>
      </c>
      <c r="I26" s="126" t="str">
        <f t="shared" si="1"/>
        <v/>
      </c>
    </row>
    <row r="27" spans="1:9" x14ac:dyDescent="0.25">
      <c r="A27" s="1186"/>
      <c r="B27" s="30">
        <v>26</v>
      </c>
      <c r="C27" s="315"/>
      <c r="D27" s="315"/>
      <c r="E27" s="30"/>
      <c r="F27" s="30"/>
      <c r="G27" s="30"/>
      <c r="H27" s="30" t="str">
        <f t="shared" si="0"/>
        <v/>
      </c>
      <c r="I27" s="126" t="str">
        <f t="shared" si="1"/>
        <v/>
      </c>
    </row>
    <row r="28" spans="1:9" x14ac:dyDescent="0.25">
      <c r="A28" s="1186"/>
      <c r="B28" s="30">
        <v>27</v>
      </c>
      <c r="C28" s="315"/>
      <c r="D28" s="315"/>
      <c r="E28" s="30"/>
      <c r="F28" s="30"/>
      <c r="G28" s="30"/>
      <c r="H28" s="30" t="str">
        <f t="shared" si="0"/>
        <v/>
      </c>
      <c r="I28" s="126" t="str">
        <f t="shared" si="1"/>
        <v/>
      </c>
    </row>
    <row r="29" spans="1:9" x14ac:dyDescent="0.25">
      <c r="A29" s="1186"/>
      <c r="B29" s="30">
        <v>28</v>
      </c>
      <c r="C29" s="315"/>
      <c r="D29" s="315"/>
      <c r="E29" s="30"/>
      <c r="F29" s="30"/>
      <c r="G29" s="30"/>
      <c r="H29" s="30" t="str">
        <f t="shared" si="0"/>
        <v/>
      </c>
      <c r="I29" s="126" t="str">
        <f t="shared" si="1"/>
        <v/>
      </c>
    </row>
    <row r="30" spans="1:9" x14ac:dyDescent="0.25">
      <c r="A30" s="1186"/>
      <c r="B30" s="30">
        <v>29</v>
      </c>
      <c r="C30" s="315"/>
      <c r="D30" s="315"/>
      <c r="E30" s="30"/>
      <c r="F30" s="30"/>
      <c r="G30" s="30"/>
      <c r="H30" s="30" t="str">
        <f t="shared" si="0"/>
        <v/>
      </c>
      <c r="I30" s="126" t="str">
        <f t="shared" si="1"/>
        <v/>
      </c>
    </row>
    <row r="31" spans="1:9" x14ac:dyDescent="0.25">
      <c r="A31" s="1186"/>
      <c r="B31" s="30">
        <v>30</v>
      </c>
      <c r="C31" s="315"/>
      <c r="D31" s="315"/>
      <c r="E31" s="30"/>
      <c r="F31" s="30"/>
      <c r="G31" s="30"/>
      <c r="H31" s="30" t="str">
        <f t="shared" si="0"/>
        <v/>
      </c>
      <c r="I31" s="126" t="str">
        <f t="shared" si="1"/>
        <v/>
      </c>
    </row>
    <row r="32" spans="1:9" x14ac:dyDescent="0.25">
      <c r="A32" s="1186"/>
      <c r="B32" s="30">
        <v>31</v>
      </c>
      <c r="C32" s="315"/>
      <c r="D32" s="315"/>
      <c r="E32" s="30"/>
      <c r="F32" s="30"/>
      <c r="G32" s="30"/>
      <c r="H32" s="30" t="str">
        <f t="shared" si="0"/>
        <v/>
      </c>
      <c r="I32" s="126" t="str">
        <f t="shared" si="1"/>
        <v/>
      </c>
    </row>
    <row r="33" spans="1:9" x14ac:dyDescent="0.25">
      <c r="A33" s="1186"/>
      <c r="B33" s="30">
        <v>32</v>
      </c>
      <c r="C33" s="315"/>
      <c r="D33" s="315"/>
      <c r="E33" s="30"/>
      <c r="F33" s="30"/>
      <c r="G33" s="30"/>
      <c r="H33" s="30" t="str">
        <f t="shared" si="0"/>
        <v/>
      </c>
      <c r="I33" s="126" t="str">
        <f t="shared" si="1"/>
        <v/>
      </c>
    </row>
    <row r="34" spans="1:9" x14ac:dyDescent="0.25">
      <c r="A34" s="1186"/>
      <c r="B34" s="30">
        <v>33</v>
      </c>
      <c r="C34" s="315"/>
      <c r="D34" s="315"/>
      <c r="E34" s="30"/>
      <c r="F34" s="30"/>
      <c r="G34" s="30"/>
      <c r="H34" s="30" t="str">
        <f t="shared" si="0"/>
        <v/>
      </c>
      <c r="I34" s="126" t="str">
        <f t="shared" si="1"/>
        <v/>
      </c>
    </row>
    <row r="35" spans="1:9" x14ac:dyDescent="0.25">
      <c r="A35" s="1186"/>
      <c r="B35" s="30">
        <v>34</v>
      </c>
      <c r="C35" s="315"/>
      <c r="D35" s="315"/>
      <c r="E35" s="30"/>
      <c r="F35" s="30"/>
      <c r="G35" s="30"/>
      <c r="H35" s="30" t="str">
        <f t="shared" si="0"/>
        <v/>
      </c>
      <c r="I35" s="126" t="str">
        <f t="shared" si="1"/>
        <v/>
      </c>
    </row>
    <row r="36" spans="1:9" x14ac:dyDescent="0.25">
      <c r="A36" s="1186"/>
      <c r="B36" s="30">
        <v>35</v>
      </c>
      <c r="C36" s="315"/>
      <c r="D36" s="315"/>
      <c r="E36" s="30"/>
      <c r="F36" s="30"/>
      <c r="G36" s="30"/>
      <c r="H36" s="30" t="str">
        <f t="shared" si="0"/>
        <v/>
      </c>
      <c r="I36" s="126" t="str">
        <f t="shared" si="1"/>
        <v/>
      </c>
    </row>
    <row r="37" spans="1:9" x14ac:dyDescent="0.25">
      <c r="A37" s="1186"/>
      <c r="B37" s="30">
        <v>36</v>
      </c>
      <c r="C37" s="315"/>
      <c r="D37" s="315"/>
      <c r="E37" s="30"/>
      <c r="F37" s="30"/>
      <c r="G37" s="30"/>
      <c r="H37" s="30" t="str">
        <f t="shared" si="0"/>
        <v/>
      </c>
      <c r="I37" s="126" t="str">
        <f t="shared" si="1"/>
        <v/>
      </c>
    </row>
    <row r="38" spans="1:9" x14ac:dyDescent="0.25">
      <c r="A38" s="1186"/>
      <c r="B38" s="30">
        <v>37</v>
      </c>
      <c r="C38" s="315"/>
      <c r="D38" s="315"/>
      <c r="E38" s="30"/>
      <c r="F38" s="30"/>
      <c r="G38" s="30"/>
      <c r="H38" s="30" t="str">
        <f t="shared" si="0"/>
        <v/>
      </c>
      <c r="I38" s="126" t="str">
        <f t="shared" si="1"/>
        <v/>
      </c>
    </row>
    <row r="39" spans="1:9" x14ac:dyDescent="0.25">
      <c r="A39" s="1186"/>
      <c r="B39" s="30">
        <v>38</v>
      </c>
      <c r="C39" s="315"/>
      <c r="D39" s="315"/>
      <c r="E39" s="30"/>
      <c r="F39" s="30"/>
      <c r="G39" s="30"/>
      <c r="H39" s="30" t="str">
        <f t="shared" si="0"/>
        <v/>
      </c>
      <c r="I39" s="126" t="str">
        <f t="shared" si="1"/>
        <v/>
      </c>
    </row>
    <row r="40" spans="1:9" x14ac:dyDescent="0.25">
      <c r="A40" s="1186"/>
      <c r="B40" s="30">
        <v>39</v>
      </c>
      <c r="C40" s="315"/>
      <c r="D40" s="315"/>
      <c r="E40" s="30"/>
      <c r="F40" s="30"/>
      <c r="G40" s="30"/>
      <c r="H40" s="30" t="str">
        <f t="shared" si="0"/>
        <v/>
      </c>
      <c r="I40" s="126" t="str">
        <f t="shared" si="1"/>
        <v/>
      </c>
    </row>
    <row r="41" spans="1:9" x14ac:dyDescent="0.25">
      <c r="A41" s="1186"/>
      <c r="B41" s="30">
        <v>40</v>
      </c>
      <c r="C41" s="315"/>
      <c r="D41" s="315"/>
      <c r="E41" s="30"/>
      <c r="F41" s="30"/>
      <c r="G41" s="30"/>
      <c r="H41" s="30" t="str">
        <f t="shared" si="0"/>
        <v/>
      </c>
      <c r="I41" s="126" t="str">
        <f t="shared" si="1"/>
        <v/>
      </c>
    </row>
    <row r="42" spans="1:9" x14ac:dyDescent="0.25">
      <c r="A42" s="1186"/>
      <c r="B42" s="30">
        <v>41</v>
      </c>
      <c r="C42" s="315"/>
      <c r="D42" s="315"/>
      <c r="E42" s="30"/>
      <c r="F42" s="30"/>
      <c r="G42" s="30"/>
      <c r="H42" s="30" t="str">
        <f t="shared" si="0"/>
        <v/>
      </c>
      <c r="I42" s="126" t="str">
        <f t="shared" si="1"/>
        <v/>
      </c>
    </row>
    <row r="43" spans="1:9" x14ac:dyDescent="0.25">
      <c r="A43" s="1186"/>
      <c r="B43" s="30">
        <v>42</v>
      </c>
      <c r="C43" s="315"/>
      <c r="D43" s="315"/>
      <c r="E43" s="30"/>
      <c r="F43" s="30"/>
      <c r="G43" s="30"/>
      <c r="H43" s="30" t="str">
        <f t="shared" si="0"/>
        <v/>
      </c>
      <c r="I43" s="126" t="str">
        <f t="shared" si="1"/>
        <v/>
      </c>
    </row>
    <row r="44" spans="1:9" x14ac:dyDescent="0.25">
      <c r="A44" s="1186"/>
      <c r="B44" s="30">
        <v>43</v>
      </c>
      <c r="C44" s="315"/>
      <c r="D44" s="315"/>
      <c r="E44" s="30"/>
      <c r="F44" s="30"/>
      <c r="G44" s="30"/>
      <c r="H44" s="30" t="str">
        <f t="shared" si="0"/>
        <v/>
      </c>
      <c r="I44" s="126" t="str">
        <f t="shared" si="1"/>
        <v/>
      </c>
    </row>
    <row r="45" spans="1:9" x14ac:dyDescent="0.25">
      <c r="A45" s="1186"/>
      <c r="B45" s="30">
        <v>44</v>
      </c>
      <c r="C45" s="315"/>
      <c r="D45" s="315"/>
      <c r="E45" s="30"/>
      <c r="F45" s="30"/>
      <c r="G45" s="30"/>
      <c r="H45" s="30" t="str">
        <f t="shared" si="0"/>
        <v/>
      </c>
      <c r="I45" s="126" t="str">
        <f t="shared" si="1"/>
        <v/>
      </c>
    </row>
    <row r="46" spans="1:9" x14ac:dyDescent="0.25">
      <c r="A46" s="1186"/>
      <c r="B46" s="30">
        <v>45</v>
      </c>
      <c r="C46" s="315"/>
      <c r="D46" s="315"/>
      <c r="E46" s="30"/>
      <c r="F46" s="30"/>
      <c r="G46" s="30"/>
      <c r="H46" s="30" t="str">
        <f t="shared" si="0"/>
        <v/>
      </c>
      <c r="I46" s="126" t="str">
        <f t="shared" si="1"/>
        <v/>
      </c>
    </row>
    <row r="47" spans="1:9" x14ac:dyDescent="0.25">
      <c r="A47" s="1186"/>
      <c r="B47" s="30">
        <v>46</v>
      </c>
      <c r="C47" s="315"/>
      <c r="D47" s="315"/>
      <c r="E47" s="30"/>
      <c r="F47" s="30"/>
      <c r="G47" s="30"/>
      <c r="H47" s="30" t="str">
        <f t="shared" si="0"/>
        <v/>
      </c>
      <c r="I47" s="126" t="str">
        <f t="shared" si="1"/>
        <v/>
      </c>
    </row>
    <row r="48" spans="1:9" x14ac:dyDescent="0.25">
      <c r="A48" s="1186"/>
      <c r="B48" s="30">
        <v>47</v>
      </c>
      <c r="C48" s="315"/>
      <c r="D48" s="315"/>
      <c r="E48" s="30"/>
      <c r="F48" s="30"/>
      <c r="G48" s="30"/>
      <c r="H48" s="30" t="str">
        <f t="shared" si="0"/>
        <v/>
      </c>
      <c r="I48" s="126" t="str">
        <f t="shared" si="1"/>
        <v/>
      </c>
    </row>
    <row r="49" spans="1:9" x14ac:dyDescent="0.25">
      <c r="A49" s="1186"/>
      <c r="B49" s="30">
        <v>48</v>
      </c>
      <c r="C49" s="315"/>
      <c r="D49" s="315"/>
      <c r="E49" s="30"/>
      <c r="F49" s="30"/>
      <c r="G49" s="30"/>
      <c r="H49" s="30" t="str">
        <f t="shared" si="0"/>
        <v/>
      </c>
      <c r="I49" s="126" t="str">
        <f t="shared" si="1"/>
        <v/>
      </c>
    </row>
    <row r="50" spans="1:9" x14ac:dyDescent="0.25">
      <c r="A50" s="1186"/>
      <c r="B50" s="30">
        <v>49</v>
      </c>
      <c r="C50" s="315"/>
      <c r="D50" s="315"/>
      <c r="E50" s="30"/>
      <c r="F50" s="30"/>
      <c r="G50" s="30"/>
      <c r="H50" s="30" t="str">
        <f t="shared" si="0"/>
        <v/>
      </c>
      <c r="I50" s="126" t="str">
        <f t="shared" si="1"/>
        <v/>
      </c>
    </row>
    <row r="51" spans="1:9" x14ac:dyDescent="0.25">
      <c r="A51" s="1186"/>
      <c r="B51" s="30">
        <v>50</v>
      </c>
      <c r="C51" s="315"/>
      <c r="D51" s="315"/>
      <c r="E51" s="30"/>
      <c r="F51" s="30"/>
      <c r="G51" s="30"/>
      <c r="H51" s="30" t="str">
        <f t="shared" si="0"/>
        <v/>
      </c>
      <c r="I51" s="126" t="str">
        <f t="shared" si="1"/>
        <v/>
      </c>
    </row>
    <row r="52" spans="1:9" x14ac:dyDescent="0.25">
      <c r="A52" s="1186"/>
      <c r="B52" s="30">
        <v>51</v>
      </c>
      <c r="C52" s="315"/>
      <c r="D52" s="315"/>
      <c r="E52" s="30"/>
      <c r="F52" s="30"/>
      <c r="G52" s="30"/>
      <c r="H52" s="30" t="str">
        <f t="shared" si="0"/>
        <v/>
      </c>
      <c r="I52" s="126" t="str">
        <f t="shared" si="1"/>
        <v/>
      </c>
    </row>
    <row r="53" spans="1:9" x14ac:dyDescent="0.25">
      <c r="A53" s="1186"/>
      <c r="B53" s="30">
        <v>52</v>
      </c>
      <c r="C53" s="315"/>
      <c r="D53" s="315"/>
      <c r="E53" s="30"/>
      <c r="F53" s="30"/>
      <c r="G53" s="30"/>
      <c r="H53" s="30" t="str">
        <f t="shared" si="0"/>
        <v/>
      </c>
      <c r="I53" s="126" t="str">
        <f t="shared" si="1"/>
        <v/>
      </c>
    </row>
    <row r="54" spans="1:9" x14ac:dyDescent="0.25">
      <c r="A54" s="1186"/>
      <c r="B54" s="30">
        <v>53</v>
      </c>
      <c r="C54" s="315"/>
      <c r="D54" s="315"/>
      <c r="E54" s="30"/>
      <c r="F54" s="30"/>
      <c r="G54" s="30"/>
      <c r="H54" s="30" t="str">
        <f t="shared" si="0"/>
        <v/>
      </c>
      <c r="I54" s="126" t="str">
        <f t="shared" si="1"/>
        <v/>
      </c>
    </row>
    <row r="55" spans="1:9" x14ac:dyDescent="0.25">
      <c r="A55" s="1186"/>
      <c r="B55" s="30">
        <v>54</v>
      </c>
      <c r="C55" s="315"/>
      <c r="D55" s="315"/>
      <c r="E55" s="30"/>
      <c r="F55" s="30"/>
      <c r="G55" s="30"/>
      <c r="H55" s="30" t="str">
        <f t="shared" si="0"/>
        <v/>
      </c>
      <c r="I55" s="126" t="str">
        <f t="shared" si="1"/>
        <v/>
      </c>
    </row>
    <row r="56" spans="1:9" x14ac:dyDescent="0.25">
      <c r="A56" s="1186"/>
      <c r="B56" s="30">
        <v>55</v>
      </c>
      <c r="C56" s="315"/>
      <c r="D56" s="315"/>
      <c r="E56" s="30"/>
      <c r="F56" s="30"/>
      <c r="G56" s="30"/>
      <c r="H56" s="30" t="str">
        <f t="shared" si="0"/>
        <v/>
      </c>
      <c r="I56" s="126" t="str">
        <f t="shared" si="1"/>
        <v/>
      </c>
    </row>
    <row r="57" spans="1:9" x14ac:dyDescent="0.25">
      <c r="A57" s="1186"/>
      <c r="B57" s="30">
        <v>56</v>
      </c>
      <c r="C57" s="315"/>
      <c r="D57" s="315"/>
      <c r="E57" s="30"/>
      <c r="F57" s="30"/>
      <c r="G57" s="30"/>
      <c r="H57" s="30" t="str">
        <f t="shared" si="0"/>
        <v/>
      </c>
      <c r="I57" s="126" t="str">
        <f t="shared" si="1"/>
        <v/>
      </c>
    </row>
    <row r="58" spans="1:9" x14ac:dyDescent="0.25">
      <c r="A58" s="1186"/>
      <c r="B58" s="30">
        <v>57</v>
      </c>
      <c r="C58" s="315"/>
      <c r="D58" s="315"/>
      <c r="E58" s="30"/>
      <c r="F58" s="30"/>
      <c r="G58" s="30"/>
      <c r="H58" s="30" t="str">
        <f t="shared" si="0"/>
        <v/>
      </c>
      <c r="I58" s="126" t="str">
        <f t="shared" si="1"/>
        <v/>
      </c>
    </row>
    <row r="59" spans="1:9" x14ac:dyDescent="0.25">
      <c r="A59" s="1186"/>
      <c r="B59" s="30">
        <v>58</v>
      </c>
      <c r="C59" s="315"/>
      <c r="D59" s="315"/>
      <c r="E59" s="30"/>
      <c r="F59" s="30"/>
      <c r="G59" s="30"/>
      <c r="H59" s="30" t="str">
        <f t="shared" si="0"/>
        <v/>
      </c>
      <c r="I59" s="126" t="str">
        <f t="shared" si="1"/>
        <v/>
      </c>
    </row>
    <row r="60" spans="1:9" x14ac:dyDescent="0.25">
      <c r="A60" s="1186"/>
      <c r="B60" s="30">
        <v>59</v>
      </c>
      <c r="C60" s="315"/>
      <c r="D60" s="315"/>
      <c r="E60" s="30"/>
      <c r="F60" s="30"/>
      <c r="G60" s="30"/>
      <c r="H60" s="30" t="str">
        <f t="shared" si="0"/>
        <v/>
      </c>
      <c r="I60" s="126" t="str">
        <f t="shared" si="1"/>
        <v/>
      </c>
    </row>
    <row r="61" spans="1:9" x14ac:dyDescent="0.25">
      <c r="A61" s="1186"/>
      <c r="B61" s="30">
        <v>60</v>
      </c>
      <c r="C61" s="315"/>
      <c r="D61" s="315"/>
      <c r="E61" s="30"/>
      <c r="F61" s="30"/>
      <c r="G61" s="30"/>
      <c r="H61" s="30" t="str">
        <f t="shared" si="0"/>
        <v/>
      </c>
      <c r="I61" s="126" t="str">
        <f t="shared" si="1"/>
        <v/>
      </c>
    </row>
    <row r="62" spans="1:9" x14ac:dyDescent="0.25">
      <c r="A62" s="1186"/>
      <c r="B62" s="30">
        <v>61</v>
      </c>
      <c r="C62" s="315"/>
      <c r="D62" s="315"/>
      <c r="E62" s="30"/>
      <c r="F62" s="30"/>
      <c r="G62" s="30"/>
      <c r="H62" s="30" t="str">
        <f t="shared" si="0"/>
        <v/>
      </c>
      <c r="I62" s="126" t="str">
        <f t="shared" si="1"/>
        <v/>
      </c>
    </row>
    <row r="63" spans="1:9" x14ac:dyDescent="0.25">
      <c r="A63" s="1186"/>
      <c r="B63" s="30">
        <v>62</v>
      </c>
      <c r="C63" s="315"/>
      <c r="D63" s="315"/>
      <c r="E63" s="30"/>
      <c r="F63" s="30"/>
      <c r="G63" s="30"/>
      <c r="H63" s="30" t="str">
        <f t="shared" si="0"/>
        <v/>
      </c>
      <c r="I63" s="126" t="str">
        <f t="shared" si="1"/>
        <v/>
      </c>
    </row>
    <row r="64" spans="1:9" x14ac:dyDescent="0.25">
      <c r="A64" s="1186"/>
      <c r="B64" s="30">
        <v>63</v>
      </c>
      <c r="C64" s="315"/>
      <c r="D64" s="315"/>
      <c r="E64" s="30"/>
      <c r="F64" s="30"/>
      <c r="G64" s="30"/>
      <c r="H64" s="30" t="str">
        <f t="shared" si="0"/>
        <v/>
      </c>
      <c r="I64" s="126" t="str">
        <f t="shared" si="1"/>
        <v/>
      </c>
    </row>
    <row r="65" spans="1:9" x14ac:dyDescent="0.25">
      <c r="A65" s="1186"/>
      <c r="B65" s="30">
        <v>64</v>
      </c>
      <c r="C65" s="315"/>
      <c r="D65" s="315"/>
      <c r="E65" s="30"/>
      <c r="F65" s="30"/>
      <c r="G65" s="30"/>
      <c r="H65" s="30" t="str">
        <f t="shared" si="0"/>
        <v/>
      </c>
      <c r="I65" s="126" t="str">
        <f t="shared" si="1"/>
        <v/>
      </c>
    </row>
    <row r="66" spans="1:9" x14ac:dyDescent="0.25">
      <c r="A66" s="1186"/>
      <c r="B66" s="30">
        <v>65</v>
      </c>
      <c r="C66" s="315"/>
      <c r="D66" s="315"/>
      <c r="E66" s="30"/>
      <c r="F66" s="30"/>
      <c r="G66" s="30"/>
      <c r="H66" s="30" t="str">
        <f t="shared" ref="H66:H129" si="2">IF(AND(F66&lt;&gt;"",G66&lt;&gt;""),"8","")</f>
        <v/>
      </c>
      <c r="I66" s="126" t="str">
        <f t="shared" ref="I66:I129" si="3">IF(AND(F66&lt;&gt;"",G66&lt;&gt;"",H66&lt;&gt;""),H66*F66/G66,"")</f>
        <v/>
      </c>
    </row>
    <row r="67" spans="1:9" x14ac:dyDescent="0.25">
      <c r="A67" s="1186"/>
      <c r="B67" s="30">
        <v>66</v>
      </c>
      <c r="C67" s="315"/>
      <c r="D67" s="315"/>
      <c r="E67" s="30"/>
      <c r="F67" s="30"/>
      <c r="G67" s="30"/>
      <c r="H67" s="30" t="str">
        <f t="shared" si="2"/>
        <v/>
      </c>
      <c r="I67" s="126" t="str">
        <f t="shared" si="3"/>
        <v/>
      </c>
    </row>
    <row r="68" spans="1:9" x14ac:dyDescent="0.25">
      <c r="A68" s="1186"/>
      <c r="B68" s="30">
        <v>67</v>
      </c>
      <c r="C68" s="315"/>
      <c r="D68" s="315"/>
      <c r="E68" s="30"/>
      <c r="F68" s="30"/>
      <c r="G68" s="30"/>
      <c r="H68" s="30" t="str">
        <f t="shared" si="2"/>
        <v/>
      </c>
      <c r="I68" s="126" t="str">
        <f t="shared" si="3"/>
        <v/>
      </c>
    </row>
    <row r="69" spans="1:9" x14ac:dyDescent="0.25">
      <c r="A69" s="1186"/>
      <c r="B69" s="30">
        <v>68</v>
      </c>
      <c r="C69" s="315"/>
      <c r="D69" s="315"/>
      <c r="E69" s="30"/>
      <c r="F69" s="30"/>
      <c r="G69" s="30"/>
      <c r="H69" s="30" t="str">
        <f t="shared" si="2"/>
        <v/>
      </c>
      <c r="I69" s="126" t="str">
        <f t="shared" si="3"/>
        <v/>
      </c>
    </row>
    <row r="70" spans="1:9" x14ac:dyDescent="0.25">
      <c r="A70" s="1186"/>
      <c r="B70" s="30">
        <v>69</v>
      </c>
      <c r="C70" s="315"/>
      <c r="D70" s="315"/>
      <c r="E70" s="30"/>
      <c r="F70" s="30"/>
      <c r="G70" s="30"/>
      <c r="H70" s="30" t="str">
        <f t="shared" si="2"/>
        <v/>
      </c>
      <c r="I70" s="126" t="str">
        <f t="shared" si="3"/>
        <v/>
      </c>
    </row>
    <row r="71" spans="1:9" x14ac:dyDescent="0.25">
      <c r="B71" s="30">
        <v>70</v>
      </c>
      <c r="C71" s="315"/>
      <c r="D71" s="315"/>
      <c r="E71" s="30"/>
      <c r="F71" s="30"/>
      <c r="G71" s="30"/>
      <c r="H71" s="30" t="str">
        <f t="shared" si="2"/>
        <v/>
      </c>
      <c r="I71" s="126" t="str">
        <f t="shared" si="3"/>
        <v/>
      </c>
    </row>
    <row r="72" spans="1:9" x14ac:dyDescent="0.25">
      <c r="B72" s="30">
        <v>71</v>
      </c>
      <c r="C72" s="315"/>
      <c r="D72" s="315"/>
      <c r="E72" s="30"/>
      <c r="F72" s="30"/>
      <c r="G72" s="30"/>
      <c r="H72" s="30" t="str">
        <f t="shared" si="2"/>
        <v/>
      </c>
      <c r="I72" s="126" t="str">
        <f t="shared" si="3"/>
        <v/>
      </c>
    </row>
    <row r="73" spans="1:9" x14ac:dyDescent="0.25">
      <c r="B73" s="30">
        <v>72</v>
      </c>
      <c r="C73" s="315"/>
      <c r="D73" s="315"/>
      <c r="E73" s="30"/>
      <c r="F73" s="30"/>
      <c r="G73" s="30"/>
      <c r="H73" s="30" t="str">
        <f t="shared" si="2"/>
        <v/>
      </c>
      <c r="I73" s="126" t="str">
        <f t="shared" si="3"/>
        <v/>
      </c>
    </row>
    <row r="74" spans="1:9" x14ac:dyDescent="0.25">
      <c r="B74" s="30">
        <v>73</v>
      </c>
      <c r="C74" s="315"/>
      <c r="D74" s="315"/>
      <c r="E74" s="30"/>
      <c r="F74" s="30"/>
      <c r="G74" s="30"/>
      <c r="H74" s="30" t="str">
        <f t="shared" si="2"/>
        <v/>
      </c>
      <c r="I74" s="126" t="str">
        <f t="shared" si="3"/>
        <v/>
      </c>
    </row>
    <row r="75" spans="1:9" x14ac:dyDescent="0.25">
      <c r="B75" s="30">
        <v>74</v>
      </c>
      <c r="C75" s="315"/>
      <c r="D75" s="315"/>
      <c r="E75" s="30"/>
      <c r="F75" s="30"/>
      <c r="G75" s="30"/>
      <c r="H75" s="30" t="str">
        <f t="shared" si="2"/>
        <v/>
      </c>
      <c r="I75" s="126" t="str">
        <f t="shared" si="3"/>
        <v/>
      </c>
    </row>
    <row r="76" spans="1:9" x14ac:dyDescent="0.25">
      <c r="B76" s="30">
        <v>75</v>
      </c>
      <c r="C76" s="315"/>
      <c r="D76" s="315"/>
      <c r="E76" s="30"/>
      <c r="F76" s="30"/>
      <c r="G76" s="30"/>
      <c r="H76" s="30" t="str">
        <f t="shared" si="2"/>
        <v/>
      </c>
      <c r="I76" s="126" t="str">
        <f t="shared" si="3"/>
        <v/>
      </c>
    </row>
    <row r="77" spans="1:9" x14ac:dyDescent="0.25">
      <c r="B77" s="30">
        <v>76</v>
      </c>
      <c r="C77" s="315"/>
      <c r="D77" s="315"/>
      <c r="E77" s="30"/>
      <c r="F77" s="30"/>
      <c r="G77" s="30"/>
      <c r="H77" s="30" t="str">
        <f t="shared" si="2"/>
        <v/>
      </c>
      <c r="I77" s="126" t="str">
        <f t="shared" si="3"/>
        <v/>
      </c>
    </row>
    <row r="78" spans="1:9" x14ac:dyDescent="0.25">
      <c r="B78" s="30">
        <v>77</v>
      </c>
      <c r="C78" s="315"/>
      <c r="D78" s="315"/>
      <c r="E78" s="30"/>
      <c r="F78" s="30"/>
      <c r="G78" s="30"/>
      <c r="H78" s="30" t="str">
        <f t="shared" si="2"/>
        <v/>
      </c>
      <c r="I78" s="126" t="str">
        <f t="shared" si="3"/>
        <v/>
      </c>
    </row>
    <row r="79" spans="1:9" x14ac:dyDescent="0.25">
      <c r="B79" s="30">
        <v>78</v>
      </c>
      <c r="C79" s="315"/>
      <c r="D79" s="315"/>
      <c r="E79" s="30"/>
      <c r="F79" s="30"/>
      <c r="G79" s="30"/>
      <c r="H79" s="30" t="str">
        <f t="shared" si="2"/>
        <v/>
      </c>
      <c r="I79" s="126" t="str">
        <f t="shared" si="3"/>
        <v/>
      </c>
    </row>
    <row r="80" spans="1:9" x14ac:dyDescent="0.25">
      <c r="B80" s="30">
        <v>79</v>
      </c>
      <c r="C80" s="315"/>
      <c r="D80" s="315"/>
      <c r="E80" s="30"/>
      <c r="F80" s="30"/>
      <c r="G80" s="30"/>
      <c r="H80" s="30" t="str">
        <f t="shared" si="2"/>
        <v/>
      </c>
      <c r="I80" s="126" t="str">
        <f t="shared" si="3"/>
        <v/>
      </c>
    </row>
    <row r="81" spans="2:9" x14ac:dyDescent="0.25">
      <c r="B81" s="30">
        <v>80</v>
      </c>
      <c r="C81" s="315"/>
      <c r="D81" s="315"/>
      <c r="E81" s="30"/>
      <c r="F81" s="30"/>
      <c r="G81" s="30"/>
      <c r="H81" s="30" t="str">
        <f t="shared" si="2"/>
        <v/>
      </c>
      <c r="I81" s="126" t="str">
        <f t="shared" si="3"/>
        <v/>
      </c>
    </row>
    <row r="82" spans="2:9" x14ac:dyDescent="0.25">
      <c r="B82" s="30">
        <v>81</v>
      </c>
      <c r="C82" s="315"/>
      <c r="D82" s="315"/>
      <c r="E82" s="30"/>
      <c r="F82" s="30"/>
      <c r="G82" s="30"/>
      <c r="H82" s="30" t="str">
        <f t="shared" si="2"/>
        <v/>
      </c>
      <c r="I82" s="126" t="str">
        <f t="shared" si="3"/>
        <v/>
      </c>
    </row>
    <row r="83" spans="2:9" x14ac:dyDescent="0.25">
      <c r="B83" s="30">
        <v>82</v>
      </c>
      <c r="C83" s="315"/>
      <c r="D83" s="315"/>
      <c r="E83" s="30"/>
      <c r="F83" s="30"/>
      <c r="G83" s="30"/>
      <c r="H83" s="30" t="str">
        <f t="shared" si="2"/>
        <v/>
      </c>
      <c r="I83" s="126" t="str">
        <f t="shared" si="3"/>
        <v/>
      </c>
    </row>
    <row r="84" spans="2:9" x14ac:dyDescent="0.25">
      <c r="B84" s="30">
        <v>83</v>
      </c>
      <c r="C84" s="315"/>
      <c r="D84" s="315"/>
      <c r="E84" s="30"/>
      <c r="F84" s="30"/>
      <c r="G84" s="30"/>
      <c r="H84" s="30" t="str">
        <f t="shared" si="2"/>
        <v/>
      </c>
      <c r="I84" s="126" t="str">
        <f t="shared" si="3"/>
        <v/>
      </c>
    </row>
    <row r="85" spans="2:9" x14ac:dyDescent="0.25">
      <c r="B85" s="30">
        <v>84</v>
      </c>
      <c r="C85" s="315"/>
      <c r="D85" s="315"/>
      <c r="E85" s="30"/>
      <c r="F85" s="30"/>
      <c r="G85" s="30"/>
      <c r="H85" s="30" t="str">
        <f t="shared" si="2"/>
        <v/>
      </c>
      <c r="I85" s="126" t="str">
        <f t="shared" si="3"/>
        <v/>
      </c>
    </row>
    <row r="86" spans="2:9" x14ac:dyDescent="0.25">
      <c r="B86" s="30">
        <v>85</v>
      </c>
      <c r="C86" s="315"/>
      <c r="D86" s="315"/>
      <c r="E86" s="30"/>
      <c r="F86" s="30"/>
      <c r="G86" s="30"/>
      <c r="H86" s="30" t="str">
        <f t="shared" si="2"/>
        <v/>
      </c>
      <c r="I86" s="126" t="str">
        <f t="shared" si="3"/>
        <v/>
      </c>
    </row>
    <row r="87" spans="2:9" x14ac:dyDescent="0.25">
      <c r="B87" s="30">
        <v>86</v>
      </c>
      <c r="C87" s="315"/>
      <c r="D87" s="315"/>
      <c r="E87" s="30"/>
      <c r="F87" s="30"/>
      <c r="G87" s="30"/>
      <c r="H87" s="30" t="str">
        <f t="shared" si="2"/>
        <v/>
      </c>
      <c r="I87" s="126" t="str">
        <f t="shared" si="3"/>
        <v/>
      </c>
    </row>
    <row r="88" spans="2:9" x14ac:dyDescent="0.25">
      <c r="B88" s="30">
        <v>87</v>
      </c>
      <c r="C88" s="315"/>
      <c r="D88" s="315"/>
      <c r="E88" s="30"/>
      <c r="F88" s="30"/>
      <c r="G88" s="30"/>
      <c r="H88" s="30" t="str">
        <f t="shared" si="2"/>
        <v/>
      </c>
      <c r="I88" s="126" t="str">
        <f t="shared" si="3"/>
        <v/>
      </c>
    </row>
    <row r="89" spans="2:9" x14ac:dyDescent="0.25">
      <c r="B89" s="30">
        <v>88</v>
      </c>
      <c r="C89" s="315"/>
      <c r="D89" s="315"/>
      <c r="E89" s="30"/>
      <c r="F89" s="30"/>
      <c r="G89" s="30"/>
      <c r="H89" s="30" t="str">
        <f t="shared" si="2"/>
        <v/>
      </c>
      <c r="I89" s="126" t="str">
        <f t="shared" si="3"/>
        <v/>
      </c>
    </row>
    <row r="90" spans="2:9" x14ac:dyDescent="0.25">
      <c r="B90" s="30">
        <v>89</v>
      </c>
      <c r="C90" s="315"/>
      <c r="D90" s="315"/>
      <c r="E90" s="30"/>
      <c r="F90" s="30"/>
      <c r="G90" s="30"/>
      <c r="H90" s="30" t="str">
        <f t="shared" si="2"/>
        <v/>
      </c>
      <c r="I90" s="126" t="str">
        <f t="shared" si="3"/>
        <v/>
      </c>
    </row>
    <row r="91" spans="2:9" x14ac:dyDescent="0.25">
      <c r="B91" s="30">
        <v>90</v>
      </c>
      <c r="C91" s="315"/>
      <c r="D91" s="315"/>
      <c r="E91" s="30"/>
      <c r="F91" s="30"/>
      <c r="G91" s="30"/>
      <c r="H91" s="30" t="str">
        <f t="shared" si="2"/>
        <v/>
      </c>
      <c r="I91" s="126" t="str">
        <f t="shared" si="3"/>
        <v/>
      </c>
    </row>
    <row r="92" spans="2:9" x14ac:dyDescent="0.25">
      <c r="B92" s="30">
        <v>91</v>
      </c>
      <c r="C92" s="315"/>
      <c r="D92" s="315"/>
      <c r="E92" s="30"/>
      <c r="F92" s="30"/>
      <c r="G92" s="30"/>
      <c r="H92" s="30" t="str">
        <f t="shared" si="2"/>
        <v/>
      </c>
      <c r="I92" s="126" t="str">
        <f t="shared" si="3"/>
        <v/>
      </c>
    </row>
    <row r="93" spans="2:9" x14ac:dyDescent="0.25">
      <c r="B93" s="30">
        <v>92</v>
      </c>
      <c r="C93" s="315"/>
      <c r="D93" s="315"/>
      <c r="E93" s="30"/>
      <c r="F93" s="30"/>
      <c r="G93" s="30"/>
      <c r="H93" s="30" t="str">
        <f t="shared" si="2"/>
        <v/>
      </c>
      <c r="I93" s="126" t="str">
        <f t="shared" si="3"/>
        <v/>
      </c>
    </row>
    <row r="94" spans="2:9" x14ac:dyDescent="0.25">
      <c r="B94" s="30">
        <v>93</v>
      </c>
      <c r="C94" s="315"/>
      <c r="D94" s="315"/>
      <c r="E94" s="30"/>
      <c r="F94" s="30"/>
      <c r="G94" s="30"/>
      <c r="H94" s="30" t="str">
        <f t="shared" si="2"/>
        <v/>
      </c>
      <c r="I94" s="126" t="str">
        <f t="shared" si="3"/>
        <v/>
      </c>
    </row>
    <row r="95" spans="2:9" x14ac:dyDescent="0.25">
      <c r="B95" s="30">
        <v>94</v>
      </c>
      <c r="C95" s="315"/>
      <c r="D95" s="315"/>
      <c r="E95" s="30"/>
      <c r="F95" s="30"/>
      <c r="G95" s="30"/>
      <c r="H95" s="30" t="str">
        <f t="shared" si="2"/>
        <v/>
      </c>
      <c r="I95" s="126" t="str">
        <f t="shared" si="3"/>
        <v/>
      </c>
    </row>
    <row r="96" spans="2:9" x14ac:dyDescent="0.25">
      <c r="B96" s="30">
        <v>95</v>
      </c>
      <c r="C96" s="315"/>
      <c r="D96" s="315"/>
      <c r="E96" s="30"/>
      <c r="F96" s="30"/>
      <c r="G96" s="30"/>
      <c r="H96" s="30" t="str">
        <f t="shared" si="2"/>
        <v/>
      </c>
      <c r="I96" s="126" t="str">
        <f t="shared" si="3"/>
        <v/>
      </c>
    </row>
    <row r="97" spans="1:9" x14ac:dyDescent="0.25">
      <c r="B97" s="30">
        <v>96</v>
      </c>
      <c r="C97" s="315"/>
      <c r="D97" s="315"/>
      <c r="E97" s="30"/>
      <c r="F97" s="30"/>
      <c r="G97" s="30"/>
      <c r="H97" s="30" t="str">
        <f t="shared" si="2"/>
        <v/>
      </c>
      <c r="I97" s="126" t="str">
        <f t="shared" si="3"/>
        <v/>
      </c>
    </row>
    <row r="98" spans="1:9" x14ac:dyDescent="0.25">
      <c r="B98" s="30">
        <v>97</v>
      </c>
      <c r="C98" s="315"/>
      <c r="D98" s="315"/>
      <c r="E98" s="30"/>
      <c r="F98" s="30"/>
      <c r="G98" s="30"/>
      <c r="H98" s="30" t="str">
        <f t="shared" si="2"/>
        <v/>
      </c>
      <c r="I98" s="126" t="str">
        <f t="shared" si="3"/>
        <v/>
      </c>
    </row>
    <row r="99" spans="1:9" x14ac:dyDescent="0.25">
      <c r="B99" s="30">
        <v>98</v>
      </c>
      <c r="C99" s="315"/>
      <c r="D99" s="315"/>
      <c r="E99" s="30"/>
      <c r="F99" s="30"/>
      <c r="G99" s="30"/>
      <c r="H99" s="30" t="str">
        <f t="shared" si="2"/>
        <v/>
      </c>
      <c r="I99" s="126" t="str">
        <f t="shared" si="3"/>
        <v/>
      </c>
    </row>
    <row r="100" spans="1:9" x14ac:dyDescent="0.25">
      <c r="B100" s="30">
        <v>99</v>
      </c>
      <c r="C100" s="315"/>
      <c r="D100" s="315"/>
      <c r="E100" s="30"/>
      <c r="F100" s="30"/>
      <c r="G100" s="30"/>
      <c r="H100" s="30" t="str">
        <f t="shared" si="2"/>
        <v/>
      </c>
      <c r="I100" s="126" t="str">
        <f t="shared" si="3"/>
        <v/>
      </c>
    </row>
    <row r="101" spans="1:9" x14ac:dyDescent="0.25">
      <c r="B101" s="30">
        <v>100</v>
      </c>
      <c r="C101" s="315"/>
      <c r="D101" s="315"/>
      <c r="E101" s="30"/>
      <c r="F101" s="30"/>
      <c r="G101" s="30"/>
      <c r="H101" s="30" t="str">
        <f t="shared" si="2"/>
        <v/>
      </c>
      <c r="I101" s="126" t="str">
        <f t="shared" si="3"/>
        <v/>
      </c>
    </row>
    <row r="102" spans="1:9" x14ac:dyDescent="0.25">
      <c r="B102" s="30">
        <v>101</v>
      </c>
      <c r="C102" s="315"/>
      <c r="D102" s="315"/>
      <c r="E102" s="30"/>
      <c r="F102" s="30"/>
      <c r="G102" s="30"/>
      <c r="H102" s="30" t="str">
        <f t="shared" si="2"/>
        <v/>
      </c>
      <c r="I102" s="126" t="str">
        <f t="shared" si="3"/>
        <v/>
      </c>
    </row>
    <row r="103" spans="1:9" x14ac:dyDescent="0.25">
      <c r="B103" s="30">
        <v>102</v>
      </c>
      <c r="C103" s="315"/>
      <c r="D103" s="315"/>
      <c r="E103" s="30"/>
      <c r="F103" s="30"/>
      <c r="G103" s="30"/>
      <c r="H103" s="30" t="str">
        <f t="shared" si="2"/>
        <v/>
      </c>
      <c r="I103" s="126" t="str">
        <f t="shared" si="3"/>
        <v/>
      </c>
    </row>
    <row r="104" spans="1:9" x14ac:dyDescent="0.25">
      <c r="A104" s="1186" t="s">
        <v>32</v>
      </c>
      <c r="B104" s="30">
        <v>103</v>
      </c>
      <c r="C104" s="315"/>
      <c r="D104" s="315"/>
      <c r="E104" s="30"/>
      <c r="F104" s="30"/>
      <c r="G104" s="30"/>
      <c r="H104" s="30" t="str">
        <f t="shared" si="2"/>
        <v/>
      </c>
      <c r="I104" s="126" t="str">
        <f t="shared" si="3"/>
        <v/>
      </c>
    </row>
    <row r="105" spans="1:9" x14ac:dyDescent="0.25">
      <c r="A105" s="1186"/>
      <c r="B105" s="30">
        <v>104</v>
      </c>
      <c r="C105" s="315"/>
      <c r="D105" s="315"/>
      <c r="E105" s="30"/>
      <c r="F105" s="30"/>
      <c r="G105" s="30"/>
      <c r="H105" s="30" t="str">
        <f t="shared" si="2"/>
        <v/>
      </c>
      <c r="I105" s="126" t="str">
        <f t="shared" si="3"/>
        <v/>
      </c>
    </row>
    <row r="106" spans="1:9" x14ac:dyDescent="0.25">
      <c r="A106" s="1186"/>
      <c r="B106" s="30">
        <v>105</v>
      </c>
      <c r="C106" s="315"/>
      <c r="D106" s="315"/>
      <c r="E106" s="30"/>
      <c r="F106" s="30"/>
      <c r="G106" s="30"/>
      <c r="H106" s="30" t="str">
        <f t="shared" si="2"/>
        <v/>
      </c>
      <c r="I106" s="126" t="str">
        <f t="shared" si="3"/>
        <v/>
      </c>
    </row>
    <row r="107" spans="1:9" x14ac:dyDescent="0.25">
      <c r="A107" s="1186"/>
      <c r="B107" s="30">
        <v>106</v>
      </c>
      <c r="C107" s="315"/>
      <c r="D107" s="315"/>
      <c r="E107" s="30"/>
      <c r="F107" s="30"/>
      <c r="G107" s="30"/>
      <c r="H107" s="30" t="str">
        <f t="shared" si="2"/>
        <v/>
      </c>
      <c r="I107" s="126" t="str">
        <f t="shared" si="3"/>
        <v/>
      </c>
    </row>
    <row r="108" spans="1:9" x14ac:dyDescent="0.25">
      <c r="A108" s="1186"/>
      <c r="B108" s="30">
        <v>107</v>
      </c>
      <c r="C108" s="315"/>
      <c r="D108" s="315"/>
      <c r="E108" s="30"/>
      <c r="F108" s="30"/>
      <c r="G108" s="30"/>
      <c r="H108" s="30" t="str">
        <f t="shared" si="2"/>
        <v/>
      </c>
      <c r="I108" s="126" t="str">
        <f t="shared" si="3"/>
        <v/>
      </c>
    </row>
    <row r="109" spans="1:9" x14ac:dyDescent="0.25">
      <c r="A109" s="1186"/>
      <c r="B109" s="30">
        <v>108</v>
      </c>
      <c r="C109" s="315"/>
      <c r="D109" s="315"/>
      <c r="E109" s="30"/>
      <c r="F109" s="30"/>
      <c r="G109" s="30"/>
      <c r="H109" s="30" t="str">
        <f t="shared" si="2"/>
        <v/>
      </c>
      <c r="I109" s="126" t="str">
        <f t="shared" si="3"/>
        <v/>
      </c>
    </row>
    <row r="110" spans="1:9" x14ac:dyDescent="0.25">
      <c r="A110" s="1186"/>
      <c r="B110" s="30">
        <v>109</v>
      </c>
      <c r="C110" s="315"/>
      <c r="D110" s="315"/>
      <c r="E110" s="30"/>
      <c r="F110" s="30"/>
      <c r="G110" s="30"/>
      <c r="H110" s="30" t="str">
        <f t="shared" si="2"/>
        <v/>
      </c>
      <c r="I110" s="126" t="str">
        <f t="shared" si="3"/>
        <v/>
      </c>
    </row>
    <row r="111" spans="1:9" x14ac:dyDescent="0.25">
      <c r="A111" s="1186"/>
      <c r="B111" s="30">
        <v>110</v>
      </c>
      <c r="C111" s="315"/>
      <c r="D111" s="315"/>
      <c r="E111" s="30"/>
      <c r="F111" s="30"/>
      <c r="G111" s="30"/>
      <c r="H111" s="30" t="str">
        <f t="shared" si="2"/>
        <v/>
      </c>
      <c r="I111" s="126" t="str">
        <f t="shared" si="3"/>
        <v/>
      </c>
    </row>
    <row r="112" spans="1:9" x14ac:dyDescent="0.25">
      <c r="A112" s="1186"/>
      <c r="B112" s="30">
        <v>111</v>
      </c>
      <c r="C112" s="315"/>
      <c r="D112" s="315"/>
      <c r="E112" s="30"/>
      <c r="F112" s="30"/>
      <c r="G112" s="30"/>
      <c r="H112" s="30" t="str">
        <f t="shared" si="2"/>
        <v/>
      </c>
      <c r="I112" s="126" t="str">
        <f t="shared" si="3"/>
        <v/>
      </c>
    </row>
    <row r="113" spans="1:9" x14ac:dyDescent="0.25">
      <c r="A113" s="1186"/>
      <c r="B113" s="30">
        <v>112</v>
      </c>
      <c r="C113" s="315"/>
      <c r="D113" s="315"/>
      <c r="E113" s="30"/>
      <c r="F113" s="30"/>
      <c r="G113" s="30"/>
      <c r="H113" s="30" t="str">
        <f t="shared" si="2"/>
        <v/>
      </c>
      <c r="I113" s="126" t="str">
        <f t="shared" si="3"/>
        <v/>
      </c>
    </row>
    <row r="114" spans="1:9" x14ac:dyDescent="0.25">
      <c r="A114" s="1186"/>
      <c r="B114" s="30">
        <v>113</v>
      </c>
      <c r="C114" s="315"/>
      <c r="D114" s="315"/>
      <c r="E114" s="30"/>
      <c r="F114" s="30"/>
      <c r="G114" s="30"/>
      <c r="H114" s="30" t="str">
        <f t="shared" si="2"/>
        <v/>
      </c>
      <c r="I114" s="126" t="str">
        <f t="shared" si="3"/>
        <v/>
      </c>
    </row>
    <row r="115" spans="1:9" x14ac:dyDescent="0.25">
      <c r="A115" s="1186"/>
      <c r="B115" s="30">
        <v>114</v>
      </c>
      <c r="C115" s="315"/>
      <c r="D115" s="315"/>
      <c r="E115" s="30"/>
      <c r="F115" s="30"/>
      <c r="G115" s="30"/>
      <c r="H115" s="30" t="str">
        <f t="shared" si="2"/>
        <v/>
      </c>
      <c r="I115" s="126" t="str">
        <f t="shared" si="3"/>
        <v/>
      </c>
    </row>
    <row r="116" spans="1:9" x14ac:dyDescent="0.25">
      <c r="A116" s="1186"/>
      <c r="B116" s="30">
        <v>115</v>
      </c>
      <c r="C116" s="315"/>
      <c r="D116" s="315"/>
      <c r="E116" s="30"/>
      <c r="F116" s="30"/>
      <c r="G116" s="30"/>
      <c r="H116" s="30" t="str">
        <f t="shared" si="2"/>
        <v/>
      </c>
      <c r="I116" s="126" t="str">
        <f t="shared" si="3"/>
        <v/>
      </c>
    </row>
    <row r="117" spans="1:9" x14ac:dyDescent="0.25">
      <c r="A117" s="1186"/>
      <c r="B117" s="30">
        <v>116</v>
      </c>
      <c r="C117" s="315"/>
      <c r="D117" s="315"/>
      <c r="E117" s="30"/>
      <c r="F117" s="30"/>
      <c r="G117" s="30"/>
      <c r="H117" s="30" t="str">
        <f t="shared" si="2"/>
        <v/>
      </c>
      <c r="I117" s="126" t="str">
        <f t="shared" si="3"/>
        <v/>
      </c>
    </row>
    <row r="118" spans="1:9" x14ac:dyDescent="0.25">
      <c r="A118" s="1186"/>
      <c r="B118" s="30">
        <v>117</v>
      </c>
      <c r="C118" s="315"/>
      <c r="D118" s="315"/>
      <c r="E118" s="30"/>
      <c r="F118" s="30"/>
      <c r="G118" s="30"/>
      <c r="H118" s="30" t="str">
        <f t="shared" si="2"/>
        <v/>
      </c>
      <c r="I118" s="126" t="str">
        <f t="shared" si="3"/>
        <v/>
      </c>
    </row>
    <row r="119" spans="1:9" x14ac:dyDescent="0.25">
      <c r="A119" s="1186"/>
      <c r="B119" s="30">
        <v>118</v>
      </c>
      <c r="C119" s="315"/>
      <c r="D119" s="315"/>
      <c r="E119" s="30"/>
      <c r="F119" s="30"/>
      <c r="G119" s="30"/>
      <c r="H119" s="30" t="str">
        <f t="shared" si="2"/>
        <v/>
      </c>
      <c r="I119" s="126" t="str">
        <f t="shared" si="3"/>
        <v/>
      </c>
    </row>
    <row r="120" spans="1:9" x14ac:dyDescent="0.25">
      <c r="A120" s="1186"/>
      <c r="B120" s="30">
        <v>119</v>
      </c>
      <c r="C120" s="315"/>
      <c r="D120" s="315"/>
      <c r="E120" s="30"/>
      <c r="F120" s="30"/>
      <c r="G120" s="30"/>
      <c r="H120" s="30" t="str">
        <f t="shared" si="2"/>
        <v/>
      </c>
      <c r="I120" s="126" t="str">
        <f t="shared" si="3"/>
        <v/>
      </c>
    </row>
    <row r="121" spans="1:9" x14ac:dyDescent="0.25">
      <c r="A121" s="1186"/>
      <c r="B121" s="30">
        <v>120</v>
      </c>
      <c r="C121" s="315"/>
      <c r="D121" s="315"/>
      <c r="E121" s="30"/>
      <c r="F121" s="30"/>
      <c r="G121" s="30"/>
      <c r="H121" s="30" t="str">
        <f t="shared" si="2"/>
        <v/>
      </c>
      <c r="I121" s="126" t="str">
        <f t="shared" si="3"/>
        <v/>
      </c>
    </row>
    <row r="122" spans="1:9" x14ac:dyDescent="0.25">
      <c r="A122" s="1186"/>
      <c r="B122" s="30">
        <v>121</v>
      </c>
      <c r="C122" s="315"/>
      <c r="D122" s="315"/>
      <c r="E122" s="30"/>
      <c r="F122" s="30"/>
      <c r="G122" s="30"/>
      <c r="H122" s="30" t="str">
        <f t="shared" si="2"/>
        <v/>
      </c>
      <c r="I122" s="126" t="str">
        <f t="shared" si="3"/>
        <v/>
      </c>
    </row>
    <row r="123" spans="1:9" x14ac:dyDescent="0.25">
      <c r="A123" s="1186"/>
      <c r="B123" s="30">
        <v>122</v>
      </c>
      <c r="C123" s="315"/>
      <c r="D123" s="315"/>
      <c r="E123" s="30"/>
      <c r="F123" s="30"/>
      <c r="G123" s="30"/>
      <c r="H123" s="30" t="str">
        <f t="shared" si="2"/>
        <v/>
      </c>
      <c r="I123" s="126" t="str">
        <f t="shared" si="3"/>
        <v/>
      </c>
    </row>
    <row r="124" spans="1:9" x14ac:dyDescent="0.25">
      <c r="A124" s="1186"/>
      <c r="B124" s="30">
        <v>123</v>
      </c>
      <c r="C124" s="315"/>
      <c r="D124" s="315"/>
      <c r="E124" s="30"/>
      <c r="F124" s="30"/>
      <c r="G124" s="30"/>
      <c r="H124" s="30" t="str">
        <f t="shared" si="2"/>
        <v/>
      </c>
      <c r="I124" s="126" t="str">
        <f t="shared" si="3"/>
        <v/>
      </c>
    </row>
    <row r="125" spans="1:9" x14ac:dyDescent="0.25">
      <c r="A125" s="1186"/>
      <c r="B125" s="30">
        <v>124</v>
      </c>
      <c r="C125" s="315"/>
      <c r="D125" s="315"/>
      <c r="E125" s="30"/>
      <c r="F125" s="30"/>
      <c r="G125" s="30"/>
      <c r="H125" s="30" t="str">
        <f t="shared" si="2"/>
        <v/>
      </c>
      <c r="I125" s="126" t="str">
        <f t="shared" si="3"/>
        <v/>
      </c>
    </row>
    <row r="126" spans="1:9" x14ac:dyDescent="0.25">
      <c r="A126" s="1186"/>
      <c r="B126" s="30">
        <v>125</v>
      </c>
      <c r="C126" s="315"/>
      <c r="D126" s="315"/>
      <c r="E126" s="30"/>
      <c r="F126" s="30"/>
      <c r="G126" s="30"/>
      <c r="H126" s="30" t="str">
        <f t="shared" si="2"/>
        <v/>
      </c>
      <c r="I126" s="126" t="str">
        <f t="shared" si="3"/>
        <v/>
      </c>
    </row>
    <row r="127" spans="1:9" x14ac:dyDescent="0.25">
      <c r="A127" s="1186"/>
      <c r="B127" s="30">
        <v>126</v>
      </c>
      <c r="C127" s="315"/>
      <c r="D127" s="315"/>
      <c r="E127" s="30"/>
      <c r="F127" s="30"/>
      <c r="G127" s="30"/>
      <c r="H127" s="30" t="str">
        <f t="shared" si="2"/>
        <v/>
      </c>
      <c r="I127" s="126" t="str">
        <f t="shared" si="3"/>
        <v/>
      </c>
    </row>
    <row r="128" spans="1:9" x14ac:dyDescent="0.25">
      <c r="A128" s="1186"/>
      <c r="B128" s="30">
        <v>127</v>
      </c>
      <c r="C128" s="315"/>
      <c r="D128" s="315"/>
      <c r="E128" s="30"/>
      <c r="F128" s="30"/>
      <c r="G128" s="30"/>
      <c r="H128" s="30" t="str">
        <f t="shared" si="2"/>
        <v/>
      </c>
      <c r="I128" s="126" t="str">
        <f t="shared" si="3"/>
        <v/>
      </c>
    </row>
    <row r="129" spans="1:9" x14ac:dyDescent="0.25">
      <c r="A129" s="1186"/>
      <c r="B129" s="30">
        <v>128</v>
      </c>
      <c r="C129" s="315"/>
      <c r="D129" s="315"/>
      <c r="E129" s="30"/>
      <c r="F129" s="30"/>
      <c r="G129" s="30"/>
      <c r="H129" s="30" t="str">
        <f t="shared" si="2"/>
        <v/>
      </c>
      <c r="I129" s="126" t="str">
        <f t="shared" si="3"/>
        <v/>
      </c>
    </row>
    <row r="130" spans="1:9" x14ac:dyDescent="0.25">
      <c r="A130" s="1186"/>
      <c r="B130" s="30">
        <v>129</v>
      </c>
      <c r="C130" s="315"/>
      <c r="D130" s="315"/>
      <c r="E130" s="30"/>
      <c r="F130" s="30"/>
      <c r="G130" s="30"/>
      <c r="H130" s="30" t="str">
        <f t="shared" ref="H130:H193" si="4">IF(AND(F130&lt;&gt;"",G130&lt;&gt;""),"8","")</f>
        <v/>
      </c>
      <c r="I130" s="126" t="str">
        <f t="shared" ref="I130:I193" si="5">IF(AND(F130&lt;&gt;"",G130&lt;&gt;"",H130&lt;&gt;""),H130*F130/G130,"")</f>
        <v/>
      </c>
    </row>
    <row r="131" spans="1:9" x14ac:dyDescent="0.25">
      <c r="A131" s="1186"/>
      <c r="B131" s="30">
        <v>130</v>
      </c>
      <c r="C131" s="315"/>
      <c r="D131" s="315"/>
      <c r="E131" s="30"/>
      <c r="F131" s="30"/>
      <c r="G131" s="30"/>
      <c r="H131" s="30" t="str">
        <f t="shared" si="4"/>
        <v/>
      </c>
      <c r="I131" s="126" t="str">
        <f t="shared" si="5"/>
        <v/>
      </c>
    </row>
    <row r="132" spans="1:9" x14ac:dyDescent="0.25">
      <c r="A132" s="1186"/>
      <c r="B132" s="30">
        <v>131</v>
      </c>
      <c r="C132" s="315"/>
      <c r="D132" s="315"/>
      <c r="E132" s="30"/>
      <c r="F132" s="30"/>
      <c r="G132" s="30"/>
      <c r="H132" s="30" t="str">
        <f t="shared" si="4"/>
        <v/>
      </c>
      <c r="I132" s="126" t="str">
        <f t="shared" si="5"/>
        <v/>
      </c>
    </row>
    <row r="133" spans="1:9" x14ac:dyDescent="0.25">
      <c r="A133" s="1186"/>
      <c r="B133" s="30">
        <v>132</v>
      </c>
      <c r="C133" s="315"/>
      <c r="D133" s="315"/>
      <c r="E133" s="30"/>
      <c r="F133" s="30"/>
      <c r="G133" s="30"/>
      <c r="H133" s="30" t="str">
        <f t="shared" si="4"/>
        <v/>
      </c>
      <c r="I133" s="126" t="str">
        <f t="shared" si="5"/>
        <v/>
      </c>
    </row>
    <row r="134" spans="1:9" x14ac:dyDescent="0.25">
      <c r="A134" s="1186"/>
      <c r="B134" s="30">
        <v>133</v>
      </c>
      <c r="C134" s="315"/>
      <c r="D134" s="315"/>
      <c r="E134" s="30"/>
      <c r="F134" s="30"/>
      <c r="G134" s="30"/>
      <c r="H134" s="30" t="str">
        <f t="shared" si="4"/>
        <v/>
      </c>
      <c r="I134" s="126" t="str">
        <f t="shared" si="5"/>
        <v/>
      </c>
    </row>
    <row r="135" spans="1:9" x14ac:dyDescent="0.25">
      <c r="A135" s="1186"/>
      <c r="B135" s="30">
        <v>134</v>
      </c>
      <c r="C135" s="315"/>
      <c r="D135" s="315"/>
      <c r="E135" s="30"/>
      <c r="F135" s="30"/>
      <c r="G135" s="30"/>
      <c r="H135" s="30" t="str">
        <f t="shared" si="4"/>
        <v/>
      </c>
      <c r="I135" s="126" t="str">
        <f t="shared" si="5"/>
        <v/>
      </c>
    </row>
    <row r="136" spans="1:9" x14ac:dyDescent="0.25">
      <c r="A136" s="1186"/>
      <c r="B136" s="30">
        <v>135</v>
      </c>
      <c r="C136" s="315"/>
      <c r="D136" s="315"/>
      <c r="E136" s="30"/>
      <c r="F136" s="30"/>
      <c r="G136" s="30"/>
      <c r="H136" s="30" t="str">
        <f t="shared" si="4"/>
        <v/>
      </c>
      <c r="I136" s="126" t="str">
        <f t="shared" si="5"/>
        <v/>
      </c>
    </row>
    <row r="137" spans="1:9" x14ac:dyDescent="0.25">
      <c r="A137" s="1186"/>
      <c r="B137" s="30">
        <v>136</v>
      </c>
      <c r="C137" s="315"/>
      <c r="D137" s="315"/>
      <c r="E137" s="30"/>
      <c r="F137" s="30"/>
      <c r="G137" s="30"/>
      <c r="H137" s="30" t="str">
        <f t="shared" si="4"/>
        <v/>
      </c>
      <c r="I137" s="126" t="str">
        <f t="shared" si="5"/>
        <v/>
      </c>
    </row>
    <row r="138" spans="1:9" x14ac:dyDescent="0.25">
      <c r="A138" s="1186"/>
      <c r="B138" s="30">
        <v>137</v>
      </c>
      <c r="C138" s="315"/>
      <c r="D138" s="315"/>
      <c r="E138" s="30"/>
      <c r="F138" s="30"/>
      <c r="G138" s="30"/>
      <c r="H138" s="30" t="str">
        <f t="shared" si="4"/>
        <v/>
      </c>
      <c r="I138" s="126" t="str">
        <f t="shared" si="5"/>
        <v/>
      </c>
    </row>
    <row r="139" spans="1:9" x14ac:dyDescent="0.25">
      <c r="A139" s="1186"/>
      <c r="B139" s="30">
        <v>138</v>
      </c>
      <c r="C139" s="315"/>
      <c r="D139" s="315"/>
      <c r="E139" s="30"/>
      <c r="F139" s="30"/>
      <c r="G139" s="30"/>
      <c r="H139" s="30" t="str">
        <f t="shared" si="4"/>
        <v/>
      </c>
      <c r="I139" s="126" t="str">
        <f t="shared" si="5"/>
        <v/>
      </c>
    </row>
    <row r="140" spans="1:9" x14ac:dyDescent="0.25">
      <c r="A140" s="1186"/>
      <c r="B140" s="30">
        <v>139</v>
      </c>
      <c r="C140" s="315"/>
      <c r="D140" s="315"/>
      <c r="E140" s="30"/>
      <c r="F140" s="30"/>
      <c r="G140" s="30"/>
      <c r="H140" s="30" t="str">
        <f t="shared" si="4"/>
        <v/>
      </c>
      <c r="I140" s="126" t="str">
        <f t="shared" si="5"/>
        <v/>
      </c>
    </row>
    <row r="141" spans="1:9" x14ac:dyDescent="0.25">
      <c r="A141" s="1186"/>
      <c r="B141" s="30">
        <v>140</v>
      </c>
      <c r="C141" s="315"/>
      <c r="D141" s="315"/>
      <c r="E141" s="30"/>
      <c r="F141" s="30"/>
      <c r="G141" s="30"/>
      <c r="H141" s="30" t="str">
        <f t="shared" si="4"/>
        <v/>
      </c>
      <c r="I141" s="126" t="str">
        <f t="shared" si="5"/>
        <v/>
      </c>
    </row>
    <row r="142" spans="1:9" x14ac:dyDescent="0.25">
      <c r="A142" s="1186"/>
      <c r="B142" s="30">
        <v>141</v>
      </c>
      <c r="C142" s="315"/>
      <c r="D142" s="315"/>
      <c r="E142" s="30"/>
      <c r="F142" s="30"/>
      <c r="G142" s="30"/>
      <c r="H142" s="30" t="str">
        <f t="shared" si="4"/>
        <v/>
      </c>
      <c r="I142" s="126" t="str">
        <f t="shared" si="5"/>
        <v/>
      </c>
    </row>
    <row r="143" spans="1:9" x14ac:dyDescent="0.25">
      <c r="A143" s="1186"/>
      <c r="B143" s="30">
        <v>142</v>
      </c>
      <c r="C143" s="315"/>
      <c r="D143" s="315"/>
      <c r="E143" s="30"/>
      <c r="F143" s="30"/>
      <c r="G143" s="30"/>
      <c r="H143" s="30" t="str">
        <f t="shared" si="4"/>
        <v/>
      </c>
      <c r="I143" s="126" t="str">
        <f t="shared" si="5"/>
        <v/>
      </c>
    </row>
    <row r="144" spans="1:9" x14ac:dyDescent="0.25">
      <c r="A144" s="1186"/>
      <c r="B144" s="30">
        <v>143</v>
      </c>
      <c r="C144" s="315"/>
      <c r="D144" s="315"/>
      <c r="E144" s="30"/>
      <c r="F144" s="30"/>
      <c r="G144" s="30"/>
      <c r="H144" s="30" t="str">
        <f t="shared" si="4"/>
        <v/>
      </c>
      <c r="I144" s="126" t="str">
        <f t="shared" si="5"/>
        <v/>
      </c>
    </row>
    <row r="145" spans="1:9" x14ac:dyDescent="0.25">
      <c r="A145" s="1186"/>
      <c r="B145" s="30">
        <v>144</v>
      </c>
      <c r="C145" s="315"/>
      <c r="D145" s="315"/>
      <c r="E145" s="30"/>
      <c r="F145" s="30"/>
      <c r="G145" s="30"/>
      <c r="H145" s="30" t="str">
        <f t="shared" si="4"/>
        <v/>
      </c>
      <c r="I145" s="126" t="str">
        <f t="shared" si="5"/>
        <v/>
      </c>
    </row>
    <row r="146" spans="1:9" x14ac:dyDescent="0.25">
      <c r="A146" s="1186"/>
      <c r="B146" s="30">
        <v>145</v>
      </c>
      <c r="C146" s="315"/>
      <c r="D146" s="315"/>
      <c r="E146" s="30"/>
      <c r="F146" s="30"/>
      <c r="G146" s="30"/>
      <c r="H146" s="30" t="str">
        <f t="shared" si="4"/>
        <v/>
      </c>
      <c r="I146" s="126" t="str">
        <f t="shared" si="5"/>
        <v/>
      </c>
    </row>
    <row r="147" spans="1:9" x14ac:dyDescent="0.25">
      <c r="A147" s="1186"/>
      <c r="B147" s="30">
        <v>146</v>
      </c>
      <c r="C147" s="315"/>
      <c r="D147" s="315"/>
      <c r="E147" s="30"/>
      <c r="F147" s="30"/>
      <c r="G147" s="30"/>
      <c r="H147" s="30" t="str">
        <f t="shared" si="4"/>
        <v/>
      </c>
      <c r="I147" s="126" t="str">
        <f t="shared" si="5"/>
        <v/>
      </c>
    </row>
    <row r="148" spans="1:9" x14ac:dyDescent="0.25">
      <c r="A148" s="1186"/>
      <c r="B148" s="30">
        <v>147</v>
      </c>
      <c r="C148" s="315"/>
      <c r="D148" s="315"/>
      <c r="E148" s="30"/>
      <c r="F148" s="30"/>
      <c r="G148" s="30"/>
      <c r="H148" s="30" t="str">
        <f t="shared" si="4"/>
        <v/>
      </c>
      <c r="I148" s="126" t="str">
        <f t="shared" si="5"/>
        <v/>
      </c>
    </row>
    <row r="149" spans="1:9" x14ac:dyDescent="0.25">
      <c r="A149" s="1186"/>
      <c r="B149" s="30">
        <v>148</v>
      </c>
      <c r="C149" s="315"/>
      <c r="D149" s="315"/>
      <c r="E149" s="30"/>
      <c r="F149" s="30"/>
      <c r="G149" s="30"/>
      <c r="H149" s="30" t="str">
        <f t="shared" si="4"/>
        <v/>
      </c>
      <c r="I149" s="126" t="str">
        <f t="shared" si="5"/>
        <v/>
      </c>
    </row>
    <row r="150" spans="1:9" x14ac:dyDescent="0.25">
      <c r="A150" s="1186"/>
      <c r="B150" s="30">
        <v>149</v>
      </c>
      <c r="C150" s="315"/>
      <c r="D150" s="315"/>
      <c r="E150" s="30"/>
      <c r="F150" s="30"/>
      <c r="G150" s="30"/>
      <c r="H150" s="30" t="str">
        <f t="shared" si="4"/>
        <v/>
      </c>
      <c r="I150" s="126" t="str">
        <f t="shared" si="5"/>
        <v/>
      </c>
    </row>
    <row r="151" spans="1:9" x14ac:dyDescent="0.25">
      <c r="A151" s="1186"/>
      <c r="B151" s="30">
        <v>150</v>
      </c>
      <c r="C151" s="315"/>
      <c r="D151" s="315"/>
      <c r="E151" s="30"/>
      <c r="F151" s="30"/>
      <c r="G151" s="30"/>
      <c r="H151" s="30" t="str">
        <f t="shared" si="4"/>
        <v/>
      </c>
      <c r="I151" s="126" t="str">
        <f t="shared" si="5"/>
        <v/>
      </c>
    </row>
    <row r="152" spans="1:9" x14ac:dyDescent="0.25">
      <c r="A152" s="1186"/>
      <c r="B152" s="30">
        <v>151</v>
      </c>
      <c r="C152" s="315"/>
      <c r="D152" s="315"/>
      <c r="E152" s="30"/>
      <c r="F152" s="30"/>
      <c r="G152" s="30"/>
      <c r="H152" s="30" t="str">
        <f t="shared" si="4"/>
        <v/>
      </c>
      <c r="I152" s="126" t="str">
        <f t="shared" si="5"/>
        <v/>
      </c>
    </row>
    <row r="153" spans="1:9" x14ac:dyDescent="0.25">
      <c r="A153" s="1186"/>
      <c r="B153" s="30">
        <v>152</v>
      </c>
      <c r="C153" s="315"/>
      <c r="D153" s="315"/>
      <c r="E153" s="30"/>
      <c r="F153" s="30"/>
      <c r="G153" s="30"/>
      <c r="H153" s="30" t="str">
        <f t="shared" si="4"/>
        <v/>
      </c>
      <c r="I153" s="126" t="str">
        <f t="shared" si="5"/>
        <v/>
      </c>
    </row>
    <row r="154" spans="1:9" x14ac:dyDescent="0.25">
      <c r="A154" s="1186"/>
      <c r="B154" s="30">
        <v>153</v>
      </c>
      <c r="C154" s="315"/>
      <c r="D154" s="315"/>
      <c r="E154" s="30"/>
      <c r="F154" s="30"/>
      <c r="G154" s="30"/>
      <c r="H154" s="30" t="str">
        <f t="shared" si="4"/>
        <v/>
      </c>
      <c r="I154" s="126" t="str">
        <f t="shared" si="5"/>
        <v/>
      </c>
    </row>
    <row r="155" spans="1:9" x14ac:dyDescent="0.25">
      <c r="A155" s="1186"/>
      <c r="B155" s="30">
        <v>154</v>
      </c>
      <c r="C155" s="315"/>
      <c r="D155" s="315"/>
      <c r="E155" s="30"/>
      <c r="F155" s="30"/>
      <c r="G155" s="30"/>
      <c r="H155" s="30" t="str">
        <f t="shared" si="4"/>
        <v/>
      </c>
      <c r="I155" s="126" t="str">
        <f t="shared" si="5"/>
        <v/>
      </c>
    </row>
    <row r="156" spans="1:9" x14ac:dyDescent="0.25">
      <c r="A156" s="1186"/>
      <c r="B156" s="30">
        <v>155</v>
      </c>
      <c r="C156" s="315"/>
      <c r="D156" s="315"/>
      <c r="E156" s="30"/>
      <c r="F156" s="30"/>
      <c r="G156" s="30"/>
      <c r="H156" s="30" t="str">
        <f t="shared" si="4"/>
        <v/>
      </c>
      <c r="I156" s="126" t="str">
        <f t="shared" si="5"/>
        <v/>
      </c>
    </row>
    <row r="157" spans="1:9" x14ac:dyDescent="0.25">
      <c r="A157" s="1186"/>
      <c r="B157" s="30">
        <v>156</v>
      </c>
      <c r="C157" s="315"/>
      <c r="D157" s="315"/>
      <c r="E157" s="30"/>
      <c r="F157" s="30"/>
      <c r="G157" s="30"/>
      <c r="H157" s="30" t="str">
        <f t="shared" si="4"/>
        <v/>
      </c>
      <c r="I157" s="126" t="str">
        <f t="shared" si="5"/>
        <v/>
      </c>
    </row>
    <row r="158" spans="1:9" x14ac:dyDescent="0.25">
      <c r="A158" s="1186"/>
      <c r="B158" s="30">
        <v>157</v>
      </c>
      <c r="C158" s="315"/>
      <c r="D158" s="315"/>
      <c r="E158" s="30"/>
      <c r="F158" s="30"/>
      <c r="G158" s="30"/>
      <c r="H158" s="30" t="str">
        <f t="shared" si="4"/>
        <v/>
      </c>
      <c r="I158" s="126" t="str">
        <f t="shared" si="5"/>
        <v/>
      </c>
    </row>
    <row r="159" spans="1:9" x14ac:dyDescent="0.25">
      <c r="A159" s="1186"/>
      <c r="B159" s="30">
        <v>158</v>
      </c>
      <c r="C159" s="315"/>
      <c r="D159" s="315"/>
      <c r="E159" s="30"/>
      <c r="F159" s="30"/>
      <c r="G159" s="30"/>
      <c r="H159" s="30" t="str">
        <f t="shared" si="4"/>
        <v/>
      </c>
      <c r="I159" s="126" t="str">
        <f t="shared" si="5"/>
        <v/>
      </c>
    </row>
    <row r="160" spans="1:9" x14ac:dyDescent="0.25">
      <c r="A160" s="1186"/>
      <c r="B160" s="30">
        <v>159</v>
      </c>
      <c r="C160" s="315"/>
      <c r="D160" s="315"/>
      <c r="E160" s="30"/>
      <c r="F160" s="30"/>
      <c r="G160" s="30"/>
      <c r="H160" s="30" t="str">
        <f t="shared" si="4"/>
        <v/>
      </c>
      <c r="I160" s="126" t="str">
        <f t="shared" si="5"/>
        <v/>
      </c>
    </row>
    <row r="161" spans="1:9" x14ac:dyDescent="0.25">
      <c r="A161" s="1186"/>
      <c r="B161" s="30">
        <v>160</v>
      </c>
      <c r="C161" s="315"/>
      <c r="D161" s="315"/>
      <c r="E161" s="30"/>
      <c r="F161" s="30"/>
      <c r="G161" s="30"/>
      <c r="H161" s="30" t="str">
        <f t="shared" si="4"/>
        <v/>
      </c>
      <c r="I161" s="126" t="str">
        <f t="shared" si="5"/>
        <v/>
      </c>
    </row>
    <row r="162" spans="1:9" x14ac:dyDescent="0.25">
      <c r="A162" s="1186"/>
      <c r="B162" s="30">
        <v>161</v>
      </c>
      <c r="C162" s="315"/>
      <c r="D162" s="315"/>
      <c r="E162" s="30"/>
      <c r="F162" s="30"/>
      <c r="G162" s="30"/>
      <c r="H162" s="30" t="str">
        <f t="shared" si="4"/>
        <v/>
      </c>
      <c r="I162" s="126" t="str">
        <f t="shared" si="5"/>
        <v/>
      </c>
    </row>
    <row r="163" spans="1:9" x14ac:dyDescent="0.25">
      <c r="B163" s="30">
        <v>162</v>
      </c>
      <c r="C163" s="315"/>
      <c r="D163" s="315"/>
      <c r="E163" s="30"/>
      <c r="F163" s="30"/>
      <c r="G163" s="30"/>
      <c r="H163" s="30" t="str">
        <f t="shared" si="4"/>
        <v/>
      </c>
      <c r="I163" s="126" t="str">
        <f t="shared" si="5"/>
        <v/>
      </c>
    </row>
    <row r="164" spans="1:9" x14ac:dyDescent="0.25">
      <c r="B164" s="30">
        <v>163</v>
      </c>
      <c r="C164" s="315"/>
      <c r="D164" s="315"/>
      <c r="E164" s="30"/>
      <c r="F164" s="30"/>
      <c r="G164" s="30"/>
      <c r="H164" s="30" t="str">
        <f t="shared" si="4"/>
        <v/>
      </c>
      <c r="I164" s="126" t="str">
        <f t="shared" si="5"/>
        <v/>
      </c>
    </row>
    <row r="165" spans="1:9" x14ac:dyDescent="0.25">
      <c r="B165" s="30">
        <v>164</v>
      </c>
      <c r="C165" s="315"/>
      <c r="D165" s="315"/>
      <c r="E165" s="30"/>
      <c r="F165" s="30"/>
      <c r="G165" s="30"/>
      <c r="H165" s="30" t="str">
        <f t="shared" si="4"/>
        <v/>
      </c>
      <c r="I165" s="126" t="str">
        <f t="shared" si="5"/>
        <v/>
      </c>
    </row>
    <row r="166" spans="1:9" x14ac:dyDescent="0.25">
      <c r="B166" s="30">
        <v>165</v>
      </c>
      <c r="C166" s="315"/>
      <c r="D166" s="315"/>
      <c r="E166" s="30"/>
      <c r="F166" s="30"/>
      <c r="G166" s="30"/>
      <c r="H166" s="30" t="str">
        <f t="shared" si="4"/>
        <v/>
      </c>
      <c r="I166" s="126" t="str">
        <f t="shared" si="5"/>
        <v/>
      </c>
    </row>
    <row r="167" spans="1:9" x14ac:dyDescent="0.25">
      <c r="B167" s="30">
        <v>166</v>
      </c>
      <c r="C167" s="315"/>
      <c r="D167" s="315"/>
      <c r="E167" s="30"/>
      <c r="F167" s="30"/>
      <c r="G167" s="30"/>
      <c r="H167" s="30" t="str">
        <f t="shared" si="4"/>
        <v/>
      </c>
      <c r="I167" s="126" t="str">
        <f t="shared" si="5"/>
        <v/>
      </c>
    </row>
    <row r="168" spans="1:9" x14ac:dyDescent="0.25">
      <c r="B168" s="30">
        <v>167</v>
      </c>
      <c r="C168" s="315"/>
      <c r="D168" s="315"/>
      <c r="E168" s="30"/>
      <c r="F168" s="30"/>
      <c r="G168" s="30"/>
      <c r="H168" s="30" t="str">
        <f t="shared" si="4"/>
        <v/>
      </c>
      <c r="I168" s="126" t="str">
        <f t="shared" si="5"/>
        <v/>
      </c>
    </row>
    <row r="169" spans="1:9" x14ac:dyDescent="0.25">
      <c r="B169" s="30">
        <v>168</v>
      </c>
      <c r="C169" s="315"/>
      <c r="D169" s="315"/>
      <c r="E169" s="30"/>
      <c r="F169" s="30"/>
      <c r="G169" s="30"/>
      <c r="H169" s="30" t="str">
        <f t="shared" si="4"/>
        <v/>
      </c>
      <c r="I169" s="126" t="str">
        <f t="shared" si="5"/>
        <v/>
      </c>
    </row>
    <row r="170" spans="1:9" x14ac:dyDescent="0.25">
      <c r="B170" s="30">
        <v>169</v>
      </c>
      <c r="C170" s="315"/>
      <c r="D170" s="315"/>
      <c r="E170" s="30"/>
      <c r="F170" s="30"/>
      <c r="G170" s="30"/>
      <c r="H170" s="30" t="str">
        <f t="shared" si="4"/>
        <v/>
      </c>
      <c r="I170" s="126" t="str">
        <f t="shared" si="5"/>
        <v/>
      </c>
    </row>
    <row r="171" spans="1:9" x14ac:dyDescent="0.25">
      <c r="B171" s="30">
        <v>170</v>
      </c>
      <c r="C171" s="315"/>
      <c r="D171" s="315"/>
      <c r="E171" s="30"/>
      <c r="F171" s="30"/>
      <c r="G171" s="30"/>
      <c r="H171" s="30" t="str">
        <f t="shared" si="4"/>
        <v/>
      </c>
      <c r="I171" s="126" t="str">
        <f t="shared" si="5"/>
        <v/>
      </c>
    </row>
    <row r="172" spans="1:9" x14ac:dyDescent="0.25">
      <c r="A172" s="1186" t="s">
        <v>32</v>
      </c>
      <c r="B172" s="30">
        <v>171</v>
      </c>
      <c r="C172" s="315"/>
      <c r="D172" s="315"/>
      <c r="E172" s="30"/>
      <c r="F172" s="30"/>
      <c r="G172" s="30"/>
      <c r="H172" s="30" t="str">
        <f t="shared" si="4"/>
        <v/>
      </c>
      <c r="I172" s="126" t="str">
        <f t="shared" si="5"/>
        <v/>
      </c>
    </row>
    <row r="173" spans="1:9" x14ac:dyDescent="0.25">
      <c r="A173" s="1186"/>
      <c r="B173" s="30">
        <v>172</v>
      </c>
      <c r="C173" s="315"/>
      <c r="D173" s="315"/>
      <c r="E173" s="30"/>
      <c r="F173" s="30"/>
      <c r="G173" s="30"/>
      <c r="H173" s="30" t="str">
        <f t="shared" si="4"/>
        <v/>
      </c>
      <c r="I173" s="126" t="str">
        <f t="shared" si="5"/>
        <v/>
      </c>
    </row>
    <row r="174" spans="1:9" x14ac:dyDescent="0.25">
      <c r="A174" s="1186"/>
      <c r="B174" s="30">
        <v>173</v>
      </c>
      <c r="C174" s="315"/>
      <c r="D174" s="315"/>
      <c r="E174" s="30"/>
      <c r="F174" s="30"/>
      <c r="G174" s="30"/>
      <c r="H174" s="30" t="str">
        <f t="shared" si="4"/>
        <v/>
      </c>
      <c r="I174" s="126" t="str">
        <f t="shared" si="5"/>
        <v/>
      </c>
    </row>
    <row r="175" spans="1:9" x14ac:dyDescent="0.25">
      <c r="A175" s="1186"/>
      <c r="B175" s="30">
        <v>174</v>
      </c>
      <c r="C175" s="315"/>
      <c r="D175" s="315"/>
      <c r="E175" s="30"/>
      <c r="F175" s="30"/>
      <c r="G175" s="30"/>
      <c r="H175" s="30" t="str">
        <f t="shared" si="4"/>
        <v/>
      </c>
      <c r="I175" s="126" t="str">
        <f t="shared" si="5"/>
        <v/>
      </c>
    </row>
    <row r="176" spans="1:9" x14ac:dyDescent="0.25">
      <c r="A176" s="1186"/>
      <c r="B176" s="30">
        <v>175</v>
      </c>
      <c r="C176" s="315"/>
      <c r="D176" s="315"/>
      <c r="E176" s="30"/>
      <c r="F176" s="30"/>
      <c r="G176" s="30"/>
      <c r="H176" s="30" t="str">
        <f t="shared" si="4"/>
        <v/>
      </c>
      <c r="I176" s="126" t="str">
        <f t="shared" si="5"/>
        <v/>
      </c>
    </row>
    <row r="177" spans="1:9" x14ac:dyDescent="0.25">
      <c r="A177" s="1186"/>
      <c r="B177" s="30">
        <v>176</v>
      </c>
      <c r="C177" s="315"/>
      <c r="D177" s="315"/>
      <c r="E177" s="30"/>
      <c r="F177" s="30"/>
      <c r="G177" s="30"/>
      <c r="H177" s="30" t="str">
        <f t="shared" si="4"/>
        <v/>
      </c>
      <c r="I177" s="126" t="str">
        <f t="shared" si="5"/>
        <v/>
      </c>
    </row>
    <row r="178" spans="1:9" x14ac:dyDescent="0.25">
      <c r="A178" s="1186"/>
      <c r="B178" s="30">
        <v>177</v>
      </c>
      <c r="C178" s="315"/>
      <c r="D178" s="315"/>
      <c r="E178" s="30"/>
      <c r="F178" s="30"/>
      <c r="G178" s="30"/>
      <c r="H178" s="30" t="str">
        <f t="shared" si="4"/>
        <v/>
      </c>
      <c r="I178" s="126" t="str">
        <f t="shared" si="5"/>
        <v/>
      </c>
    </row>
    <row r="179" spans="1:9" x14ac:dyDescent="0.25">
      <c r="A179" s="1186"/>
      <c r="B179" s="30">
        <v>178</v>
      </c>
      <c r="C179" s="315"/>
      <c r="D179" s="315"/>
      <c r="E179" s="30"/>
      <c r="F179" s="30"/>
      <c r="G179" s="30"/>
      <c r="H179" s="30" t="str">
        <f t="shared" si="4"/>
        <v/>
      </c>
      <c r="I179" s="126" t="str">
        <f t="shared" si="5"/>
        <v/>
      </c>
    </row>
    <row r="180" spans="1:9" x14ac:dyDescent="0.25">
      <c r="A180" s="1186"/>
      <c r="B180" s="30">
        <v>179</v>
      </c>
      <c r="C180" s="315"/>
      <c r="D180" s="315"/>
      <c r="E180" s="30"/>
      <c r="F180" s="30"/>
      <c r="G180" s="30"/>
      <c r="H180" s="30" t="str">
        <f t="shared" si="4"/>
        <v/>
      </c>
      <c r="I180" s="126" t="str">
        <f t="shared" si="5"/>
        <v/>
      </c>
    </row>
    <row r="181" spans="1:9" x14ac:dyDescent="0.25">
      <c r="A181" s="1186"/>
      <c r="B181" s="30">
        <v>180</v>
      </c>
      <c r="C181" s="315"/>
      <c r="D181" s="315"/>
      <c r="E181" s="30"/>
      <c r="F181" s="30"/>
      <c r="G181" s="30"/>
      <c r="H181" s="30" t="str">
        <f t="shared" si="4"/>
        <v/>
      </c>
      <c r="I181" s="126" t="str">
        <f t="shared" si="5"/>
        <v/>
      </c>
    </row>
    <row r="182" spans="1:9" x14ac:dyDescent="0.25">
      <c r="A182" s="1186"/>
      <c r="B182" s="30">
        <v>181</v>
      </c>
      <c r="C182" s="315"/>
      <c r="D182" s="315"/>
      <c r="E182" s="30"/>
      <c r="F182" s="30"/>
      <c r="G182" s="30"/>
      <c r="H182" s="30" t="str">
        <f t="shared" si="4"/>
        <v/>
      </c>
      <c r="I182" s="126" t="str">
        <f t="shared" si="5"/>
        <v/>
      </c>
    </row>
    <row r="183" spans="1:9" x14ac:dyDescent="0.25">
      <c r="A183" s="1186"/>
      <c r="B183" s="30">
        <v>182</v>
      </c>
      <c r="C183" s="315"/>
      <c r="D183" s="315"/>
      <c r="E183" s="30"/>
      <c r="F183" s="30"/>
      <c r="G183" s="30"/>
      <c r="H183" s="30" t="str">
        <f t="shared" si="4"/>
        <v/>
      </c>
      <c r="I183" s="126" t="str">
        <f t="shared" si="5"/>
        <v/>
      </c>
    </row>
    <row r="184" spans="1:9" x14ac:dyDescent="0.25">
      <c r="A184" s="1186"/>
      <c r="B184" s="30">
        <v>183</v>
      </c>
      <c r="C184" s="315"/>
      <c r="D184" s="315"/>
      <c r="E184" s="30"/>
      <c r="F184" s="30"/>
      <c r="G184" s="30"/>
      <c r="H184" s="30" t="str">
        <f t="shared" si="4"/>
        <v/>
      </c>
      <c r="I184" s="126" t="str">
        <f t="shared" si="5"/>
        <v/>
      </c>
    </row>
    <row r="185" spans="1:9" x14ac:dyDescent="0.25">
      <c r="A185" s="1186"/>
      <c r="B185" s="30">
        <v>184</v>
      </c>
      <c r="C185" s="315"/>
      <c r="D185" s="315"/>
      <c r="E185" s="30"/>
      <c r="F185" s="30"/>
      <c r="G185" s="30"/>
      <c r="H185" s="30" t="str">
        <f t="shared" si="4"/>
        <v/>
      </c>
      <c r="I185" s="126" t="str">
        <f t="shared" si="5"/>
        <v/>
      </c>
    </row>
    <row r="186" spans="1:9" x14ac:dyDescent="0.25">
      <c r="A186" s="1186"/>
      <c r="B186" s="30">
        <v>185</v>
      </c>
      <c r="C186" s="315"/>
      <c r="D186" s="315"/>
      <c r="E186" s="30"/>
      <c r="F186" s="30"/>
      <c r="G186" s="30"/>
      <c r="H186" s="30" t="str">
        <f t="shared" si="4"/>
        <v/>
      </c>
      <c r="I186" s="126" t="str">
        <f t="shared" si="5"/>
        <v/>
      </c>
    </row>
    <row r="187" spans="1:9" x14ac:dyDescent="0.25">
      <c r="A187" s="1186"/>
      <c r="B187" s="30">
        <v>186</v>
      </c>
      <c r="C187" s="315"/>
      <c r="D187" s="315"/>
      <c r="E187" s="30"/>
      <c r="F187" s="30"/>
      <c r="G187" s="30"/>
      <c r="H187" s="30" t="str">
        <f t="shared" si="4"/>
        <v/>
      </c>
      <c r="I187" s="126" t="str">
        <f t="shared" si="5"/>
        <v/>
      </c>
    </row>
    <row r="188" spans="1:9" x14ac:dyDescent="0.25">
      <c r="A188" s="1186"/>
      <c r="B188" s="30">
        <v>187</v>
      </c>
      <c r="C188" s="315"/>
      <c r="D188" s="315"/>
      <c r="E188" s="30"/>
      <c r="F188" s="30"/>
      <c r="G188" s="30"/>
      <c r="H188" s="30" t="str">
        <f t="shared" si="4"/>
        <v/>
      </c>
      <c r="I188" s="126" t="str">
        <f t="shared" si="5"/>
        <v/>
      </c>
    </row>
    <row r="189" spans="1:9" x14ac:dyDescent="0.25">
      <c r="A189" s="1186"/>
      <c r="B189" s="30">
        <v>188</v>
      </c>
      <c r="C189" s="315"/>
      <c r="D189" s="315"/>
      <c r="E189" s="30"/>
      <c r="F189" s="30"/>
      <c r="G189" s="30"/>
      <c r="H189" s="30" t="str">
        <f t="shared" si="4"/>
        <v/>
      </c>
      <c r="I189" s="126" t="str">
        <f t="shared" si="5"/>
        <v/>
      </c>
    </row>
    <row r="190" spans="1:9" x14ac:dyDescent="0.25">
      <c r="A190" s="1186"/>
      <c r="B190" s="30">
        <v>189</v>
      </c>
      <c r="C190" s="315"/>
      <c r="D190" s="315"/>
      <c r="E190" s="30"/>
      <c r="F190" s="30"/>
      <c r="G190" s="30"/>
      <c r="H190" s="30" t="str">
        <f t="shared" si="4"/>
        <v/>
      </c>
      <c r="I190" s="126" t="str">
        <f t="shared" si="5"/>
        <v/>
      </c>
    </row>
    <row r="191" spans="1:9" ht="15" customHeight="1" x14ac:dyDescent="0.25">
      <c r="A191" s="1186"/>
      <c r="B191" s="30">
        <v>190</v>
      </c>
      <c r="C191" s="315"/>
      <c r="D191" s="315"/>
      <c r="E191" s="30"/>
      <c r="F191" s="30"/>
      <c r="G191" s="30"/>
      <c r="H191" s="30" t="str">
        <f t="shared" si="4"/>
        <v/>
      </c>
      <c r="I191" s="126" t="str">
        <f t="shared" si="5"/>
        <v/>
      </c>
    </row>
    <row r="192" spans="1:9" x14ac:dyDescent="0.25">
      <c r="A192" s="1186"/>
      <c r="B192" s="30">
        <v>191</v>
      </c>
      <c r="C192" s="315"/>
      <c r="D192" s="315"/>
      <c r="E192" s="30"/>
      <c r="F192" s="30"/>
      <c r="G192" s="30"/>
      <c r="H192" s="30" t="str">
        <f t="shared" si="4"/>
        <v/>
      </c>
      <c r="I192" s="126" t="str">
        <f t="shared" si="5"/>
        <v/>
      </c>
    </row>
    <row r="193" spans="1:9" x14ac:dyDescent="0.25">
      <c r="A193" s="1186"/>
      <c r="B193" s="30">
        <v>192</v>
      </c>
      <c r="C193" s="315"/>
      <c r="D193" s="315"/>
      <c r="E193" s="30"/>
      <c r="F193" s="30"/>
      <c r="G193" s="30"/>
      <c r="H193" s="30" t="str">
        <f t="shared" si="4"/>
        <v/>
      </c>
      <c r="I193" s="126" t="str">
        <f t="shared" si="5"/>
        <v/>
      </c>
    </row>
    <row r="194" spans="1:9" x14ac:dyDescent="0.25">
      <c r="A194" s="1186"/>
      <c r="B194" s="30">
        <v>193</v>
      </c>
      <c r="C194" s="315"/>
      <c r="D194" s="315"/>
      <c r="E194" s="30"/>
      <c r="F194" s="30"/>
      <c r="G194" s="30"/>
      <c r="H194" s="30" t="str">
        <f t="shared" ref="H194:H257" si="6">IF(AND(F194&lt;&gt;"",G194&lt;&gt;""),"8","")</f>
        <v/>
      </c>
      <c r="I194" s="126" t="str">
        <f t="shared" ref="I194:I257" si="7">IF(AND(F194&lt;&gt;"",G194&lt;&gt;"",H194&lt;&gt;""),H194*F194/G194,"")</f>
        <v/>
      </c>
    </row>
    <row r="195" spans="1:9" x14ac:dyDescent="0.25">
      <c r="A195" s="1186"/>
      <c r="B195" s="30">
        <v>194</v>
      </c>
      <c r="C195" s="315"/>
      <c r="D195" s="315"/>
      <c r="E195" s="30"/>
      <c r="F195" s="30"/>
      <c r="G195" s="30"/>
      <c r="H195" s="30" t="str">
        <f t="shared" si="6"/>
        <v/>
      </c>
      <c r="I195" s="126" t="str">
        <f t="shared" si="7"/>
        <v/>
      </c>
    </row>
    <row r="196" spans="1:9" x14ac:dyDescent="0.25">
      <c r="A196" s="1186"/>
      <c r="B196" s="30">
        <v>195</v>
      </c>
      <c r="C196" s="315"/>
      <c r="D196" s="315"/>
      <c r="E196" s="30"/>
      <c r="F196" s="30"/>
      <c r="G196" s="30"/>
      <c r="H196" s="30" t="str">
        <f t="shared" si="6"/>
        <v/>
      </c>
      <c r="I196" s="126" t="str">
        <f t="shared" si="7"/>
        <v/>
      </c>
    </row>
    <row r="197" spans="1:9" x14ac:dyDescent="0.25">
      <c r="A197" s="1186"/>
      <c r="B197" s="30">
        <v>196</v>
      </c>
      <c r="C197" s="315"/>
      <c r="D197" s="315"/>
      <c r="E197" s="30"/>
      <c r="F197" s="30"/>
      <c r="G197" s="30"/>
      <c r="H197" s="30" t="str">
        <f t="shared" si="6"/>
        <v/>
      </c>
      <c r="I197" s="126" t="str">
        <f t="shared" si="7"/>
        <v/>
      </c>
    </row>
    <row r="198" spans="1:9" x14ac:dyDescent="0.25">
      <c r="A198" s="1186"/>
      <c r="B198" s="30">
        <v>197</v>
      </c>
      <c r="C198" s="315"/>
      <c r="D198" s="315"/>
      <c r="E198" s="30"/>
      <c r="F198" s="30"/>
      <c r="G198" s="30"/>
      <c r="H198" s="30" t="str">
        <f t="shared" si="6"/>
        <v/>
      </c>
      <c r="I198" s="126" t="str">
        <f t="shared" si="7"/>
        <v/>
      </c>
    </row>
    <row r="199" spans="1:9" x14ac:dyDescent="0.25">
      <c r="A199" s="1186"/>
      <c r="B199" s="30">
        <v>198</v>
      </c>
      <c r="C199" s="315"/>
      <c r="D199" s="315"/>
      <c r="E199" s="30"/>
      <c r="F199" s="30"/>
      <c r="G199" s="30"/>
      <c r="H199" s="30" t="str">
        <f t="shared" si="6"/>
        <v/>
      </c>
      <c r="I199" s="126" t="str">
        <f t="shared" si="7"/>
        <v/>
      </c>
    </row>
    <row r="200" spans="1:9" x14ac:dyDescent="0.25">
      <c r="A200" s="1186"/>
      <c r="B200" s="30">
        <v>199</v>
      </c>
      <c r="C200" s="315"/>
      <c r="D200" s="315"/>
      <c r="E200" s="30"/>
      <c r="F200" s="30"/>
      <c r="G200" s="30"/>
      <c r="H200" s="30" t="str">
        <f t="shared" si="6"/>
        <v/>
      </c>
      <c r="I200" s="126" t="str">
        <f t="shared" si="7"/>
        <v/>
      </c>
    </row>
    <row r="201" spans="1:9" x14ac:dyDescent="0.25">
      <c r="A201" s="1186"/>
      <c r="B201" s="30">
        <v>200</v>
      </c>
      <c r="C201" s="315"/>
      <c r="D201" s="315"/>
      <c r="E201" s="30"/>
      <c r="F201" s="30"/>
      <c r="G201" s="30"/>
      <c r="H201" s="30" t="str">
        <f t="shared" si="6"/>
        <v/>
      </c>
      <c r="I201" s="126" t="str">
        <f t="shared" si="7"/>
        <v/>
      </c>
    </row>
    <row r="202" spans="1:9" x14ac:dyDescent="0.25">
      <c r="A202" s="1186"/>
      <c r="B202" s="30">
        <v>201</v>
      </c>
      <c r="C202" s="315"/>
      <c r="D202" s="315"/>
      <c r="E202" s="30"/>
      <c r="F202" s="30"/>
      <c r="G202" s="30"/>
      <c r="H202" s="30" t="str">
        <f t="shared" si="6"/>
        <v/>
      </c>
      <c r="I202" s="126" t="str">
        <f t="shared" si="7"/>
        <v/>
      </c>
    </row>
    <row r="203" spans="1:9" x14ac:dyDescent="0.25">
      <c r="A203" s="1186"/>
      <c r="B203" s="30">
        <v>202</v>
      </c>
      <c r="C203" s="315"/>
      <c r="D203" s="315"/>
      <c r="E203" s="30"/>
      <c r="F203" s="30"/>
      <c r="G203" s="30"/>
      <c r="H203" s="30" t="str">
        <f t="shared" si="6"/>
        <v/>
      </c>
      <c r="I203" s="126" t="str">
        <f t="shared" si="7"/>
        <v/>
      </c>
    </row>
    <row r="204" spans="1:9" x14ac:dyDescent="0.25">
      <c r="A204" s="1186"/>
      <c r="B204" s="30">
        <v>203</v>
      </c>
      <c r="C204" s="315"/>
      <c r="D204" s="315"/>
      <c r="E204" s="30"/>
      <c r="F204" s="30"/>
      <c r="G204" s="30"/>
      <c r="H204" s="30" t="str">
        <f t="shared" si="6"/>
        <v/>
      </c>
      <c r="I204" s="126" t="str">
        <f t="shared" si="7"/>
        <v/>
      </c>
    </row>
    <row r="205" spans="1:9" x14ac:dyDescent="0.25">
      <c r="A205" s="1186"/>
      <c r="B205" s="30">
        <v>204</v>
      </c>
      <c r="C205" s="315"/>
      <c r="D205" s="315"/>
      <c r="E205" s="30"/>
      <c r="F205" s="30"/>
      <c r="G205" s="30"/>
      <c r="H205" s="30" t="str">
        <f t="shared" si="6"/>
        <v/>
      </c>
      <c r="I205" s="126" t="str">
        <f t="shared" si="7"/>
        <v/>
      </c>
    </row>
    <row r="206" spans="1:9" x14ac:dyDescent="0.25">
      <c r="A206" s="1186"/>
      <c r="B206" s="30">
        <v>205</v>
      </c>
      <c r="C206" s="315"/>
      <c r="D206" s="315"/>
      <c r="E206" s="30"/>
      <c r="F206" s="30"/>
      <c r="G206" s="30"/>
      <c r="H206" s="30" t="str">
        <f t="shared" si="6"/>
        <v/>
      </c>
      <c r="I206" s="126" t="str">
        <f t="shared" si="7"/>
        <v/>
      </c>
    </row>
    <row r="207" spans="1:9" x14ac:dyDescent="0.25">
      <c r="A207" s="1186"/>
      <c r="B207" s="30">
        <v>206</v>
      </c>
      <c r="C207" s="315"/>
      <c r="D207" s="315"/>
      <c r="E207" s="30"/>
      <c r="F207" s="30"/>
      <c r="G207" s="30"/>
      <c r="H207" s="30" t="str">
        <f t="shared" si="6"/>
        <v/>
      </c>
      <c r="I207" s="126" t="str">
        <f t="shared" si="7"/>
        <v/>
      </c>
    </row>
    <row r="208" spans="1:9" x14ac:dyDescent="0.25">
      <c r="A208" s="1186"/>
      <c r="B208" s="30">
        <v>207</v>
      </c>
      <c r="C208" s="315"/>
      <c r="D208" s="315"/>
      <c r="E208" s="30"/>
      <c r="F208" s="30"/>
      <c r="G208" s="30"/>
      <c r="H208" s="30" t="str">
        <f t="shared" si="6"/>
        <v/>
      </c>
      <c r="I208" s="126" t="str">
        <f t="shared" si="7"/>
        <v/>
      </c>
    </row>
    <row r="209" spans="1:9" x14ac:dyDescent="0.25">
      <c r="A209" s="1186"/>
      <c r="B209" s="30">
        <v>208</v>
      </c>
      <c r="C209" s="315"/>
      <c r="D209" s="315"/>
      <c r="E209" s="30"/>
      <c r="F209" s="30"/>
      <c r="G209" s="30"/>
      <c r="H209" s="30" t="str">
        <f t="shared" si="6"/>
        <v/>
      </c>
      <c r="I209" s="126" t="str">
        <f t="shared" si="7"/>
        <v/>
      </c>
    </row>
    <row r="210" spans="1:9" x14ac:dyDescent="0.25">
      <c r="A210" s="1186"/>
      <c r="B210" s="30">
        <v>209</v>
      </c>
      <c r="C210" s="315"/>
      <c r="D210" s="315"/>
      <c r="E210" s="30"/>
      <c r="F210" s="30"/>
      <c r="G210" s="30"/>
      <c r="H210" s="30" t="str">
        <f t="shared" si="6"/>
        <v/>
      </c>
      <c r="I210" s="126" t="str">
        <f t="shared" si="7"/>
        <v/>
      </c>
    </row>
    <row r="211" spans="1:9" x14ac:dyDescent="0.25">
      <c r="A211" s="1186"/>
      <c r="B211" s="30">
        <v>210</v>
      </c>
      <c r="C211" s="315"/>
      <c r="D211" s="315"/>
      <c r="E211" s="30"/>
      <c r="F211" s="30"/>
      <c r="G211" s="30"/>
      <c r="H211" s="30" t="str">
        <f t="shared" si="6"/>
        <v/>
      </c>
      <c r="I211" s="126" t="str">
        <f t="shared" si="7"/>
        <v/>
      </c>
    </row>
    <row r="212" spans="1:9" x14ac:dyDescent="0.25">
      <c r="A212" s="1186"/>
      <c r="B212" s="30">
        <v>211</v>
      </c>
      <c r="C212" s="315"/>
      <c r="D212" s="315"/>
      <c r="E212" s="30"/>
      <c r="F212" s="30"/>
      <c r="G212" s="30"/>
      <c r="H212" s="30" t="str">
        <f t="shared" si="6"/>
        <v/>
      </c>
      <c r="I212" s="126" t="str">
        <f t="shared" si="7"/>
        <v/>
      </c>
    </row>
    <row r="213" spans="1:9" x14ac:dyDescent="0.25">
      <c r="A213" s="1186"/>
      <c r="B213" s="30">
        <v>212</v>
      </c>
      <c r="C213" s="315"/>
      <c r="D213" s="315"/>
      <c r="E213" s="30"/>
      <c r="F213" s="30"/>
      <c r="G213" s="30"/>
      <c r="H213" s="30" t="str">
        <f t="shared" si="6"/>
        <v/>
      </c>
      <c r="I213" s="126" t="str">
        <f t="shared" si="7"/>
        <v/>
      </c>
    </row>
    <row r="214" spans="1:9" x14ac:dyDescent="0.25">
      <c r="A214" s="1186"/>
      <c r="B214" s="30">
        <v>213</v>
      </c>
      <c r="C214" s="315"/>
      <c r="D214" s="315"/>
      <c r="E214" s="30"/>
      <c r="F214" s="30"/>
      <c r="G214" s="30"/>
      <c r="H214" s="30" t="str">
        <f t="shared" si="6"/>
        <v/>
      </c>
      <c r="I214" s="126" t="str">
        <f t="shared" si="7"/>
        <v/>
      </c>
    </row>
    <row r="215" spans="1:9" x14ac:dyDescent="0.25">
      <c r="A215" s="1186"/>
      <c r="B215" s="30">
        <v>214</v>
      </c>
      <c r="C215" s="315"/>
      <c r="D215" s="315"/>
      <c r="E215" s="30"/>
      <c r="F215" s="30"/>
      <c r="G215" s="30"/>
      <c r="H215" s="30" t="str">
        <f t="shared" si="6"/>
        <v/>
      </c>
      <c r="I215" s="126" t="str">
        <f t="shared" si="7"/>
        <v/>
      </c>
    </row>
    <row r="216" spans="1:9" x14ac:dyDescent="0.25">
      <c r="A216" s="1186"/>
      <c r="B216" s="30">
        <v>215</v>
      </c>
      <c r="C216" s="315"/>
      <c r="D216" s="315"/>
      <c r="E216" s="30"/>
      <c r="F216" s="30"/>
      <c r="G216" s="30"/>
      <c r="H216" s="30" t="str">
        <f t="shared" si="6"/>
        <v/>
      </c>
      <c r="I216" s="126" t="str">
        <f t="shared" si="7"/>
        <v/>
      </c>
    </row>
    <row r="217" spans="1:9" x14ac:dyDescent="0.25">
      <c r="A217" s="1186"/>
      <c r="B217" s="30">
        <v>216</v>
      </c>
      <c r="C217" s="315"/>
      <c r="D217" s="315"/>
      <c r="E217" s="30"/>
      <c r="F217" s="30"/>
      <c r="G217" s="30"/>
      <c r="H217" s="30" t="str">
        <f t="shared" si="6"/>
        <v/>
      </c>
      <c r="I217" s="126" t="str">
        <f t="shared" si="7"/>
        <v/>
      </c>
    </row>
    <row r="218" spans="1:9" x14ac:dyDescent="0.25">
      <c r="A218" s="1186"/>
      <c r="B218" s="30">
        <v>217</v>
      </c>
      <c r="C218" s="315"/>
      <c r="D218" s="315"/>
      <c r="E218" s="30"/>
      <c r="F218" s="30"/>
      <c r="G218" s="30"/>
      <c r="H218" s="30" t="str">
        <f t="shared" si="6"/>
        <v/>
      </c>
      <c r="I218" s="126" t="str">
        <f t="shared" si="7"/>
        <v/>
      </c>
    </row>
    <row r="219" spans="1:9" x14ac:dyDescent="0.25">
      <c r="A219" s="1186"/>
      <c r="B219" s="30">
        <v>218</v>
      </c>
      <c r="C219" s="315"/>
      <c r="D219" s="315"/>
      <c r="E219" s="30"/>
      <c r="F219" s="30"/>
      <c r="G219" s="30"/>
      <c r="H219" s="30" t="str">
        <f t="shared" si="6"/>
        <v/>
      </c>
      <c r="I219" s="126" t="str">
        <f t="shared" si="7"/>
        <v/>
      </c>
    </row>
    <row r="220" spans="1:9" x14ac:dyDescent="0.25">
      <c r="A220" s="1186"/>
      <c r="B220" s="30">
        <v>219</v>
      </c>
      <c r="C220" s="315"/>
      <c r="D220" s="315"/>
      <c r="E220" s="30"/>
      <c r="F220" s="30"/>
      <c r="G220" s="30"/>
      <c r="H220" s="30" t="str">
        <f t="shared" si="6"/>
        <v/>
      </c>
      <c r="I220" s="126" t="str">
        <f t="shared" si="7"/>
        <v/>
      </c>
    </row>
    <row r="221" spans="1:9" x14ac:dyDescent="0.25">
      <c r="A221" s="1186"/>
      <c r="B221" s="30">
        <v>220</v>
      </c>
      <c r="C221" s="315"/>
      <c r="D221" s="315"/>
      <c r="E221" s="30"/>
      <c r="F221" s="30"/>
      <c r="G221" s="30"/>
      <c r="H221" s="30" t="str">
        <f t="shared" si="6"/>
        <v/>
      </c>
      <c r="I221" s="126" t="str">
        <f t="shared" si="7"/>
        <v/>
      </c>
    </row>
    <row r="222" spans="1:9" x14ac:dyDescent="0.25">
      <c r="A222" s="1186"/>
      <c r="B222" s="30">
        <v>221</v>
      </c>
      <c r="C222" s="315"/>
      <c r="D222" s="315"/>
      <c r="E222" s="30"/>
      <c r="F222" s="30"/>
      <c r="G222" s="30"/>
      <c r="H222" s="30" t="str">
        <f t="shared" si="6"/>
        <v/>
      </c>
      <c r="I222" s="126" t="str">
        <f t="shared" si="7"/>
        <v/>
      </c>
    </row>
    <row r="223" spans="1:9" x14ac:dyDescent="0.25">
      <c r="A223" s="1186"/>
      <c r="B223" s="30">
        <v>222</v>
      </c>
      <c r="C223" s="315"/>
      <c r="D223" s="315"/>
      <c r="E223" s="30"/>
      <c r="F223" s="30"/>
      <c r="G223" s="30"/>
      <c r="H223" s="30" t="str">
        <f t="shared" si="6"/>
        <v/>
      </c>
      <c r="I223" s="126" t="str">
        <f t="shared" si="7"/>
        <v/>
      </c>
    </row>
    <row r="224" spans="1:9" x14ac:dyDescent="0.25">
      <c r="A224" s="1186"/>
      <c r="B224" s="30">
        <v>223</v>
      </c>
      <c r="C224" s="315"/>
      <c r="D224" s="315"/>
      <c r="E224" s="30"/>
      <c r="F224" s="30"/>
      <c r="G224" s="30"/>
      <c r="H224" s="30" t="str">
        <f t="shared" si="6"/>
        <v/>
      </c>
      <c r="I224" s="126" t="str">
        <f t="shared" si="7"/>
        <v/>
      </c>
    </row>
    <row r="225" spans="1:9" x14ac:dyDescent="0.25">
      <c r="A225" s="1186"/>
      <c r="B225" s="30">
        <v>224</v>
      </c>
      <c r="C225" s="315"/>
      <c r="D225" s="315"/>
      <c r="E225" s="30"/>
      <c r="F225" s="30"/>
      <c r="G225" s="30"/>
      <c r="H225" s="30" t="str">
        <f t="shared" si="6"/>
        <v/>
      </c>
      <c r="I225" s="126" t="str">
        <f t="shared" si="7"/>
        <v/>
      </c>
    </row>
    <row r="226" spans="1:9" x14ac:dyDescent="0.25">
      <c r="A226" s="1186"/>
      <c r="B226" s="30">
        <v>225</v>
      </c>
      <c r="C226" s="315"/>
      <c r="D226" s="315"/>
      <c r="E226" s="30"/>
      <c r="F226" s="30"/>
      <c r="G226" s="30"/>
      <c r="H226" s="30" t="str">
        <f t="shared" si="6"/>
        <v/>
      </c>
      <c r="I226" s="126" t="str">
        <f t="shared" si="7"/>
        <v/>
      </c>
    </row>
    <row r="227" spans="1:9" x14ac:dyDescent="0.25">
      <c r="A227" s="1186"/>
      <c r="B227" s="30">
        <v>226</v>
      </c>
      <c r="C227" s="315"/>
      <c r="D227" s="315"/>
      <c r="E227" s="30"/>
      <c r="F227" s="30"/>
      <c r="G227" s="30"/>
      <c r="H227" s="30" t="str">
        <f t="shared" si="6"/>
        <v/>
      </c>
      <c r="I227" s="126" t="str">
        <f t="shared" si="7"/>
        <v/>
      </c>
    </row>
    <row r="228" spans="1:9" x14ac:dyDescent="0.25">
      <c r="A228" s="1186"/>
      <c r="B228" s="30">
        <v>227</v>
      </c>
      <c r="C228" s="315"/>
      <c r="D228" s="315"/>
      <c r="E228" s="30"/>
      <c r="F228" s="30"/>
      <c r="G228" s="30"/>
      <c r="H228" s="30" t="str">
        <f t="shared" si="6"/>
        <v/>
      </c>
      <c r="I228" s="126" t="str">
        <f t="shared" si="7"/>
        <v/>
      </c>
    </row>
    <row r="229" spans="1:9" x14ac:dyDescent="0.25">
      <c r="A229" s="1186"/>
      <c r="B229" s="30">
        <v>228</v>
      </c>
      <c r="C229" s="315"/>
      <c r="D229" s="315"/>
      <c r="E229" s="30"/>
      <c r="F229" s="30"/>
      <c r="G229" s="30"/>
      <c r="H229" s="30" t="str">
        <f t="shared" si="6"/>
        <v/>
      </c>
      <c r="I229" s="126" t="str">
        <f t="shared" si="7"/>
        <v/>
      </c>
    </row>
    <row r="230" spans="1:9" x14ac:dyDescent="0.25">
      <c r="A230" s="1186"/>
      <c r="B230" s="30">
        <v>229</v>
      </c>
      <c r="C230" s="315"/>
      <c r="D230" s="315"/>
      <c r="E230" s="30"/>
      <c r="F230" s="30"/>
      <c r="G230" s="30"/>
      <c r="H230" s="30" t="str">
        <f t="shared" si="6"/>
        <v/>
      </c>
      <c r="I230" s="126" t="str">
        <f t="shared" si="7"/>
        <v/>
      </c>
    </row>
    <row r="231" spans="1:9" x14ac:dyDescent="0.25">
      <c r="B231" s="30">
        <v>230</v>
      </c>
      <c r="C231" s="315"/>
      <c r="D231" s="315"/>
      <c r="E231" s="30"/>
      <c r="F231" s="30"/>
      <c r="G231" s="30"/>
      <c r="H231" s="30" t="str">
        <f t="shared" si="6"/>
        <v/>
      </c>
      <c r="I231" s="126" t="str">
        <f t="shared" si="7"/>
        <v/>
      </c>
    </row>
    <row r="232" spans="1:9" x14ac:dyDescent="0.25">
      <c r="B232" s="30">
        <v>231</v>
      </c>
      <c r="C232" s="315"/>
      <c r="D232" s="315"/>
      <c r="E232" s="30"/>
      <c r="F232" s="30"/>
      <c r="G232" s="30"/>
      <c r="H232" s="30" t="str">
        <f t="shared" si="6"/>
        <v/>
      </c>
      <c r="I232" s="126" t="str">
        <f t="shared" si="7"/>
        <v/>
      </c>
    </row>
    <row r="233" spans="1:9" x14ac:dyDescent="0.25">
      <c r="B233" s="30">
        <v>232</v>
      </c>
      <c r="C233" s="315"/>
      <c r="D233" s="315"/>
      <c r="E233" s="30"/>
      <c r="F233" s="30"/>
      <c r="G233" s="30"/>
      <c r="H233" s="30" t="str">
        <f t="shared" si="6"/>
        <v/>
      </c>
      <c r="I233" s="126" t="str">
        <f t="shared" si="7"/>
        <v/>
      </c>
    </row>
    <row r="234" spans="1:9" x14ac:dyDescent="0.25">
      <c r="B234" s="30">
        <v>233</v>
      </c>
      <c r="C234" s="315"/>
      <c r="D234" s="315"/>
      <c r="E234" s="30"/>
      <c r="F234" s="30"/>
      <c r="G234" s="30"/>
      <c r="H234" s="30" t="str">
        <f t="shared" si="6"/>
        <v/>
      </c>
      <c r="I234" s="126" t="str">
        <f t="shared" si="7"/>
        <v/>
      </c>
    </row>
    <row r="235" spans="1:9" x14ac:dyDescent="0.25">
      <c r="B235" s="30">
        <v>234</v>
      </c>
      <c r="C235" s="315"/>
      <c r="D235" s="315"/>
      <c r="E235" s="30"/>
      <c r="F235" s="30"/>
      <c r="G235" s="30"/>
      <c r="H235" s="30" t="str">
        <f t="shared" si="6"/>
        <v/>
      </c>
      <c r="I235" s="126" t="str">
        <f t="shared" si="7"/>
        <v/>
      </c>
    </row>
    <row r="236" spans="1:9" x14ac:dyDescent="0.25">
      <c r="B236" s="30">
        <v>235</v>
      </c>
      <c r="C236" s="315"/>
      <c r="D236" s="315"/>
      <c r="E236" s="30"/>
      <c r="F236" s="30"/>
      <c r="G236" s="30"/>
      <c r="H236" s="30" t="str">
        <f t="shared" si="6"/>
        <v/>
      </c>
      <c r="I236" s="126" t="str">
        <f t="shared" si="7"/>
        <v/>
      </c>
    </row>
    <row r="237" spans="1:9" x14ac:dyDescent="0.25">
      <c r="B237" s="30">
        <v>236</v>
      </c>
      <c r="C237" s="315"/>
      <c r="D237" s="315"/>
      <c r="E237" s="30"/>
      <c r="F237" s="30"/>
      <c r="G237" s="30"/>
      <c r="H237" s="30" t="str">
        <f t="shared" si="6"/>
        <v/>
      </c>
      <c r="I237" s="126" t="str">
        <f t="shared" si="7"/>
        <v/>
      </c>
    </row>
    <row r="238" spans="1:9" x14ac:dyDescent="0.25">
      <c r="B238" s="30">
        <v>237</v>
      </c>
      <c r="C238" s="315"/>
      <c r="D238" s="315"/>
      <c r="E238" s="30"/>
      <c r="F238" s="30"/>
      <c r="G238" s="30"/>
      <c r="H238" s="30" t="str">
        <f t="shared" si="6"/>
        <v/>
      </c>
      <c r="I238" s="126" t="str">
        <f t="shared" si="7"/>
        <v/>
      </c>
    </row>
    <row r="239" spans="1:9" x14ac:dyDescent="0.25">
      <c r="B239" s="30">
        <v>238</v>
      </c>
      <c r="C239" s="315"/>
      <c r="D239" s="315"/>
      <c r="E239" s="30"/>
      <c r="F239" s="30"/>
      <c r="G239" s="30"/>
      <c r="H239" s="30" t="str">
        <f t="shared" si="6"/>
        <v/>
      </c>
      <c r="I239" s="126" t="str">
        <f t="shared" si="7"/>
        <v/>
      </c>
    </row>
    <row r="240" spans="1:9" x14ac:dyDescent="0.25">
      <c r="B240" s="30">
        <v>239</v>
      </c>
      <c r="C240" s="315"/>
      <c r="D240" s="315"/>
      <c r="E240" s="30"/>
      <c r="F240" s="30"/>
      <c r="G240" s="30"/>
      <c r="H240" s="30" t="str">
        <f t="shared" si="6"/>
        <v/>
      </c>
      <c r="I240" s="126" t="str">
        <f t="shared" si="7"/>
        <v/>
      </c>
    </row>
    <row r="241" spans="1:9" x14ac:dyDescent="0.25">
      <c r="B241" s="30">
        <v>240</v>
      </c>
      <c r="C241" s="315"/>
      <c r="D241" s="315"/>
      <c r="E241" s="30"/>
      <c r="F241" s="30"/>
      <c r="G241" s="30"/>
      <c r="H241" s="30" t="str">
        <f t="shared" si="6"/>
        <v/>
      </c>
      <c r="I241" s="126" t="str">
        <f t="shared" si="7"/>
        <v/>
      </c>
    </row>
    <row r="242" spans="1:9" x14ac:dyDescent="0.25">
      <c r="B242" s="30">
        <v>241</v>
      </c>
      <c r="C242" s="315"/>
      <c r="D242" s="315"/>
      <c r="E242" s="30"/>
      <c r="F242" s="30"/>
      <c r="G242" s="30"/>
      <c r="H242" s="30" t="str">
        <f t="shared" si="6"/>
        <v/>
      </c>
      <c r="I242" s="126" t="str">
        <f t="shared" si="7"/>
        <v/>
      </c>
    </row>
    <row r="243" spans="1:9" x14ac:dyDescent="0.25">
      <c r="B243" s="30">
        <v>242</v>
      </c>
      <c r="C243" s="315"/>
      <c r="D243" s="315"/>
      <c r="E243" s="30"/>
      <c r="F243" s="30"/>
      <c r="G243" s="30"/>
      <c r="H243" s="30" t="str">
        <f t="shared" si="6"/>
        <v/>
      </c>
      <c r="I243" s="126" t="str">
        <f t="shared" si="7"/>
        <v/>
      </c>
    </row>
    <row r="244" spans="1:9" x14ac:dyDescent="0.25">
      <c r="B244" s="30">
        <v>243</v>
      </c>
      <c r="C244" s="315"/>
      <c r="D244" s="315"/>
      <c r="E244" s="30"/>
      <c r="F244" s="30"/>
      <c r="G244" s="30"/>
      <c r="H244" s="30" t="str">
        <f t="shared" si="6"/>
        <v/>
      </c>
      <c r="I244" s="126" t="str">
        <f t="shared" si="7"/>
        <v/>
      </c>
    </row>
    <row r="245" spans="1:9" x14ac:dyDescent="0.25">
      <c r="B245" s="30">
        <v>244</v>
      </c>
      <c r="C245" s="315"/>
      <c r="D245" s="315"/>
      <c r="E245" s="30"/>
      <c r="F245" s="30"/>
      <c r="G245" s="30"/>
      <c r="H245" s="30" t="str">
        <f t="shared" si="6"/>
        <v/>
      </c>
      <c r="I245" s="126" t="str">
        <f t="shared" si="7"/>
        <v/>
      </c>
    </row>
    <row r="246" spans="1:9" x14ac:dyDescent="0.25">
      <c r="B246" s="30">
        <v>245</v>
      </c>
      <c r="C246" s="315"/>
      <c r="D246" s="315"/>
      <c r="E246" s="30"/>
      <c r="F246" s="30"/>
      <c r="G246" s="30"/>
      <c r="H246" s="30" t="str">
        <f t="shared" si="6"/>
        <v/>
      </c>
      <c r="I246" s="126" t="str">
        <f t="shared" si="7"/>
        <v/>
      </c>
    </row>
    <row r="247" spans="1:9" x14ac:dyDescent="0.25">
      <c r="B247" s="30">
        <v>246</v>
      </c>
      <c r="C247" s="315"/>
      <c r="D247" s="315"/>
      <c r="E247" s="30"/>
      <c r="F247" s="30"/>
      <c r="G247" s="30"/>
      <c r="H247" s="30" t="str">
        <f t="shared" si="6"/>
        <v/>
      </c>
      <c r="I247" s="126" t="str">
        <f t="shared" si="7"/>
        <v/>
      </c>
    </row>
    <row r="248" spans="1:9" x14ac:dyDescent="0.25">
      <c r="B248" s="30">
        <v>247</v>
      </c>
      <c r="C248" s="315"/>
      <c r="D248" s="315"/>
      <c r="E248" s="30"/>
      <c r="F248" s="30"/>
      <c r="G248" s="30"/>
      <c r="H248" s="30" t="str">
        <f t="shared" si="6"/>
        <v/>
      </c>
      <c r="I248" s="126" t="str">
        <f t="shared" si="7"/>
        <v/>
      </c>
    </row>
    <row r="249" spans="1:9" x14ac:dyDescent="0.25">
      <c r="B249" s="30">
        <v>248</v>
      </c>
      <c r="C249" s="315"/>
      <c r="D249" s="315"/>
      <c r="E249" s="30"/>
      <c r="F249" s="30"/>
      <c r="G249" s="30"/>
      <c r="H249" s="30" t="str">
        <f t="shared" si="6"/>
        <v/>
      </c>
      <c r="I249" s="126" t="str">
        <f t="shared" si="7"/>
        <v/>
      </c>
    </row>
    <row r="250" spans="1:9" x14ac:dyDescent="0.25">
      <c r="A250" s="1186" t="s">
        <v>32</v>
      </c>
      <c r="B250" s="30">
        <v>249</v>
      </c>
      <c r="C250" s="315"/>
      <c r="D250" s="315"/>
      <c r="E250" s="30"/>
      <c r="F250" s="30"/>
      <c r="G250" s="30"/>
      <c r="H250" s="30" t="str">
        <f t="shared" si="6"/>
        <v/>
      </c>
      <c r="I250" s="126" t="str">
        <f t="shared" si="7"/>
        <v/>
      </c>
    </row>
    <row r="251" spans="1:9" x14ac:dyDescent="0.25">
      <c r="A251" s="1186"/>
      <c r="B251" s="30">
        <v>250</v>
      </c>
      <c r="C251" s="315"/>
      <c r="D251" s="315"/>
      <c r="E251" s="30"/>
      <c r="F251" s="30"/>
      <c r="G251" s="30"/>
      <c r="H251" s="30" t="str">
        <f t="shared" si="6"/>
        <v/>
      </c>
      <c r="I251" s="126" t="str">
        <f t="shared" si="7"/>
        <v/>
      </c>
    </row>
    <row r="252" spans="1:9" x14ac:dyDescent="0.25">
      <c r="A252" s="1186"/>
      <c r="B252" s="30">
        <v>251</v>
      </c>
      <c r="C252" s="315"/>
      <c r="D252" s="315"/>
      <c r="E252" s="30"/>
      <c r="F252" s="30"/>
      <c r="G252" s="30"/>
      <c r="H252" s="30" t="str">
        <f t="shared" si="6"/>
        <v/>
      </c>
      <c r="I252" s="126" t="str">
        <f t="shared" si="7"/>
        <v/>
      </c>
    </row>
    <row r="253" spans="1:9" x14ac:dyDescent="0.25">
      <c r="A253" s="1186"/>
      <c r="B253" s="30">
        <v>252</v>
      </c>
      <c r="C253" s="315"/>
      <c r="D253" s="315"/>
      <c r="E253" s="30"/>
      <c r="F253" s="30"/>
      <c r="G253" s="30"/>
      <c r="H253" s="30" t="str">
        <f t="shared" si="6"/>
        <v/>
      </c>
      <c r="I253" s="126" t="str">
        <f t="shared" si="7"/>
        <v/>
      </c>
    </row>
    <row r="254" spans="1:9" x14ac:dyDescent="0.25">
      <c r="A254" s="1186"/>
      <c r="B254" s="30">
        <v>253</v>
      </c>
      <c r="C254" s="315"/>
      <c r="D254" s="315"/>
      <c r="E254" s="30"/>
      <c r="F254" s="30"/>
      <c r="G254" s="30"/>
      <c r="H254" s="30" t="str">
        <f t="shared" si="6"/>
        <v/>
      </c>
      <c r="I254" s="126" t="str">
        <f t="shared" si="7"/>
        <v/>
      </c>
    </row>
    <row r="255" spans="1:9" x14ac:dyDescent="0.25">
      <c r="A255" s="1186"/>
      <c r="B255" s="30">
        <v>254</v>
      </c>
      <c r="C255" s="315"/>
      <c r="D255" s="315"/>
      <c r="E255" s="30"/>
      <c r="F255" s="30"/>
      <c r="G255" s="30"/>
      <c r="H255" s="30" t="str">
        <f t="shared" si="6"/>
        <v/>
      </c>
      <c r="I255" s="126" t="str">
        <f t="shared" si="7"/>
        <v/>
      </c>
    </row>
    <row r="256" spans="1:9" x14ac:dyDescent="0.25">
      <c r="A256" s="1186"/>
      <c r="B256" s="30">
        <v>255</v>
      </c>
      <c r="C256" s="315"/>
      <c r="D256" s="315"/>
      <c r="E256" s="30"/>
      <c r="F256" s="30"/>
      <c r="G256" s="30"/>
      <c r="H256" s="30" t="str">
        <f t="shared" si="6"/>
        <v/>
      </c>
      <c r="I256" s="126" t="str">
        <f t="shared" si="7"/>
        <v/>
      </c>
    </row>
    <row r="257" spans="1:9" x14ac:dyDescent="0.25">
      <c r="A257" s="1186"/>
      <c r="B257" s="30">
        <v>256</v>
      </c>
      <c r="C257" s="315"/>
      <c r="D257" s="315"/>
      <c r="E257" s="30"/>
      <c r="F257" s="30"/>
      <c r="G257" s="30"/>
      <c r="H257" s="30" t="str">
        <f t="shared" si="6"/>
        <v/>
      </c>
      <c r="I257" s="126" t="str">
        <f t="shared" si="7"/>
        <v/>
      </c>
    </row>
    <row r="258" spans="1:9" x14ac:dyDescent="0.25">
      <c r="A258" s="1186"/>
      <c r="B258" s="30">
        <v>257</v>
      </c>
      <c r="C258" s="315"/>
      <c r="D258" s="315"/>
      <c r="E258" s="30"/>
      <c r="F258" s="30"/>
      <c r="G258" s="30"/>
      <c r="H258" s="30" t="str">
        <f t="shared" ref="H258:H301" si="8">IF(AND(F258&lt;&gt;"",G258&lt;&gt;""),"8","")</f>
        <v/>
      </c>
      <c r="I258" s="126" t="str">
        <f t="shared" ref="I258:I301" si="9">IF(AND(F258&lt;&gt;"",G258&lt;&gt;"",H258&lt;&gt;""),H258*F258/G258,"")</f>
        <v/>
      </c>
    </row>
    <row r="259" spans="1:9" x14ac:dyDescent="0.25">
      <c r="A259" s="1186"/>
      <c r="B259" s="30">
        <v>258</v>
      </c>
      <c r="C259" s="315"/>
      <c r="D259" s="315"/>
      <c r="E259" s="30"/>
      <c r="F259" s="30"/>
      <c r="G259" s="30"/>
      <c r="H259" s="30" t="str">
        <f t="shared" si="8"/>
        <v/>
      </c>
      <c r="I259" s="126" t="str">
        <f t="shared" si="9"/>
        <v/>
      </c>
    </row>
    <row r="260" spans="1:9" x14ac:dyDescent="0.25">
      <c r="A260" s="1186"/>
      <c r="B260" s="30">
        <v>259</v>
      </c>
      <c r="C260" s="315"/>
      <c r="D260" s="315"/>
      <c r="E260" s="30"/>
      <c r="F260" s="30"/>
      <c r="G260" s="30"/>
      <c r="H260" s="30" t="str">
        <f t="shared" si="8"/>
        <v/>
      </c>
      <c r="I260" s="126" t="str">
        <f t="shared" si="9"/>
        <v/>
      </c>
    </row>
    <row r="261" spans="1:9" x14ac:dyDescent="0.25">
      <c r="A261" s="1186"/>
      <c r="B261" s="30">
        <v>260</v>
      </c>
      <c r="C261" s="315"/>
      <c r="D261" s="315"/>
      <c r="E261" s="30"/>
      <c r="F261" s="30"/>
      <c r="G261" s="30"/>
      <c r="H261" s="30" t="str">
        <f t="shared" si="8"/>
        <v/>
      </c>
      <c r="I261" s="126" t="str">
        <f t="shared" si="9"/>
        <v/>
      </c>
    </row>
    <row r="262" spans="1:9" x14ac:dyDescent="0.25">
      <c r="A262" s="1186"/>
      <c r="B262" s="30">
        <v>261</v>
      </c>
      <c r="C262" s="315"/>
      <c r="D262" s="315"/>
      <c r="E262" s="30"/>
      <c r="F262" s="30"/>
      <c r="G262" s="30"/>
      <c r="H262" s="30" t="str">
        <f t="shared" si="8"/>
        <v/>
      </c>
      <c r="I262" s="126" t="str">
        <f t="shared" si="9"/>
        <v/>
      </c>
    </row>
    <row r="263" spans="1:9" x14ac:dyDescent="0.25">
      <c r="A263" s="1186"/>
      <c r="B263" s="30">
        <v>262</v>
      </c>
      <c r="C263" s="315"/>
      <c r="D263" s="315"/>
      <c r="E263" s="30"/>
      <c r="F263" s="30"/>
      <c r="G263" s="30"/>
      <c r="H263" s="30" t="str">
        <f t="shared" si="8"/>
        <v/>
      </c>
      <c r="I263" s="126" t="str">
        <f t="shared" si="9"/>
        <v/>
      </c>
    </row>
    <row r="264" spans="1:9" x14ac:dyDescent="0.25">
      <c r="A264" s="1186"/>
      <c r="B264" s="30">
        <v>263</v>
      </c>
      <c r="C264" s="315"/>
      <c r="D264" s="315"/>
      <c r="E264" s="30"/>
      <c r="F264" s="30"/>
      <c r="G264" s="30"/>
      <c r="H264" s="30" t="str">
        <f t="shared" si="8"/>
        <v/>
      </c>
      <c r="I264" s="126" t="str">
        <f t="shared" si="9"/>
        <v/>
      </c>
    </row>
    <row r="265" spans="1:9" x14ac:dyDescent="0.25">
      <c r="A265" s="1186"/>
      <c r="B265" s="30">
        <v>264</v>
      </c>
      <c r="C265" s="315"/>
      <c r="D265" s="315"/>
      <c r="E265" s="30"/>
      <c r="F265" s="30"/>
      <c r="G265" s="30"/>
      <c r="H265" s="30" t="str">
        <f t="shared" si="8"/>
        <v/>
      </c>
      <c r="I265" s="126" t="str">
        <f t="shared" si="9"/>
        <v/>
      </c>
    </row>
    <row r="266" spans="1:9" x14ac:dyDescent="0.25">
      <c r="A266" s="1186"/>
      <c r="B266" s="30">
        <v>265</v>
      </c>
      <c r="C266" s="315"/>
      <c r="D266" s="315"/>
      <c r="E266" s="30"/>
      <c r="F266" s="30"/>
      <c r="G266" s="30"/>
      <c r="H266" s="30" t="str">
        <f t="shared" si="8"/>
        <v/>
      </c>
      <c r="I266" s="126" t="str">
        <f t="shared" si="9"/>
        <v/>
      </c>
    </row>
    <row r="267" spans="1:9" x14ac:dyDescent="0.25">
      <c r="A267" s="1186"/>
      <c r="B267" s="30">
        <v>266</v>
      </c>
      <c r="C267" s="315"/>
      <c r="D267" s="315"/>
      <c r="E267" s="30"/>
      <c r="F267" s="30"/>
      <c r="G267" s="30"/>
      <c r="H267" s="30" t="str">
        <f t="shared" si="8"/>
        <v/>
      </c>
      <c r="I267" s="126" t="str">
        <f t="shared" si="9"/>
        <v/>
      </c>
    </row>
    <row r="268" spans="1:9" x14ac:dyDescent="0.25">
      <c r="A268" s="1186"/>
      <c r="B268" s="30">
        <v>267</v>
      </c>
      <c r="C268" s="315"/>
      <c r="D268" s="315"/>
      <c r="E268" s="30"/>
      <c r="F268" s="30"/>
      <c r="G268" s="30"/>
      <c r="H268" s="30" t="str">
        <f t="shared" si="8"/>
        <v/>
      </c>
      <c r="I268" s="126" t="str">
        <f t="shared" si="9"/>
        <v/>
      </c>
    </row>
    <row r="269" spans="1:9" x14ac:dyDescent="0.25">
      <c r="A269" s="1186"/>
      <c r="B269" s="30">
        <v>268</v>
      </c>
      <c r="C269" s="315"/>
      <c r="D269" s="315"/>
      <c r="E269" s="30"/>
      <c r="F269" s="30"/>
      <c r="G269" s="30"/>
      <c r="H269" s="30" t="str">
        <f t="shared" si="8"/>
        <v/>
      </c>
      <c r="I269" s="126" t="str">
        <f t="shared" si="9"/>
        <v/>
      </c>
    </row>
    <row r="270" spans="1:9" x14ac:dyDescent="0.25">
      <c r="A270" s="1186"/>
      <c r="B270" s="30">
        <v>269</v>
      </c>
      <c r="C270" s="315"/>
      <c r="D270" s="315"/>
      <c r="E270" s="30"/>
      <c r="F270" s="30"/>
      <c r="G270" s="30"/>
      <c r="H270" s="30" t="str">
        <f t="shared" si="8"/>
        <v/>
      </c>
      <c r="I270" s="126" t="str">
        <f t="shared" si="9"/>
        <v/>
      </c>
    </row>
    <row r="271" spans="1:9" x14ac:dyDescent="0.25">
      <c r="A271" s="1186"/>
      <c r="B271" s="30">
        <v>270</v>
      </c>
      <c r="C271" s="315"/>
      <c r="D271" s="315"/>
      <c r="E271" s="30"/>
      <c r="F271" s="30"/>
      <c r="G271" s="30"/>
      <c r="H271" s="30" t="str">
        <f t="shared" si="8"/>
        <v/>
      </c>
      <c r="I271" s="126" t="str">
        <f t="shared" si="9"/>
        <v/>
      </c>
    </row>
    <row r="272" spans="1:9" ht="15" customHeight="1" x14ac:dyDescent="0.25">
      <c r="A272" s="1186"/>
      <c r="B272" s="30">
        <v>271</v>
      </c>
      <c r="C272" s="315"/>
      <c r="D272" s="315"/>
      <c r="E272" s="30"/>
      <c r="F272" s="30"/>
      <c r="G272" s="30"/>
      <c r="H272" s="30" t="str">
        <f t="shared" si="8"/>
        <v/>
      </c>
      <c r="I272" s="126" t="str">
        <f t="shared" si="9"/>
        <v/>
      </c>
    </row>
    <row r="273" spans="1:9" x14ac:dyDescent="0.25">
      <c r="A273" s="1186"/>
      <c r="B273" s="30">
        <v>272</v>
      </c>
      <c r="C273" s="315"/>
      <c r="D273" s="315"/>
      <c r="E273" s="30"/>
      <c r="F273" s="30"/>
      <c r="G273" s="30"/>
      <c r="H273" s="30" t="str">
        <f t="shared" si="8"/>
        <v/>
      </c>
      <c r="I273" s="126" t="str">
        <f t="shared" si="9"/>
        <v/>
      </c>
    </row>
    <row r="274" spans="1:9" x14ac:dyDescent="0.25">
      <c r="A274" s="1186"/>
      <c r="B274" s="30">
        <v>273</v>
      </c>
      <c r="C274" s="315"/>
      <c r="D274" s="315"/>
      <c r="E274" s="30"/>
      <c r="F274" s="30"/>
      <c r="G274" s="30"/>
      <c r="H274" s="30" t="str">
        <f t="shared" si="8"/>
        <v/>
      </c>
      <c r="I274" s="126" t="str">
        <f t="shared" si="9"/>
        <v/>
      </c>
    </row>
    <row r="275" spans="1:9" x14ac:dyDescent="0.25">
      <c r="A275" s="1186"/>
      <c r="B275" s="30">
        <v>274</v>
      </c>
      <c r="C275" s="315"/>
      <c r="D275" s="315"/>
      <c r="E275" s="30"/>
      <c r="F275" s="30"/>
      <c r="G275" s="30"/>
      <c r="H275" s="30" t="str">
        <f t="shared" si="8"/>
        <v/>
      </c>
      <c r="I275" s="126" t="str">
        <f t="shared" si="9"/>
        <v/>
      </c>
    </row>
    <row r="276" spans="1:9" x14ac:dyDescent="0.25">
      <c r="A276" s="1186"/>
      <c r="B276" s="30">
        <v>275</v>
      </c>
      <c r="C276" s="315"/>
      <c r="D276" s="315"/>
      <c r="E276" s="30"/>
      <c r="F276" s="30"/>
      <c r="G276" s="30"/>
      <c r="H276" s="30" t="str">
        <f t="shared" si="8"/>
        <v/>
      </c>
      <c r="I276" s="126" t="str">
        <f t="shared" si="9"/>
        <v/>
      </c>
    </row>
    <row r="277" spans="1:9" x14ac:dyDescent="0.25">
      <c r="A277" s="1186"/>
      <c r="B277" s="30">
        <v>276</v>
      </c>
      <c r="C277" s="315"/>
      <c r="D277" s="315"/>
      <c r="E277" s="30"/>
      <c r="F277" s="30"/>
      <c r="G277" s="30"/>
      <c r="H277" s="30" t="str">
        <f t="shared" si="8"/>
        <v/>
      </c>
      <c r="I277" s="126" t="str">
        <f t="shared" si="9"/>
        <v/>
      </c>
    </row>
    <row r="278" spans="1:9" x14ac:dyDescent="0.25">
      <c r="A278" s="1186"/>
      <c r="B278" s="30">
        <v>277</v>
      </c>
      <c r="C278" s="315"/>
      <c r="D278" s="315"/>
      <c r="E278" s="30"/>
      <c r="F278" s="30"/>
      <c r="G278" s="30"/>
      <c r="H278" s="30" t="str">
        <f t="shared" si="8"/>
        <v/>
      </c>
      <c r="I278" s="126" t="str">
        <f t="shared" si="9"/>
        <v/>
      </c>
    </row>
    <row r="279" spans="1:9" x14ac:dyDescent="0.25">
      <c r="A279" s="1186"/>
      <c r="B279" s="30">
        <v>278</v>
      </c>
      <c r="C279" s="315"/>
      <c r="D279" s="315"/>
      <c r="E279" s="30"/>
      <c r="F279" s="30"/>
      <c r="G279" s="30"/>
      <c r="H279" s="30" t="str">
        <f t="shared" si="8"/>
        <v/>
      </c>
      <c r="I279" s="126" t="str">
        <f t="shared" si="9"/>
        <v/>
      </c>
    </row>
    <row r="280" spans="1:9" x14ac:dyDescent="0.25">
      <c r="A280" s="1186"/>
      <c r="B280" s="30">
        <v>279</v>
      </c>
      <c r="C280" s="315"/>
      <c r="D280" s="315"/>
      <c r="E280" s="30"/>
      <c r="F280" s="30"/>
      <c r="G280" s="30"/>
      <c r="H280" s="30" t="str">
        <f t="shared" si="8"/>
        <v/>
      </c>
      <c r="I280" s="126" t="str">
        <f t="shared" si="9"/>
        <v/>
      </c>
    </row>
    <row r="281" spans="1:9" x14ac:dyDescent="0.25">
      <c r="A281" s="1186"/>
      <c r="B281" s="30">
        <v>280</v>
      </c>
      <c r="C281" s="315"/>
      <c r="D281" s="315"/>
      <c r="E281" s="30"/>
      <c r="F281" s="30"/>
      <c r="G281" s="30"/>
      <c r="H281" s="30" t="str">
        <f t="shared" si="8"/>
        <v/>
      </c>
      <c r="I281" s="126" t="str">
        <f t="shared" si="9"/>
        <v/>
      </c>
    </row>
    <row r="282" spans="1:9" x14ac:dyDescent="0.25">
      <c r="A282" s="1186"/>
      <c r="B282" s="30">
        <v>281</v>
      </c>
      <c r="C282" s="315"/>
      <c r="D282" s="315"/>
      <c r="E282" s="30"/>
      <c r="F282" s="30"/>
      <c r="G282" s="30"/>
      <c r="H282" s="30" t="str">
        <f t="shared" si="8"/>
        <v/>
      </c>
      <c r="I282" s="126" t="str">
        <f t="shared" si="9"/>
        <v/>
      </c>
    </row>
    <row r="283" spans="1:9" x14ac:dyDescent="0.25">
      <c r="A283" s="1186"/>
      <c r="B283" s="30">
        <v>282</v>
      </c>
      <c r="C283" s="315"/>
      <c r="D283" s="315"/>
      <c r="E283" s="30"/>
      <c r="F283" s="30"/>
      <c r="G283" s="30"/>
      <c r="H283" s="30" t="str">
        <f t="shared" si="8"/>
        <v/>
      </c>
      <c r="I283" s="126" t="str">
        <f t="shared" si="9"/>
        <v/>
      </c>
    </row>
    <row r="284" spans="1:9" x14ac:dyDescent="0.25">
      <c r="A284" s="1186"/>
      <c r="B284" s="30">
        <v>283</v>
      </c>
      <c r="C284" s="315"/>
      <c r="D284" s="315"/>
      <c r="E284" s="30"/>
      <c r="F284" s="30"/>
      <c r="G284" s="30"/>
      <c r="H284" s="30" t="str">
        <f t="shared" si="8"/>
        <v/>
      </c>
      <c r="I284" s="126" t="str">
        <f t="shared" si="9"/>
        <v/>
      </c>
    </row>
    <row r="285" spans="1:9" x14ac:dyDescent="0.25">
      <c r="A285" s="1186"/>
      <c r="B285" s="30">
        <v>284</v>
      </c>
      <c r="C285" s="315"/>
      <c r="D285" s="315"/>
      <c r="E285" s="30"/>
      <c r="F285" s="30"/>
      <c r="G285" s="30"/>
      <c r="H285" s="30" t="str">
        <f t="shared" si="8"/>
        <v/>
      </c>
      <c r="I285" s="126" t="str">
        <f t="shared" si="9"/>
        <v/>
      </c>
    </row>
    <row r="286" spans="1:9" x14ac:dyDescent="0.25">
      <c r="A286" s="1186"/>
      <c r="B286" s="30">
        <v>285</v>
      </c>
      <c r="C286" s="315"/>
      <c r="D286" s="315"/>
      <c r="E286" s="30"/>
      <c r="F286" s="30"/>
      <c r="G286" s="30"/>
      <c r="H286" s="30" t="str">
        <f t="shared" si="8"/>
        <v/>
      </c>
      <c r="I286" s="126" t="str">
        <f t="shared" si="9"/>
        <v/>
      </c>
    </row>
    <row r="287" spans="1:9" x14ac:dyDescent="0.25">
      <c r="A287" s="1186"/>
      <c r="B287" s="30">
        <v>286</v>
      </c>
      <c r="C287" s="315"/>
      <c r="D287" s="315"/>
      <c r="E287" s="30"/>
      <c r="F287" s="30"/>
      <c r="G287" s="30"/>
      <c r="H287" s="30" t="str">
        <f t="shared" si="8"/>
        <v/>
      </c>
      <c r="I287" s="126" t="str">
        <f t="shared" si="9"/>
        <v/>
      </c>
    </row>
    <row r="288" spans="1:9" x14ac:dyDescent="0.25">
      <c r="A288" s="1186"/>
      <c r="B288" s="30">
        <v>287</v>
      </c>
      <c r="C288" s="315"/>
      <c r="D288" s="315"/>
      <c r="E288" s="30"/>
      <c r="F288" s="30"/>
      <c r="G288" s="30"/>
      <c r="H288" s="30" t="str">
        <f t="shared" si="8"/>
        <v/>
      </c>
      <c r="I288" s="126" t="str">
        <f t="shared" si="9"/>
        <v/>
      </c>
    </row>
    <row r="289" spans="1:9" x14ac:dyDescent="0.25">
      <c r="A289" s="1186"/>
      <c r="B289" s="30">
        <v>288</v>
      </c>
      <c r="C289" s="315"/>
      <c r="D289" s="315"/>
      <c r="E289" s="30"/>
      <c r="F289" s="30"/>
      <c r="G289" s="30"/>
      <c r="H289" s="30" t="str">
        <f t="shared" si="8"/>
        <v/>
      </c>
      <c r="I289" s="126" t="str">
        <f t="shared" si="9"/>
        <v/>
      </c>
    </row>
    <row r="290" spans="1:9" x14ac:dyDescent="0.25">
      <c r="A290" s="1186"/>
      <c r="B290" s="30">
        <v>289</v>
      </c>
      <c r="C290" s="315"/>
      <c r="D290" s="315"/>
      <c r="E290" s="30"/>
      <c r="F290" s="30"/>
      <c r="G290" s="30"/>
      <c r="H290" s="30" t="str">
        <f t="shared" si="8"/>
        <v/>
      </c>
      <c r="I290" s="126" t="str">
        <f t="shared" si="9"/>
        <v/>
      </c>
    </row>
    <row r="291" spans="1:9" x14ac:dyDescent="0.25">
      <c r="A291" s="1186"/>
      <c r="B291" s="30">
        <v>290</v>
      </c>
      <c r="C291" s="315"/>
      <c r="D291" s="315"/>
      <c r="E291" s="30"/>
      <c r="F291" s="30"/>
      <c r="G291" s="30"/>
      <c r="H291" s="30" t="str">
        <f t="shared" si="8"/>
        <v/>
      </c>
      <c r="I291" s="126" t="str">
        <f t="shared" si="9"/>
        <v/>
      </c>
    </row>
    <row r="292" spans="1:9" x14ac:dyDescent="0.25">
      <c r="A292" s="1186"/>
      <c r="B292" s="30">
        <v>291</v>
      </c>
      <c r="C292" s="315"/>
      <c r="D292" s="315"/>
      <c r="E292" s="30"/>
      <c r="F292" s="30"/>
      <c r="G292" s="30"/>
      <c r="H292" s="30" t="str">
        <f t="shared" si="8"/>
        <v/>
      </c>
      <c r="I292" s="126" t="str">
        <f t="shared" si="9"/>
        <v/>
      </c>
    </row>
    <row r="293" spans="1:9" x14ac:dyDescent="0.25">
      <c r="A293" s="1186"/>
      <c r="B293" s="30">
        <v>292</v>
      </c>
      <c r="C293" s="315"/>
      <c r="D293" s="315"/>
      <c r="E293" s="30"/>
      <c r="F293" s="30"/>
      <c r="G293" s="30"/>
      <c r="H293" s="30" t="str">
        <f t="shared" si="8"/>
        <v/>
      </c>
      <c r="I293" s="126" t="str">
        <f t="shared" si="9"/>
        <v/>
      </c>
    </row>
    <row r="294" spans="1:9" x14ac:dyDescent="0.25">
      <c r="A294" s="1186"/>
      <c r="B294" s="30">
        <v>293</v>
      </c>
      <c r="C294" s="315"/>
      <c r="D294" s="315"/>
      <c r="E294" s="30"/>
      <c r="F294" s="30"/>
      <c r="G294" s="30"/>
      <c r="H294" s="30" t="str">
        <f t="shared" si="8"/>
        <v/>
      </c>
      <c r="I294" s="126" t="str">
        <f t="shared" si="9"/>
        <v/>
      </c>
    </row>
    <row r="295" spans="1:9" x14ac:dyDescent="0.25">
      <c r="A295" s="1186"/>
      <c r="B295" s="30">
        <v>294</v>
      </c>
      <c r="C295" s="315"/>
      <c r="D295" s="315"/>
      <c r="E295" s="30"/>
      <c r="F295" s="30"/>
      <c r="G295" s="30"/>
      <c r="H295" s="30" t="str">
        <f t="shared" si="8"/>
        <v/>
      </c>
      <c r="I295" s="126" t="str">
        <f t="shared" si="9"/>
        <v/>
      </c>
    </row>
    <row r="296" spans="1:9" x14ac:dyDescent="0.25">
      <c r="A296" s="1186"/>
      <c r="B296" s="30">
        <v>295</v>
      </c>
      <c r="C296" s="315"/>
      <c r="D296" s="315"/>
      <c r="E296" s="30"/>
      <c r="F296" s="30"/>
      <c r="G296" s="30"/>
      <c r="H296" s="30" t="str">
        <f t="shared" si="8"/>
        <v/>
      </c>
      <c r="I296" s="126" t="str">
        <f t="shared" si="9"/>
        <v/>
      </c>
    </row>
    <row r="297" spans="1:9" x14ac:dyDescent="0.25">
      <c r="A297" s="1186"/>
      <c r="B297" s="30">
        <v>296</v>
      </c>
      <c r="C297" s="315"/>
      <c r="D297" s="315"/>
      <c r="E297" s="30"/>
      <c r="F297" s="30"/>
      <c r="G297" s="30"/>
      <c r="H297" s="30" t="str">
        <f t="shared" si="8"/>
        <v/>
      </c>
      <c r="I297" s="126" t="str">
        <f t="shared" si="9"/>
        <v/>
      </c>
    </row>
    <row r="298" spans="1:9" x14ac:dyDescent="0.25">
      <c r="A298" s="1186"/>
      <c r="B298" s="30">
        <v>297</v>
      </c>
      <c r="C298" s="315"/>
      <c r="D298" s="315"/>
      <c r="E298" s="30"/>
      <c r="F298" s="30"/>
      <c r="G298" s="30"/>
      <c r="H298" s="30" t="str">
        <f t="shared" si="8"/>
        <v/>
      </c>
      <c r="I298" s="126" t="str">
        <f t="shared" si="9"/>
        <v/>
      </c>
    </row>
    <row r="299" spans="1:9" x14ac:dyDescent="0.25">
      <c r="A299" s="1186"/>
      <c r="B299" s="30">
        <v>298</v>
      </c>
      <c r="C299" s="315"/>
      <c r="D299" s="315"/>
      <c r="E299" s="30"/>
      <c r="F299" s="30"/>
      <c r="G299" s="30"/>
      <c r="H299" s="30" t="str">
        <f t="shared" si="8"/>
        <v/>
      </c>
      <c r="I299" s="126" t="str">
        <f t="shared" si="9"/>
        <v/>
      </c>
    </row>
    <row r="300" spans="1:9" x14ac:dyDescent="0.25">
      <c r="A300" s="1186"/>
      <c r="B300" s="30">
        <v>299</v>
      </c>
      <c r="C300" s="315"/>
      <c r="D300" s="315"/>
      <c r="E300" s="30"/>
      <c r="F300" s="30"/>
      <c r="G300" s="30"/>
      <c r="H300" s="30" t="str">
        <f t="shared" si="8"/>
        <v/>
      </c>
      <c r="I300" s="126" t="str">
        <f t="shared" si="9"/>
        <v/>
      </c>
    </row>
    <row r="301" spans="1:9" x14ac:dyDescent="0.25">
      <c r="A301" s="1186"/>
      <c r="B301" s="30">
        <v>300</v>
      </c>
      <c r="C301" s="315"/>
      <c r="D301" s="315"/>
      <c r="E301" s="30"/>
      <c r="F301" s="30"/>
      <c r="G301" s="30"/>
      <c r="H301" s="30" t="str">
        <f t="shared" si="8"/>
        <v/>
      </c>
      <c r="I301" s="126" t="str">
        <f t="shared" si="9"/>
        <v/>
      </c>
    </row>
    <row r="302" spans="1:9" x14ac:dyDescent="0.25">
      <c r="A302" s="1186"/>
    </row>
    <row r="303" spans="1:9" x14ac:dyDescent="0.25">
      <c r="A303" s="1186"/>
    </row>
    <row r="304" spans="1:9" x14ac:dyDescent="0.25">
      <c r="A304" s="1186"/>
    </row>
    <row r="305" spans="1:1" x14ac:dyDescent="0.25">
      <c r="A305" s="1186"/>
    </row>
    <row r="306" spans="1:1" x14ac:dyDescent="0.25">
      <c r="A306" s="1186"/>
    </row>
    <row r="307" spans="1:1" x14ac:dyDescent="0.25">
      <c r="A307" s="1186"/>
    </row>
    <row r="308" spans="1:1" x14ac:dyDescent="0.25">
      <c r="A308" s="1186"/>
    </row>
  </sheetData>
  <sheetProtection insertRows="0" sort="0" autoFilter="0"/>
  <autoFilter ref="C1:C301"/>
  <mergeCells count="4">
    <mergeCell ref="A12:A70"/>
    <mergeCell ref="A104:A162"/>
    <mergeCell ref="A172:A230"/>
    <mergeCell ref="A250:A30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300" r:id="rId1"/>
  <headerFooter>
    <oddHeader>&amp;L&amp;F&amp;R&amp;A - &amp;P / &amp;N
Imprime le 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 tint="4.9989318521683403E-2"/>
  </sheetPr>
  <dimension ref="A1:M4161"/>
  <sheetViews>
    <sheetView view="pageBreakPreview" zoomScale="85" zoomScaleNormal="60" zoomScaleSheetLayoutView="85" workbookViewId="0">
      <pane xSplit="2" ySplit="7" topLeftCell="C8" activePane="bottomRight" state="frozen"/>
      <selection pane="topRight" activeCell="C1" sqref="C1"/>
      <selection pane="bottomLeft" activeCell="A5" sqref="A5"/>
      <selection pane="bottomRight" activeCell="P30" sqref="P30"/>
    </sheetView>
  </sheetViews>
  <sheetFormatPr baseColWidth="10" defaultColWidth="11.42578125" defaultRowHeight="15" x14ac:dyDescent="0.25"/>
  <cols>
    <col min="1" max="1" width="7.28515625" style="248" bestFit="1" customWidth="1"/>
    <col min="2" max="2" width="23.5703125" style="244" customWidth="1"/>
    <col min="3" max="3" width="9.28515625" style="244" bestFit="1" customWidth="1"/>
    <col min="4" max="4" width="7.42578125" style="244" bestFit="1" customWidth="1"/>
    <col min="5" max="5" width="8" style="244" bestFit="1" customWidth="1"/>
    <col min="6" max="6" width="12.28515625" style="244" customWidth="1"/>
    <col min="7" max="7" width="11.42578125" style="245"/>
    <col min="8" max="8" width="11.42578125" style="247"/>
    <col min="9" max="9" width="10.7109375" style="244" bestFit="1" customWidth="1"/>
    <col min="10" max="10" width="11.5703125" style="244" customWidth="1"/>
    <col min="11" max="11" width="11" style="246" bestFit="1" customWidth="1"/>
    <col min="12" max="12" width="11.42578125" style="245"/>
    <col min="13" max="16384" width="11.42578125" style="244"/>
  </cols>
  <sheetData>
    <row r="1" spans="1:13" x14ac:dyDescent="0.25">
      <c r="F1" s="301" t="s">
        <v>501</v>
      </c>
      <c r="J1" s="245"/>
      <c r="K1" s="300" t="s">
        <v>500</v>
      </c>
    </row>
    <row r="2" spans="1:13" x14ac:dyDescent="0.25">
      <c r="B2" s="298"/>
      <c r="C2" s="298"/>
      <c r="D2" s="298"/>
      <c r="E2" s="296" t="s">
        <v>499</v>
      </c>
      <c r="F2" s="297" t="str">
        <f>IF(SUM(G8:G209)&gt;0,SUM(G8:G209),"")</f>
        <v/>
      </c>
      <c r="J2" s="296" t="s">
        <v>498</v>
      </c>
      <c r="K2" s="299" t="str">
        <f>IF(F2&lt;&gt;"",F2*1.35,"")</f>
        <v/>
      </c>
    </row>
    <row r="3" spans="1:13" x14ac:dyDescent="0.25">
      <c r="D3" s="298"/>
      <c r="E3" s="296" t="s">
        <v>497</v>
      </c>
      <c r="F3" s="297" t="str">
        <f>IF(SUM(L8:L209)&gt;0,SUM(L8:L209),"")</f>
        <v/>
      </c>
      <c r="J3" s="296" t="s">
        <v>496</v>
      </c>
      <c r="K3" s="295" t="str">
        <f>IF(F3&lt;&gt;"",F3*1.5,"")</f>
        <v/>
      </c>
    </row>
    <row r="4" spans="1:13" ht="18" x14ac:dyDescent="0.25">
      <c r="C4" s="289"/>
      <c r="D4" s="289"/>
      <c r="E4" s="292" t="s">
        <v>495</v>
      </c>
      <c r="F4" s="293" t="str">
        <f>IF(OR(F2&lt;&gt;"",F3&lt;&gt;""),SUM(F2:F3),"")</f>
        <v/>
      </c>
      <c r="J4" s="294" t="s">
        <v>494</v>
      </c>
      <c r="K4" s="293" t="str">
        <f>IF(OR(K2&lt;&gt;"",K3&lt;&gt;""),SUM(K2:K3),"")</f>
        <v/>
      </c>
    </row>
    <row r="5" spans="1:13" ht="9" customHeight="1" x14ac:dyDescent="0.25">
      <c r="C5" s="289"/>
      <c r="D5" s="289"/>
      <c r="E5" s="292"/>
      <c r="F5" s="289"/>
      <c r="G5" s="291"/>
      <c r="H5" s="290"/>
      <c r="I5" s="289"/>
      <c r="J5" s="289"/>
      <c r="K5" s="289"/>
      <c r="L5" s="289"/>
    </row>
    <row r="6" spans="1:13" s="288" customFormat="1" ht="15" customHeight="1" x14ac:dyDescent="0.25">
      <c r="A6" s="1188" t="s">
        <v>39</v>
      </c>
      <c r="B6" s="1187" t="s">
        <v>493</v>
      </c>
      <c r="C6" s="1192" t="s">
        <v>492</v>
      </c>
      <c r="D6" s="1193"/>
      <c r="E6" s="1193"/>
      <c r="F6" s="1193"/>
      <c r="G6" s="1193"/>
      <c r="H6" s="1194"/>
      <c r="I6" s="1189" t="s">
        <v>491</v>
      </c>
      <c r="J6" s="1190"/>
      <c r="K6" s="1190"/>
      <c r="L6" s="1191"/>
    </row>
    <row r="7" spans="1:13" s="280" customFormat="1" ht="26.25" customHeight="1" x14ac:dyDescent="0.25">
      <c r="A7" s="1188"/>
      <c r="B7" s="1187"/>
      <c r="C7" s="287" t="s">
        <v>30</v>
      </c>
      <c r="D7" s="286" t="s">
        <v>490</v>
      </c>
      <c r="E7" s="286" t="s">
        <v>489</v>
      </c>
      <c r="F7" s="286" t="s">
        <v>486</v>
      </c>
      <c r="G7" s="187" t="s">
        <v>485</v>
      </c>
      <c r="H7" s="285" t="s">
        <v>488</v>
      </c>
      <c r="I7" s="284" t="s">
        <v>487</v>
      </c>
      <c r="J7" s="283" t="s">
        <v>30</v>
      </c>
      <c r="K7" s="282" t="s">
        <v>486</v>
      </c>
      <c r="L7" s="281" t="s">
        <v>485</v>
      </c>
    </row>
    <row r="8" spans="1:13" x14ac:dyDescent="0.25">
      <c r="A8" s="312">
        <v>1</v>
      </c>
      <c r="B8" s="276"/>
      <c r="C8" s="277"/>
      <c r="D8" s="277"/>
      <c r="E8" s="277"/>
      <c r="F8" s="279"/>
      <c r="G8" s="278"/>
      <c r="H8" s="274" t="str">
        <f>IF(G8&lt;&gt;"",SUM(G8),"")</f>
        <v/>
      </c>
      <c r="I8" s="273"/>
      <c r="J8" s="277"/>
      <c r="K8" s="259"/>
      <c r="L8" s="271" t="str">
        <f t="shared" ref="L8:L71" si="0">IF(AND(I8&lt;&gt;"",J8&lt;&gt;"",K8&lt;&gt;""),I8*J8*K8,IF(AND(I8&lt;&gt;"",J8="",K8&lt;&gt;""),I8*K8,""))</f>
        <v/>
      </c>
      <c r="M8" s="257"/>
    </row>
    <row r="9" spans="1:13" x14ac:dyDescent="0.25">
      <c r="A9" s="312">
        <v>2</v>
      </c>
      <c r="B9" s="276"/>
      <c r="C9" s="272"/>
      <c r="D9" s="272"/>
      <c r="E9" s="272"/>
      <c r="F9" s="275"/>
      <c r="G9" s="271" t="str">
        <f t="shared" ref="G9:G71" si="1">IF(AND(C9&lt;&gt;"",D9&lt;&gt;"",F9&lt;&gt;""),C9*D9*F9,IF(AND(C9&lt;&gt;"",E9&lt;&gt;"",F9&lt;&gt;""),C9*E9*F9,IF(AND(C9&lt;&gt;"",D9&lt;&gt;"",E9&lt;&gt;"",F9&lt;&gt;""),C9*D9*E9*F9,"")))</f>
        <v/>
      </c>
      <c r="H9" s="274" t="str">
        <f t="shared" ref="H9:H72" si="2">IF(AND(H8&lt;&gt;"",G9&lt;&gt;""),SUM(H8,G9),"")</f>
        <v/>
      </c>
      <c r="I9" s="273"/>
      <c r="J9" s="272"/>
      <c r="K9" s="259"/>
      <c r="L9" s="271" t="str">
        <f t="shared" si="0"/>
        <v/>
      </c>
      <c r="M9" s="257"/>
    </row>
    <row r="10" spans="1:13" x14ac:dyDescent="0.25">
      <c r="A10" s="312">
        <v>3</v>
      </c>
      <c r="B10" s="276"/>
      <c r="C10" s="272"/>
      <c r="D10" s="272"/>
      <c r="E10" s="272"/>
      <c r="F10" s="275"/>
      <c r="G10" s="271" t="str">
        <f t="shared" si="1"/>
        <v/>
      </c>
      <c r="H10" s="274" t="str">
        <f t="shared" si="2"/>
        <v/>
      </c>
      <c r="I10" s="273"/>
      <c r="J10" s="272"/>
      <c r="K10" s="259"/>
      <c r="L10" s="271" t="str">
        <f t="shared" si="0"/>
        <v/>
      </c>
      <c r="M10" s="257"/>
    </row>
    <row r="11" spans="1:13" x14ac:dyDescent="0.25">
      <c r="A11" s="312">
        <v>4</v>
      </c>
      <c r="B11" s="276"/>
      <c r="C11" s="272"/>
      <c r="D11" s="272"/>
      <c r="E11" s="272"/>
      <c r="F11" s="275"/>
      <c r="G11" s="271" t="str">
        <f t="shared" si="1"/>
        <v/>
      </c>
      <c r="H11" s="274" t="str">
        <f t="shared" si="2"/>
        <v/>
      </c>
      <c r="I11" s="273"/>
      <c r="J11" s="272"/>
      <c r="K11" s="259"/>
      <c r="L11" s="271" t="str">
        <f t="shared" si="0"/>
        <v/>
      </c>
      <c r="M11" s="257"/>
    </row>
    <row r="12" spans="1:13" x14ac:dyDescent="0.25">
      <c r="A12" s="312">
        <v>5</v>
      </c>
      <c r="B12" s="276"/>
      <c r="C12" s="272"/>
      <c r="D12" s="272"/>
      <c r="E12" s="272"/>
      <c r="F12" s="275"/>
      <c r="G12" s="271" t="str">
        <f t="shared" si="1"/>
        <v/>
      </c>
      <c r="H12" s="274" t="str">
        <f t="shared" si="2"/>
        <v/>
      </c>
      <c r="I12" s="273"/>
      <c r="J12" s="272"/>
      <c r="K12" s="259"/>
      <c r="L12" s="271" t="str">
        <f t="shared" si="0"/>
        <v/>
      </c>
      <c r="M12" s="257"/>
    </row>
    <row r="13" spans="1:13" x14ac:dyDescent="0.25">
      <c r="A13" s="312">
        <v>6</v>
      </c>
      <c r="B13" s="276"/>
      <c r="C13" s="272"/>
      <c r="D13" s="272"/>
      <c r="E13" s="272"/>
      <c r="F13" s="275"/>
      <c r="G13" s="271" t="str">
        <f t="shared" si="1"/>
        <v/>
      </c>
      <c r="H13" s="274" t="str">
        <f t="shared" si="2"/>
        <v/>
      </c>
      <c r="I13" s="273"/>
      <c r="J13" s="272"/>
      <c r="K13" s="259"/>
      <c r="L13" s="271" t="str">
        <f t="shared" si="0"/>
        <v/>
      </c>
      <c r="M13" s="257"/>
    </row>
    <row r="14" spans="1:13" x14ac:dyDescent="0.25">
      <c r="A14" s="312">
        <v>7</v>
      </c>
      <c r="B14" s="276"/>
      <c r="C14" s="272"/>
      <c r="D14" s="272"/>
      <c r="E14" s="272"/>
      <c r="F14" s="275"/>
      <c r="G14" s="271" t="str">
        <f t="shared" si="1"/>
        <v/>
      </c>
      <c r="H14" s="274" t="str">
        <f t="shared" si="2"/>
        <v/>
      </c>
      <c r="I14" s="273"/>
      <c r="J14" s="272"/>
      <c r="K14" s="259"/>
      <c r="L14" s="271" t="str">
        <f t="shared" si="0"/>
        <v/>
      </c>
      <c r="M14" s="257"/>
    </row>
    <row r="15" spans="1:13" x14ac:dyDescent="0.25">
      <c r="A15" s="312">
        <v>8</v>
      </c>
      <c r="B15" s="276"/>
      <c r="C15" s="272"/>
      <c r="D15" s="272"/>
      <c r="E15" s="272"/>
      <c r="F15" s="275"/>
      <c r="G15" s="271" t="str">
        <f t="shared" si="1"/>
        <v/>
      </c>
      <c r="H15" s="274" t="str">
        <f t="shared" si="2"/>
        <v/>
      </c>
      <c r="I15" s="273"/>
      <c r="J15" s="272"/>
      <c r="K15" s="259"/>
      <c r="L15" s="271" t="str">
        <f t="shared" si="0"/>
        <v/>
      </c>
      <c r="M15" s="257"/>
    </row>
    <row r="16" spans="1:13" x14ac:dyDescent="0.25">
      <c r="A16" s="312">
        <v>9</v>
      </c>
      <c r="B16" s="276"/>
      <c r="C16" s="272"/>
      <c r="D16" s="272"/>
      <c r="E16" s="272"/>
      <c r="F16" s="275"/>
      <c r="G16" s="271" t="str">
        <f t="shared" si="1"/>
        <v/>
      </c>
      <c r="H16" s="274" t="str">
        <f t="shared" si="2"/>
        <v/>
      </c>
      <c r="I16" s="273"/>
      <c r="J16" s="272"/>
      <c r="K16" s="259"/>
      <c r="L16" s="271" t="str">
        <f t="shared" si="0"/>
        <v/>
      </c>
      <c r="M16" s="257"/>
    </row>
    <row r="17" spans="1:13" x14ac:dyDescent="0.25">
      <c r="A17" s="312">
        <v>10</v>
      </c>
      <c r="B17" s="276"/>
      <c r="C17" s="272"/>
      <c r="D17" s="272"/>
      <c r="E17" s="272"/>
      <c r="F17" s="275"/>
      <c r="G17" s="271" t="str">
        <f t="shared" si="1"/>
        <v/>
      </c>
      <c r="H17" s="274" t="str">
        <f t="shared" si="2"/>
        <v/>
      </c>
      <c r="I17" s="273"/>
      <c r="J17" s="272"/>
      <c r="K17" s="259"/>
      <c r="L17" s="271" t="str">
        <f t="shared" si="0"/>
        <v/>
      </c>
      <c r="M17" s="257"/>
    </row>
    <row r="18" spans="1:13" x14ac:dyDescent="0.25">
      <c r="A18" s="312">
        <v>11</v>
      </c>
      <c r="B18" s="276"/>
      <c r="C18" s="272"/>
      <c r="D18" s="272"/>
      <c r="E18" s="272"/>
      <c r="F18" s="275"/>
      <c r="G18" s="271" t="str">
        <f t="shared" si="1"/>
        <v/>
      </c>
      <c r="H18" s="274" t="str">
        <f t="shared" si="2"/>
        <v/>
      </c>
      <c r="I18" s="273"/>
      <c r="J18" s="272"/>
      <c r="K18" s="259"/>
      <c r="L18" s="271" t="str">
        <f t="shared" si="0"/>
        <v/>
      </c>
      <c r="M18" s="257"/>
    </row>
    <row r="19" spans="1:13" x14ac:dyDescent="0.25">
      <c r="A19" s="312">
        <v>12</v>
      </c>
      <c r="B19" s="276"/>
      <c r="C19" s="272"/>
      <c r="D19" s="272"/>
      <c r="E19" s="272"/>
      <c r="F19" s="275"/>
      <c r="G19" s="271" t="str">
        <f t="shared" si="1"/>
        <v/>
      </c>
      <c r="H19" s="274" t="str">
        <f t="shared" si="2"/>
        <v/>
      </c>
      <c r="I19" s="273"/>
      <c r="J19" s="272"/>
      <c r="K19" s="259"/>
      <c r="L19" s="271" t="str">
        <f t="shared" si="0"/>
        <v/>
      </c>
      <c r="M19" s="257"/>
    </row>
    <row r="20" spans="1:13" x14ac:dyDescent="0.25">
      <c r="A20" s="312">
        <v>13</v>
      </c>
      <c r="B20" s="276"/>
      <c r="C20" s="272"/>
      <c r="D20" s="272"/>
      <c r="E20" s="272"/>
      <c r="F20" s="275"/>
      <c r="G20" s="271" t="str">
        <f t="shared" si="1"/>
        <v/>
      </c>
      <c r="H20" s="274" t="str">
        <f t="shared" si="2"/>
        <v/>
      </c>
      <c r="I20" s="273"/>
      <c r="J20" s="272"/>
      <c r="K20" s="259"/>
      <c r="L20" s="271" t="str">
        <f t="shared" si="0"/>
        <v/>
      </c>
      <c r="M20" s="257"/>
    </row>
    <row r="21" spans="1:13" x14ac:dyDescent="0.25">
      <c r="A21" s="312">
        <v>14</v>
      </c>
      <c r="B21" s="276"/>
      <c r="C21" s="272"/>
      <c r="D21" s="272"/>
      <c r="E21" s="272"/>
      <c r="F21" s="275"/>
      <c r="G21" s="271" t="str">
        <f t="shared" si="1"/>
        <v/>
      </c>
      <c r="H21" s="274" t="str">
        <f t="shared" si="2"/>
        <v/>
      </c>
      <c r="I21" s="273"/>
      <c r="J21" s="272"/>
      <c r="K21" s="259"/>
      <c r="L21" s="271" t="str">
        <f t="shared" si="0"/>
        <v/>
      </c>
      <c r="M21" s="257"/>
    </row>
    <row r="22" spans="1:13" x14ac:dyDescent="0.25">
      <c r="A22" s="312">
        <v>15</v>
      </c>
      <c r="B22" s="276"/>
      <c r="C22" s="272"/>
      <c r="D22" s="272"/>
      <c r="E22" s="272"/>
      <c r="F22" s="275"/>
      <c r="G22" s="271" t="str">
        <f t="shared" si="1"/>
        <v/>
      </c>
      <c r="H22" s="274" t="str">
        <f t="shared" si="2"/>
        <v/>
      </c>
      <c r="I22" s="273"/>
      <c r="J22" s="272"/>
      <c r="K22" s="259"/>
      <c r="L22" s="271" t="str">
        <f t="shared" si="0"/>
        <v/>
      </c>
      <c r="M22" s="257"/>
    </row>
    <row r="23" spans="1:13" x14ac:dyDescent="0.25">
      <c r="A23" s="312">
        <v>16</v>
      </c>
      <c r="B23" s="276"/>
      <c r="C23" s="272"/>
      <c r="D23" s="272"/>
      <c r="E23" s="272"/>
      <c r="F23" s="275"/>
      <c r="G23" s="271" t="str">
        <f t="shared" si="1"/>
        <v/>
      </c>
      <c r="H23" s="274" t="str">
        <f t="shared" si="2"/>
        <v/>
      </c>
      <c r="I23" s="273"/>
      <c r="J23" s="272"/>
      <c r="K23" s="259"/>
      <c r="L23" s="271" t="str">
        <f t="shared" si="0"/>
        <v/>
      </c>
      <c r="M23" s="257"/>
    </row>
    <row r="24" spans="1:13" x14ac:dyDescent="0.25">
      <c r="A24" s="312">
        <v>17</v>
      </c>
      <c r="B24" s="276"/>
      <c r="C24" s="272"/>
      <c r="D24" s="272"/>
      <c r="E24" s="272"/>
      <c r="F24" s="275"/>
      <c r="G24" s="271" t="str">
        <f t="shared" si="1"/>
        <v/>
      </c>
      <c r="H24" s="274" t="str">
        <f t="shared" si="2"/>
        <v/>
      </c>
      <c r="I24" s="273"/>
      <c r="J24" s="272"/>
      <c r="K24" s="259"/>
      <c r="L24" s="271" t="str">
        <f t="shared" si="0"/>
        <v/>
      </c>
      <c r="M24" s="257"/>
    </row>
    <row r="25" spans="1:13" x14ac:dyDescent="0.25">
      <c r="A25" s="312">
        <v>18</v>
      </c>
      <c r="B25" s="276"/>
      <c r="C25" s="272"/>
      <c r="D25" s="272"/>
      <c r="E25" s="272"/>
      <c r="F25" s="275"/>
      <c r="G25" s="271" t="str">
        <f t="shared" si="1"/>
        <v/>
      </c>
      <c r="H25" s="274" t="str">
        <f t="shared" si="2"/>
        <v/>
      </c>
      <c r="I25" s="273"/>
      <c r="J25" s="272"/>
      <c r="K25" s="259"/>
      <c r="L25" s="271" t="str">
        <f t="shared" si="0"/>
        <v/>
      </c>
      <c r="M25" s="257"/>
    </row>
    <row r="26" spans="1:13" x14ac:dyDescent="0.25">
      <c r="A26" s="312">
        <v>19</v>
      </c>
      <c r="B26" s="276"/>
      <c r="C26" s="272"/>
      <c r="D26" s="272"/>
      <c r="E26" s="272"/>
      <c r="F26" s="275"/>
      <c r="G26" s="271" t="str">
        <f t="shared" si="1"/>
        <v/>
      </c>
      <c r="H26" s="274" t="str">
        <f t="shared" si="2"/>
        <v/>
      </c>
      <c r="I26" s="273"/>
      <c r="J26" s="272"/>
      <c r="K26" s="259"/>
      <c r="L26" s="271" t="str">
        <f t="shared" si="0"/>
        <v/>
      </c>
      <c r="M26" s="257"/>
    </row>
    <row r="27" spans="1:13" x14ac:dyDescent="0.25">
      <c r="A27" s="312">
        <v>20</v>
      </c>
      <c r="B27" s="276"/>
      <c r="C27" s="272"/>
      <c r="D27" s="272"/>
      <c r="E27" s="272"/>
      <c r="F27" s="275"/>
      <c r="G27" s="271" t="str">
        <f t="shared" si="1"/>
        <v/>
      </c>
      <c r="H27" s="274" t="str">
        <f t="shared" si="2"/>
        <v/>
      </c>
      <c r="I27" s="273"/>
      <c r="J27" s="272"/>
      <c r="K27" s="259"/>
      <c r="L27" s="271" t="str">
        <f t="shared" si="0"/>
        <v/>
      </c>
      <c r="M27" s="257"/>
    </row>
    <row r="28" spans="1:13" x14ac:dyDescent="0.25">
      <c r="A28" s="312">
        <v>21</v>
      </c>
      <c r="B28" s="276"/>
      <c r="C28" s="272"/>
      <c r="D28" s="272"/>
      <c r="E28" s="272"/>
      <c r="F28" s="275"/>
      <c r="G28" s="271" t="str">
        <f t="shared" si="1"/>
        <v/>
      </c>
      <c r="H28" s="274" t="str">
        <f t="shared" si="2"/>
        <v/>
      </c>
      <c r="I28" s="273"/>
      <c r="J28" s="272"/>
      <c r="K28" s="259"/>
      <c r="L28" s="271" t="str">
        <f t="shared" si="0"/>
        <v/>
      </c>
      <c r="M28" s="257"/>
    </row>
    <row r="29" spans="1:13" x14ac:dyDescent="0.25">
      <c r="A29" s="312">
        <v>22</v>
      </c>
      <c r="B29" s="276"/>
      <c r="C29" s="272"/>
      <c r="D29" s="272"/>
      <c r="E29" s="272"/>
      <c r="F29" s="275"/>
      <c r="G29" s="271" t="str">
        <f t="shared" si="1"/>
        <v/>
      </c>
      <c r="H29" s="274" t="str">
        <f t="shared" si="2"/>
        <v/>
      </c>
      <c r="I29" s="273"/>
      <c r="J29" s="272"/>
      <c r="K29" s="259"/>
      <c r="L29" s="271" t="str">
        <f t="shared" si="0"/>
        <v/>
      </c>
      <c r="M29" s="257"/>
    </row>
    <row r="30" spans="1:13" x14ac:dyDescent="0.25">
      <c r="A30" s="312">
        <v>23</v>
      </c>
      <c r="B30" s="276"/>
      <c r="C30" s="272"/>
      <c r="D30" s="272"/>
      <c r="E30" s="272"/>
      <c r="F30" s="275"/>
      <c r="G30" s="271" t="str">
        <f t="shared" si="1"/>
        <v/>
      </c>
      <c r="H30" s="274" t="str">
        <f t="shared" si="2"/>
        <v/>
      </c>
      <c r="I30" s="273"/>
      <c r="J30" s="272"/>
      <c r="K30" s="259"/>
      <c r="L30" s="271" t="str">
        <f t="shared" si="0"/>
        <v/>
      </c>
      <c r="M30" s="257"/>
    </row>
    <row r="31" spans="1:13" x14ac:dyDescent="0.25">
      <c r="A31" s="312">
        <v>24</v>
      </c>
      <c r="B31" s="276"/>
      <c r="C31" s="272"/>
      <c r="D31" s="272"/>
      <c r="E31" s="272"/>
      <c r="F31" s="275"/>
      <c r="G31" s="271" t="str">
        <f t="shared" si="1"/>
        <v/>
      </c>
      <c r="H31" s="274" t="str">
        <f t="shared" si="2"/>
        <v/>
      </c>
      <c r="I31" s="273"/>
      <c r="J31" s="272"/>
      <c r="K31" s="259"/>
      <c r="L31" s="271" t="str">
        <f t="shared" si="0"/>
        <v/>
      </c>
      <c r="M31" s="257"/>
    </row>
    <row r="32" spans="1:13" x14ac:dyDescent="0.25">
      <c r="A32" s="312">
        <v>25</v>
      </c>
      <c r="B32" s="276"/>
      <c r="C32" s="272"/>
      <c r="D32" s="272"/>
      <c r="E32" s="272"/>
      <c r="F32" s="275"/>
      <c r="G32" s="271" t="str">
        <f t="shared" si="1"/>
        <v/>
      </c>
      <c r="H32" s="274" t="str">
        <f t="shared" si="2"/>
        <v/>
      </c>
      <c r="I32" s="273"/>
      <c r="J32" s="272"/>
      <c r="K32" s="259"/>
      <c r="L32" s="271" t="str">
        <f t="shared" si="0"/>
        <v/>
      </c>
      <c r="M32" s="257"/>
    </row>
    <row r="33" spans="1:13" x14ac:dyDescent="0.25">
      <c r="A33" s="312">
        <v>26</v>
      </c>
      <c r="B33" s="276"/>
      <c r="C33" s="272"/>
      <c r="D33" s="272"/>
      <c r="E33" s="272"/>
      <c r="F33" s="275"/>
      <c r="G33" s="271" t="str">
        <f t="shared" si="1"/>
        <v/>
      </c>
      <c r="H33" s="274" t="str">
        <f t="shared" si="2"/>
        <v/>
      </c>
      <c r="I33" s="273"/>
      <c r="J33" s="272"/>
      <c r="K33" s="259"/>
      <c r="L33" s="271" t="str">
        <f t="shared" si="0"/>
        <v/>
      </c>
      <c r="M33" s="257"/>
    </row>
    <row r="34" spans="1:13" x14ac:dyDescent="0.25">
      <c r="A34" s="312">
        <v>27</v>
      </c>
      <c r="B34" s="276"/>
      <c r="C34" s="272"/>
      <c r="D34" s="272"/>
      <c r="E34" s="272"/>
      <c r="F34" s="275"/>
      <c r="G34" s="271" t="str">
        <f t="shared" si="1"/>
        <v/>
      </c>
      <c r="H34" s="274" t="str">
        <f t="shared" si="2"/>
        <v/>
      </c>
      <c r="I34" s="273"/>
      <c r="J34" s="272"/>
      <c r="K34" s="259"/>
      <c r="L34" s="271" t="str">
        <f t="shared" si="0"/>
        <v/>
      </c>
      <c r="M34" s="257"/>
    </row>
    <row r="35" spans="1:13" x14ac:dyDescent="0.25">
      <c r="A35" s="312">
        <v>28</v>
      </c>
      <c r="B35" s="276"/>
      <c r="C35" s="272"/>
      <c r="D35" s="272"/>
      <c r="E35" s="272"/>
      <c r="F35" s="275"/>
      <c r="G35" s="271" t="str">
        <f t="shared" si="1"/>
        <v/>
      </c>
      <c r="H35" s="274" t="str">
        <f t="shared" si="2"/>
        <v/>
      </c>
      <c r="I35" s="273"/>
      <c r="J35" s="272"/>
      <c r="K35" s="259"/>
      <c r="L35" s="271" t="str">
        <f t="shared" si="0"/>
        <v/>
      </c>
      <c r="M35" s="257"/>
    </row>
    <row r="36" spans="1:13" x14ac:dyDescent="0.25">
      <c r="A36" s="312">
        <v>29</v>
      </c>
      <c r="B36" s="276"/>
      <c r="C36" s="272"/>
      <c r="D36" s="272"/>
      <c r="E36" s="272"/>
      <c r="F36" s="275"/>
      <c r="G36" s="271" t="str">
        <f t="shared" si="1"/>
        <v/>
      </c>
      <c r="H36" s="274" t="str">
        <f t="shared" si="2"/>
        <v/>
      </c>
      <c r="I36" s="273"/>
      <c r="J36" s="272"/>
      <c r="K36" s="259"/>
      <c r="L36" s="271" t="str">
        <f t="shared" si="0"/>
        <v/>
      </c>
      <c r="M36" s="257"/>
    </row>
    <row r="37" spans="1:13" x14ac:dyDescent="0.25">
      <c r="A37" s="312">
        <v>30</v>
      </c>
      <c r="B37" s="276"/>
      <c r="C37" s="272"/>
      <c r="D37" s="272"/>
      <c r="E37" s="272"/>
      <c r="F37" s="275"/>
      <c r="G37" s="271" t="str">
        <f t="shared" si="1"/>
        <v/>
      </c>
      <c r="H37" s="274" t="str">
        <f t="shared" si="2"/>
        <v/>
      </c>
      <c r="I37" s="273"/>
      <c r="J37" s="272"/>
      <c r="K37" s="259"/>
      <c r="L37" s="271" t="str">
        <f t="shared" si="0"/>
        <v/>
      </c>
      <c r="M37" s="257"/>
    </row>
    <row r="38" spans="1:13" x14ac:dyDescent="0.25">
      <c r="A38" s="312">
        <v>31</v>
      </c>
      <c r="B38" s="276"/>
      <c r="C38" s="272"/>
      <c r="D38" s="272"/>
      <c r="E38" s="272"/>
      <c r="F38" s="275"/>
      <c r="G38" s="271" t="str">
        <f t="shared" si="1"/>
        <v/>
      </c>
      <c r="H38" s="274" t="str">
        <f t="shared" si="2"/>
        <v/>
      </c>
      <c r="I38" s="273"/>
      <c r="J38" s="272"/>
      <c r="K38" s="259"/>
      <c r="L38" s="271" t="str">
        <f t="shared" si="0"/>
        <v/>
      </c>
      <c r="M38" s="257"/>
    </row>
    <row r="39" spans="1:13" x14ac:dyDescent="0.25">
      <c r="A39" s="312">
        <v>32</v>
      </c>
      <c r="B39" s="276"/>
      <c r="C39" s="272"/>
      <c r="D39" s="272"/>
      <c r="E39" s="272"/>
      <c r="F39" s="275"/>
      <c r="G39" s="271" t="str">
        <f t="shared" si="1"/>
        <v/>
      </c>
      <c r="H39" s="274" t="str">
        <f t="shared" si="2"/>
        <v/>
      </c>
      <c r="I39" s="273"/>
      <c r="J39" s="272"/>
      <c r="K39" s="259"/>
      <c r="L39" s="271" t="str">
        <f t="shared" si="0"/>
        <v/>
      </c>
      <c r="M39" s="257"/>
    </row>
    <row r="40" spans="1:13" x14ac:dyDescent="0.25">
      <c r="A40" s="312">
        <v>33</v>
      </c>
      <c r="B40" s="276"/>
      <c r="C40" s="272"/>
      <c r="D40" s="272"/>
      <c r="E40" s="272"/>
      <c r="F40" s="275"/>
      <c r="G40" s="271" t="str">
        <f t="shared" si="1"/>
        <v/>
      </c>
      <c r="H40" s="274" t="str">
        <f t="shared" si="2"/>
        <v/>
      </c>
      <c r="I40" s="273"/>
      <c r="J40" s="272"/>
      <c r="K40" s="259"/>
      <c r="L40" s="271" t="str">
        <f t="shared" si="0"/>
        <v/>
      </c>
      <c r="M40" s="257"/>
    </row>
    <row r="41" spans="1:13" x14ac:dyDescent="0.25">
      <c r="A41" s="312">
        <v>34</v>
      </c>
      <c r="B41" s="276"/>
      <c r="C41" s="272"/>
      <c r="D41" s="272"/>
      <c r="E41" s="272"/>
      <c r="F41" s="275"/>
      <c r="G41" s="271" t="str">
        <f t="shared" si="1"/>
        <v/>
      </c>
      <c r="H41" s="274" t="str">
        <f t="shared" si="2"/>
        <v/>
      </c>
      <c r="I41" s="273"/>
      <c r="J41" s="272"/>
      <c r="K41" s="259"/>
      <c r="L41" s="271" t="str">
        <f t="shared" si="0"/>
        <v/>
      </c>
      <c r="M41" s="257"/>
    </row>
    <row r="42" spans="1:13" x14ac:dyDescent="0.25">
      <c r="A42" s="312">
        <v>35</v>
      </c>
      <c r="B42" s="276"/>
      <c r="C42" s="272"/>
      <c r="D42" s="272"/>
      <c r="E42" s="272"/>
      <c r="F42" s="275"/>
      <c r="G42" s="271" t="str">
        <f t="shared" si="1"/>
        <v/>
      </c>
      <c r="H42" s="274" t="str">
        <f t="shared" si="2"/>
        <v/>
      </c>
      <c r="I42" s="273"/>
      <c r="J42" s="272"/>
      <c r="K42" s="259"/>
      <c r="L42" s="271" t="str">
        <f t="shared" si="0"/>
        <v/>
      </c>
      <c r="M42" s="257"/>
    </row>
    <row r="43" spans="1:13" x14ac:dyDescent="0.25">
      <c r="A43" s="312">
        <v>36</v>
      </c>
      <c r="B43" s="276"/>
      <c r="C43" s="272"/>
      <c r="D43" s="272"/>
      <c r="E43" s="272"/>
      <c r="F43" s="275"/>
      <c r="G43" s="271" t="str">
        <f t="shared" si="1"/>
        <v/>
      </c>
      <c r="H43" s="274" t="str">
        <f t="shared" si="2"/>
        <v/>
      </c>
      <c r="I43" s="273"/>
      <c r="J43" s="272"/>
      <c r="K43" s="259"/>
      <c r="L43" s="271" t="str">
        <f t="shared" si="0"/>
        <v/>
      </c>
      <c r="M43" s="257"/>
    </row>
    <row r="44" spans="1:13" x14ac:dyDescent="0.25">
      <c r="A44" s="312">
        <v>37</v>
      </c>
      <c r="B44" s="276"/>
      <c r="C44" s="272"/>
      <c r="D44" s="272"/>
      <c r="E44" s="272"/>
      <c r="F44" s="275"/>
      <c r="G44" s="271" t="str">
        <f t="shared" si="1"/>
        <v/>
      </c>
      <c r="H44" s="274" t="str">
        <f t="shared" si="2"/>
        <v/>
      </c>
      <c r="I44" s="273"/>
      <c r="J44" s="272"/>
      <c r="K44" s="259"/>
      <c r="L44" s="271" t="str">
        <f t="shared" si="0"/>
        <v/>
      </c>
      <c r="M44" s="257"/>
    </row>
    <row r="45" spans="1:13" x14ac:dyDescent="0.25">
      <c r="A45" s="312">
        <v>38</v>
      </c>
      <c r="B45" s="276"/>
      <c r="C45" s="272"/>
      <c r="D45" s="272"/>
      <c r="E45" s="272"/>
      <c r="F45" s="275"/>
      <c r="G45" s="271" t="str">
        <f t="shared" si="1"/>
        <v/>
      </c>
      <c r="H45" s="274" t="str">
        <f t="shared" si="2"/>
        <v/>
      </c>
      <c r="I45" s="273"/>
      <c r="J45" s="272"/>
      <c r="K45" s="259"/>
      <c r="L45" s="271" t="str">
        <f t="shared" si="0"/>
        <v/>
      </c>
      <c r="M45" s="257"/>
    </row>
    <row r="46" spans="1:13" x14ac:dyDescent="0.25">
      <c r="A46" s="312">
        <v>39</v>
      </c>
      <c r="B46" s="276"/>
      <c r="C46" s="272"/>
      <c r="D46" s="272"/>
      <c r="E46" s="272"/>
      <c r="F46" s="275"/>
      <c r="G46" s="271" t="str">
        <f t="shared" si="1"/>
        <v/>
      </c>
      <c r="H46" s="274" t="str">
        <f t="shared" si="2"/>
        <v/>
      </c>
      <c r="I46" s="273"/>
      <c r="J46" s="272"/>
      <c r="K46" s="259"/>
      <c r="L46" s="271" t="str">
        <f t="shared" si="0"/>
        <v/>
      </c>
      <c r="M46" s="257"/>
    </row>
    <row r="47" spans="1:13" x14ac:dyDescent="0.25">
      <c r="A47" s="312">
        <v>40</v>
      </c>
      <c r="B47" s="276"/>
      <c r="C47" s="272"/>
      <c r="D47" s="272"/>
      <c r="E47" s="272"/>
      <c r="F47" s="275"/>
      <c r="G47" s="271" t="str">
        <f t="shared" si="1"/>
        <v/>
      </c>
      <c r="H47" s="274" t="str">
        <f t="shared" si="2"/>
        <v/>
      </c>
      <c r="I47" s="273"/>
      <c r="J47" s="272"/>
      <c r="K47" s="259"/>
      <c r="L47" s="271" t="str">
        <f t="shared" si="0"/>
        <v/>
      </c>
      <c r="M47" s="257"/>
    </row>
    <row r="48" spans="1:13" x14ac:dyDescent="0.25">
      <c r="A48" s="312">
        <v>41</v>
      </c>
      <c r="B48" s="276"/>
      <c r="C48" s="272"/>
      <c r="D48" s="272"/>
      <c r="E48" s="272"/>
      <c r="F48" s="275"/>
      <c r="G48" s="271" t="str">
        <f t="shared" si="1"/>
        <v/>
      </c>
      <c r="H48" s="274" t="str">
        <f t="shared" si="2"/>
        <v/>
      </c>
      <c r="I48" s="273"/>
      <c r="J48" s="272"/>
      <c r="K48" s="259"/>
      <c r="L48" s="271" t="str">
        <f t="shared" si="0"/>
        <v/>
      </c>
      <c r="M48" s="257"/>
    </row>
    <row r="49" spans="1:13" x14ac:dyDescent="0.25">
      <c r="A49" s="312">
        <v>42</v>
      </c>
      <c r="B49" s="276"/>
      <c r="C49" s="272"/>
      <c r="D49" s="272"/>
      <c r="E49" s="272"/>
      <c r="F49" s="275"/>
      <c r="G49" s="271" t="str">
        <f t="shared" si="1"/>
        <v/>
      </c>
      <c r="H49" s="274" t="str">
        <f t="shared" si="2"/>
        <v/>
      </c>
      <c r="I49" s="273"/>
      <c r="J49" s="272"/>
      <c r="K49" s="259"/>
      <c r="L49" s="271" t="str">
        <f t="shared" si="0"/>
        <v/>
      </c>
      <c r="M49" s="257"/>
    </row>
    <row r="50" spans="1:13" x14ac:dyDescent="0.25">
      <c r="A50" s="312">
        <v>43</v>
      </c>
      <c r="B50" s="276"/>
      <c r="C50" s="272"/>
      <c r="D50" s="272"/>
      <c r="E50" s="272"/>
      <c r="F50" s="275"/>
      <c r="G50" s="271" t="str">
        <f t="shared" si="1"/>
        <v/>
      </c>
      <c r="H50" s="274" t="str">
        <f t="shared" si="2"/>
        <v/>
      </c>
      <c r="I50" s="273"/>
      <c r="J50" s="272"/>
      <c r="K50" s="259"/>
      <c r="L50" s="271" t="str">
        <f t="shared" si="0"/>
        <v/>
      </c>
      <c r="M50" s="257"/>
    </row>
    <row r="51" spans="1:13" x14ac:dyDescent="0.25">
      <c r="A51" s="312">
        <v>44</v>
      </c>
      <c r="B51" s="276"/>
      <c r="C51" s="272"/>
      <c r="D51" s="272"/>
      <c r="E51" s="272"/>
      <c r="F51" s="275"/>
      <c r="G51" s="271" t="str">
        <f t="shared" si="1"/>
        <v/>
      </c>
      <c r="H51" s="274" t="str">
        <f t="shared" si="2"/>
        <v/>
      </c>
      <c r="I51" s="273"/>
      <c r="J51" s="272"/>
      <c r="K51" s="259"/>
      <c r="L51" s="271" t="str">
        <f t="shared" si="0"/>
        <v/>
      </c>
      <c r="M51" s="257"/>
    </row>
    <row r="52" spans="1:13" x14ac:dyDescent="0.25">
      <c r="A52" s="312">
        <v>45</v>
      </c>
      <c r="B52" s="276"/>
      <c r="C52" s="272"/>
      <c r="D52" s="272"/>
      <c r="E52" s="272"/>
      <c r="F52" s="275"/>
      <c r="G52" s="271" t="str">
        <f t="shared" si="1"/>
        <v/>
      </c>
      <c r="H52" s="274" t="str">
        <f t="shared" si="2"/>
        <v/>
      </c>
      <c r="I52" s="273"/>
      <c r="J52" s="272"/>
      <c r="K52" s="259"/>
      <c r="L52" s="271" t="str">
        <f t="shared" si="0"/>
        <v/>
      </c>
      <c r="M52" s="257"/>
    </row>
    <row r="53" spans="1:13" x14ac:dyDescent="0.25">
      <c r="A53" s="312">
        <v>46</v>
      </c>
      <c r="B53" s="276"/>
      <c r="C53" s="272"/>
      <c r="D53" s="272"/>
      <c r="E53" s="272"/>
      <c r="F53" s="275"/>
      <c r="G53" s="271" t="str">
        <f t="shared" si="1"/>
        <v/>
      </c>
      <c r="H53" s="274" t="str">
        <f t="shared" si="2"/>
        <v/>
      </c>
      <c r="I53" s="273"/>
      <c r="J53" s="272"/>
      <c r="K53" s="259"/>
      <c r="L53" s="271" t="str">
        <f t="shared" si="0"/>
        <v/>
      </c>
      <c r="M53" s="257"/>
    </row>
    <row r="54" spans="1:13" x14ac:dyDescent="0.25">
      <c r="A54" s="312">
        <v>47</v>
      </c>
      <c r="B54" s="276"/>
      <c r="C54" s="272"/>
      <c r="D54" s="272"/>
      <c r="E54" s="272"/>
      <c r="F54" s="275"/>
      <c r="G54" s="271" t="str">
        <f t="shared" si="1"/>
        <v/>
      </c>
      <c r="H54" s="274" t="str">
        <f t="shared" si="2"/>
        <v/>
      </c>
      <c r="I54" s="273"/>
      <c r="J54" s="272"/>
      <c r="K54" s="259"/>
      <c r="L54" s="271" t="str">
        <f t="shared" si="0"/>
        <v/>
      </c>
      <c r="M54" s="257"/>
    </row>
    <row r="55" spans="1:13" x14ac:dyDescent="0.25">
      <c r="A55" s="312">
        <v>48</v>
      </c>
      <c r="B55" s="276"/>
      <c r="C55" s="272"/>
      <c r="D55" s="272"/>
      <c r="E55" s="272"/>
      <c r="F55" s="275"/>
      <c r="G55" s="271" t="str">
        <f t="shared" si="1"/>
        <v/>
      </c>
      <c r="H55" s="274" t="str">
        <f t="shared" si="2"/>
        <v/>
      </c>
      <c r="I55" s="273"/>
      <c r="J55" s="272"/>
      <c r="K55" s="259"/>
      <c r="L55" s="271" t="str">
        <f t="shared" si="0"/>
        <v/>
      </c>
      <c r="M55" s="257"/>
    </row>
    <row r="56" spans="1:13" x14ac:dyDescent="0.25">
      <c r="A56" s="312">
        <v>49</v>
      </c>
      <c r="B56" s="276"/>
      <c r="C56" s="272"/>
      <c r="D56" s="272"/>
      <c r="E56" s="272"/>
      <c r="F56" s="275"/>
      <c r="G56" s="271" t="str">
        <f t="shared" si="1"/>
        <v/>
      </c>
      <c r="H56" s="274" t="str">
        <f t="shared" si="2"/>
        <v/>
      </c>
      <c r="I56" s="273"/>
      <c r="J56" s="272"/>
      <c r="K56" s="259"/>
      <c r="L56" s="271" t="str">
        <f t="shared" si="0"/>
        <v/>
      </c>
      <c r="M56" s="257"/>
    </row>
    <row r="57" spans="1:13" x14ac:dyDescent="0.25">
      <c r="A57" s="312">
        <v>50</v>
      </c>
      <c r="B57" s="276"/>
      <c r="C57" s="272"/>
      <c r="D57" s="272"/>
      <c r="E57" s="272"/>
      <c r="F57" s="275"/>
      <c r="G57" s="271" t="str">
        <f t="shared" si="1"/>
        <v/>
      </c>
      <c r="H57" s="274" t="str">
        <f t="shared" si="2"/>
        <v/>
      </c>
      <c r="I57" s="273"/>
      <c r="J57" s="272"/>
      <c r="K57" s="259"/>
      <c r="L57" s="271" t="str">
        <f t="shared" si="0"/>
        <v/>
      </c>
      <c r="M57" s="257"/>
    </row>
    <row r="58" spans="1:13" x14ac:dyDescent="0.25">
      <c r="A58" s="312">
        <v>51</v>
      </c>
      <c r="B58" s="276"/>
      <c r="C58" s="272"/>
      <c r="D58" s="272"/>
      <c r="E58" s="272"/>
      <c r="F58" s="275"/>
      <c r="G58" s="271" t="str">
        <f t="shared" si="1"/>
        <v/>
      </c>
      <c r="H58" s="274" t="str">
        <f t="shared" si="2"/>
        <v/>
      </c>
      <c r="I58" s="273"/>
      <c r="J58" s="272"/>
      <c r="K58" s="259"/>
      <c r="L58" s="271" t="str">
        <f t="shared" si="0"/>
        <v/>
      </c>
      <c r="M58" s="257"/>
    </row>
    <row r="59" spans="1:13" x14ac:dyDescent="0.25">
      <c r="A59" s="312">
        <v>52</v>
      </c>
      <c r="B59" s="276"/>
      <c r="C59" s="272"/>
      <c r="D59" s="272"/>
      <c r="E59" s="272"/>
      <c r="F59" s="275"/>
      <c r="G59" s="271" t="str">
        <f t="shared" si="1"/>
        <v/>
      </c>
      <c r="H59" s="274" t="str">
        <f t="shared" si="2"/>
        <v/>
      </c>
      <c r="I59" s="273"/>
      <c r="J59" s="272"/>
      <c r="K59" s="259"/>
      <c r="L59" s="271" t="str">
        <f t="shared" si="0"/>
        <v/>
      </c>
      <c r="M59" s="257"/>
    </row>
    <row r="60" spans="1:13" x14ac:dyDescent="0.25">
      <c r="A60" s="312">
        <v>53</v>
      </c>
      <c r="B60" s="276"/>
      <c r="C60" s="272"/>
      <c r="D60" s="272"/>
      <c r="E60" s="272"/>
      <c r="F60" s="275"/>
      <c r="G60" s="271" t="str">
        <f t="shared" si="1"/>
        <v/>
      </c>
      <c r="H60" s="274" t="str">
        <f t="shared" si="2"/>
        <v/>
      </c>
      <c r="I60" s="273"/>
      <c r="J60" s="272"/>
      <c r="K60" s="259"/>
      <c r="L60" s="271" t="str">
        <f t="shared" si="0"/>
        <v/>
      </c>
      <c r="M60" s="257"/>
    </row>
    <row r="61" spans="1:13" x14ac:dyDescent="0.25">
      <c r="A61" s="312">
        <v>54</v>
      </c>
      <c r="B61" s="276"/>
      <c r="C61" s="272"/>
      <c r="D61" s="272"/>
      <c r="E61" s="272"/>
      <c r="F61" s="275"/>
      <c r="G61" s="271" t="str">
        <f t="shared" si="1"/>
        <v/>
      </c>
      <c r="H61" s="274" t="str">
        <f t="shared" si="2"/>
        <v/>
      </c>
      <c r="I61" s="273"/>
      <c r="J61" s="272"/>
      <c r="K61" s="259"/>
      <c r="L61" s="271" t="str">
        <f t="shared" si="0"/>
        <v/>
      </c>
      <c r="M61" s="257"/>
    </row>
    <row r="62" spans="1:13" x14ac:dyDescent="0.25">
      <c r="A62" s="312">
        <v>55</v>
      </c>
      <c r="B62" s="276"/>
      <c r="C62" s="272"/>
      <c r="D62" s="272"/>
      <c r="E62" s="272"/>
      <c r="F62" s="275"/>
      <c r="G62" s="271" t="str">
        <f t="shared" si="1"/>
        <v/>
      </c>
      <c r="H62" s="274" t="str">
        <f t="shared" si="2"/>
        <v/>
      </c>
      <c r="I62" s="273"/>
      <c r="J62" s="272"/>
      <c r="K62" s="259"/>
      <c r="L62" s="271" t="str">
        <f t="shared" si="0"/>
        <v/>
      </c>
      <c r="M62" s="257"/>
    </row>
    <row r="63" spans="1:13" x14ac:dyDescent="0.25">
      <c r="A63" s="312">
        <v>56</v>
      </c>
      <c r="B63" s="276"/>
      <c r="C63" s="272"/>
      <c r="D63" s="272"/>
      <c r="E63" s="272"/>
      <c r="F63" s="275"/>
      <c r="G63" s="271" t="str">
        <f t="shared" si="1"/>
        <v/>
      </c>
      <c r="H63" s="274" t="str">
        <f t="shared" si="2"/>
        <v/>
      </c>
      <c r="I63" s="273"/>
      <c r="J63" s="272"/>
      <c r="K63" s="259"/>
      <c r="L63" s="271" t="str">
        <f t="shared" si="0"/>
        <v/>
      </c>
      <c r="M63" s="257"/>
    </row>
    <row r="64" spans="1:13" x14ac:dyDescent="0.25">
      <c r="A64" s="312">
        <v>57</v>
      </c>
      <c r="B64" s="276"/>
      <c r="C64" s="272"/>
      <c r="D64" s="272"/>
      <c r="E64" s="272"/>
      <c r="F64" s="275"/>
      <c r="G64" s="271" t="str">
        <f t="shared" si="1"/>
        <v/>
      </c>
      <c r="H64" s="274" t="str">
        <f t="shared" si="2"/>
        <v/>
      </c>
      <c r="I64" s="273"/>
      <c r="J64" s="272"/>
      <c r="K64" s="259"/>
      <c r="L64" s="271" t="str">
        <f t="shared" si="0"/>
        <v/>
      </c>
      <c r="M64" s="257"/>
    </row>
    <row r="65" spans="1:13" x14ac:dyDescent="0.25">
      <c r="A65" s="312">
        <v>58</v>
      </c>
      <c r="B65" s="276"/>
      <c r="C65" s="272"/>
      <c r="D65" s="272"/>
      <c r="E65" s="272"/>
      <c r="F65" s="275"/>
      <c r="G65" s="271" t="str">
        <f t="shared" si="1"/>
        <v/>
      </c>
      <c r="H65" s="274" t="str">
        <f t="shared" si="2"/>
        <v/>
      </c>
      <c r="I65" s="273"/>
      <c r="J65" s="272"/>
      <c r="K65" s="259"/>
      <c r="L65" s="271" t="str">
        <f t="shared" si="0"/>
        <v/>
      </c>
      <c r="M65" s="257"/>
    </row>
    <row r="66" spans="1:13" x14ac:dyDescent="0.25">
      <c r="A66" s="312">
        <v>59</v>
      </c>
      <c r="B66" s="276"/>
      <c r="C66" s="272"/>
      <c r="D66" s="272"/>
      <c r="E66" s="272"/>
      <c r="F66" s="275"/>
      <c r="G66" s="271" t="str">
        <f t="shared" si="1"/>
        <v/>
      </c>
      <c r="H66" s="274" t="str">
        <f t="shared" si="2"/>
        <v/>
      </c>
      <c r="I66" s="273"/>
      <c r="J66" s="272"/>
      <c r="K66" s="259"/>
      <c r="L66" s="271" t="str">
        <f t="shared" si="0"/>
        <v/>
      </c>
      <c r="M66" s="257"/>
    </row>
    <row r="67" spans="1:13" x14ac:dyDescent="0.25">
      <c r="A67" s="312">
        <v>60</v>
      </c>
      <c r="B67" s="276"/>
      <c r="C67" s="272"/>
      <c r="D67" s="272"/>
      <c r="E67" s="272"/>
      <c r="F67" s="275"/>
      <c r="G67" s="271" t="str">
        <f t="shared" si="1"/>
        <v/>
      </c>
      <c r="H67" s="274" t="str">
        <f t="shared" si="2"/>
        <v/>
      </c>
      <c r="I67" s="273"/>
      <c r="J67" s="272"/>
      <c r="K67" s="259"/>
      <c r="L67" s="271" t="str">
        <f t="shared" si="0"/>
        <v/>
      </c>
      <c r="M67" s="257"/>
    </row>
    <row r="68" spans="1:13" x14ac:dyDescent="0.25">
      <c r="A68" s="312">
        <v>61</v>
      </c>
      <c r="B68" s="276"/>
      <c r="C68" s="272"/>
      <c r="D68" s="272"/>
      <c r="E68" s="272"/>
      <c r="F68" s="275"/>
      <c r="G68" s="271" t="str">
        <f t="shared" si="1"/>
        <v/>
      </c>
      <c r="H68" s="274" t="str">
        <f t="shared" si="2"/>
        <v/>
      </c>
      <c r="I68" s="273"/>
      <c r="J68" s="272"/>
      <c r="K68" s="259"/>
      <c r="L68" s="271" t="str">
        <f t="shared" si="0"/>
        <v/>
      </c>
      <c r="M68" s="257"/>
    </row>
    <row r="69" spans="1:13" x14ac:dyDescent="0.25">
      <c r="A69" s="312">
        <v>62</v>
      </c>
      <c r="B69" s="276"/>
      <c r="C69" s="272"/>
      <c r="D69" s="272"/>
      <c r="E69" s="272"/>
      <c r="F69" s="275"/>
      <c r="G69" s="271" t="str">
        <f t="shared" si="1"/>
        <v/>
      </c>
      <c r="H69" s="274" t="str">
        <f t="shared" si="2"/>
        <v/>
      </c>
      <c r="I69" s="273"/>
      <c r="J69" s="272"/>
      <c r="K69" s="259"/>
      <c r="L69" s="271" t="str">
        <f t="shared" si="0"/>
        <v/>
      </c>
      <c r="M69" s="257"/>
    </row>
    <row r="70" spans="1:13" x14ac:dyDescent="0.25">
      <c r="A70" s="312">
        <v>63</v>
      </c>
      <c r="B70" s="276"/>
      <c r="C70" s="272"/>
      <c r="D70" s="272"/>
      <c r="E70" s="272"/>
      <c r="F70" s="275"/>
      <c r="G70" s="271" t="str">
        <f t="shared" si="1"/>
        <v/>
      </c>
      <c r="H70" s="274" t="str">
        <f t="shared" si="2"/>
        <v/>
      </c>
      <c r="I70" s="273"/>
      <c r="J70" s="272"/>
      <c r="K70" s="259"/>
      <c r="L70" s="271" t="str">
        <f t="shared" si="0"/>
        <v/>
      </c>
      <c r="M70" s="257"/>
    </row>
    <row r="71" spans="1:13" x14ac:dyDescent="0.25">
      <c r="A71" s="312">
        <v>64</v>
      </c>
      <c r="B71" s="276"/>
      <c r="C71" s="272"/>
      <c r="D71" s="272"/>
      <c r="E71" s="272"/>
      <c r="F71" s="275"/>
      <c r="G71" s="271" t="str">
        <f t="shared" si="1"/>
        <v/>
      </c>
      <c r="H71" s="274" t="str">
        <f t="shared" si="2"/>
        <v/>
      </c>
      <c r="I71" s="273"/>
      <c r="J71" s="272"/>
      <c r="K71" s="259"/>
      <c r="L71" s="271" t="str">
        <f t="shared" si="0"/>
        <v/>
      </c>
      <c r="M71" s="257"/>
    </row>
    <row r="72" spans="1:13" x14ac:dyDescent="0.25">
      <c r="A72" s="312">
        <v>65</v>
      </c>
      <c r="B72" s="276"/>
      <c r="C72" s="272"/>
      <c r="D72" s="272"/>
      <c r="E72" s="272"/>
      <c r="F72" s="275"/>
      <c r="G72" s="271" t="str">
        <f t="shared" ref="G72:G135" si="3">IF(AND(C72&lt;&gt;"",D72&lt;&gt;"",F72&lt;&gt;""),C72*D72*F72,IF(AND(C72&lt;&gt;"",E72&lt;&gt;"",F72&lt;&gt;""),C72*E72*F72,IF(AND(C72&lt;&gt;"",D72&lt;&gt;"",E72&lt;&gt;"",F72&lt;&gt;""),C72*D72*E72*F72,"")))</f>
        <v/>
      </c>
      <c r="H72" s="274" t="str">
        <f t="shared" si="2"/>
        <v/>
      </c>
      <c r="I72" s="273"/>
      <c r="J72" s="272"/>
      <c r="K72" s="259"/>
      <c r="L72" s="271" t="str">
        <f t="shared" ref="L72:L135" si="4">IF(AND(I72&lt;&gt;"",J72&lt;&gt;"",K72&lt;&gt;""),I72*J72*K72,IF(AND(I72&lt;&gt;"",J72="",K72&lt;&gt;""),I72*K72,""))</f>
        <v/>
      </c>
      <c r="M72" s="257"/>
    </row>
    <row r="73" spans="1:13" x14ac:dyDescent="0.25">
      <c r="A73" s="312">
        <v>66</v>
      </c>
      <c r="B73" s="276"/>
      <c r="C73" s="272"/>
      <c r="D73" s="272"/>
      <c r="E73" s="272"/>
      <c r="F73" s="275"/>
      <c r="G73" s="271" t="str">
        <f t="shared" si="3"/>
        <v/>
      </c>
      <c r="H73" s="274" t="str">
        <f t="shared" ref="H73:H136" si="5">IF(AND(H72&lt;&gt;"",G73&lt;&gt;""),SUM(H72,G73),"")</f>
        <v/>
      </c>
      <c r="I73" s="273"/>
      <c r="J73" s="272"/>
      <c r="K73" s="259"/>
      <c r="L73" s="271" t="str">
        <f t="shared" si="4"/>
        <v/>
      </c>
      <c r="M73" s="257"/>
    </row>
    <row r="74" spans="1:13" x14ac:dyDescent="0.25">
      <c r="A74" s="312">
        <v>67</v>
      </c>
      <c r="B74" s="276"/>
      <c r="C74" s="272"/>
      <c r="D74" s="272"/>
      <c r="E74" s="272"/>
      <c r="F74" s="275"/>
      <c r="G74" s="271" t="str">
        <f t="shared" si="3"/>
        <v/>
      </c>
      <c r="H74" s="274" t="str">
        <f t="shared" si="5"/>
        <v/>
      </c>
      <c r="I74" s="273"/>
      <c r="J74" s="272"/>
      <c r="K74" s="259"/>
      <c r="L74" s="271" t="str">
        <f t="shared" si="4"/>
        <v/>
      </c>
      <c r="M74" s="257"/>
    </row>
    <row r="75" spans="1:13" x14ac:dyDescent="0.25">
      <c r="A75" s="312">
        <v>68</v>
      </c>
      <c r="B75" s="276"/>
      <c r="C75" s="272"/>
      <c r="D75" s="272"/>
      <c r="E75" s="272"/>
      <c r="F75" s="275"/>
      <c r="G75" s="271" t="str">
        <f t="shared" si="3"/>
        <v/>
      </c>
      <c r="H75" s="274" t="str">
        <f t="shared" si="5"/>
        <v/>
      </c>
      <c r="I75" s="273"/>
      <c r="J75" s="272"/>
      <c r="K75" s="259"/>
      <c r="L75" s="271" t="str">
        <f t="shared" si="4"/>
        <v/>
      </c>
      <c r="M75" s="257"/>
    </row>
    <row r="76" spans="1:13" x14ac:dyDescent="0.25">
      <c r="A76" s="312">
        <v>69</v>
      </c>
      <c r="B76" s="276"/>
      <c r="C76" s="272"/>
      <c r="D76" s="272"/>
      <c r="E76" s="272"/>
      <c r="F76" s="275"/>
      <c r="G76" s="271" t="str">
        <f t="shared" si="3"/>
        <v/>
      </c>
      <c r="H76" s="274" t="str">
        <f t="shared" si="5"/>
        <v/>
      </c>
      <c r="I76" s="273"/>
      <c r="J76" s="272"/>
      <c r="K76" s="259"/>
      <c r="L76" s="271" t="str">
        <f t="shared" si="4"/>
        <v/>
      </c>
      <c r="M76" s="257"/>
    </row>
    <row r="77" spans="1:13" x14ac:dyDescent="0.25">
      <c r="A77" s="312">
        <v>70</v>
      </c>
      <c r="B77" s="276"/>
      <c r="C77" s="272"/>
      <c r="D77" s="272"/>
      <c r="E77" s="272"/>
      <c r="F77" s="275"/>
      <c r="G77" s="271" t="str">
        <f t="shared" si="3"/>
        <v/>
      </c>
      <c r="H77" s="274" t="str">
        <f t="shared" si="5"/>
        <v/>
      </c>
      <c r="I77" s="273"/>
      <c r="J77" s="272"/>
      <c r="K77" s="259"/>
      <c r="L77" s="271" t="str">
        <f t="shared" si="4"/>
        <v/>
      </c>
      <c r="M77" s="257"/>
    </row>
    <row r="78" spans="1:13" x14ac:dyDescent="0.25">
      <c r="A78" s="312">
        <v>71</v>
      </c>
      <c r="B78" s="276"/>
      <c r="C78" s="272"/>
      <c r="D78" s="272"/>
      <c r="E78" s="272"/>
      <c r="F78" s="275"/>
      <c r="G78" s="271" t="str">
        <f t="shared" si="3"/>
        <v/>
      </c>
      <c r="H78" s="274" t="str">
        <f t="shared" si="5"/>
        <v/>
      </c>
      <c r="I78" s="273"/>
      <c r="J78" s="272"/>
      <c r="K78" s="259"/>
      <c r="L78" s="271" t="str">
        <f t="shared" si="4"/>
        <v/>
      </c>
      <c r="M78" s="257"/>
    </row>
    <row r="79" spans="1:13" x14ac:dyDescent="0.25">
      <c r="A79" s="312">
        <v>72</v>
      </c>
      <c r="B79" s="276"/>
      <c r="C79" s="272"/>
      <c r="D79" s="272"/>
      <c r="E79" s="272"/>
      <c r="F79" s="275"/>
      <c r="G79" s="271" t="str">
        <f t="shared" si="3"/>
        <v/>
      </c>
      <c r="H79" s="274" t="str">
        <f t="shared" si="5"/>
        <v/>
      </c>
      <c r="I79" s="273"/>
      <c r="J79" s="272"/>
      <c r="K79" s="259"/>
      <c r="L79" s="271" t="str">
        <f t="shared" si="4"/>
        <v/>
      </c>
      <c r="M79" s="257"/>
    </row>
    <row r="80" spans="1:13" x14ac:dyDescent="0.25">
      <c r="A80" s="312">
        <v>73</v>
      </c>
      <c r="B80" s="276"/>
      <c r="C80" s="272"/>
      <c r="D80" s="272"/>
      <c r="E80" s="272"/>
      <c r="F80" s="275"/>
      <c r="G80" s="271" t="str">
        <f t="shared" si="3"/>
        <v/>
      </c>
      <c r="H80" s="274" t="str">
        <f t="shared" si="5"/>
        <v/>
      </c>
      <c r="I80" s="273"/>
      <c r="J80" s="272"/>
      <c r="K80" s="259"/>
      <c r="L80" s="271" t="str">
        <f t="shared" si="4"/>
        <v/>
      </c>
      <c r="M80" s="257"/>
    </row>
    <row r="81" spans="1:13" x14ac:dyDescent="0.25">
      <c r="A81" s="312">
        <v>74</v>
      </c>
      <c r="B81" s="276"/>
      <c r="C81" s="272"/>
      <c r="D81" s="272"/>
      <c r="E81" s="272"/>
      <c r="F81" s="275"/>
      <c r="G81" s="271" t="str">
        <f t="shared" si="3"/>
        <v/>
      </c>
      <c r="H81" s="274" t="str">
        <f t="shared" si="5"/>
        <v/>
      </c>
      <c r="I81" s="273"/>
      <c r="J81" s="272"/>
      <c r="K81" s="259"/>
      <c r="L81" s="271" t="str">
        <f t="shared" si="4"/>
        <v/>
      </c>
      <c r="M81" s="257"/>
    </row>
    <row r="82" spans="1:13" x14ac:dyDescent="0.25">
      <c r="A82" s="312">
        <v>75</v>
      </c>
      <c r="B82" s="276"/>
      <c r="C82" s="272"/>
      <c r="D82" s="272"/>
      <c r="E82" s="272"/>
      <c r="F82" s="275"/>
      <c r="G82" s="271" t="str">
        <f t="shared" si="3"/>
        <v/>
      </c>
      <c r="H82" s="274" t="str">
        <f t="shared" si="5"/>
        <v/>
      </c>
      <c r="I82" s="273"/>
      <c r="J82" s="272"/>
      <c r="K82" s="259"/>
      <c r="L82" s="271" t="str">
        <f t="shared" si="4"/>
        <v/>
      </c>
      <c r="M82" s="257"/>
    </row>
    <row r="83" spans="1:13" x14ac:dyDescent="0.25">
      <c r="A83" s="312">
        <v>76</v>
      </c>
      <c r="B83" s="276"/>
      <c r="C83" s="272"/>
      <c r="D83" s="272"/>
      <c r="E83" s="272"/>
      <c r="F83" s="275"/>
      <c r="G83" s="271" t="str">
        <f t="shared" si="3"/>
        <v/>
      </c>
      <c r="H83" s="274" t="str">
        <f t="shared" si="5"/>
        <v/>
      </c>
      <c r="I83" s="273"/>
      <c r="J83" s="272"/>
      <c r="K83" s="259"/>
      <c r="L83" s="271" t="str">
        <f t="shared" si="4"/>
        <v/>
      </c>
      <c r="M83" s="257"/>
    </row>
    <row r="84" spans="1:13" x14ac:dyDescent="0.25">
      <c r="A84" s="312">
        <v>77</v>
      </c>
      <c r="B84" s="276"/>
      <c r="C84" s="272"/>
      <c r="D84" s="272"/>
      <c r="E84" s="272"/>
      <c r="F84" s="275"/>
      <c r="G84" s="271" t="str">
        <f t="shared" si="3"/>
        <v/>
      </c>
      <c r="H84" s="274" t="str">
        <f t="shared" si="5"/>
        <v/>
      </c>
      <c r="I84" s="273"/>
      <c r="J84" s="272"/>
      <c r="K84" s="259"/>
      <c r="L84" s="271" t="str">
        <f t="shared" si="4"/>
        <v/>
      </c>
      <c r="M84" s="257"/>
    </row>
    <row r="85" spans="1:13" x14ac:dyDescent="0.25">
      <c r="A85" s="312">
        <v>78</v>
      </c>
      <c r="B85" s="276"/>
      <c r="C85" s="272"/>
      <c r="D85" s="272"/>
      <c r="E85" s="272"/>
      <c r="F85" s="275"/>
      <c r="G85" s="271" t="str">
        <f t="shared" si="3"/>
        <v/>
      </c>
      <c r="H85" s="274" t="str">
        <f t="shared" si="5"/>
        <v/>
      </c>
      <c r="I85" s="273"/>
      <c r="J85" s="272"/>
      <c r="K85" s="259"/>
      <c r="L85" s="271" t="str">
        <f t="shared" si="4"/>
        <v/>
      </c>
      <c r="M85" s="257"/>
    </row>
    <row r="86" spans="1:13" x14ac:dyDescent="0.25">
      <c r="A86" s="312">
        <v>79</v>
      </c>
      <c r="B86" s="276"/>
      <c r="C86" s="272"/>
      <c r="D86" s="272"/>
      <c r="E86" s="272"/>
      <c r="F86" s="275"/>
      <c r="G86" s="271" t="str">
        <f t="shared" si="3"/>
        <v/>
      </c>
      <c r="H86" s="274" t="str">
        <f t="shared" si="5"/>
        <v/>
      </c>
      <c r="I86" s="273"/>
      <c r="J86" s="272"/>
      <c r="K86" s="259"/>
      <c r="L86" s="271" t="str">
        <f t="shared" si="4"/>
        <v/>
      </c>
      <c r="M86" s="257"/>
    </row>
    <row r="87" spans="1:13" x14ac:dyDescent="0.25">
      <c r="A87" s="312">
        <v>80</v>
      </c>
      <c r="B87" s="276"/>
      <c r="C87" s="272"/>
      <c r="D87" s="272"/>
      <c r="E87" s="272"/>
      <c r="F87" s="275"/>
      <c r="G87" s="271" t="str">
        <f t="shared" si="3"/>
        <v/>
      </c>
      <c r="H87" s="274" t="str">
        <f t="shared" si="5"/>
        <v/>
      </c>
      <c r="I87" s="273"/>
      <c r="J87" s="272"/>
      <c r="K87" s="259"/>
      <c r="L87" s="271" t="str">
        <f t="shared" si="4"/>
        <v/>
      </c>
      <c r="M87" s="257"/>
    </row>
    <row r="88" spans="1:13" x14ac:dyDescent="0.25">
      <c r="A88" s="312">
        <v>81</v>
      </c>
      <c r="B88" s="270"/>
      <c r="C88" s="266"/>
      <c r="D88" s="266"/>
      <c r="E88" s="266"/>
      <c r="F88" s="269"/>
      <c r="G88" s="264" t="str">
        <f t="shared" si="3"/>
        <v/>
      </c>
      <c r="H88" s="268" t="str">
        <f t="shared" si="5"/>
        <v/>
      </c>
      <c r="I88" s="267"/>
      <c r="J88" s="266"/>
      <c r="K88" s="265"/>
      <c r="L88" s="264" t="str">
        <f t="shared" si="4"/>
        <v/>
      </c>
      <c r="M88" s="257"/>
    </row>
    <row r="89" spans="1:13" x14ac:dyDescent="0.25">
      <c r="A89" s="263"/>
      <c r="B89" s="262"/>
      <c r="C89" s="260"/>
      <c r="D89" s="260"/>
      <c r="E89" s="260"/>
      <c r="F89" s="259"/>
      <c r="G89" s="258" t="str">
        <f t="shared" si="3"/>
        <v/>
      </c>
      <c r="H89" s="261" t="str">
        <f>IF(AND(H88&lt;&gt;"",G89&lt;&gt;""),SUM(H88,G89),"")</f>
        <v/>
      </c>
      <c r="I89" s="260"/>
      <c r="J89" s="260"/>
      <c r="K89" s="259"/>
      <c r="L89" s="258" t="str">
        <f t="shared" si="4"/>
        <v/>
      </c>
      <c r="M89" s="257"/>
    </row>
    <row r="90" spans="1:13" x14ac:dyDescent="0.25">
      <c r="A90" s="263"/>
      <c r="B90" s="262"/>
      <c r="C90" s="260"/>
      <c r="D90" s="260"/>
      <c r="E90" s="260"/>
      <c r="F90" s="259"/>
      <c r="G90" s="258" t="str">
        <f t="shared" si="3"/>
        <v/>
      </c>
      <c r="H90" s="261" t="str">
        <f t="shared" si="5"/>
        <v/>
      </c>
      <c r="I90" s="260"/>
      <c r="J90" s="260"/>
      <c r="K90" s="259"/>
      <c r="L90" s="258" t="str">
        <f t="shared" si="4"/>
        <v/>
      </c>
      <c r="M90" s="257"/>
    </row>
    <row r="91" spans="1:13" x14ac:dyDescent="0.25">
      <c r="A91" s="263"/>
      <c r="B91" s="262"/>
      <c r="C91" s="260"/>
      <c r="D91" s="260"/>
      <c r="E91" s="260"/>
      <c r="F91" s="259"/>
      <c r="G91" s="258" t="str">
        <f t="shared" si="3"/>
        <v/>
      </c>
      <c r="H91" s="261" t="str">
        <f t="shared" si="5"/>
        <v/>
      </c>
      <c r="I91" s="260"/>
      <c r="J91" s="260"/>
      <c r="K91" s="259"/>
      <c r="L91" s="258" t="str">
        <f t="shared" si="4"/>
        <v/>
      </c>
      <c r="M91" s="257"/>
    </row>
    <row r="92" spans="1:13" x14ac:dyDescent="0.25">
      <c r="A92" s="263"/>
      <c r="B92" s="262"/>
      <c r="C92" s="260"/>
      <c r="D92" s="260"/>
      <c r="E92" s="260"/>
      <c r="F92" s="259"/>
      <c r="G92" s="258" t="str">
        <f t="shared" si="3"/>
        <v/>
      </c>
      <c r="H92" s="261" t="str">
        <f t="shared" si="5"/>
        <v/>
      </c>
      <c r="I92" s="260"/>
      <c r="J92" s="260"/>
      <c r="K92" s="259"/>
      <c r="L92" s="258" t="str">
        <f t="shared" si="4"/>
        <v/>
      </c>
      <c r="M92" s="257"/>
    </row>
    <row r="93" spans="1:13" x14ac:dyDescent="0.25">
      <c r="A93" s="263"/>
      <c r="B93" s="262"/>
      <c r="C93" s="260"/>
      <c r="D93" s="260"/>
      <c r="E93" s="260"/>
      <c r="F93" s="259"/>
      <c r="G93" s="258" t="str">
        <f t="shared" si="3"/>
        <v/>
      </c>
      <c r="H93" s="261" t="str">
        <f t="shared" si="5"/>
        <v/>
      </c>
      <c r="I93" s="260"/>
      <c r="J93" s="260"/>
      <c r="K93" s="259"/>
      <c r="L93" s="258" t="str">
        <f t="shared" si="4"/>
        <v/>
      </c>
      <c r="M93" s="257"/>
    </row>
    <row r="94" spans="1:13" x14ac:dyDescent="0.25">
      <c r="A94" s="263"/>
      <c r="B94" s="262"/>
      <c r="C94" s="260"/>
      <c r="D94" s="260"/>
      <c r="E94" s="260"/>
      <c r="F94" s="259"/>
      <c r="G94" s="258" t="str">
        <f t="shared" si="3"/>
        <v/>
      </c>
      <c r="H94" s="261" t="str">
        <f t="shared" si="5"/>
        <v/>
      </c>
      <c r="I94" s="260"/>
      <c r="J94" s="260"/>
      <c r="K94" s="259"/>
      <c r="L94" s="258" t="str">
        <f t="shared" si="4"/>
        <v/>
      </c>
      <c r="M94" s="257"/>
    </row>
    <row r="95" spans="1:13" x14ac:dyDescent="0.25">
      <c r="A95" s="263"/>
      <c r="B95" s="262"/>
      <c r="C95" s="260"/>
      <c r="D95" s="260"/>
      <c r="E95" s="260"/>
      <c r="F95" s="259"/>
      <c r="G95" s="258" t="str">
        <f t="shared" si="3"/>
        <v/>
      </c>
      <c r="H95" s="261" t="str">
        <f t="shared" si="5"/>
        <v/>
      </c>
      <c r="I95" s="260"/>
      <c r="J95" s="260"/>
      <c r="K95" s="259"/>
      <c r="L95" s="258" t="str">
        <f t="shared" si="4"/>
        <v/>
      </c>
      <c r="M95" s="257"/>
    </row>
    <row r="96" spans="1:13" x14ac:dyDescent="0.25">
      <c r="A96" s="263"/>
      <c r="B96" s="262"/>
      <c r="C96" s="260"/>
      <c r="D96" s="260"/>
      <c r="E96" s="260"/>
      <c r="F96" s="259"/>
      <c r="G96" s="258" t="str">
        <f t="shared" si="3"/>
        <v/>
      </c>
      <c r="H96" s="261" t="str">
        <f t="shared" si="5"/>
        <v/>
      </c>
      <c r="I96" s="260"/>
      <c r="J96" s="260"/>
      <c r="K96" s="259"/>
      <c r="L96" s="258" t="str">
        <f t="shared" si="4"/>
        <v/>
      </c>
      <c r="M96" s="257"/>
    </row>
    <row r="97" spans="1:13" x14ac:dyDescent="0.25">
      <c r="A97" s="263"/>
      <c r="B97" s="262"/>
      <c r="C97" s="260"/>
      <c r="D97" s="260"/>
      <c r="E97" s="260"/>
      <c r="F97" s="259"/>
      <c r="G97" s="258" t="str">
        <f t="shared" si="3"/>
        <v/>
      </c>
      <c r="H97" s="261" t="str">
        <f t="shared" si="5"/>
        <v/>
      </c>
      <c r="I97" s="260"/>
      <c r="J97" s="260"/>
      <c r="K97" s="259"/>
      <c r="L97" s="258" t="str">
        <f t="shared" si="4"/>
        <v/>
      </c>
      <c r="M97" s="257"/>
    </row>
    <row r="98" spans="1:13" x14ac:dyDescent="0.25">
      <c r="A98" s="263"/>
      <c r="B98" s="262"/>
      <c r="C98" s="260"/>
      <c r="D98" s="260"/>
      <c r="E98" s="260"/>
      <c r="F98" s="259"/>
      <c r="G98" s="258" t="str">
        <f t="shared" si="3"/>
        <v/>
      </c>
      <c r="H98" s="261" t="str">
        <f t="shared" si="5"/>
        <v/>
      </c>
      <c r="I98" s="260"/>
      <c r="J98" s="260"/>
      <c r="K98" s="259"/>
      <c r="L98" s="258" t="str">
        <f t="shared" si="4"/>
        <v/>
      </c>
      <c r="M98" s="257"/>
    </row>
    <row r="99" spans="1:13" x14ac:dyDescent="0.25">
      <c r="A99" s="263"/>
      <c r="B99" s="262"/>
      <c r="C99" s="260"/>
      <c r="D99" s="260"/>
      <c r="E99" s="260"/>
      <c r="F99" s="259"/>
      <c r="G99" s="258" t="str">
        <f t="shared" si="3"/>
        <v/>
      </c>
      <c r="H99" s="261" t="str">
        <f t="shared" si="5"/>
        <v/>
      </c>
      <c r="I99" s="260"/>
      <c r="J99" s="260"/>
      <c r="K99" s="259"/>
      <c r="L99" s="258" t="str">
        <f t="shared" si="4"/>
        <v/>
      </c>
      <c r="M99" s="257"/>
    </row>
    <row r="100" spans="1:13" x14ac:dyDescent="0.25">
      <c r="A100" s="263"/>
      <c r="B100" s="262"/>
      <c r="C100" s="260"/>
      <c r="D100" s="260"/>
      <c r="E100" s="260"/>
      <c r="F100" s="259"/>
      <c r="G100" s="258" t="str">
        <f t="shared" si="3"/>
        <v/>
      </c>
      <c r="H100" s="261" t="str">
        <f t="shared" si="5"/>
        <v/>
      </c>
      <c r="I100" s="260"/>
      <c r="J100" s="260"/>
      <c r="K100" s="259"/>
      <c r="L100" s="258" t="str">
        <f t="shared" si="4"/>
        <v/>
      </c>
      <c r="M100" s="257"/>
    </row>
    <row r="101" spans="1:13" x14ac:dyDescent="0.25">
      <c r="A101" s="263"/>
      <c r="B101" s="262"/>
      <c r="C101" s="260"/>
      <c r="D101" s="260"/>
      <c r="E101" s="260"/>
      <c r="F101" s="259"/>
      <c r="G101" s="258" t="str">
        <f t="shared" si="3"/>
        <v/>
      </c>
      <c r="H101" s="261" t="str">
        <f t="shared" si="5"/>
        <v/>
      </c>
      <c r="I101" s="260"/>
      <c r="J101" s="260"/>
      <c r="K101" s="259"/>
      <c r="L101" s="258" t="str">
        <f t="shared" si="4"/>
        <v/>
      </c>
      <c r="M101" s="257"/>
    </row>
    <row r="102" spans="1:13" x14ac:dyDescent="0.25">
      <c r="A102" s="263"/>
      <c r="B102" s="262"/>
      <c r="C102" s="260"/>
      <c r="D102" s="260"/>
      <c r="E102" s="260"/>
      <c r="F102" s="259"/>
      <c r="G102" s="258" t="str">
        <f t="shared" si="3"/>
        <v/>
      </c>
      <c r="H102" s="261" t="str">
        <f t="shared" si="5"/>
        <v/>
      </c>
      <c r="I102" s="260"/>
      <c r="J102" s="260"/>
      <c r="K102" s="259"/>
      <c r="L102" s="258" t="str">
        <f t="shared" si="4"/>
        <v/>
      </c>
      <c r="M102" s="257"/>
    </row>
    <row r="103" spans="1:13" x14ac:dyDescent="0.25">
      <c r="A103" s="263"/>
      <c r="B103" s="262"/>
      <c r="C103" s="260"/>
      <c r="D103" s="260"/>
      <c r="E103" s="260"/>
      <c r="F103" s="259"/>
      <c r="G103" s="258" t="str">
        <f t="shared" si="3"/>
        <v/>
      </c>
      <c r="H103" s="261" t="str">
        <f t="shared" si="5"/>
        <v/>
      </c>
      <c r="I103" s="260"/>
      <c r="J103" s="260"/>
      <c r="K103" s="259"/>
      <c r="L103" s="258" t="str">
        <f t="shared" si="4"/>
        <v/>
      </c>
      <c r="M103" s="257"/>
    </row>
    <row r="104" spans="1:13" x14ac:dyDescent="0.25">
      <c r="A104" s="263"/>
      <c r="B104" s="262"/>
      <c r="C104" s="260"/>
      <c r="D104" s="260"/>
      <c r="E104" s="260"/>
      <c r="F104" s="259"/>
      <c r="G104" s="258" t="str">
        <f t="shared" si="3"/>
        <v/>
      </c>
      <c r="H104" s="261" t="str">
        <f t="shared" si="5"/>
        <v/>
      </c>
      <c r="I104" s="260"/>
      <c r="J104" s="260"/>
      <c r="K104" s="259"/>
      <c r="L104" s="258" t="str">
        <f t="shared" si="4"/>
        <v/>
      </c>
      <c r="M104" s="257"/>
    </row>
    <row r="105" spans="1:13" x14ac:dyDescent="0.25">
      <c r="A105" s="263"/>
      <c r="B105" s="262"/>
      <c r="C105" s="260"/>
      <c r="D105" s="260"/>
      <c r="E105" s="260"/>
      <c r="F105" s="259"/>
      <c r="G105" s="258" t="str">
        <f t="shared" si="3"/>
        <v/>
      </c>
      <c r="H105" s="261" t="str">
        <f t="shared" si="5"/>
        <v/>
      </c>
      <c r="I105" s="260"/>
      <c r="J105" s="260"/>
      <c r="K105" s="259"/>
      <c r="L105" s="258" t="str">
        <f t="shared" si="4"/>
        <v/>
      </c>
      <c r="M105" s="257"/>
    </row>
    <row r="106" spans="1:13" x14ac:dyDescent="0.25">
      <c r="A106" s="263"/>
      <c r="B106" s="262"/>
      <c r="C106" s="260"/>
      <c r="D106" s="260"/>
      <c r="E106" s="260"/>
      <c r="F106" s="259"/>
      <c r="G106" s="258" t="str">
        <f t="shared" si="3"/>
        <v/>
      </c>
      <c r="H106" s="261" t="str">
        <f t="shared" si="5"/>
        <v/>
      </c>
      <c r="I106" s="260"/>
      <c r="J106" s="260"/>
      <c r="K106" s="259"/>
      <c r="L106" s="258" t="str">
        <f t="shared" si="4"/>
        <v/>
      </c>
      <c r="M106" s="257"/>
    </row>
    <row r="107" spans="1:13" x14ac:dyDescent="0.25">
      <c r="A107" s="263"/>
      <c r="B107" s="262"/>
      <c r="C107" s="260"/>
      <c r="D107" s="260"/>
      <c r="E107" s="260"/>
      <c r="F107" s="259"/>
      <c r="G107" s="258" t="str">
        <f t="shared" si="3"/>
        <v/>
      </c>
      <c r="H107" s="261" t="str">
        <f t="shared" si="5"/>
        <v/>
      </c>
      <c r="I107" s="260"/>
      <c r="J107" s="260"/>
      <c r="K107" s="259"/>
      <c r="L107" s="258" t="str">
        <f t="shared" si="4"/>
        <v/>
      </c>
      <c r="M107" s="257"/>
    </row>
    <row r="108" spans="1:13" x14ac:dyDescent="0.25">
      <c r="A108" s="263"/>
      <c r="B108" s="262"/>
      <c r="C108" s="260"/>
      <c r="D108" s="260"/>
      <c r="E108" s="260"/>
      <c r="F108" s="259"/>
      <c r="G108" s="258" t="str">
        <f t="shared" si="3"/>
        <v/>
      </c>
      <c r="H108" s="261" t="str">
        <f t="shared" si="5"/>
        <v/>
      </c>
      <c r="I108" s="260"/>
      <c r="J108" s="260"/>
      <c r="K108" s="259"/>
      <c r="L108" s="258" t="str">
        <f t="shared" si="4"/>
        <v/>
      </c>
      <c r="M108" s="257"/>
    </row>
    <row r="109" spans="1:13" x14ac:dyDescent="0.25">
      <c r="A109" s="263"/>
      <c r="B109" s="262"/>
      <c r="C109" s="260"/>
      <c r="D109" s="260"/>
      <c r="E109" s="260"/>
      <c r="F109" s="259"/>
      <c r="G109" s="258" t="str">
        <f t="shared" si="3"/>
        <v/>
      </c>
      <c r="H109" s="261" t="str">
        <f t="shared" si="5"/>
        <v/>
      </c>
      <c r="I109" s="260"/>
      <c r="J109" s="260"/>
      <c r="K109" s="259"/>
      <c r="L109" s="258" t="str">
        <f t="shared" si="4"/>
        <v/>
      </c>
      <c r="M109" s="257"/>
    </row>
    <row r="110" spans="1:13" x14ac:dyDescent="0.25">
      <c r="A110" s="263"/>
      <c r="B110" s="262"/>
      <c r="C110" s="260"/>
      <c r="D110" s="260"/>
      <c r="E110" s="260"/>
      <c r="F110" s="259"/>
      <c r="G110" s="258" t="str">
        <f t="shared" si="3"/>
        <v/>
      </c>
      <c r="H110" s="261" t="str">
        <f t="shared" si="5"/>
        <v/>
      </c>
      <c r="I110" s="260"/>
      <c r="J110" s="260"/>
      <c r="K110" s="259"/>
      <c r="L110" s="258" t="str">
        <f t="shared" si="4"/>
        <v/>
      </c>
      <c r="M110" s="257"/>
    </row>
    <row r="111" spans="1:13" x14ac:dyDescent="0.25">
      <c r="A111" s="263"/>
      <c r="B111" s="262"/>
      <c r="C111" s="260"/>
      <c r="D111" s="260"/>
      <c r="E111" s="260"/>
      <c r="F111" s="259"/>
      <c r="G111" s="258" t="str">
        <f t="shared" si="3"/>
        <v/>
      </c>
      <c r="H111" s="261" t="str">
        <f t="shared" si="5"/>
        <v/>
      </c>
      <c r="I111" s="260"/>
      <c r="J111" s="260"/>
      <c r="K111" s="259"/>
      <c r="L111" s="258" t="str">
        <f t="shared" si="4"/>
        <v/>
      </c>
      <c r="M111" s="257"/>
    </row>
    <row r="112" spans="1:13" x14ac:dyDescent="0.25">
      <c r="A112" s="263"/>
      <c r="B112" s="262"/>
      <c r="C112" s="260"/>
      <c r="D112" s="260"/>
      <c r="E112" s="260"/>
      <c r="F112" s="259"/>
      <c r="G112" s="258" t="str">
        <f t="shared" si="3"/>
        <v/>
      </c>
      <c r="H112" s="261" t="str">
        <f t="shared" si="5"/>
        <v/>
      </c>
      <c r="I112" s="260"/>
      <c r="J112" s="260"/>
      <c r="K112" s="259"/>
      <c r="L112" s="258" t="str">
        <f t="shared" si="4"/>
        <v/>
      </c>
      <c r="M112" s="257"/>
    </row>
    <row r="113" spans="1:13" x14ac:dyDescent="0.25">
      <c r="A113" s="263"/>
      <c r="B113" s="262"/>
      <c r="C113" s="260"/>
      <c r="D113" s="260"/>
      <c r="E113" s="260"/>
      <c r="F113" s="259"/>
      <c r="G113" s="258" t="str">
        <f t="shared" si="3"/>
        <v/>
      </c>
      <c r="H113" s="261" t="str">
        <f t="shared" si="5"/>
        <v/>
      </c>
      <c r="I113" s="260"/>
      <c r="J113" s="260"/>
      <c r="K113" s="259"/>
      <c r="L113" s="258" t="str">
        <f t="shared" si="4"/>
        <v/>
      </c>
      <c r="M113" s="257"/>
    </row>
    <row r="114" spans="1:13" x14ac:dyDescent="0.25">
      <c r="A114" s="263"/>
      <c r="B114" s="262"/>
      <c r="C114" s="260"/>
      <c r="D114" s="260"/>
      <c r="E114" s="260"/>
      <c r="F114" s="259"/>
      <c r="G114" s="258" t="str">
        <f t="shared" si="3"/>
        <v/>
      </c>
      <c r="H114" s="261" t="str">
        <f t="shared" si="5"/>
        <v/>
      </c>
      <c r="I114" s="260"/>
      <c r="J114" s="260"/>
      <c r="K114" s="259"/>
      <c r="L114" s="258" t="str">
        <f t="shared" si="4"/>
        <v/>
      </c>
      <c r="M114" s="257"/>
    </row>
    <row r="115" spans="1:13" x14ac:dyDescent="0.25">
      <c r="A115" s="263"/>
      <c r="B115" s="262"/>
      <c r="C115" s="260"/>
      <c r="D115" s="260"/>
      <c r="E115" s="260"/>
      <c r="F115" s="259"/>
      <c r="G115" s="258" t="str">
        <f t="shared" si="3"/>
        <v/>
      </c>
      <c r="H115" s="261" t="str">
        <f t="shared" si="5"/>
        <v/>
      </c>
      <c r="I115" s="260"/>
      <c r="J115" s="260"/>
      <c r="K115" s="259"/>
      <c r="L115" s="258" t="str">
        <f t="shared" si="4"/>
        <v/>
      </c>
      <c r="M115" s="257"/>
    </row>
    <row r="116" spans="1:13" x14ac:dyDescent="0.25">
      <c r="A116" s="263"/>
      <c r="B116" s="262"/>
      <c r="C116" s="260"/>
      <c r="D116" s="260"/>
      <c r="E116" s="260"/>
      <c r="F116" s="259"/>
      <c r="G116" s="258" t="str">
        <f t="shared" si="3"/>
        <v/>
      </c>
      <c r="H116" s="261" t="str">
        <f t="shared" si="5"/>
        <v/>
      </c>
      <c r="I116" s="260"/>
      <c r="J116" s="260"/>
      <c r="K116" s="259"/>
      <c r="L116" s="258" t="str">
        <f t="shared" si="4"/>
        <v/>
      </c>
      <c r="M116" s="257"/>
    </row>
    <row r="117" spans="1:13" x14ac:dyDescent="0.25">
      <c r="A117" s="263"/>
      <c r="B117" s="262"/>
      <c r="C117" s="260"/>
      <c r="D117" s="260"/>
      <c r="E117" s="260"/>
      <c r="F117" s="259"/>
      <c r="G117" s="258" t="str">
        <f t="shared" si="3"/>
        <v/>
      </c>
      <c r="H117" s="261" t="str">
        <f t="shared" si="5"/>
        <v/>
      </c>
      <c r="I117" s="260"/>
      <c r="J117" s="260"/>
      <c r="K117" s="259"/>
      <c r="L117" s="258" t="str">
        <f t="shared" si="4"/>
        <v/>
      </c>
      <c r="M117" s="257"/>
    </row>
    <row r="118" spans="1:13" x14ac:dyDescent="0.25">
      <c r="A118" s="263"/>
      <c r="B118" s="262"/>
      <c r="C118" s="260"/>
      <c r="D118" s="260"/>
      <c r="E118" s="260"/>
      <c r="F118" s="259"/>
      <c r="G118" s="258" t="str">
        <f t="shared" si="3"/>
        <v/>
      </c>
      <c r="H118" s="261" t="str">
        <f t="shared" si="5"/>
        <v/>
      </c>
      <c r="I118" s="260"/>
      <c r="J118" s="260"/>
      <c r="K118" s="259"/>
      <c r="L118" s="258" t="str">
        <f t="shared" si="4"/>
        <v/>
      </c>
      <c r="M118" s="257"/>
    </row>
    <row r="119" spans="1:13" x14ac:dyDescent="0.25">
      <c r="A119" s="263"/>
      <c r="B119" s="262"/>
      <c r="C119" s="260"/>
      <c r="D119" s="260"/>
      <c r="E119" s="260"/>
      <c r="F119" s="259"/>
      <c r="G119" s="258" t="str">
        <f t="shared" si="3"/>
        <v/>
      </c>
      <c r="H119" s="261" t="str">
        <f t="shared" si="5"/>
        <v/>
      </c>
      <c r="I119" s="260"/>
      <c r="J119" s="260"/>
      <c r="K119" s="259"/>
      <c r="L119" s="258" t="str">
        <f t="shared" si="4"/>
        <v/>
      </c>
      <c r="M119" s="257"/>
    </row>
    <row r="120" spans="1:13" x14ac:dyDescent="0.25">
      <c r="A120" s="263"/>
      <c r="B120" s="262"/>
      <c r="C120" s="260"/>
      <c r="D120" s="260"/>
      <c r="E120" s="260"/>
      <c r="F120" s="259"/>
      <c r="G120" s="258" t="str">
        <f t="shared" si="3"/>
        <v/>
      </c>
      <c r="H120" s="261" t="str">
        <f t="shared" si="5"/>
        <v/>
      </c>
      <c r="I120" s="260"/>
      <c r="J120" s="260"/>
      <c r="K120" s="259"/>
      <c r="L120" s="258" t="str">
        <f t="shared" si="4"/>
        <v/>
      </c>
      <c r="M120" s="257"/>
    </row>
    <row r="121" spans="1:13" x14ac:dyDescent="0.25">
      <c r="A121" s="263"/>
      <c r="B121" s="262"/>
      <c r="C121" s="260"/>
      <c r="D121" s="260"/>
      <c r="E121" s="260"/>
      <c r="F121" s="259"/>
      <c r="G121" s="258" t="str">
        <f t="shared" si="3"/>
        <v/>
      </c>
      <c r="H121" s="261" t="str">
        <f t="shared" si="5"/>
        <v/>
      </c>
      <c r="I121" s="260"/>
      <c r="J121" s="260"/>
      <c r="K121" s="259"/>
      <c r="L121" s="258" t="str">
        <f t="shared" si="4"/>
        <v/>
      </c>
      <c r="M121" s="257"/>
    </row>
    <row r="122" spans="1:13" x14ac:dyDescent="0.25">
      <c r="A122" s="263"/>
      <c r="B122" s="262"/>
      <c r="C122" s="260"/>
      <c r="D122" s="260"/>
      <c r="E122" s="260"/>
      <c r="F122" s="259"/>
      <c r="G122" s="258" t="str">
        <f t="shared" si="3"/>
        <v/>
      </c>
      <c r="H122" s="261" t="str">
        <f t="shared" si="5"/>
        <v/>
      </c>
      <c r="I122" s="260"/>
      <c r="J122" s="260"/>
      <c r="K122" s="259"/>
      <c r="L122" s="258" t="str">
        <f t="shared" si="4"/>
        <v/>
      </c>
      <c r="M122" s="257"/>
    </row>
    <row r="123" spans="1:13" x14ac:dyDescent="0.25">
      <c r="A123" s="263"/>
      <c r="B123" s="262"/>
      <c r="C123" s="260"/>
      <c r="D123" s="260"/>
      <c r="E123" s="260"/>
      <c r="F123" s="259"/>
      <c r="G123" s="258" t="str">
        <f t="shared" si="3"/>
        <v/>
      </c>
      <c r="H123" s="261" t="str">
        <f t="shared" si="5"/>
        <v/>
      </c>
      <c r="I123" s="260"/>
      <c r="J123" s="260"/>
      <c r="K123" s="259"/>
      <c r="L123" s="258" t="str">
        <f t="shared" si="4"/>
        <v/>
      </c>
      <c r="M123" s="257"/>
    </row>
    <row r="124" spans="1:13" x14ac:dyDescent="0.25">
      <c r="A124" s="263"/>
      <c r="B124" s="262"/>
      <c r="C124" s="260"/>
      <c r="D124" s="260"/>
      <c r="E124" s="260"/>
      <c r="F124" s="259"/>
      <c r="G124" s="258" t="str">
        <f t="shared" si="3"/>
        <v/>
      </c>
      <c r="H124" s="261" t="str">
        <f t="shared" si="5"/>
        <v/>
      </c>
      <c r="I124" s="260"/>
      <c r="J124" s="260"/>
      <c r="K124" s="259"/>
      <c r="L124" s="258" t="str">
        <f t="shared" si="4"/>
        <v/>
      </c>
      <c r="M124" s="257"/>
    </row>
    <row r="125" spans="1:13" x14ac:dyDescent="0.25">
      <c r="A125" s="263"/>
      <c r="B125" s="262"/>
      <c r="C125" s="260"/>
      <c r="D125" s="260"/>
      <c r="E125" s="260"/>
      <c r="F125" s="259"/>
      <c r="G125" s="258" t="str">
        <f t="shared" si="3"/>
        <v/>
      </c>
      <c r="H125" s="261" t="str">
        <f t="shared" si="5"/>
        <v/>
      </c>
      <c r="I125" s="260"/>
      <c r="J125" s="260"/>
      <c r="K125" s="259"/>
      <c r="L125" s="258" t="str">
        <f t="shared" si="4"/>
        <v/>
      </c>
      <c r="M125" s="257"/>
    </row>
    <row r="126" spans="1:13" x14ac:dyDescent="0.25">
      <c r="A126" s="263"/>
      <c r="B126" s="262"/>
      <c r="C126" s="260"/>
      <c r="D126" s="260"/>
      <c r="E126" s="260"/>
      <c r="F126" s="259"/>
      <c r="G126" s="258" t="str">
        <f t="shared" si="3"/>
        <v/>
      </c>
      <c r="H126" s="261" t="str">
        <f t="shared" si="5"/>
        <v/>
      </c>
      <c r="I126" s="260"/>
      <c r="J126" s="260"/>
      <c r="K126" s="259"/>
      <c r="L126" s="258" t="str">
        <f t="shared" si="4"/>
        <v/>
      </c>
      <c r="M126" s="257"/>
    </row>
    <row r="127" spans="1:13" x14ac:dyDescent="0.25">
      <c r="A127" s="263"/>
      <c r="B127" s="262"/>
      <c r="C127" s="260"/>
      <c r="D127" s="260"/>
      <c r="E127" s="260"/>
      <c r="F127" s="259"/>
      <c r="G127" s="258" t="str">
        <f t="shared" si="3"/>
        <v/>
      </c>
      <c r="H127" s="261" t="str">
        <f t="shared" si="5"/>
        <v/>
      </c>
      <c r="I127" s="260"/>
      <c r="J127" s="260"/>
      <c r="K127" s="259"/>
      <c r="L127" s="258" t="str">
        <f t="shared" si="4"/>
        <v/>
      </c>
      <c r="M127" s="257"/>
    </row>
    <row r="128" spans="1:13" x14ac:dyDescent="0.25">
      <c r="A128" s="263"/>
      <c r="B128" s="262"/>
      <c r="C128" s="260"/>
      <c r="D128" s="260"/>
      <c r="E128" s="260"/>
      <c r="F128" s="259"/>
      <c r="G128" s="258" t="str">
        <f t="shared" si="3"/>
        <v/>
      </c>
      <c r="H128" s="261" t="str">
        <f t="shared" si="5"/>
        <v/>
      </c>
      <c r="I128" s="260"/>
      <c r="J128" s="260"/>
      <c r="K128" s="259"/>
      <c r="L128" s="258" t="str">
        <f t="shared" si="4"/>
        <v/>
      </c>
      <c r="M128" s="257"/>
    </row>
    <row r="129" spans="1:13" x14ac:dyDescent="0.25">
      <c r="A129" s="263"/>
      <c r="B129" s="262"/>
      <c r="C129" s="260"/>
      <c r="D129" s="260"/>
      <c r="E129" s="260"/>
      <c r="F129" s="259"/>
      <c r="G129" s="258" t="str">
        <f t="shared" si="3"/>
        <v/>
      </c>
      <c r="H129" s="261" t="str">
        <f t="shared" si="5"/>
        <v/>
      </c>
      <c r="I129" s="260"/>
      <c r="J129" s="260"/>
      <c r="K129" s="259"/>
      <c r="L129" s="258" t="str">
        <f t="shared" si="4"/>
        <v/>
      </c>
      <c r="M129" s="257"/>
    </row>
    <row r="130" spans="1:13" x14ac:dyDescent="0.25">
      <c r="A130" s="263"/>
      <c r="B130" s="262"/>
      <c r="C130" s="260"/>
      <c r="D130" s="260"/>
      <c r="E130" s="260"/>
      <c r="F130" s="259"/>
      <c r="G130" s="258" t="str">
        <f t="shared" si="3"/>
        <v/>
      </c>
      <c r="H130" s="261" t="str">
        <f t="shared" si="5"/>
        <v/>
      </c>
      <c r="I130" s="260"/>
      <c r="J130" s="260"/>
      <c r="K130" s="259"/>
      <c r="L130" s="258" t="str">
        <f t="shared" si="4"/>
        <v/>
      </c>
      <c r="M130" s="257"/>
    </row>
    <row r="131" spans="1:13" x14ac:dyDescent="0.25">
      <c r="A131" s="263"/>
      <c r="B131" s="262"/>
      <c r="C131" s="260"/>
      <c r="D131" s="260"/>
      <c r="E131" s="260"/>
      <c r="F131" s="259"/>
      <c r="G131" s="258" t="str">
        <f t="shared" si="3"/>
        <v/>
      </c>
      <c r="H131" s="261" t="str">
        <f t="shared" si="5"/>
        <v/>
      </c>
      <c r="I131" s="260"/>
      <c r="J131" s="260"/>
      <c r="K131" s="259"/>
      <c r="L131" s="258" t="str">
        <f t="shared" si="4"/>
        <v/>
      </c>
      <c r="M131" s="257"/>
    </row>
    <row r="132" spans="1:13" x14ac:dyDescent="0.25">
      <c r="A132" s="263"/>
      <c r="B132" s="262"/>
      <c r="C132" s="260"/>
      <c r="D132" s="260"/>
      <c r="E132" s="260"/>
      <c r="F132" s="259"/>
      <c r="G132" s="258" t="str">
        <f t="shared" si="3"/>
        <v/>
      </c>
      <c r="H132" s="261" t="str">
        <f t="shared" si="5"/>
        <v/>
      </c>
      <c r="I132" s="260"/>
      <c r="J132" s="260"/>
      <c r="K132" s="259"/>
      <c r="L132" s="258" t="str">
        <f t="shared" si="4"/>
        <v/>
      </c>
      <c r="M132" s="257"/>
    </row>
    <row r="133" spans="1:13" x14ac:dyDescent="0.25">
      <c r="A133" s="263"/>
      <c r="B133" s="262"/>
      <c r="C133" s="260"/>
      <c r="D133" s="260"/>
      <c r="E133" s="260"/>
      <c r="F133" s="259"/>
      <c r="G133" s="258" t="str">
        <f t="shared" si="3"/>
        <v/>
      </c>
      <c r="H133" s="261" t="str">
        <f t="shared" si="5"/>
        <v/>
      </c>
      <c r="I133" s="260"/>
      <c r="J133" s="260"/>
      <c r="K133" s="259"/>
      <c r="L133" s="258" t="str">
        <f t="shared" si="4"/>
        <v/>
      </c>
      <c r="M133" s="257"/>
    </row>
    <row r="134" spans="1:13" x14ac:dyDescent="0.25">
      <c r="A134" s="263"/>
      <c r="B134" s="262"/>
      <c r="C134" s="260"/>
      <c r="D134" s="260"/>
      <c r="E134" s="260"/>
      <c r="F134" s="259"/>
      <c r="G134" s="258" t="str">
        <f t="shared" si="3"/>
        <v/>
      </c>
      <c r="H134" s="261" t="str">
        <f t="shared" si="5"/>
        <v/>
      </c>
      <c r="I134" s="260"/>
      <c r="J134" s="260"/>
      <c r="K134" s="259"/>
      <c r="L134" s="258" t="str">
        <f t="shared" si="4"/>
        <v/>
      </c>
      <c r="M134" s="257"/>
    </row>
    <row r="135" spans="1:13" x14ac:dyDescent="0.25">
      <c r="A135" s="263"/>
      <c r="B135" s="262"/>
      <c r="C135" s="260"/>
      <c r="D135" s="260"/>
      <c r="E135" s="260"/>
      <c r="F135" s="259"/>
      <c r="G135" s="258" t="str">
        <f t="shared" si="3"/>
        <v/>
      </c>
      <c r="H135" s="261" t="str">
        <f t="shared" si="5"/>
        <v/>
      </c>
      <c r="I135" s="260"/>
      <c r="J135" s="260"/>
      <c r="K135" s="259"/>
      <c r="L135" s="258" t="str">
        <f t="shared" si="4"/>
        <v/>
      </c>
      <c r="M135" s="257"/>
    </row>
    <row r="136" spans="1:13" x14ac:dyDescent="0.25">
      <c r="A136" s="263"/>
      <c r="B136" s="262"/>
      <c r="C136" s="260"/>
      <c r="D136" s="260"/>
      <c r="E136" s="260"/>
      <c r="F136" s="259"/>
      <c r="G136" s="258" t="str">
        <f t="shared" ref="G136:G199" si="6">IF(AND(C136&lt;&gt;"",D136&lt;&gt;"",F136&lt;&gt;""),C136*D136*F136,IF(AND(C136&lt;&gt;"",E136&lt;&gt;"",F136&lt;&gt;""),C136*E136*F136,IF(AND(C136&lt;&gt;"",D136&lt;&gt;"",E136&lt;&gt;"",F136&lt;&gt;""),C136*D136*E136*F136,"")))</f>
        <v/>
      </c>
      <c r="H136" s="261" t="str">
        <f t="shared" si="5"/>
        <v/>
      </c>
      <c r="I136" s="260"/>
      <c r="J136" s="260"/>
      <c r="K136" s="259"/>
      <c r="L136" s="258" t="str">
        <f t="shared" ref="L136:L199" si="7">IF(AND(I136&lt;&gt;"",J136&lt;&gt;"",K136&lt;&gt;""),I136*J136*K136,IF(AND(I136&lt;&gt;"",J136="",K136&lt;&gt;""),I136*K136,""))</f>
        <v/>
      </c>
      <c r="M136" s="257"/>
    </row>
    <row r="137" spans="1:13" x14ac:dyDescent="0.25">
      <c r="A137" s="263"/>
      <c r="B137" s="262"/>
      <c r="C137" s="260"/>
      <c r="D137" s="260"/>
      <c r="E137" s="260"/>
      <c r="F137" s="259"/>
      <c r="G137" s="258" t="str">
        <f t="shared" si="6"/>
        <v/>
      </c>
      <c r="H137" s="261" t="str">
        <f t="shared" ref="H137:H200" si="8">IF(AND(H136&lt;&gt;"",G137&lt;&gt;""),SUM(H136,G137),"")</f>
        <v/>
      </c>
      <c r="I137" s="260"/>
      <c r="J137" s="260"/>
      <c r="K137" s="259"/>
      <c r="L137" s="258" t="str">
        <f t="shared" si="7"/>
        <v/>
      </c>
      <c r="M137" s="257"/>
    </row>
    <row r="138" spans="1:13" x14ac:dyDescent="0.25">
      <c r="A138" s="263"/>
      <c r="B138" s="262"/>
      <c r="C138" s="260"/>
      <c r="D138" s="260"/>
      <c r="E138" s="260"/>
      <c r="F138" s="259"/>
      <c r="G138" s="258" t="str">
        <f t="shared" si="6"/>
        <v/>
      </c>
      <c r="H138" s="261" t="str">
        <f t="shared" si="8"/>
        <v/>
      </c>
      <c r="I138" s="260"/>
      <c r="J138" s="260"/>
      <c r="K138" s="259"/>
      <c r="L138" s="258" t="str">
        <f t="shared" si="7"/>
        <v/>
      </c>
      <c r="M138" s="257"/>
    </row>
    <row r="139" spans="1:13" x14ac:dyDescent="0.25">
      <c r="A139" s="263"/>
      <c r="B139" s="262"/>
      <c r="C139" s="260"/>
      <c r="D139" s="260"/>
      <c r="E139" s="260"/>
      <c r="F139" s="259"/>
      <c r="G139" s="258" t="str">
        <f t="shared" si="6"/>
        <v/>
      </c>
      <c r="H139" s="261" t="str">
        <f t="shared" si="8"/>
        <v/>
      </c>
      <c r="I139" s="260"/>
      <c r="J139" s="260"/>
      <c r="K139" s="259"/>
      <c r="L139" s="258" t="str">
        <f t="shared" si="7"/>
        <v/>
      </c>
      <c r="M139" s="257"/>
    </row>
    <row r="140" spans="1:13" x14ac:dyDescent="0.25">
      <c r="A140" s="263"/>
      <c r="B140" s="262"/>
      <c r="C140" s="260"/>
      <c r="D140" s="260"/>
      <c r="E140" s="260"/>
      <c r="F140" s="259"/>
      <c r="G140" s="258" t="str">
        <f t="shared" si="6"/>
        <v/>
      </c>
      <c r="H140" s="261" t="str">
        <f t="shared" si="8"/>
        <v/>
      </c>
      <c r="I140" s="260"/>
      <c r="J140" s="260"/>
      <c r="K140" s="259"/>
      <c r="L140" s="258" t="str">
        <f t="shared" si="7"/>
        <v/>
      </c>
      <c r="M140" s="257"/>
    </row>
    <row r="141" spans="1:13" x14ac:dyDescent="0.25">
      <c r="A141" s="263"/>
      <c r="B141" s="262"/>
      <c r="C141" s="260"/>
      <c r="D141" s="260"/>
      <c r="E141" s="260"/>
      <c r="F141" s="259"/>
      <c r="G141" s="258" t="str">
        <f t="shared" si="6"/>
        <v/>
      </c>
      <c r="H141" s="261" t="str">
        <f t="shared" si="8"/>
        <v/>
      </c>
      <c r="I141" s="260"/>
      <c r="J141" s="260"/>
      <c r="K141" s="259"/>
      <c r="L141" s="258" t="str">
        <f t="shared" si="7"/>
        <v/>
      </c>
      <c r="M141" s="257"/>
    </row>
    <row r="142" spans="1:13" x14ac:dyDescent="0.25">
      <c r="A142" s="263"/>
      <c r="B142" s="262"/>
      <c r="C142" s="260"/>
      <c r="D142" s="260"/>
      <c r="E142" s="260"/>
      <c r="F142" s="259"/>
      <c r="G142" s="258" t="str">
        <f t="shared" si="6"/>
        <v/>
      </c>
      <c r="H142" s="261" t="str">
        <f t="shared" si="8"/>
        <v/>
      </c>
      <c r="I142" s="260"/>
      <c r="J142" s="260"/>
      <c r="K142" s="259"/>
      <c r="L142" s="258" t="str">
        <f t="shared" si="7"/>
        <v/>
      </c>
      <c r="M142" s="257"/>
    </row>
    <row r="143" spans="1:13" x14ac:dyDescent="0.25">
      <c r="A143" s="263"/>
      <c r="B143" s="262"/>
      <c r="C143" s="260"/>
      <c r="D143" s="260"/>
      <c r="E143" s="260"/>
      <c r="F143" s="259"/>
      <c r="G143" s="258" t="str">
        <f t="shared" si="6"/>
        <v/>
      </c>
      <c r="H143" s="261" t="str">
        <f t="shared" si="8"/>
        <v/>
      </c>
      <c r="I143" s="260"/>
      <c r="J143" s="260"/>
      <c r="K143" s="259"/>
      <c r="L143" s="258" t="str">
        <f t="shared" si="7"/>
        <v/>
      </c>
      <c r="M143" s="257"/>
    </row>
    <row r="144" spans="1:13" x14ac:dyDescent="0.25">
      <c r="A144" s="263"/>
      <c r="B144" s="262"/>
      <c r="C144" s="260"/>
      <c r="D144" s="260"/>
      <c r="E144" s="260"/>
      <c r="F144" s="259"/>
      <c r="G144" s="258" t="str">
        <f t="shared" si="6"/>
        <v/>
      </c>
      <c r="H144" s="261" t="str">
        <f t="shared" si="8"/>
        <v/>
      </c>
      <c r="I144" s="260"/>
      <c r="J144" s="260"/>
      <c r="K144" s="259"/>
      <c r="L144" s="258" t="str">
        <f t="shared" si="7"/>
        <v/>
      </c>
      <c r="M144" s="257"/>
    </row>
    <row r="145" spans="1:13" x14ac:dyDescent="0.25">
      <c r="A145" s="263"/>
      <c r="B145" s="262"/>
      <c r="C145" s="260"/>
      <c r="D145" s="260"/>
      <c r="E145" s="260"/>
      <c r="F145" s="259"/>
      <c r="G145" s="258" t="str">
        <f t="shared" si="6"/>
        <v/>
      </c>
      <c r="H145" s="261" t="str">
        <f t="shared" si="8"/>
        <v/>
      </c>
      <c r="I145" s="260"/>
      <c r="J145" s="260"/>
      <c r="K145" s="259"/>
      <c r="L145" s="258" t="str">
        <f t="shared" si="7"/>
        <v/>
      </c>
      <c r="M145" s="257"/>
    </row>
    <row r="146" spans="1:13" x14ac:dyDescent="0.25">
      <c r="A146" s="263"/>
      <c r="B146" s="262"/>
      <c r="C146" s="260"/>
      <c r="D146" s="260"/>
      <c r="E146" s="260"/>
      <c r="F146" s="259"/>
      <c r="G146" s="258" t="str">
        <f t="shared" si="6"/>
        <v/>
      </c>
      <c r="H146" s="261" t="str">
        <f t="shared" si="8"/>
        <v/>
      </c>
      <c r="I146" s="260"/>
      <c r="J146" s="260"/>
      <c r="K146" s="259"/>
      <c r="L146" s="258" t="str">
        <f t="shared" si="7"/>
        <v/>
      </c>
      <c r="M146" s="257"/>
    </row>
    <row r="147" spans="1:13" x14ac:dyDescent="0.25">
      <c r="A147" s="263"/>
      <c r="B147" s="262"/>
      <c r="C147" s="260"/>
      <c r="D147" s="260"/>
      <c r="E147" s="260"/>
      <c r="F147" s="259"/>
      <c r="G147" s="258" t="str">
        <f t="shared" si="6"/>
        <v/>
      </c>
      <c r="H147" s="261" t="str">
        <f t="shared" si="8"/>
        <v/>
      </c>
      <c r="I147" s="260"/>
      <c r="J147" s="260"/>
      <c r="K147" s="259"/>
      <c r="L147" s="258" t="str">
        <f t="shared" si="7"/>
        <v/>
      </c>
      <c r="M147" s="257"/>
    </row>
    <row r="148" spans="1:13" x14ac:dyDescent="0.25">
      <c r="A148" s="263"/>
      <c r="B148" s="262"/>
      <c r="C148" s="260"/>
      <c r="D148" s="260"/>
      <c r="E148" s="260"/>
      <c r="F148" s="259"/>
      <c r="G148" s="258" t="str">
        <f t="shared" si="6"/>
        <v/>
      </c>
      <c r="H148" s="261" t="str">
        <f t="shared" si="8"/>
        <v/>
      </c>
      <c r="I148" s="260"/>
      <c r="J148" s="260"/>
      <c r="K148" s="259"/>
      <c r="L148" s="258" t="str">
        <f t="shared" si="7"/>
        <v/>
      </c>
      <c r="M148" s="257"/>
    </row>
    <row r="149" spans="1:13" x14ac:dyDescent="0.25">
      <c r="A149" s="263"/>
      <c r="B149" s="262"/>
      <c r="C149" s="260"/>
      <c r="D149" s="260"/>
      <c r="E149" s="260"/>
      <c r="F149" s="259"/>
      <c r="G149" s="258" t="str">
        <f t="shared" si="6"/>
        <v/>
      </c>
      <c r="H149" s="261" t="str">
        <f t="shared" si="8"/>
        <v/>
      </c>
      <c r="I149" s="260"/>
      <c r="J149" s="260"/>
      <c r="K149" s="259"/>
      <c r="L149" s="258" t="str">
        <f t="shared" si="7"/>
        <v/>
      </c>
      <c r="M149" s="257"/>
    </row>
    <row r="150" spans="1:13" x14ac:dyDescent="0.25">
      <c r="A150" s="263"/>
      <c r="B150" s="262"/>
      <c r="C150" s="260"/>
      <c r="D150" s="260"/>
      <c r="E150" s="260"/>
      <c r="F150" s="259"/>
      <c r="G150" s="258" t="str">
        <f t="shared" si="6"/>
        <v/>
      </c>
      <c r="H150" s="261" t="str">
        <f t="shared" si="8"/>
        <v/>
      </c>
      <c r="I150" s="260"/>
      <c r="J150" s="260"/>
      <c r="K150" s="259"/>
      <c r="L150" s="258" t="str">
        <f t="shared" si="7"/>
        <v/>
      </c>
      <c r="M150" s="257"/>
    </row>
    <row r="151" spans="1:13" x14ac:dyDescent="0.25">
      <c r="A151" s="263"/>
      <c r="B151" s="262"/>
      <c r="C151" s="260"/>
      <c r="D151" s="260"/>
      <c r="E151" s="260"/>
      <c r="F151" s="259"/>
      <c r="G151" s="258" t="str">
        <f t="shared" si="6"/>
        <v/>
      </c>
      <c r="H151" s="261" t="str">
        <f t="shared" si="8"/>
        <v/>
      </c>
      <c r="I151" s="260"/>
      <c r="J151" s="260"/>
      <c r="K151" s="259"/>
      <c r="L151" s="258" t="str">
        <f t="shared" si="7"/>
        <v/>
      </c>
      <c r="M151" s="257"/>
    </row>
    <row r="152" spans="1:13" x14ac:dyDescent="0.25">
      <c r="A152" s="263"/>
      <c r="B152" s="262"/>
      <c r="C152" s="260"/>
      <c r="D152" s="260"/>
      <c r="E152" s="260"/>
      <c r="F152" s="259"/>
      <c r="G152" s="258" t="str">
        <f t="shared" si="6"/>
        <v/>
      </c>
      <c r="H152" s="261" t="str">
        <f t="shared" si="8"/>
        <v/>
      </c>
      <c r="I152" s="260"/>
      <c r="J152" s="260"/>
      <c r="K152" s="259"/>
      <c r="L152" s="258" t="str">
        <f t="shared" si="7"/>
        <v/>
      </c>
      <c r="M152" s="257"/>
    </row>
    <row r="153" spans="1:13" x14ac:dyDescent="0.25">
      <c r="A153" s="263"/>
      <c r="B153" s="262"/>
      <c r="C153" s="260"/>
      <c r="D153" s="260"/>
      <c r="E153" s="260"/>
      <c r="F153" s="259"/>
      <c r="G153" s="258" t="str">
        <f t="shared" si="6"/>
        <v/>
      </c>
      <c r="H153" s="261" t="str">
        <f t="shared" si="8"/>
        <v/>
      </c>
      <c r="I153" s="260"/>
      <c r="J153" s="260"/>
      <c r="K153" s="259"/>
      <c r="L153" s="258" t="str">
        <f t="shared" si="7"/>
        <v/>
      </c>
      <c r="M153" s="257"/>
    </row>
    <row r="154" spans="1:13" x14ac:dyDescent="0.25">
      <c r="A154" s="263"/>
      <c r="B154" s="262"/>
      <c r="C154" s="260"/>
      <c r="D154" s="260"/>
      <c r="E154" s="260"/>
      <c r="F154" s="259"/>
      <c r="G154" s="258" t="str">
        <f t="shared" si="6"/>
        <v/>
      </c>
      <c r="H154" s="261" t="str">
        <f t="shared" si="8"/>
        <v/>
      </c>
      <c r="I154" s="260"/>
      <c r="J154" s="260"/>
      <c r="K154" s="259"/>
      <c r="L154" s="258" t="str">
        <f t="shared" si="7"/>
        <v/>
      </c>
      <c r="M154" s="257"/>
    </row>
    <row r="155" spans="1:13" x14ac:dyDescent="0.25">
      <c r="A155" s="263"/>
      <c r="B155" s="262"/>
      <c r="C155" s="260"/>
      <c r="D155" s="260"/>
      <c r="E155" s="260"/>
      <c r="F155" s="259"/>
      <c r="G155" s="258" t="str">
        <f t="shared" si="6"/>
        <v/>
      </c>
      <c r="H155" s="261" t="str">
        <f t="shared" si="8"/>
        <v/>
      </c>
      <c r="I155" s="260"/>
      <c r="J155" s="260"/>
      <c r="K155" s="259"/>
      <c r="L155" s="258" t="str">
        <f t="shared" si="7"/>
        <v/>
      </c>
      <c r="M155" s="257"/>
    </row>
    <row r="156" spans="1:13" x14ac:dyDescent="0.25">
      <c r="A156" s="263"/>
      <c r="B156" s="262"/>
      <c r="C156" s="260"/>
      <c r="D156" s="260"/>
      <c r="E156" s="260"/>
      <c r="F156" s="259"/>
      <c r="G156" s="258" t="str">
        <f t="shared" si="6"/>
        <v/>
      </c>
      <c r="H156" s="261" t="str">
        <f t="shared" si="8"/>
        <v/>
      </c>
      <c r="I156" s="260"/>
      <c r="J156" s="260"/>
      <c r="K156" s="259"/>
      <c r="L156" s="258" t="str">
        <f t="shared" si="7"/>
        <v/>
      </c>
      <c r="M156" s="257"/>
    </row>
    <row r="157" spans="1:13" x14ac:dyDescent="0.25">
      <c r="A157" s="263"/>
      <c r="B157" s="262"/>
      <c r="C157" s="260"/>
      <c r="D157" s="260"/>
      <c r="E157" s="260"/>
      <c r="F157" s="259"/>
      <c r="G157" s="258" t="str">
        <f t="shared" si="6"/>
        <v/>
      </c>
      <c r="H157" s="261" t="str">
        <f t="shared" si="8"/>
        <v/>
      </c>
      <c r="I157" s="260"/>
      <c r="J157" s="260"/>
      <c r="K157" s="259"/>
      <c r="L157" s="258" t="str">
        <f t="shared" si="7"/>
        <v/>
      </c>
      <c r="M157" s="257"/>
    </row>
    <row r="158" spans="1:13" x14ac:dyDescent="0.25">
      <c r="A158" s="263"/>
      <c r="B158" s="262"/>
      <c r="C158" s="260"/>
      <c r="D158" s="260"/>
      <c r="E158" s="260"/>
      <c r="F158" s="259"/>
      <c r="G158" s="258" t="str">
        <f t="shared" si="6"/>
        <v/>
      </c>
      <c r="H158" s="261" t="str">
        <f t="shared" si="8"/>
        <v/>
      </c>
      <c r="I158" s="260"/>
      <c r="J158" s="260"/>
      <c r="K158" s="259"/>
      <c r="L158" s="258" t="str">
        <f t="shared" si="7"/>
        <v/>
      </c>
      <c r="M158" s="257"/>
    </row>
    <row r="159" spans="1:13" x14ac:dyDescent="0.25">
      <c r="A159" s="263"/>
      <c r="B159" s="262"/>
      <c r="C159" s="260"/>
      <c r="D159" s="260"/>
      <c r="E159" s="260"/>
      <c r="F159" s="259"/>
      <c r="G159" s="258" t="str">
        <f t="shared" si="6"/>
        <v/>
      </c>
      <c r="H159" s="261" t="str">
        <f t="shared" si="8"/>
        <v/>
      </c>
      <c r="I159" s="260"/>
      <c r="J159" s="260"/>
      <c r="K159" s="259"/>
      <c r="L159" s="258" t="str">
        <f t="shared" si="7"/>
        <v/>
      </c>
      <c r="M159" s="257"/>
    </row>
    <row r="160" spans="1:13" x14ac:dyDescent="0.25">
      <c r="A160" s="263"/>
      <c r="B160" s="262"/>
      <c r="C160" s="260"/>
      <c r="D160" s="260"/>
      <c r="E160" s="260"/>
      <c r="F160" s="259"/>
      <c r="G160" s="258" t="str">
        <f t="shared" si="6"/>
        <v/>
      </c>
      <c r="H160" s="261" t="str">
        <f t="shared" si="8"/>
        <v/>
      </c>
      <c r="I160" s="260"/>
      <c r="J160" s="260"/>
      <c r="K160" s="259"/>
      <c r="L160" s="258" t="str">
        <f t="shared" si="7"/>
        <v/>
      </c>
      <c r="M160" s="257"/>
    </row>
    <row r="161" spans="1:13" x14ac:dyDescent="0.25">
      <c r="A161" s="263"/>
      <c r="B161" s="262"/>
      <c r="C161" s="260"/>
      <c r="D161" s="260"/>
      <c r="E161" s="260"/>
      <c r="F161" s="259"/>
      <c r="G161" s="258" t="str">
        <f t="shared" si="6"/>
        <v/>
      </c>
      <c r="H161" s="261" t="str">
        <f t="shared" si="8"/>
        <v/>
      </c>
      <c r="I161" s="260"/>
      <c r="J161" s="260"/>
      <c r="K161" s="259"/>
      <c r="L161" s="258" t="str">
        <f t="shared" si="7"/>
        <v/>
      </c>
      <c r="M161" s="257"/>
    </row>
    <row r="162" spans="1:13" x14ac:dyDescent="0.25">
      <c r="A162" s="263"/>
      <c r="B162" s="262"/>
      <c r="C162" s="260"/>
      <c r="D162" s="260"/>
      <c r="E162" s="260"/>
      <c r="F162" s="259"/>
      <c r="G162" s="258" t="str">
        <f t="shared" si="6"/>
        <v/>
      </c>
      <c r="H162" s="261" t="str">
        <f t="shared" si="8"/>
        <v/>
      </c>
      <c r="I162" s="260"/>
      <c r="J162" s="260"/>
      <c r="K162" s="259"/>
      <c r="L162" s="258" t="str">
        <f t="shared" si="7"/>
        <v/>
      </c>
      <c r="M162" s="257"/>
    </row>
    <row r="163" spans="1:13" x14ac:dyDescent="0.25">
      <c r="A163" s="263"/>
      <c r="B163" s="262"/>
      <c r="C163" s="260"/>
      <c r="D163" s="260"/>
      <c r="E163" s="260"/>
      <c r="F163" s="259"/>
      <c r="G163" s="258" t="str">
        <f t="shared" si="6"/>
        <v/>
      </c>
      <c r="H163" s="261" t="str">
        <f t="shared" si="8"/>
        <v/>
      </c>
      <c r="I163" s="260"/>
      <c r="J163" s="260"/>
      <c r="K163" s="259"/>
      <c r="L163" s="258" t="str">
        <f t="shared" si="7"/>
        <v/>
      </c>
      <c r="M163" s="257"/>
    </row>
    <row r="164" spans="1:13" x14ac:dyDescent="0.25">
      <c r="A164" s="263"/>
      <c r="B164" s="262"/>
      <c r="C164" s="260"/>
      <c r="D164" s="260"/>
      <c r="E164" s="260"/>
      <c r="F164" s="259"/>
      <c r="G164" s="258" t="str">
        <f t="shared" si="6"/>
        <v/>
      </c>
      <c r="H164" s="261" t="str">
        <f t="shared" si="8"/>
        <v/>
      </c>
      <c r="I164" s="260"/>
      <c r="J164" s="260"/>
      <c r="K164" s="259"/>
      <c r="L164" s="258" t="str">
        <f t="shared" si="7"/>
        <v/>
      </c>
      <c r="M164" s="257"/>
    </row>
    <row r="165" spans="1:13" x14ac:dyDescent="0.25">
      <c r="A165" s="263"/>
      <c r="B165" s="262"/>
      <c r="C165" s="260"/>
      <c r="D165" s="260"/>
      <c r="E165" s="260"/>
      <c r="F165" s="259"/>
      <c r="G165" s="258" t="str">
        <f t="shared" si="6"/>
        <v/>
      </c>
      <c r="H165" s="261" t="str">
        <f t="shared" si="8"/>
        <v/>
      </c>
      <c r="I165" s="260"/>
      <c r="J165" s="260"/>
      <c r="K165" s="259"/>
      <c r="L165" s="258" t="str">
        <f t="shared" si="7"/>
        <v/>
      </c>
      <c r="M165" s="257"/>
    </row>
    <row r="166" spans="1:13" x14ac:dyDescent="0.25">
      <c r="A166" s="263"/>
      <c r="B166" s="262"/>
      <c r="C166" s="260"/>
      <c r="D166" s="260"/>
      <c r="E166" s="260"/>
      <c r="F166" s="259"/>
      <c r="G166" s="258" t="str">
        <f t="shared" si="6"/>
        <v/>
      </c>
      <c r="H166" s="261" t="str">
        <f t="shared" si="8"/>
        <v/>
      </c>
      <c r="I166" s="260"/>
      <c r="J166" s="260"/>
      <c r="K166" s="259"/>
      <c r="L166" s="258" t="str">
        <f t="shared" si="7"/>
        <v/>
      </c>
      <c r="M166" s="257"/>
    </row>
    <row r="167" spans="1:13" x14ac:dyDescent="0.25">
      <c r="A167" s="263"/>
      <c r="B167" s="262"/>
      <c r="C167" s="260"/>
      <c r="D167" s="260"/>
      <c r="E167" s="260"/>
      <c r="F167" s="259"/>
      <c r="G167" s="258" t="str">
        <f t="shared" si="6"/>
        <v/>
      </c>
      <c r="H167" s="261" t="str">
        <f t="shared" si="8"/>
        <v/>
      </c>
      <c r="I167" s="260"/>
      <c r="J167" s="260"/>
      <c r="K167" s="259"/>
      <c r="L167" s="258" t="str">
        <f t="shared" si="7"/>
        <v/>
      </c>
      <c r="M167" s="257"/>
    </row>
    <row r="168" spans="1:13" x14ac:dyDescent="0.25">
      <c r="A168" s="263"/>
      <c r="B168" s="262"/>
      <c r="C168" s="260"/>
      <c r="D168" s="260"/>
      <c r="E168" s="260"/>
      <c r="F168" s="259"/>
      <c r="G168" s="258" t="str">
        <f t="shared" si="6"/>
        <v/>
      </c>
      <c r="H168" s="261" t="str">
        <f t="shared" si="8"/>
        <v/>
      </c>
      <c r="I168" s="260"/>
      <c r="J168" s="260"/>
      <c r="K168" s="259"/>
      <c r="L168" s="258" t="str">
        <f t="shared" si="7"/>
        <v/>
      </c>
      <c r="M168" s="257"/>
    </row>
    <row r="169" spans="1:13" x14ac:dyDescent="0.25">
      <c r="A169" s="263"/>
      <c r="B169" s="262"/>
      <c r="C169" s="260"/>
      <c r="D169" s="260"/>
      <c r="E169" s="260"/>
      <c r="F169" s="259"/>
      <c r="G169" s="258" t="str">
        <f t="shared" si="6"/>
        <v/>
      </c>
      <c r="H169" s="261" t="str">
        <f t="shared" si="8"/>
        <v/>
      </c>
      <c r="I169" s="260"/>
      <c r="J169" s="260"/>
      <c r="K169" s="259"/>
      <c r="L169" s="258" t="str">
        <f t="shared" si="7"/>
        <v/>
      </c>
      <c r="M169" s="257"/>
    </row>
    <row r="170" spans="1:13" x14ac:dyDescent="0.25">
      <c r="A170" s="263"/>
      <c r="B170" s="262"/>
      <c r="C170" s="260"/>
      <c r="D170" s="260"/>
      <c r="E170" s="260"/>
      <c r="F170" s="259"/>
      <c r="G170" s="258" t="str">
        <f t="shared" si="6"/>
        <v/>
      </c>
      <c r="H170" s="261" t="str">
        <f t="shared" si="8"/>
        <v/>
      </c>
      <c r="I170" s="260"/>
      <c r="J170" s="260"/>
      <c r="K170" s="259"/>
      <c r="L170" s="258" t="str">
        <f t="shared" si="7"/>
        <v/>
      </c>
      <c r="M170" s="257"/>
    </row>
    <row r="171" spans="1:13" x14ac:dyDescent="0.25">
      <c r="A171" s="263"/>
      <c r="B171" s="262"/>
      <c r="C171" s="260"/>
      <c r="D171" s="260"/>
      <c r="E171" s="260"/>
      <c r="F171" s="259"/>
      <c r="G171" s="258" t="str">
        <f t="shared" si="6"/>
        <v/>
      </c>
      <c r="H171" s="261" t="str">
        <f t="shared" si="8"/>
        <v/>
      </c>
      <c r="I171" s="260"/>
      <c r="J171" s="260"/>
      <c r="K171" s="259"/>
      <c r="L171" s="258" t="str">
        <f t="shared" si="7"/>
        <v/>
      </c>
      <c r="M171" s="257"/>
    </row>
    <row r="172" spans="1:13" x14ac:dyDescent="0.25">
      <c r="A172" s="263"/>
      <c r="B172" s="262"/>
      <c r="C172" s="260"/>
      <c r="D172" s="260"/>
      <c r="E172" s="260"/>
      <c r="F172" s="259"/>
      <c r="G172" s="258" t="str">
        <f t="shared" si="6"/>
        <v/>
      </c>
      <c r="H172" s="261" t="str">
        <f t="shared" si="8"/>
        <v/>
      </c>
      <c r="I172" s="260"/>
      <c r="J172" s="260"/>
      <c r="K172" s="259"/>
      <c r="L172" s="258" t="str">
        <f t="shared" si="7"/>
        <v/>
      </c>
      <c r="M172" s="257"/>
    </row>
    <row r="173" spans="1:13" x14ac:dyDescent="0.25">
      <c r="A173" s="263"/>
      <c r="B173" s="262"/>
      <c r="C173" s="260"/>
      <c r="D173" s="260"/>
      <c r="E173" s="260"/>
      <c r="F173" s="259"/>
      <c r="G173" s="258" t="str">
        <f t="shared" si="6"/>
        <v/>
      </c>
      <c r="H173" s="261" t="str">
        <f t="shared" si="8"/>
        <v/>
      </c>
      <c r="I173" s="260"/>
      <c r="J173" s="260"/>
      <c r="K173" s="259"/>
      <c r="L173" s="258" t="str">
        <f t="shared" si="7"/>
        <v/>
      </c>
      <c r="M173" s="257"/>
    </row>
    <row r="174" spans="1:13" x14ac:dyDescent="0.25">
      <c r="A174" s="263"/>
      <c r="B174" s="262"/>
      <c r="C174" s="260"/>
      <c r="D174" s="260"/>
      <c r="E174" s="260"/>
      <c r="F174" s="259"/>
      <c r="G174" s="258" t="str">
        <f t="shared" si="6"/>
        <v/>
      </c>
      <c r="H174" s="261" t="str">
        <f t="shared" si="8"/>
        <v/>
      </c>
      <c r="I174" s="260"/>
      <c r="J174" s="260"/>
      <c r="K174" s="259"/>
      <c r="L174" s="258" t="str">
        <f t="shared" si="7"/>
        <v/>
      </c>
      <c r="M174" s="257"/>
    </row>
    <row r="175" spans="1:13" x14ac:dyDescent="0.25">
      <c r="A175" s="263"/>
      <c r="B175" s="262"/>
      <c r="C175" s="260"/>
      <c r="D175" s="260"/>
      <c r="E175" s="260"/>
      <c r="F175" s="259"/>
      <c r="G175" s="258" t="str">
        <f t="shared" si="6"/>
        <v/>
      </c>
      <c r="H175" s="261" t="str">
        <f t="shared" si="8"/>
        <v/>
      </c>
      <c r="I175" s="260"/>
      <c r="J175" s="260"/>
      <c r="K175" s="259"/>
      <c r="L175" s="258" t="str">
        <f t="shared" si="7"/>
        <v/>
      </c>
      <c r="M175" s="257"/>
    </row>
    <row r="176" spans="1:13" x14ac:dyDescent="0.25">
      <c r="A176" s="263"/>
      <c r="B176" s="262"/>
      <c r="C176" s="260"/>
      <c r="D176" s="260"/>
      <c r="E176" s="260"/>
      <c r="F176" s="259"/>
      <c r="G176" s="258" t="str">
        <f t="shared" si="6"/>
        <v/>
      </c>
      <c r="H176" s="261" t="str">
        <f t="shared" si="8"/>
        <v/>
      </c>
      <c r="I176" s="260"/>
      <c r="J176" s="260"/>
      <c r="K176" s="259"/>
      <c r="L176" s="258" t="str">
        <f t="shared" si="7"/>
        <v/>
      </c>
      <c r="M176" s="257"/>
    </row>
    <row r="177" spans="1:13" x14ac:dyDescent="0.25">
      <c r="A177" s="263"/>
      <c r="B177" s="262"/>
      <c r="C177" s="260"/>
      <c r="D177" s="260"/>
      <c r="E177" s="260"/>
      <c r="F177" s="259"/>
      <c r="G177" s="258" t="str">
        <f t="shared" si="6"/>
        <v/>
      </c>
      <c r="H177" s="261" t="str">
        <f t="shared" si="8"/>
        <v/>
      </c>
      <c r="I177" s="260"/>
      <c r="J177" s="260"/>
      <c r="K177" s="259"/>
      <c r="L177" s="258" t="str">
        <f t="shared" si="7"/>
        <v/>
      </c>
      <c r="M177" s="257"/>
    </row>
    <row r="178" spans="1:13" x14ac:dyDescent="0.25">
      <c r="A178" s="263"/>
      <c r="B178" s="262"/>
      <c r="C178" s="260"/>
      <c r="D178" s="260"/>
      <c r="E178" s="260"/>
      <c r="F178" s="259"/>
      <c r="G178" s="258" t="str">
        <f t="shared" si="6"/>
        <v/>
      </c>
      <c r="H178" s="261" t="str">
        <f t="shared" si="8"/>
        <v/>
      </c>
      <c r="I178" s="260"/>
      <c r="J178" s="260"/>
      <c r="K178" s="259"/>
      <c r="L178" s="258" t="str">
        <f t="shared" si="7"/>
        <v/>
      </c>
      <c r="M178" s="257"/>
    </row>
    <row r="179" spans="1:13" x14ac:dyDescent="0.25">
      <c r="A179" s="263"/>
      <c r="B179" s="262"/>
      <c r="C179" s="260"/>
      <c r="D179" s="260"/>
      <c r="E179" s="260"/>
      <c r="F179" s="259"/>
      <c r="G179" s="258" t="str">
        <f t="shared" si="6"/>
        <v/>
      </c>
      <c r="H179" s="261" t="str">
        <f t="shared" si="8"/>
        <v/>
      </c>
      <c r="I179" s="260"/>
      <c r="J179" s="260"/>
      <c r="K179" s="259"/>
      <c r="L179" s="258" t="str">
        <f t="shared" si="7"/>
        <v/>
      </c>
      <c r="M179" s="257"/>
    </row>
    <row r="180" spans="1:13" x14ac:dyDescent="0.25">
      <c r="A180" s="263"/>
      <c r="B180" s="262"/>
      <c r="C180" s="260"/>
      <c r="D180" s="260"/>
      <c r="E180" s="260"/>
      <c r="F180" s="259"/>
      <c r="G180" s="258" t="str">
        <f t="shared" si="6"/>
        <v/>
      </c>
      <c r="H180" s="261" t="str">
        <f t="shared" si="8"/>
        <v/>
      </c>
      <c r="I180" s="260"/>
      <c r="J180" s="260"/>
      <c r="K180" s="259"/>
      <c r="L180" s="258" t="str">
        <f t="shared" si="7"/>
        <v/>
      </c>
      <c r="M180" s="257"/>
    </row>
    <row r="181" spans="1:13" x14ac:dyDescent="0.25">
      <c r="A181" s="263"/>
      <c r="B181" s="262"/>
      <c r="C181" s="260"/>
      <c r="D181" s="260"/>
      <c r="E181" s="260"/>
      <c r="F181" s="259"/>
      <c r="G181" s="258" t="str">
        <f t="shared" si="6"/>
        <v/>
      </c>
      <c r="H181" s="261" t="str">
        <f t="shared" si="8"/>
        <v/>
      </c>
      <c r="I181" s="260"/>
      <c r="J181" s="260"/>
      <c r="K181" s="259"/>
      <c r="L181" s="258" t="str">
        <f t="shared" si="7"/>
        <v/>
      </c>
      <c r="M181" s="257"/>
    </row>
    <row r="182" spans="1:13" x14ac:dyDescent="0.25">
      <c r="A182" s="263"/>
      <c r="B182" s="262"/>
      <c r="C182" s="260"/>
      <c r="D182" s="260"/>
      <c r="E182" s="260"/>
      <c r="F182" s="259"/>
      <c r="G182" s="258" t="str">
        <f t="shared" si="6"/>
        <v/>
      </c>
      <c r="H182" s="261" t="str">
        <f t="shared" si="8"/>
        <v/>
      </c>
      <c r="I182" s="260"/>
      <c r="J182" s="260"/>
      <c r="K182" s="259"/>
      <c r="L182" s="258" t="str">
        <f t="shared" si="7"/>
        <v/>
      </c>
      <c r="M182" s="257"/>
    </row>
    <row r="183" spans="1:13" x14ac:dyDescent="0.25">
      <c r="A183" s="263"/>
      <c r="B183" s="262"/>
      <c r="C183" s="260"/>
      <c r="D183" s="260"/>
      <c r="E183" s="260"/>
      <c r="F183" s="259"/>
      <c r="G183" s="258" t="str">
        <f t="shared" si="6"/>
        <v/>
      </c>
      <c r="H183" s="261" t="str">
        <f t="shared" si="8"/>
        <v/>
      </c>
      <c r="I183" s="260"/>
      <c r="J183" s="260"/>
      <c r="K183" s="259"/>
      <c r="L183" s="258" t="str">
        <f t="shared" si="7"/>
        <v/>
      </c>
      <c r="M183" s="257"/>
    </row>
    <row r="184" spans="1:13" x14ac:dyDescent="0.25">
      <c r="A184" s="263"/>
      <c r="B184" s="262"/>
      <c r="C184" s="260"/>
      <c r="D184" s="260"/>
      <c r="E184" s="260"/>
      <c r="F184" s="259"/>
      <c r="G184" s="258" t="str">
        <f t="shared" si="6"/>
        <v/>
      </c>
      <c r="H184" s="261" t="str">
        <f t="shared" si="8"/>
        <v/>
      </c>
      <c r="I184" s="260"/>
      <c r="J184" s="260"/>
      <c r="K184" s="259"/>
      <c r="L184" s="258" t="str">
        <f t="shared" si="7"/>
        <v/>
      </c>
      <c r="M184" s="257"/>
    </row>
    <row r="185" spans="1:13" x14ac:dyDescent="0.25">
      <c r="A185" s="263"/>
      <c r="B185" s="262"/>
      <c r="C185" s="260"/>
      <c r="D185" s="260"/>
      <c r="E185" s="260"/>
      <c r="F185" s="259"/>
      <c r="G185" s="258" t="str">
        <f t="shared" si="6"/>
        <v/>
      </c>
      <c r="H185" s="261" t="str">
        <f t="shared" si="8"/>
        <v/>
      </c>
      <c r="I185" s="260"/>
      <c r="J185" s="260"/>
      <c r="K185" s="259"/>
      <c r="L185" s="258" t="str">
        <f t="shared" si="7"/>
        <v/>
      </c>
      <c r="M185" s="257"/>
    </row>
    <row r="186" spans="1:13" x14ac:dyDescent="0.25">
      <c r="A186" s="263"/>
      <c r="B186" s="262"/>
      <c r="C186" s="260"/>
      <c r="D186" s="260"/>
      <c r="E186" s="260"/>
      <c r="F186" s="259"/>
      <c r="G186" s="258" t="str">
        <f t="shared" si="6"/>
        <v/>
      </c>
      <c r="H186" s="261" t="str">
        <f t="shared" si="8"/>
        <v/>
      </c>
      <c r="I186" s="260"/>
      <c r="J186" s="260"/>
      <c r="K186" s="259"/>
      <c r="L186" s="258" t="str">
        <f t="shared" si="7"/>
        <v/>
      </c>
      <c r="M186" s="257"/>
    </row>
    <row r="187" spans="1:13" x14ac:dyDescent="0.25">
      <c r="A187" s="263"/>
      <c r="B187" s="262"/>
      <c r="C187" s="260"/>
      <c r="D187" s="260"/>
      <c r="E187" s="260"/>
      <c r="F187" s="259"/>
      <c r="G187" s="258" t="str">
        <f t="shared" si="6"/>
        <v/>
      </c>
      <c r="H187" s="261" t="str">
        <f t="shared" si="8"/>
        <v/>
      </c>
      <c r="I187" s="260"/>
      <c r="J187" s="260"/>
      <c r="K187" s="259"/>
      <c r="L187" s="258" t="str">
        <f t="shared" si="7"/>
        <v/>
      </c>
      <c r="M187" s="257"/>
    </row>
    <row r="188" spans="1:13" x14ac:dyDescent="0.25">
      <c r="A188" s="263"/>
      <c r="B188" s="262"/>
      <c r="C188" s="260"/>
      <c r="D188" s="260"/>
      <c r="E188" s="260"/>
      <c r="F188" s="259"/>
      <c r="G188" s="258" t="str">
        <f t="shared" si="6"/>
        <v/>
      </c>
      <c r="H188" s="261" t="str">
        <f t="shared" si="8"/>
        <v/>
      </c>
      <c r="I188" s="260"/>
      <c r="J188" s="260"/>
      <c r="K188" s="259"/>
      <c r="L188" s="258" t="str">
        <f t="shared" si="7"/>
        <v/>
      </c>
      <c r="M188" s="257"/>
    </row>
    <row r="189" spans="1:13" x14ac:dyDescent="0.25">
      <c r="A189" s="263"/>
      <c r="B189" s="262"/>
      <c r="C189" s="260"/>
      <c r="D189" s="260"/>
      <c r="E189" s="260"/>
      <c r="F189" s="259"/>
      <c r="G189" s="258" t="str">
        <f t="shared" si="6"/>
        <v/>
      </c>
      <c r="H189" s="261" t="str">
        <f t="shared" si="8"/>
        <v/>
      </c>
      <c r="I189" s="260"/>
      <c r="J189" s="260"/>
      <c r="K189" s="259"/>
      <c r="L189" s="258" t="str">
        <f t="shared" si="7"/>
        <v/>
      </c>
      <c r="M189" s="257"/>
    </row>
    <row r="190" spans="1:13" x14ac:dyDescent="0.25">
      <c r="A190" s="263"/>
      <c r="B190" s="262"/>
      <c r="C190" s="260"/>
      <c r="D190" s="260"/>
      <c r="E190" s="260"/>
      <c r="F190" s="259"/>
      <c r="G190" s="258" t="str">
        <f t="shared" si="6"/>
        <v/>
      </c>
      <c r="H190" s="261" t="str">
        <f t="shared" si="8"/>
        <v/>
      </c>
      <c r="I190" s="260"/>
      <c r="J190" s="260"/>
      <c r="K190" s="259"/>
      <c r="L190" s="258" t="str">
        <f t="shared" si="7"/>
        <v/>
      </c>
      <c r="M190" s="257"/>
    </row>
    <row r="191" spans="1:13" x14ac:dyDescent="0.25">
      <c r="A191" s="263"/>
      <c r="B191" s="262"/>
      <c r="C191" s="260"/>
      <c r="D191" s="260"/>
      <c r="E191" s="260"/>
      <c r="F191" s="259"/>
      <c r="G191" s="258" t="str">
        <f t="shared" si="6"/>
        <v/>
      </c>
      <c r="H191" s="261" t="str">
        <f t="shared" si="8"/>
        <v/>
      </c>
      <c r="I191" s="260"/>
      <c r="J191" s="260"/>
      <c r="K191" s="259"/>
      <c r="L191" s="258" t="str">
        <f t="shared" si="7"/>
        <v/>
      </c>
      <c r="M191" s="257"/>
    </row>
    <row r="192" spans="1:13" x14ac:dyDescent="0.25">
      <c r="A192" s="263"/>
      <c r="B192" s="262"/>
      <c r="C192" s="260"/>
      <c r="D192" s="260"/>
      <c r="E192" s="260"/>
      <c r="F192" s="259"/>
      <c r="G192" s="258" t="str">
        <f t="shared" si="6"/>
        <v/>
      </c>
      <c r="H192" s="261" t="str">
        <f t="shared" si="8"/>
        <v/>
      </c>
      <c r="I192" s="260"/>
      <c r="J192" s="260"/>
      <c r="K192" s="259"/>
      <c r="L192" s="258" t="str">
        <f t="shared" si="7"/>
        <v/>
      </c>
      <c r="M192" s="257"/>
    </row>
    <row r="193" spans="1:13" x14ac:dyDescent="0.25">
      <c r="A193" s="263"/>
      <c r="B193" s="262"/>
      <c r="C193" s="260"/>
      <c r="D193" s="260"/>
      <c r="E193" s="260"/>
      <c r="F193" s="259"/>
      <c r="G193" s="258" t="str">
        <f t="shared" si="6"/>
        <v/>
      </c>
      <c r="H193" s="261" t="str">
        <f t="shared" si="8"/>
        <v/>
      </c>
      <c r="I193" s="260"/>
      <c r="J193" s="260"/>
      <c r="K193" s="259"/>
      <c r="L193" s="258" t="str">
        <f t="shared" si="7"/>
        <v/>
      </c>
      <c r="M193" s="257"/>
    </row>
    <row r="194" spans="1:13" x14ac:dyDescent="0.25">
      <c r="A194" s="263"/>
      <c r="B194" s="262"/>
      <c r="C194" s="260"/>
      <c r="D194" s="260"/>
      <c r="E194" s="260"/>
      <c r="F194" s="259"/>
      <c r="G194" s="258" t="str">
        <f t="shared" si="6"/>
        <v/>
      </c>
      <c r="H194" s="261" t="str">
        <f t="shared" si="8"/>
        <v/>
      </c>
      <c r="I194" s="260"/>
      <c r="J194" s="260"/>
      <c r="K194" s="259"/>
      <c r="L194" s="258" t="str">
        <f t="shared" si="7"/>
        <v/>
      </c>
      <c r="M194" s="257"/>
    </row>
    <row r="195" spans="1:13" x14ac:dyDescent="0.25">
      <c r="A195" s="263"/>
      <c r="B195" s="262"/>
      <c r="C195" s="260"/>
      <c r="D195" s="260"/>
      <c r="E195" s="260"/>
      <c r="F195" s="259"/>
      <c r="G195" s="258" t="str">
        <f t="shared" si="6"/>
        <v/>
      </c>
      <c r="H195" s="261" t="str">
        <f t="shared" si="8"/>
        <v/>
      </c>
      <c r="I195" s="260"/>
      <c r="J195" s="260"/>
      <c r="K195" s="259"/>
      <c r="L195" s="258" t="str">
        <f t="shared" si="7"/>
        <v/>
      </c>
      <c r="M195" s="257"/>
    </row>
    <row r="196" spans="1:13" x14ac:dyDescent="0.25">
      <c r="A196" s="263"/>
      <c r="B196" s="262"/>
      <c r="C196" s="260"/>
      <c r="D196" s="260"/>
      <c r="E196" s="260"/>
      <c r="F196" s="259"/>
      <c r="G196" s="258" t="str">
        <f t="shared" si="6"/>
        <v/>
      </c>
      <c r="H196" s="261" t="str">
        <f t="shared" si="8"/>
        <v/>
      </c>
      <c r="I196" s="260"/>
      <c r="J196" s="260"/>
      <c r="K196" s="259"/>
      <c r="L196" s="258" t="str">
        <f t="shared" si="7"/>
        <v/>
      </c>
      <c r="M196" s="257"/>
    </row>
    <row r="197" spans="1:13" x14ac:dyDescent="0.25">
      <c r="A197" s="263"/>
      <c r="B197" s="262"/>
      <c r="C197" s="260"/>
      <c r="D197" s="260"/>
      <c r="E197" s="260"/>
      <c r="F197" s="259"/>
      <c r="G197" s="258" t="str">
        <f t="shared" si="6"/>
        <v/>
      </c>
      <c r="H197" s="261" t="str">
        <f t="shared" si="8"/>
        <v/>
      </c>
      <c r="I197" s="260"/>
      <c r="J197" s="260"/>
      <c r="K197" s="259"/>
      <c r="L197" s="258" t="str">
        <f t="shared" si="7"/>
        <v/>
      </c>
      <c r="M197" s="257"/>
    </row>
    <row r="198" spans="1:13" x14ac:dyDescent="0.25">
      <c r="A198" s="263"/>
      <c r="B198" s="262"/>
      <c r="C198" s="260"/>
      <c r="D198" s="260"/>
      <c r="E198" s="260"/>
      <c r="F198" s="259"/>
      <c r="G198" s="258" t="str">
        <f t="shared" si="6"/>
        <v/>
      </c>
      <c r="H198" s="261" t="str">
        <f t="shared" si="8"/>
        <v/>
      </c>
      <c r="I198" s="260"/>
      <c r="J198" s="260"/>
      <c r="K198" s="259"/>
      <c r="L198" s="258" t="str">
        <f t="shared" si="7"/>
        <v/>
      </c>
      <c r="M198" s="257"/>
    </row>
    <row r="199" spans="1:13" x14ac:dyDescent="0.25">
      <c r="A199" s="263"/>
      <c r="B199" s="262"/>
      <c r="C199" s="260"/>
      <c r="D199" s="260"/>
      <c r="E199" s="260"/>
      <c r="F199" s="259"/>
      <c r="G199" s="258" t="str">
        <f t="shared" si="6"/>
        <v/>
      </c>
      <c r="H199" s="261" t="str">
        <f t="shared" si="8"/>
        <v/>
      </c>
      <c r="I199" s="260"/>
      <c r="J199" s="260"/>
      <c r="K199" s="259"/>
      <c r="L199" s="258" t="str">
        <f t="shared" si="7"/>
        <v/>
      </c>
      <c r="M199" s="257"/>
    </row>
    <row r="200" spans="1:13" x14ac:dyDescent="0.25">
      <c r="A200" s="263"/>
      <c r="B200" s="262"/>
      <c r="C200" s="260"/>
      <c r="D200" s="260"/>
      <c r="E200" s="260"/>
      <c r="F200" s="259"/>
      <c r="G200" s="258" t="str">
        <f t="shared" ref="G200:G209" si="9">IF(AND(C200&lt;&gt;"",D200&lt;&gt;"",F200&lt;&gt;""),C200*D200*F200,IF(AND(C200&lt;&gt;"",E200&lt;&gt;"",F200&lt;&gt;""),C200*E200*F200,IF(AND(C200&lt;&gt;"",D200&lt;&gt;"",E200&lt;&gt;"",F200&lt;&gt;""),C200*D200*E200*F200,"")))</f>
        <v/>
      </c>
      <c r="H200" s="261" t="str">
        <f t="shared" si="8"/>
        <v/>
      </c>
      <c r="I200" s="260"/>
      <c r="J200" s="260"/>
      <c r="K200" s="259"/>
      <c r="L200" s="258" t="str">
        <f t="shared" ref="L200:L209" si="10">IF(AND(I200&lt;&gt;"",J200&lt;&gt;"",K200&lt;&gt;""),I200*J200*K200,IF(AND(I200&lt;&gt;"",J200="",K200&lt;&gt;""),I200*K200,""))</f>
        <v/>
      </c>
      <c r="M200" s="257"/>
    </row>
    <row r="201" spans="1:13" x14ac:dyDescent="0.25">
      <c r="A201" s="263"/>
      <c r="B201" s="262"/>
      <c r="C201" s="260"/>
      <c r="D201" s="260"/>
      <c r="E201" s="260"/>
      <c r="F201" s="259"/>
      <c r="G201" s="258" t="str">
        <f t="shared" si="9"/>
        <v/>
      </c>
      <c r="H201" s="261" t="str">
        <f t="shared" ref="H201:H209" si="11">IF(AND(H200&lt;&gt;"",G201&lt;&gt;""),SUM(H200,G201),"")</f>
        <v/>
      </c>
      <c r="I201" s="260"/>
      <c r="J201" s="260"/>
      <c r="K201" s="259"/>
      <c r="L201" s="258" t="str">
        <f t="shared" si="10"/>
        <v/>
      </c>
      <c r="M201" s="257"/>
    </row>
    <row r="202" spans="1:13" x14ac:dyDescent="0.25">
      <c r="A202" s="263"/>
      <c r="B202" s="262"/>
      <c r="C202" s="260"/>
      <c r="D202" s="260"/>
      <c r="E202" s="260"/>
      <c r="F202" s="259"/>
      <c r="G202" s="258" t="str">
        <f t="shared" si="9"/>
        <v/>
      </c>
      <c r="H202" s="261" t="str">
        <f t="shared" si="11"/>
        <v/>
      </c>
      <c r="I202" s="260"/>
      <c r="J202" s="260"/>
      <c r="K202" s="259"/>
      <c r="L202" s="258" t="str">
        <f t="shared" si="10"/>
        <v/>
      </c>
      <c r="M202" s="257"/>
    </row>
    <row r="203" spans="1:13" x14ac:dyDescent="0.25">
      <c r="A203" s="263"/>
      <c r="B203" s="262"/>
      <c r="C203" s="260"/>
      <c r="D203" s="260"/>
      <c r="E203" s="260"/>
      <c r="F203" s="259"/>
      <c r="G203" s="258" t="str">
        <f t="shared" si="9"/>
        <v/>
      </c>
      <c r="H203" s="261" t="str">
        <f t="shared" si="11"/>
        <v/>
      </c>
      <c r="I203" s="260"/>
      <c r="J203" s="260"/>
      <c r="K203" s="259"/>
      <c r="L203" s="258" t="str">
        <f t="shared" si="10"/>
        <v/>
      </c>
      <c r="M203" s="257"/>
    </row>
    <row r="204" spans="1:13" x14ac:dyDescent="0.25">
      <c r="A204" s="263"/>
      <c r="B204" s="262"/>
      <c r="C204" s="260"/>
      <c r="D204" s="260"/>
      <c r="E204" s="260"/>
      <c r="F204" s="259"/>
      <c r="G204" s="258" t="str">
        <f t="shared" si="9"/>
        <v/>
      </c>
      <c r="H204" s="261" t="str">
        <f t="shared" si="11"/>
        <v/>
      </c>
      <c r="I204" s="260"/>
      <c r="J204" s="260"/>
      <c r="K204" s="259"/>
      <c r="L204" s="258" t="str">
        <f t="shared" si="10"/>
        <v/>
      </c>
      <c r="M204" s="257"/>
    </row>
    <row r="205" spans="1:13" x14ac:dyDescent="0.25">
      <c r="A205" s="263"/>
      <c r="B205" s="262"/>
      <c r="C205" s="260"/>
      <c r="D205" s="260"/>
      <c r="E205" s="260"/>
      <c r="F205" s="259"/>
      <c r="G205" s="258" t="str">
        <f t="shared" si="9"/>
        <v/>
      </c>
      <c r="H205" s="261" t="str">
        <f t="shared" si="11"/>
        <v/>
      </c>
      <c r="I205" s="260"/>
      <c r="J205" s="260"/>
      <c r="K205" s="259"/>
      <c r="L205" s="258" t="str">
        <f t="shared" si="10"/>
        <v/>
      </c>
      <c r="M205" s="257"/>
    </row>
    <row r="206" spans="1:13" x14ac:dyDescent="0.25">
      <c r="A206" s="263"/>
      <c r="B206" s="262"/>
      <c r="C206" s="260"/>
      <c r="D206" s="260"/>
      <c r="E206" s="260"/>
      <c r="F206" s="259"/>
      <c r="G206" s="258" t="str">
        <f t="shared" si="9"/>
        <v/>
      </c>
      <c r="H206" s="261" t="str">
        <f t="shared" si="11"/>
        <v/>
      </c>
      <c r="I206" s="260"/>
      <c r="J206" s="260"/>
      <c r="K206" s="259"/>
      <c r="L206" s="258" t="str">
        <f t="shared" si="10"/>
        <v/>
      </c>
      <c r="M206" s="257"/>
    </row>
    <row r="207" spans="1:13" x14ac:dyDescent="0.25">
      <c r="A207" s="263"/>
      <c r="B207" s="262"/>
      <c r="C207" s="260"/>
      <c r="D207" s="260"/>
      <c r="E207" s="260"/>
      <c r="F207" s="259"/>
      <c r="G207" s="258" t="str">
        <f t="shared" si="9"/>
        <v/>
      </c>
      <c r="H207" s="261" t="str">
        <f t="shared" si="11"/>
        <v/>
      </c>
      <c r="I207" s="260"/>
      <c r="J207" s="260"/>
      <c r="K207" s="259"/>
      <c r="L207" s="258" t="str">
        <f t="shared" si="10"/>
        <v/>
      </c>
      <c r="M207" s="257"/>
    </row>
    <row r="208" spans="1:13" x14ac:dyDescent="0.25">
      <c r="A208" s="263"/>
      <c r="B208" s="262"/>
      <c r="C208" s="260"/>
      <c r="D208" s="260"/>
      <c r="E208" s="260"/>
      <c r="F208" s="259"/>
      <c r="G208" s="258" t="str">
        <f t="shared" si="9"/>
        <v/>
      </c>
      <c r="H208" s="261" t="str">
        <f t="shared" si="11"/>
        <v/>
      </c>
      <c r="I208" s="260"/>
      <c r="J208" s="260"/>
      <c r="K208" s="259"/>
      <c r="L208" s="258" t="str">
        <f t="shared" si="10"/>
        <v/>
      </c>
      <c r="M208" s="257"/>
    </row>
    <row r="209" spans="1:13" x14ac:dyDescent="0.25">
      <c r="A209" s="263"/>
      <c r="B209" s="262"/>
      <c r="C209" s="260"/>
      <c r="D209" s="260"/>
      <c r="E209" s="260"/>
      <c r="F209" s="259"/>
      <c r="G209" s="258" t="str">
        <f t="shared" si="9"/>
        <v/>
      </c>
      <c r="H209" s="261" t="str">
        <f t="shared" si="11"/>
        <v/>
      </c>
      <c r="I209" s="260"/>
      <c r="J209" s="260"/>
      <c r="K209" s="259"/>
      <c r="L209" s="258" t="str">
        <f t="shared" si="10"/>
        <v/>
      </c>
      <c r="M209" s="257"/>
    </row>
    <row r="210" spans="1:13" x14ac:dyDescent="0.25">
      <c r="C210" s="255"/>
      <c r="D210" s="255"/>
      <c r="E210" s="255"/>
      <c r="F210" s="255"/>
      <c r="G210" s="253"/>
      <c r="H210" s="256"/>
      <c r="I210" s="255"/>
      <c r="J210" s="255"/>
      <c r="K210" s="254"/>
      <c r="L210" s="253"/>
    </row>
    <row r="211" spans="1:13" x14ac:dyDescent="0.25">
      <c r="C211" s="255"/>
      <c r="D211" s="255"/>
      <c r="E211" s="255"/>
      <c r="F211" s="255"/>
      <c r="G211" s="253"/>
      <c r="H211" s="256"/>
      <c r="I211" s="255"/>
      <c r="J211" s="255"/>
      <c r="K211" s="254"/>
      <c r="L211" s="253"/>
    </row>
    <row r="212" spans="1:13" x14ac:dyDescent="0.25">
      <c r="C212" s="255"/>
      <c r="D212" s="255"/>
      <c r="E212" s="255"/>
      <c r="F212" s="255"/>
      <c r="G212" s="253"/>
      <c r="H212" s="256"/>
      <c r="I212" s="255"/>
      <c r="J212" s="255"/>
      <c r="K212" s="254"/>
      <c r="L212" s="253"/>
    </row>
    <row r="213" spans="1:13" x14ac:dyDescent="0.25">
      <c r="C213" s="255"/>
      <c r="D213" s="255"/>
      <c r="E213" s="255"/>
      <c r="F213" s="255"/>
      <c r="G213" s="253"/>
      <c r="H213" s="256"/>
      <c r="I213" s="255"/>
      <c r="J213" s="255"/>
      <c r="K213" s="254"/>
      <c r="L213" s="253"/>
    </row>
    <row r="214" spans="1:13" x14ac:dyDescent="0.25">
      <c r="C214" s="255"/>
      <c r="D214" s="255"/>
      <c r="E214" s="255"/>
      <c r="F214" s="255"/>
      <c r="G214" s="253"/>
      <c r="H214" s="256"/>
      <c r="I214" s="255"/>
      <c r="J214" s="255"/>
      <c r="K214" s="254"/>
      <c r="L214" s="253"/>
    </row>
    <row r="215" spans="1:13" x14ac:dyDescent="0.25">
      <c r="C215" s="255"/>
      <c r="D215" s="255"/>
      <c r="E215" s="255"/>
      <c r="F215" s="255"/>
      <c r="G215" s="253"/>
      <c r="H215" s="256"/>
      <c r="I215" s="255"/>
      <c r="J215" s="255"/>
      <c r="K215" s="254"/>
      <c r="L215" s="253"/>
    </row>
    <row r="216" spans="1:13" x14ac:dyDescent="0.25">
      <c r="C216" s="255"/>
      <c r="D216" s="255"/>
      <c r="E216" s="255"/>
      <c r="F216" s="255"/>
      <c r="G216" s="253"/>
      <c r="H216" s="256"/>
      <c r="I216" s="255"/>
      <c r="J216" s="255"/>
      <c r="K216" s="254"/>
      <c r="L216" s="253"/>
    </row>
    <row r="217" spans="1:13" x14ac:dyDescent="0.25">
      <c r="C217" s="255"/>
      <c r="D217" s="255"/>
      <c r="E217" s="255"/>
      <c r="F217" s="255"/>
      <c r="G217" s="253"/>
      <c r="H217" s="256"/>
      <c r="I217" s="255"/>
      <c r="J217" s="255"/>
      <c r="K217" s="254"/>
      <c r="L217" s="253"/>
    </row>
    <row r="218" spans="1:13" x14ac:dyDescent="0.25">
      <c r="C218" s="255"/>
      <c r="D218" s="255"/>
      <c r="E218" s="255"/>
      <c r="F218" s="255"/>
      <c r="G218" s="253"/>
      <c r="H218" s="256"/>
      <c r="I218" s="255"/>
      <c r="J218" s="255"/>
      <c r="K218" s="254"/>
      <c r="L218" s="253"/>
    </row>
    <row r="219" spans="1:13" x14ac:dyDescent="0.25">
      <c r="C219" s="255"/>
      <c r="D219" s="255"/>
      <c r="E219" s="255"/>
      <c r="F219" s="255"/>
      <c r="G219" s="253"/>
      <c r="H219" s="256"/>
      <c r="I219" s="255"/>
      <c r="J219" s="255"/>
      <c r="K219" s="254"/>
      <c r="L219" s="253"/>
    </row>
    <row r="220" spans="1:13" x14ac:dyDescent="0.25">
      <c r="C220" s="255"/>
      <c r="D220" s="255"/>
      <c r="E220" s="255"/>
      <c r="F220" s="255"/>
      <c r="G220" s="253"/>
      <c r="H220" s="256"/>
      <c r="I220" s="255"/>
      <c r="J220" s="255"/>
      <c r="K220" s="254"/>
      <c r="L220" s="253"/>
    </row>
    <row r="221" spans="1:13" x14ac:dyDescent="0.25">
      <c r="C221" s="255"/>
      <c r="D221" s="255"/>
      <c r="E221" s="255"/>
      <c r="F221" s="255"/>
      <c r="G221" s="253"/>
      <c r="H221" s="256"/>
      <c r="I221" s="255"/>
      <c r="J221" s="255"/>
      <c r="K221" s="254"/>
      <c r="L221" s="253"/>
    </row>
    <row r="222" spans="1:13" x14ac:dyDescent="0.25">
      <c r="C222" s="255"/>
      <c r="D222" s="255"/>
      <c r="E222" s="255"/>
      <c r="F222" s="255"/>
      <c r="G222" s="253"/>
      <c r="H222" s="256"/>
      <c r="I222" s="255"/>
      <c r="J222" s="255"/>
      <c r="K222" s="254"/>
      <c r="L222" s="253"/>
    </row>
    <row r="223" spans="1:13" x14ac:dyDescent="0.25">
      <c r="C223" s="255"/>
      <c r="D223" s="255"/>
      <c r="E223" s="255"/>
      <c r="F223" s="255"/>
      <c r="G223" s="253"/>
      <c r="H223" s="256"/>
      <c r="I223" s="255"/>
      <c r="J223" s="255"/>
      <c r="K223" s="254"/>
      <c r="L223" s="253"/>
    </row>
    <row r="224" spans="1:13" x14ac:dyDescent="0.25">
      <c r="C224" s="255"/>
      <c r="D224" s="255"/>
      <c r="E224" s="255"/>
      <c r="F224" s="255"/>
      <c r="G224" s="253"/>
      <c r="H224" s="256"/>
      <c r="I224" s="255"/>
      <c r="J224" s="255"/>
      <c r="K224" s="254"/>
      <c r="L224" s="253"/>
    </row>
    <row r="225" spans="3:12" s="244" customFormat="1" x14ac:dyDescent="0.25">
      <c r="C225" s="255"/>
      <c r="D225" s="255"/>
      <c r="E225" s="255"/>
      <c r="F225" s="255"/>
      <c r="G225" s="253"/>
      <c r="H225" s="256"/>
      <c r="I225" s="255"/>
      <c r="J225" s="255"/>
      <c r="K225" s="254"/>
      <c r="L225" s="253"/>
    </row>
    <row r="226" spans="3:12" s="244" customFormat="1" x14ac:dyDescent="0.25">
      <c r="C226" s="255"/>
      <c r="D226" s="255"/>
      <c r="E226" s="255"/>
      <c r="F226" s="255"/>
      <c r="G226" s="253"/>
      <c r="H226" s="256"/>
      <c r="I226" s="255"/>
      <c r="J226" s="255"/>
      <c r="K226" s="254"/>
      <c r="L226" s="253"/>
    </row>
    <row r="227" spans="3:12" s="244" customFormat="1" x14ac:dyDescent="0.25">
      <c r="C227" s="255"/>
      <c r="D227" s="255"/>
      <c r="E227" s="255"/>
      <c r="F227" s="255"/>
      <c r="G227" s="253"/>
      <c r="H227" s="256"/>
      <c r="I227" s="255"/>
      <c r="J227" s="255"/>
      <c r="K227" s="254"/>
      <c r="L227" s="253"/>
    </row>
    <row r="228" spans="3:12" s="244" customFormat="1" x14ac:dyDescent="0.25">
      <c r="C228" s="255"/>
      <c r="D228" s="255"/>
      <c r="E228" s="255"/>
      <c r="F228" s="255"/>
      <c r="G228" s="253"/>
      <c r="H228" s="256"/>
      <c r="I228" s="255"/>
      <c r="J228" s="255"/>
      <c r="K228" s="254"/>
      <c r="L228" s="253"/>
    </row>
    <row r="229" spans="3:12" s="244" customFormat="1" x14ac:dyDescent="0.25">
      <c r="C229" s="255"/>
      <c r="D229" s="255"/>
      <c r="E229" s="255"/>
      <c r="F229" s="255"/>
      <c r="G229" s="253"/>
      <c r="H229" s="256"/>
      <c r="I229" s="255"/>
      <c r="J229" s="255"/>
      <c r="K229" s="254"/>
      <c r="L229" s="253"/>
    </row>
    <row r="230" spans="3:12" s="244" customFormat="1" x14ac:dyDescent="0.25">
      <c r="C230" s="255"/>
      <c r="D230" s="255"/>
      <c r="E230" s="255"/>
      <c r="F230" s="255"/>
      <c r="G230" s="253"/>
      <c r="H230" s="256"/>
      <c r="I230" s="255"/>
      <c r="J230" s="255"/>
      <c r="K230" s="254"/>
      <c r="L230" s="253"/>
    </row>
    <row r="231" spans="3:12" s="244" customFormat="1" x14ac:dyDescent="0.25">
      <c r="C231" s="255"/>
      <c r="D231" s="255"/>
      <c r="E231" s="255"/>
      <c r="F231" s="255"/>
      <c r="G231" s="253"/>
      <c r="H231" s="256"/>
      <c r="I231" s="255"/>
      <c r="J231" s="255"/>
      <c r="K231" s="254"/>
      <c r="L231" s="253"/>
    </row>
    <row r="232" spans="3:12" s="244" customFormat="1" x14ac:dyDescent="0.25">
      <c r="C232" s="255"/>
      <c r="D232" s="255"/>
      <c r="E232" s="255"/>
      <c r="F232" s="255"/>
      <c r="G232" s="253"/>
      <c r="H232" s="256"/>
      <c r="I232" s="255"/>
      <c r="J232" s="255"/>
      <c r="K232" s="254"/>
      <c r="L232" s="253"/>
    </row>
    <row r="233" spans="3:12" s="244" customFormat="1" x14ac:dyDescent="0.25">
      <c r="C233" s="255"/>
      <c r="D233" s="255"/>
      <c r="E233" s="255"/>
      <c r="F233" s="255"/>
      <c r="G233" s="253"/>
      <c r="H233" s="256"/>
      <c r="I233" s="255"/>
      <c r="J233" s="255"/>
      <c r="K233" s="254"/>
      <c r="L233" s="253"/>
    </row>
    <row r="234" spans="3:12" s="244" customFormat="1" x14ac:dyDescent="0.25">
      <c r="C234" s="255"/>
      <c r="D234" s="255"/>
      <c r="E234" s="255"/>
      <c r="F234" s="255"/>
      <c r="G234" s="253"/>
      <c r="H234" s="256"/>
      <c r="I234" s="255"/>
      <c r="J234" s="255"/>
      <c r="K234" s="254"/>
      <c r="L234" s="253"/>
    </row>
    <row r="235" spans="3:12" s="244" customFormat="1" x14ac:dyDescent="0.25">
      <c r="C235" s="255"/>
      <c r="D235" s="255"/>
      <c r="E235" s="255"/>
      <c r="F235" s="255"/>
      <c r="G235" s="253"/>
      <c r="H235" s="256"/>
      <c r="I235" s="255"/>
      <c r="J235" s="255"/>
      <c r="K235" s="254"/>
      <c r="L235" s="253"/>
    </row>
    <row r="236" spans="3:12" s="244" customFormat="1" x14ac:dyDescent="0.25">
      <c r="C236" s="255"/>
      <c r="D236" s="255"/>
      <c r="E236" s="255"/>
      <c r="F236" s="255"/>
      <c r="G236" s="253"/>
      <c r="H236" s="256"/>
      <c r="I236" s="255"/>
      <c r="J236" s="255"/>
      <c r="K236" s="254"/>
      <c r="L236" s="253"/>
    </row>
    <row r="237" spans="3:12" s="244" customFormat="1" x14ac:dyDescent="0.25">
      <c r="C237" s="255"/>
      <c r="D237" s="255"/>
      <c r="E237" s="255"/>
      <c r="F237" s="255"/>
      <c r="G237" s="253"/>
      <c r="H237" s="256"/>
      <c r="I237" s="255"/>
      <c r="J237" s="255"/>
      <c r="K237" s="254"/>
      <c r="L237" s="253"/>
    </row>
    <row r="238" spans="3:12" s="244" customFormat="1" x14ac:dyDescent="0.25">
      <c r="C238" s="255"/>
      <c r="D238" s="255"/>
      <c r="E238" s="255"/>
      <c r="F238" s="255"/>
      <c r="G238" s="253"/>
      <c r="H238" s="256"/>
      <c r="I238" s="255"/>
      <c r="J238" s="255"/>
      <c r="K238" s="254"/>
      <c r="L238" s="253"/>
    </row>
    <row r="239" spans="3:12" s="244" customFormat="1" x14ac:dyDescent="0.25">
      <c r="C239" s="255"/>
      <c r="D239" s="255"/>
      <c r="E239" s="255"/>
      <c r="F239" s="255"/>
      <c r="G239" s="253"/>
      <c r="H239" s="256"/>
      <c r="I239" s="255"/>
      <c r="J239" s="255"/>
      <c r="K239" s="254"/>
      <c r="L239" s="253"/>
    </row>
    <row r="240" spans="3:12" s="244" customFormat="1" x14ac:dyDescent="0.25">
      <c r="C240" s="255"/>
      <c r="D240" s="255"/>
      <c r="E240" s="255"/>
      <c r="F240" s="255"/>
      <c r="G240" s="253"/>
      <c r="H240" s="256"/>
      <c r="I240" s="255"/>
      <c r="J240" s="255"/>
      <c r="K240" s="254"/>
      <c r="L240" s="253"/>
    </row>
    <row r="241" spans="3:12" s="244" customFormat="1" x14ac:dyDescent="0.25">
      <c r="C241" s="255"/>
      <c r="D241" s="255"/>
      <c r="E241" s="255"/>
      <c r="F241" s="255"/>
      <c r="G241" s="253"/>
      <c r="H241" s="256"/>
      <c r="I241" s="255"/>
      <c r="J241" s="255"/>
      <c r="K241" s="254"/>
      <c r="L241" s="253"/>
    </row>
    <row r="242" spans="3:12" s="244" customFormat="1" x14ac:dyDescent="0.25">
      <c r="C242" s="255"/>
      <c r="D242" s="255"/>
      <c r="E242" s="255"/>
      <c r="F242" s="255"/>
      <c r="G242" s="253"/>
      <c r="H242" s="256"/>
      <c r="I242" s="255"/>
      <c r="J242" s="255"/>
      <c r="K242" s="254"/>
      <c r="L242" s="253"/>
    </row>
    <row r="243" spans="3:12" s="244" customFormat="1" x14ac:dyDescent="0.25">
      <c r="C243" s="255"/>
      <c r="D243" s="255"/>
      <c r="E243" s="255"/>
      <c r="F243" s="255"/>
      <c r="G243" s="253"/>
      <c r="H243" s="256"/>
      <c r="I243" s="255"/>
      <c r="J243" s="255"/>
      <c r="K243" s="254"/>
      <c r="L243" s="253"/>
    </row>
    <row r="244" spans="3:12" s="244" customFormat="1" x14ac:dyDescent="0.25">
      <c r="C244" s="255"/>
      <c r="D244" s="255"/>
      <c r="E244" s="255"/>
      <c r="F244" s="255"/>
      <c r="G244" s="253"/>
      <c r="H244" s="256"/>
      <c r="I244" s="255"/>
      <c r="J244" s="255"/>
      <c r="K244" s="254"/>
      <c r="L244" s="253"/>
    </row>
    <row r="245" spans="3:12" s="244" customFormat="1" x14ac:dyDescent="0.25">
      <c r="C245" s="255"/>
      <c r="D245" s="255"/>
      <c r="E245" s="255"/>
      <c r="F245" s="255"/>
      <c r="G245" s="253"/>
      <c r="H245" s="256"/>
      <c r="I245" s="255"/>
      <c r="J245" s="255"/>
      <c r="K245" s="254"/>
      <c r="L245" s="253"/>
    </row>
    <row r="246" spans="3:12" s="244" customFormat="1" x14ac:dyDescent="0.25">
      <c r="C246" s="255"/>
      <c r="D246" s="255"/>
      <c r="E246" s="255"/>
      <c r="F246" s="255"/>
      <c r="G246" s="253"/>
      <c r="H246" s="256"/>
      <c r="I246" s="255"/>
      <c r="J246" s="255"/>
      <c r="K246" s="254"/>
      <c r="L246" s="253"/>
    </row>
    <row r="247" spans="3:12" s="244" customFormat="1" x14ac:dyDescent="0.25">
      <c r="C247" s="255"/>
      <c r="D247" s="255"/>
      <c r="E247" s="255"/>
      <c r="F247" s="255"/>
      <c r="G247" s="253"/>
      <c r="H247" s="256"/>
      <c r="I247" s="255"/>
      <c r="J247" s="255"/>
      <c r="K247" s="254"/>
      <c r="L247" s="253"/>
    </row>
    <row r="248" spans="3:12" s="244" customFormat="1" x14ac:dyDescent="0.25">
      <c r="C248" s="255"/>
      <c r="D248" s="255"/>
      <c r="E248" s="255"/>
      <c r="F248" s="255"/>
      <c r="G248" s="253"/>
      <c r="H248" s="256"/>
      <c r="I248" s="255"/>
      <c r="J248" s="255"/>
      <c r="K248" s="254"/>
      <c r="L248" s="253"/>
    </row>
    <row r="249" spans="3:12" s="244" customFormat="1" x14ac:dyDescent="0.25">
      <c r="C249" s="255"/>
      <c r="D249" s="255"/>
      <c r="E249" s="255"/>
      <c r="F249" s="255"/>
      <c r="G249" s="253"/>
      <c r="H249" s="256"/>
      <c r="I249" s="255"/>
      <c r="J249" s="255"/>
      <c r="K249" s="254"/>
      <c r="L249" s="253"/>
    </row>
    <row r="250" spans="3:12" s="244" customFormat="1" x14ac:dyDescent="0.25">
      <c r="C250" s="255"/>
      <c r="D250" s="255"/>
      <c r="E250" s="255"/>
      <c r="F250" s="255"/>
      <c r="G250" s="253"/>
      <c r="H250" s="256"/>
      <c r="I250" s="255"/>
      <c r="J250" s="255"/>
      <c r="K250" s="254"/>
      <c r="L250" s="253"/>
    </row>
    <row r="251" spans="3:12" s="244" customFormat="1" x14ac:dyDescent="0.25">
      <c r="C251" s="255"/>
      <c r="D251" s="255"/>
      <c r="E251" s="255"/>
      <c r="F251" s="255"/>
      <c r="G251" s="253"/>
      <c r="H251" s="256"/>
      <c r="I251" s="255"/>
      <c r="J251" s="255"/>
      <c r="K251" s="254"/>
      <c r="L251" s="253"/>
    </row>
    <row r="252" spans="3:12" s="244" customFormat="1" x14ac:dyDescent="0.25">
      <c r="C252" s="255"/>
      <c r="D252" s="255"/>
      <c r="E252" s="255"/>
      <c r="F252" s="255"/>
      <c r="G252" s="253"/>
      <c r="H252" s="256"/>
      <c r="I252" s="255"/>
      <c r="J252" s="255"/>
      <c r="K252" s="254"/>
      <c r="L252" s="253"/>
    </row>
    <row r="253" spans="3:12" s="244" customFormat="1" x14ac:dyDescent="0.25">
      <c r="C253" s="255"/>
      <c r="D253" s="255"/>
      <c r="E253" s="255"/>
      <c r="F253" s="255"/>
      <c r="G253" s="253"/>
      <c r="H253" s="256"/>
      <c r="I253" s="255"/>
      <c r="J253" s="255"/>
      <c r="K253" s="254"/>
      <c r="L253" s="253"/>
    </row>
    <row r="254" spans="3:12" s="244" customFormat="1" x14ac:dyDescent="0.25">
      <c r="C254" s="255"/>
      <c r="D254" s="255"/>
      <c r="E254" s="255"/>
      <c r="F254" s="255"/>
      <c r="G254" s="253"/>
      <c r="H254" s="256"/>
      <c r="I254" s="255"/>
      <c r="J254" s="255"/>
      <c r="K254" s="254"/>
      <c r="L254" s="253"/>
    </row>
    <row r="255" spans="3:12" s="244" customFormat="1" x14ac:dyDescent="0.25">
      <c r="C255" s="255"/>
      <c r="D255" s="255"/>
      <c r="E255" s="255"/>
      <c r="F255" s="255"/>
      <c r="G255" s="253"/>
      <c r="H255" s="256"/>
      <c r="I255" s="255"/>
      <c r="J255" s="255"/>
      <c r="K255" s="254"/>
      <c r="L255" s="253"/>
    </row>
    <row r="256" spans="3:12" s="244" customFormat="1" x14ac:dyDescent="0.25">
      <c r="C256" s="255"/>
      <c r="D256" s="255"/>
      <c r="E256" s="255"/>
      <c r="F256" s="255"/>
      <c r="G256" s="253"/>
      <c r="H256" s="256"/>
      <c r="I256" s="255"/>
      <c r="J256" s="255"/>
      <c r="K256" s="254"/>
      <c r="L256" s="253"/>
    </row>
    <row r="257" spans="3:12" s="244" customFormat="1" x14ac:dyDescent="0.25">
      <c r="C257" s="255"/>
      <c r="D257" s="255"/>
      <c r="E257" s="255"/>
      <c r="F257" s="255"/>
      <c r="G257" s="253"/>
      <c r="H257" s="256"/>
      <c r="I257" s="255"/>
      <c r="J257" s="255"/>
      <c r="K257" s="254"/>
      <c r="L257" s="253"/>
    </row>
    <row r="258" spans="3:12" s="244" customFormat="1" x14ac:dyDescent="0.25">
      <c r="C258" s="255"/>
      <c r="D258" s="255"/>
      <c r="E258" s="255"/>
      <c r="F258" s="255"/>
      <c r="G258" s="253"/>
      <c r="H258" s="256"/>
      <c r="I258" s="255"/>
      <c r="J258" s="255"/>
      <c r="K258" s="254"/>
      <c r="L258" s="253"/>
    </row>
    <row r="259" spans="3:12" s="244" customFormat="1" x14ac:dyDescent="0.25">
      <c r="C259" s="255"/>
      <c r="D259" s="255"/>
      <c r="E259" s="255"/>
      <c r="F259" s="255"/>
      <c r="G259" s="253"/>
      <c r="H259" s="256"/>
      <c r="I259" s="255"/>
      <c r="J259" s="255"/>
      <c r="K259" s="254"/>
      <c r="L259" s="253"/>
    </row>
    <row r="260" spans="3:12" s="244" customFormat="1" x14ac:dyDescent="0.25">
      <c r="C260" s="255"/>
      <c r="D260" s="255"/>
      <c r="E260" s="255"/>
      <c r="F260" s="255"/>
      <c r="G260" s="253"/>
      <c r="H260" s="256"/>
      <c r="I260" s="255"/>
      <c r="J260" s="255"/>
      <c r="K260" s="254"/>
      <c r="L260" s="253"/>
    </row>
    <row r="261" spans="3:12" s="244" customFormat="1" x14ac:dyDescent="0.25">
      <c r="C261" s="255"/>
      <c r="D261" s="255"/>
      <c r="E261" s="255"/>
      <c r="F261" s="255"/>
      <c r="G261" s="253"/>
      <c r="H261" s="256"/>
      <c r="I261" s="255"/>
      <c r="J261" s="255"/>
      <c r="K261" s="254"/>
      <c r="L261" s="253"/>
    </row>
    <row r="262" spans="3:12" s="244" customFormat="1" x14ac:dyDescent="0.25">
      <c r="C262" s="255"/>
      <c r="D262" s="255"/>
      <c r="E262" s="255"/>
      <c r="F262" s="255"/>
      <c r="G262" s="253"/>
      <c r="H262" s="256"/>
      <c r="I262" s="255"/>
      <c r="J262" s="255"/>
      <c r="K262" s="254"/>
      <c r="L262" s="253"/>
    </row>
    <row r="263" spans="3:12" s="244" customFormat="1" x14ac:dyDescent="0.25">
      <c r="C263" s="255"/>
      <c r="D263" s="255"/>
      <c r="E263" s="255"/>
      <c r="F263" s="255"/>
      <c r="G263" s="253"/>
      <c r="H263" s="256"/>
      <c r="I263" s="255"/>
      <c r="J263" s="255"/>
      <c r="K263" s="254"/>
      <c r="L263" s="253"/>
    </row>
    <row r="264" spans="3:12" s="244" customFormat="1" x14ac:dyDescent="0.25">
      <c r="C264" s="255"/>
      <c r="D264" s="255"/>
      <c r="E264" s="255"/>
      <c r="F264" s="255"/>
      <c r="G264" s="253"/>
      <c r="H264" s="256"/>
      <c r="I264" s="255"/>
      <c r="J264" s="255"/>
      <c r="K264" s="254"/>
      <c r="L264" s="253"/>
    </row>
    <row r="265" spans="3:12" s="244" customFormat="1" x14ac:dyDescent="0.25">
      <c r="C265" s="255"/>
      <c r="D265" s="255"/>
      <c r="E265" s="255"/>
      <c r="F265" s="255"/>
      <c r="G265" s="253"/>
      <c r="H265" s="256"/>
      <c r="I265" s="255"/>
      <c r="J265" s="255"/>
      <c r="K265" s="254"/>
      <c r="L265" s="253"/>
    </row>
    <row r="266" spans="3:12" s="244" customFormat="1" x14ac:dyDescent="0.25">
      <c r="C266" s="255"/>
      <c r="D266" s="255"/>
      <c r="E266" s="255"/>
      <c r="F266" s="255"/>
      <c r="G266" s="253"/>
      <c r="H266" s="256"/>
      <c r="I266" s="255"/>
      <c r="J266" s="255"/>
      <c r="K266" s="254"/>
      <c r="L266" s="253"/>
    </row>
    <row r="267" spans="3:12" s="244" customFormat="1" x14ac:dyDescent="0.25">
      <c r="C267" s="255"/>
      <c r="D267" s="255"/>
      <c r="E267" s="255"/>
      <c r="F267" s="255"/>
      <c r="G267" s="253"/>
      <c r="H267" s="256"/>
      <c r="I267" s="255"/>
      <c r="J267" s="255"/>
      <c r="K267" s="254"/>
      <c r="L267" s="253"/>
    </row>
    <row r="268" spans="3:12" s="244" customFormat="1" x14ac:dyDescent="0.25">
      <c r="C268" s="255"/>
      <c r="D268" s="255"/>
      <c r="E268" s="255"/>
      <c r="F268" s="255"/>
      <c r="G268" s="253"/>
      <c r="H268" s="256"/>
      <c r="I268" s="255"/>
      <c r="J268" s="255"/>
      <c r="K268" s="254"/>
      <c r="L268" s="253"/>
    </row>
    <row r="269" spans="3:12" s="244" customFormat="1" x14ac:dyDescent="0.25">
      <c r="C269" s="255"/>
      <c r="D269" s="255"/>
      <c r="E269" s="255"/>
      <c r="F269" s="255"/>
      <c r="G269" s="253"/>
      <c r="H269" s="256"/>
      <c r="I269" s="255"/>
      <c r="J269" s="255"/>
      <c r="K269" s="254"/>
      <c r="L269" s="253"/>
    </row>
    <row r="270" spans="3:12" s="244" customFormat="1" x14ac:dyDescent="0.25">
      <c r="C270" s="255"/>
      <c r="D270" s="255"/>
      <c r="E270" s="255"/>
      <c r="F270" s="255"/>
      <c r="G270" s="253"/>
      <c r="H270" s="256"/>
      <c r="I270" s="255"/>
      <c r="J270" s="255"/>
      <c r="K270" s="254"/>
      <c r="L270" s="253"/>
    </row>
    <row r="271" spans="3:12" s="244" customFormat="1" x14ac:dyDescent="0.25">
      <c r="C271" s="255"/>
      <c r="D271" s="255"/>
      <c r="E271" s="255"/>
      <c r="F271" s="255"/>
      <c r="G271" s="253"/>
      <c r="H271" s="256"/>
      <c r="I271" s="255"/>
      <c r="J271" s="255"/>
      <c r="K271" s="254"/>
      <c r="L271" s="253"/>
    </row>
    <row r="272" spans="3:12" s="244" customFormat="1" x14ac:dyDescent="0.25">
      <c r="C272" s="255"/>
      <c r="D272" s="255"/>
      <c r="E272" s="255"/>
      <c r="F272" s="255"/>
      <c r="G272" s="253"/>
      <c r="H272" s="256"/>
      <c r="I272" s="255"/>
      <c r="J272" s="255"/>
      <c r="K272" s="254"/>
      <c r="L272" s="253"/>
    </row>
    <row r="273" spans="3:12" s="244" customFormat="1" x14ac:dyDescent="0.25">
      <c r="C273" s="255"/>
      <c r="D273" s="255"/>
      <c r="E273" s="255"/>
      <c r="F273" s="255"/>
      <c r="G273" s="253"/>
      <c r="H273" s="256"/>
      <c r="I273" s="255"/>
      <c r="J273" s="255"/>
      <c r="K273" s="254"/>
      <c r="L273" s="253"/>
    </row>
    <row r="274" spans="3:12" s="244" customFormat="1" x14ac:dyDescent="0.25">
      <c r="C274" s="255"/>
      <c r="D274" s="255"/>
      <c r="E274" s="255"/>
      <c r="F274" s="255"/>
      <c r="G274" s="253"/>
      <c r="H274" s="256"/>
      <c r="I274" s="255"/>
      <c r="J274" s="255"/>
      <c r="K274" s="254"/>
      <c r="L274" s="253"/>
    </row>
    <row r="275" spans="3:12" s="244" customFormat="1" x14ac:dyDescent="0.25">
      <c r="C275" s="255"/>
      <c r="D275" s="255"/>
      <c r="E275" s="255"/>
      <c r="F275" s="255"/>
      <c r="G275" s="253"/>
      <c r="H275" s="256"/>
      <c r="I275" s="255"/>
      <c r="J275" s="255"/>
      <c r="K275" s="254"/>
      <c r="L275" s="253"/>
    </row>
    <row r="276" spans="3:12" s="244" customFormat="1" x14ac:dyDescent="0.25">
      <c r="C276" s="255"/>
      <c r="D276" s="255"/>
      <c r="E276" s="255"/>
      <c r="F276" s="255"/>
      <c r="G276" s="253"/>
      <c r="H276" s="256"/>
      <c r="I276" s="255"/>
      <c r="J276" s="255"/>
      <c r="K276" s="254"/>
      <c r="L276" s="253"/>
    </row>
    <row r="277" spans="3:12" s="244" customFormat="1" x14ac:dyDescent="0.25">
      <c r="C277" s="255"/>
      <c r="D277" s="255"/>
      <c r="E277" s="255"/>
      <c r="F277" s="255"/>
      <c r="G277" s="253"/>
      <c r="H277" s="256"/>
      <c r="I277" s="255"/>
      <c r="J277" s="255"/>
      <c r="K277" s="254"/>
      <c r="L277" s="253"/>
    </row>
    <row r="278" spans="3:12" s="244" customFormat="1" x14ac:dyDescent="0.25">
      <c r="C278" s="255"/>
      <c r="D278" s="255"/>
      <c r="E278" s="255"/>
      <c r="F278" s="255"/>
      <c r="G278" s="253"/>
      <c r="H278" s="256"/>
      <c r="I278" s="255"/>
      <c r="J278" s="255"/>
      <c r="K278" s="254"/>
      <c r="L278" s="253"/>
    </row>
    <row r="279" spans="3:12" s="244" customFormat="1" x14ac:dyDescent="0.25">
      <c r="C279" s="255"/>
      <c r="D279" s="255"/>
      <c r="E279" s="255"/>
      <c r="F279" s="255"/>
      <c r="G279" s="253"/>
      <c r="H279" s="256"/>
      <c r="I279" s="255"/>
      <c r="J279" s="255"/>
      <c r="K279" s="254"/>
      <c r="L279" s="253"/>
    </row>
    <row r="280" spans="3:12" s="244" customFormat="1" x14ac:dyDescent="0.25">
      <c r="C280" s="255"/>
      <c r="D280" s="255"/>
      <c r="E280" s="255"/>
      <c r="F280" s="255"/>
      <c r="G280" s="253"/>
      <c r="H280" s="256"/>
      <c r="I280" s="255"/>
      <c r="J280" s="255"/>
      <c r="K280" s="254"/>
      <c r="L280" s="253"/>
    </row>
    <row r="281" spans="3:12" s="244" customFormat="1" x14ac:dyDescent="0.25">
      <c r="C281" s="255"/>
      <c r="D281" s="255"/>
      <c r="E281" s="255"/>
      <c r="F281" s="255"/>
      <c r="G281" s="253"/>
      <c r="H281" s="256"/>
      <c r="I281" s="255"/>
      <c r="J281" s="255"/>
      <c r="K281" s="254"/>
      <c r="L281" s="253"/>
    </row>
    <row r="282" spans="3:12" s="244" customFormat="1" x14ac:dyDescent="0.25">
      <c r="C282" s="255"/>
      <c r="D282" s="255"/>
      <c r="E282" s="255"/>
      <c r="F282" s="255"/>
      <c r="G282" s="253"/>
      <c r="H282" s="256"/>
      <c r="I282" s="255"/>
      <c r="J282" s="255"/>
      <c r="K282" s="254"/>
      <c r="L282" s="253"/>
    </row>
    <row r="283" spans="3:12" s="244" customFormat="1" x14ac:dyDescent="0.25">
      <c r="C283" s="255"/>
      <c r="D283" s="255"/>
      <c r="E283" s="255"/>
      <c r="F283" s="255"/>
      <c r="G283" s="253"/>
      <c r="H283" s="256"/>
      <c r="I283" s="255"/>
      <c r="J283" s="255"/>
      <c r="K283" s="254"/>
      <c r="L283" s="253"/>
    </row>
    <row r="284" spans="3:12" s="244" customFormat="1" x14ac:dyDescent="0.25">
      <c r="C284" s="255"/>
      <c r="D284" s="255"/>
      <c r="E284" s="255"/>
      <c r="F284" s="255"/>
      <c r="G284" s="253"/>
      <c r="H284" s="256"/>
      <c r="I284" s="255"/>
      <c r="J284" s="255"/>
      <c r="K284" s="254"/>
      <c r="L284" s="253"/>
    </row>
    <row r="285" spans="3:12" s="244" customFormat="1" x14ac:dyDescent="0.25">
      <c r="C285" s="255"/>
      <c r="D285" s="255"/>
      <c r="E285" s="255"/>
      <c r="F285" s="255"/>
      <c r="G285" s="253"/>
      <c r="H285" s="256"/>
      <c r="I285" s="255"/>
      <c r="J285" s="255"/>
      <c r="K285" s="254"/>
      <c r="L285" s="253"/>
    </row>
    <row r="286" spans="3:12" s="244" customFormat="1" x14ac:dyDescent="0.25">
      <c r="C286" s="255"/>
      <c r="D286" s="255"/>
      <c r="E286" s="255"/>
      <c r="F286" s="255"/>
      <c r="G286" s="253"/>
      <c r="H286" s="256"/>
      <c r="I286" s="255"/>
      <c r="J286" s="255"/>
      <c r="K286" s="254"/>
      <c r="L286" s="253"/>
    </row>
    <row r="287" spans="3:12" s="244" customFormat="1" x14ac:dyDescent="0.25">
      <c r="C287" s="255"/>
      <c r="D287" s="255"/>
      <c r="E287" s="255"/>
      <c r="F287" s="255"/>
      <c r="G287" s="253"/>
      <c r="H287" s="256"/>
      <c r="I287" s="255"/>
      <c r="J287" s="255"/>
      <c r="K287" s="254"/>
      <c r="L287" s="253"/>
    </row>
    <row r="288" spans="3:12" s="244" customFormat="1" x14ac:dyDescent="0.25">
      <c r="C288" s="255"/>
      <c r="D288" s="255"/>
      <c r="E288" s="255"/>
      <c r="F288" s="255"/>
      <c r="G288" s="253"/>
      <c r="H288" s="256"/>
      <c r="I288" s="255"/>
      <c r="J288" s="255"/>
      <c r="K288" s="254"/>
      <c r="L288" s="253"/>
    </row>
    <row r="289" spans="3:12" s="244" customFormat="1" x14ac:dyDescent="0.25">
      <c r="C289" s="255"/>
      <c r="D289" s="255"/>
      <c r="E289" s="255"/>
      <c r="F289" s="255"/>
      <c r="G289" s="253"/>
      <c r="H289" s="256"/>
      <c r="I289" s="255"/>
      <c r="J289" s="255"/>
      <c r="K289" s="254"/>
      <c r="L289" s="253"/>
    </row>
    <row r="290" spans="3:12" s="244" customFormat="1" x14ac:dyDescent="0.25">
      <c r="C290" s="255"/>
      <c r="D290" s="255"/>
      <c r="E290" s="255"/>
      <c r="F290" s="255"/>
      <c r="G290" s="253"/>
      <c r="H290" s="256"/>
      <c r="I290" s="255"/>
      <c r="J290" s="255"/>
      <c r="K290" s="254"/>
      <c r="L290" s="253"/>
    </row>
    <row r="291" spans="3:12" s="244" customFormat="1" x14ac:dyDescent="0.25">
      <c r="C291" s="255"/>
      <c r="D291" s="255"/>
      <c r="E291" s="255"/>
      <c r="F291" s="255"/>
      <c r="G291" s="253"/>
      <c r="H291" s="256"/>
      <c r="I291" s="255"/>
      <c r="J291" s="255"/>
      <c r="K291" s="254"/>
      <c r="L291" s="253"/>
    </row>
    <row r="292" spans="3:12" s="244" customFormat="1" x14ac:dyDescent="0.25">
      <c r="C292" s="255"/>
      <c r="D292" s="255"/>
      <c r="E292" s="255"/>
      <c r="F292" s="255"/>
      <c r="G292" s="253"/>
      <c r="H292" s="256"/>
      <c r="I292" s="255"/>
      <c r="J292" s="255"/>
      <c r="K292" s="254"/>
      <c r="L292" s="253"/>
    </row>
    <row r="293" spans="3:12" s="244" customFormat="1" x14ac:dyDescent="0.25">
      <c r="C293" s="255"/>
      <c r="D293" s="255"/>
      <c r="E293" s="255"/>
      <c r="F293" s="255"/>
      <c r="G293" s="253"/>
      <c r="H293" s="256"/>
      <c r="I293" s="255"/>
      <c r="J293" s="255"/>
      <c r="K293" s="254"/>
      <c r="L293" s="253"/>
    </row>
    <row r="294" spans="3:12" s="244" customFormat="1" x14ac:dyDescent="0.25">
      <c r="C294" s="255"/>
      <c r="D294" s="255"/>
      <c r="E294" s="255"/>
      <c r="F294" s="255"/>
      <c r="G294" s="253"/>
      <c r="H294" s="256"/>
      <c r="I294" s="255"/>
      <c r="J294" s="255"/>
      <c r="K294" s="254"/>
      <c r="L294" s="253"/>
    </row>
    <row r="295" spans="3:12" s="244" customFormat="1" x14ac:dyDescent="0.25">
      <c r="C295" s="255"/>
      <c r="D295" s="255"/>
      <c r="E295" s="255"/>
      <c r="F295" s="255"/>
      <c r="G295" s="253"/>
      <c r="H295" s="256"/>
      <c r="I295" s="255"/>
      <c r="J295" s="255"/>
      <c r="K295" s="254"/>
      <c r="L295" s="253"/>
    </row>
    <row r="296" spans="3:12" s="244" customFormat="1" x14ac:dyDescent="0.25">
      <c r="C296" s="255"/>
      <c r="D296" s="255"/>
      <c r="E296" s="255"/>
      <c r="F296" s="255"/>
      <c r="G296" s="253"/>
      <c r="H296" s="256"/>
      <c r="I296" s="255"/>
      <c r="J296" s="255"/>
      <c r="K296" s="254"/>
      <c r="L296" s="253"/>
    </row>
    <row r="297" spans="3:12" s="244" customFormat="1" x14ac:dyDescent="0.25">
      <c r="C297" s="255"/>
      <c r="D297" s="255"/>
      <c r="E297" s="255"/>
      <c r="F297" s="255"/>
      <c r="G297" s="253"/>
      <c r="H297" s="256"/>
      <c r="I297" s="255"/>
      <c r="J297" s="255"/>
      <c r="K297" s="254"/>
      <c r="L297" s="253"/>
    </row>
    <row r="298" spans="3:12" s="244" customFormat="1" x14ac:dyDescent="0.25">
      <c r="C298" s="255"/>
      <c r="D298" s="255"/>
      <c r="E298" s="255"/>
      <c r="F298" s="255"/>
      <c r="G298" s="253"/>
      <c r="H298" s="256"/>
      <c r="I298" s="255"/>
      <c r="J298" s="255"/>
      <c r="K298" s="254"/>
      <c r="L298" s="253"/>
    </row>
    <row r="299" spans="3:12" s="244" customFormat="1" x14ac:dyDescent="0.25">
      <c r="C299" s="255"/>
      <c r="D299" s="255"/>
      <c r="E299" s="255"/>
      <c r="F299" s="255"/>
      <c r="G299" s="253"/>
      <c r="H299" s="256"/>
      <c r="I299" s="255"/>
      <c r="J299" s="255"/>
      <c r="K299" s="254"/>
      <c r="L299" s="253"/>
    </row>
    <row r="300" spans="3:12" s="244" customFormat="1" x14ac:dyDescent="0.25">
      <c r="C300" s="255"/>
      <c r="D300" s="255"/>
      <c r="E300" s="255"/>
      <c r="F300" s="255"/>
      <c r="G300" s="253"/>
      <c r="H300" s="256"/>
      <c r="I300" s="255"/>
      <c r="J300" s="255"/>
      <c r="K300" s="254"/>
      <c r="L300" s="253"/>
    </row>
    <row r="301" spans="3:12" s="244" customFormat="1" x14ac:dyDescent="0.25">
      <c r="C301" s="255"/>
      <c r="D301" s="255"/>
      <c r="E301" s="255"/>
      <c r="F301" s="255"/>
      <c r="G301" s="253"/>
      <c r="H301" s="256"/>
      <c r="I301" s="255"/>
      <c r="J301" s="255"/>
      <c r="K301" s="254"/>
      <c r="L301" s="253"/>
    </row>
    <row r="302" spans="3:12" s="244" customFormat="1" x14ac:dyDescent="0.25">
      <c r="C302" s="255"/>
      <c r="D302" s="255"/>
      <c r="E302" s="255"/>
      <c r="F302" s="255"/>
      <c r="G302" s="253"/>
      <c r="H302" s="256"/>
      <c r="I302" s="255"/>
      <c r="J302" s="255"/>
      <c r="K302" s="254"/>
      <c r="L302" s="253"/>
    </row>
    <row r="303" spans="3:12" s="244" customFormat="1" x14ac:dyDescent="0.25">
      <c r="C303" s="255"/>
      <c r="D303" s="255"/>
      <c r="E303" s="255"/>
      <c r="F303" s="255"/>
      <c r="G303" s="253"/>
      <c r="H303" s="256"/>
      <c r="I303" s="255"/>
      <c r="J303" s="255"/>
      <c r="K303" s="254"/>
      <c r="L303" s="253"/>
    </row>
    <row r="304" spans="3:12" s="244" customFormat="1" x14ac:dyDescent="0.25">
      <c r="C304" s="255"/>
      <c r="D304" s="255"/>
      <c r="E304" s="255"/>
      <c r="F304" s="255"/>
      <c r="G304" s="253"/>
      <c r="H304" s="256"/>
      <c r="I304" s="255"/>
      <c r="J304" s="255"/>
      <c r="K304" s="254"/>
      <c r="L304" s="253"/>
    </row>
    <row r="305" spans="3:12" s="244" customFormat="1" x14ac:dyDescent="0.25">
      <c r="C305" s="255"/>
      <c r="D305" s="255"/>
      <c r="E305" s="255"/>
      <c r="F305" s="255"/>
      <c r="G305" s="253"/>
      <c r="H305" s="256"/>
      <c r="I305" s="255"/>
      <c r="J305" s="255"/>
      <c r="K305" s="254"/>
      <c r="L305" s="253"/>
    </row>
    <row r="306" spans="3:12" s="244" customFormat="1" x14ac:dyDescent="0.25">
      <c r="C306" s="255"/>
      <c r="D306" s="255"/>
      <c r="E306" s="255"/>
      <c r="F306" s="255"/>
      <c r="G306" s="253"/>
      <c r="H306" s="256"/>
      <c r="I306" s="255"/>
      <c r="J306" s="255"/>
      <c r="K306" s="254"/>
      <c r="L306" s="253"/>
    </row>
    <row r="307" spans="3:12" s="244" customFormat="1" x14ac:dyDescent="0.25">
      <c r="C307" s="255"/>
      <c r="D307" s="255"/>
      <c r="E307" s="255"/>
      <c r="F307" s="255"/>
      <c r="G307" s="253"/>
      <c r="H307" s="256"/>
      <c r="I307" s="255"/>
      <c r="J307" s="255"/>
      <c r="K307" s="254"/>
      <c r="L307" s="253"/>
    </row>
    <row r="308" spans="3:12" s="244" customFormat="1" x14ac:dyDescent="0.25">
      <c r="C308" s="255"/>
      <c r="D308" s="255"/>
      <c r="E308" s="255"/>
      <c r="F308" s="255"/>
      <c r="G308" s="253"/>
      <c r="H308" s="256"/>
      <c r="I308" s="255"/>
      <c r="J308" s="255"/>
      <c r="K308" s="254"/>
      <c r="L308" s="253"/>
    </row>
    <row r="309" spans="3:12" s="244" customFormat="1" x14ac:dyDescent="0.25">
      <c r="C309" s="255"/>
      <c r="D309" s="255"/>
      <c r="E309" s="255"/>
      <c r="F309" s="255"/>
      <c r="G309" s="253"/>
      <c r="H309" s="256"/>
      <c r="I309" s="255"/>
      <c r="J309" s="255"/>
      <c r="K309" s="254"/>
      <c r="L309" s="253"/>
    </row>
    <row r="310" spans="3:12" s="244" customFormat="1" x14ac:dyDescent="0.25">
      <c r="C310" s="255"/>
      <c r="D310" s="255"/>
      <c r="E310" s="255"/>
      <c r="F310" s="255"/>
      <c r="G310" s="253"/>
      <c r="H310" s="256"/>
      <c r="I310" s="255"/>
      <c r="J310" s="255"/>
      <c r="K310" s="254"/>
      <c r="L310" s="253"/>
    </row>
    <row r="311" spans="3:12" s="244" customFormat="1" x14ac:dyDescent="0.25">
      <c r="C311" s="255"/>
      <c r="D311" s="255"/>
      <c r="E311" s="255"/>
      <c r="F311" s="255"/>
      <c r="G311" s="253"/>
      <c r="H311" s="256"/>
      <c r="I311" s="255"/>
      <c r="J311" s="255"/>
      <c r="K311" s="254"/>
      <c r="L311" s="253"/>
    </row>
    <row r="312" spans="3:12" s="244" customFormat="1" x14ac:dyDescent="0.25">
      <c r="C312" s="255"/>
      <c r="D312" s="255"/>
      <c r="E312" s="255"/>
      <c r="F312" s="255"/>
      <c r="G312" s="253"/>
      <c r="H312" s="256"/>
      <c r="I312" s="255"/>
      <c r="J312" s="255"/>
      <c r="K312" s="254"/>
      <c r="L312" s="253"/>
    </row>
    <row r="313" spans="3:12" s="244" customFormat="1" x14ac:dyDescent="0.25">
      <c r="C313" s="255"/>
      <c r="D313" s="255"/>
      <c r="E313" s="255"/>
      <c r="F313" s="255"/>
      <c r="G313" s="253"/>
      <c r="H313" s="256"/>
      <c r="I313" s="255"/>
      <c r="J313" s="255"/>
      <c r="K313" s="254"/>
      <c r="L313" s="253"/>
    </row>
    <row r="314" spans="3:12" s="244" customFormat="1" x14ac:dyDescent="0.25">
      <c r="C314" s="255"/>
      <c r="D314" s="255"/>
      <c r="E314" s="255"/>
      <c r="F314" s="255"/>
      <c r="G314" s="253"/>
      <c r="H314" s="256"/>
      <c r="I314" s="255"/>
      <c r="J314" s="255"/>
      <c r="K314" s="254"/>
      <c r="L314" s="253"/>
    </row>
    <row r="315" spans="3:12" s="244" customFormat="1" x14ac:dyDescent="0.25">
      <c r="C315" s="255"/>
      <c r="D315" s="255"/>
      <c r="E315" s="255"/>
      <c r="F315" s="255"/>
      <c r="G315" s="253"/>
      <c r="H315" s="256"/>
      <c r="I315" s="255"/>
      <c r="J315" s="255"/>
      <c r="K315" s="254"/>
      <c r="L315" s="253"/>
    </row>
    <row r="316" spans="3:12" s="244" customFormat="1" x14ac:dyDescent="0.25">
      <c r="C316" s="255"/>
      <c r="D316" s="255"/>
      <c r="E316" s="255"/>
      <c r="F316" s="255"/>
      <c r="G316" s="253"/>
      <c r="H316" s="256"/>
      <c r="I316" s="255"/>
      <c r="J316" s="255"/>
      <c r="K316" s="254"/>
      <c r="L316" s="253"/>
    </row>
    <row r="317" spans="3:12" s="244" customFormat="1" x14ac:dyDescent="0.25">
      <c r="C317" s="255"/>
      <c r="D317" s="255"/>
      <c r="E317" s="255"/>
      <c r="F317" s="255"/>
      <c r="G317" s="253"/>
      <c r="H317" s="256"/>
      <c r="I317" s="255"/>
      <c r="J317" s="255"/>
      <c r="K317" s="254"/>
      <c r="L317" s="253"/>
    </row>
    <row r="318" spans="3:12" s="244" customFormat="1" x14ac:dyDescent="0.25">
      <c r="C318" s="255"/>
      <c r="D318" s="255"/>
      <c r="E318" s="255"/>
      <c r="F318" s="255"/>
      <c r="G318" s="253"/>
      <c r="H318" s="256"/>
      <c r="I318" s="255"/>
      <c r="J318" s="255"/>
      <c r="K318" s="254"/>
      <c r="L318" s="253"/>
    </row>
    <row r="319" spans="3:12" s="244" customFormat="1" x14ac:dyDescent="0.25">
      <c r="C319" s="255"/>
      <c r="D319" s="255"/>
      <c r="E319" s="255"/>
      <c r="F319" s="255"/>
      <c r="G319" s="253"/>
      <c r="H319" s="256"/>
      <c r="I319" s="255"/>
      <c r="J319" s="255"/>
      <c r="K319" s="254"/>
      <c r="L319" s="253"/>
    </row>
    <row r="320" spans="3:12" s="244" customFormat="1" x14ac:dyDescent="0.25">
      <c r="C320" s="255"/>
      <c r="D320" s="255"/>
      <c r="E320" s="255"/>
      <c r="F320" s="255"/>
      <c r="G320" s="253"/>
      <c r="H320" s="256"/>
      <c r="I320" s="255"/>
      <c r="J320" s="255"/>
      <c r="K320" s="254"/>
      <c r="L320" s="253"/>
    </row>
    <row r="321" spans="3:12" s="244" customFormat="1" x14ac:dyDescent="0.25">
      <c r="C321" s="255"/>
      <c r="D321" s="255"/>
      <c r="E321" s="255"/>
      <c r="F321" s="255"/>
      <c r="G321" s="253"/>
      <c r="H321" s="256"/>
      <c r="I321" s="255"/>
      <c r="J321" s="255"/>
      <c r="K321" s="254"/>
      <c r="L321" s="253"/>
    </row>
    <row r="322" spans="3:12" s="244" customFormat="1" x14ac:dyDescent="0.25">
      <c r="C322" s="255"/>
      <c r="D322" s="255"/>
      <c r="E322" s="255"/>
      <c r="F322" s="255"/>
      <c r="G322" s="253"/>
      <c r="H322" s="256"/>
      <c r="I322" s="255"/>
      <c r="J322" s="255"/>
      <c r="K322" s="254"/>
      <c r="L322" s="253"/>
    </row>
    <row r="323" spans="3:12" s="244" customFormat="1" x14ac:dyDescent="0.25">
      <c r="C323" s="255"/>
      <c r="D323" s="255"/>
      <c r="E323" s="255"/>
      <c r="F323" s="255"/>
      <c r="G323" s="253"/>
      <c r="H323" s="256"/>
      <c r="I323" s="255"/>
      <c r="J323" s="255"/>
      <c r="K323" s="254"/>
      <c r="L323" s="253"/>
    </row>
    <row r="324" spans="3:12" s="244" customFormat="1" x14ac:dyDescent="0.25">
      <c r="C324" s="255"/>
      <c r="D324" s="255"/>
      <c r="E324" s="255"/>
      <c r="F324" s="255"/>
      <c r="G324" s="253"/>
      <c r="H324" s="256"/>
      <c r="I324" s="255"/>
      <c r="J324" s="255"/>
      <c r="K324" s="254"/>
      <c r="L324" s="253"/>
    </row>
    <row r="325" spans="3:12" s="244" customFormat="1" x14ac:dyDescent="0.25">
      <c r="C325" s="255"/>
      <c r="D325" s="255"/>
      <c r="E325" s="255"/>
      <c r="F325" s="255"/>
      <c r="G325" s="253"/>
      <c r="H325" s="256"/>
      <c r="I325" s="255"/>
      <c r="J325" s="255"/>
      <c r="K325" s="254"/>
      <c r="L325" s="253"/>
    </row>
    <row r="326" spans="3:12" s="244" customFormat="1" x14ac:dyDescent="0.25">
      <c r="C326" s="255"/>
      <c r="D326" s="255"/>
      <c r="E326" s="255"/>
      <c r="F326" s="255"/>
      <c r="G326" s="253"/>
      <c r="H326" s="256"/>
      <c r="I326" s="255"/>
      <c r="J326" s="255"/>
      <c r="K326" s="254"/>
      <c r="L326" s="253"/>
    </row>
    <row r="327" spans="3:12" s="244" customFormat="1" x14ac:dyDescent="0.25">
      <c r="C327" s="255"/>
      <c r="D327" s="255"/>
      <c r="E327" s="255"/>
      <c r="F327" s="255"/>
      <c r="G327" s="253"/>
      <c r="H327" s="256"/>
      <c r="I327" s="255"/>
      <c r="J327" s="255"/>
      <c r="K327" s="254"/>
      <c r="L327" s="253"/>
    </row>
    <row r="328" spans="3:12" s="244" customFormat="1" x14ac:dyDescent="0.25">
      <c r="C328" s="255"/>
      <c r="D328" s="255"/>
      <c r="E328" s="255"/>
      <c r="F328" s="255"/>
      <c r="G328" s="253"/>
      <c r="H328" s="256"/>
      <c r="I328" s="255"/>
      <c r="J328" s="255"/>
      <c r="K328" s="254"/>
      <c r="L328" s="253"/>
    </row>
    <row r="329" spans="3:12" s="244" customFormat="1" x14ac:dyDescent="0.25">
      <c r="C329" s="255"/>
      <c r="D329" s="255"/>
      <c r="E329" s="255"/>
      <c r="F329" s="255"/>
      <c r="G329" s="253"/>
      <c r="H329" s="256"/>
      <c r="I329" s="255"/>
      <c r="J329" s="255"/>
      <c r="K329" s="254"/>
      <c r="L329" s="253"/>
    </row>
    <row r="330" spans="3:12" s="244" customFormat="1" x14ac:dyDescent="0.25">
      <c r="C330" s="255"/>
      <c r="D330" s="255"/>
      <c r="E330" s="255"/>
      <c r="F330" s="255"/>
      <c r="G330" s="253"/>
      <c r="H330" s="256"/>
      <c r="I330" s="255"/>
      <c r="J330" s="255"/>
      <c r="K330" s="254"/>
      <c r="L330" s="253"/>
    </row>
    <row r="331" spans="3:12" s="244" customFormat="1" x14ac:dyDescent="0.25">
      <c r="C331" s="255"/>
      <c r="D331" s="255"/>
      <c r="E331" s="255"/>
      <c r="F331" s="255"/>
      <c r="G331" s="253"/>
      <c r="H331" s="256"/>
      <c r="I331" s="255"/>
      <c r="J331" s="255"/>
      <c r="K331" s="254"/>
      <c r="L331" s="253"/>
    </row>
    <row r="332" spans="3:12" s="244" customFormat="1" x14ac:dyDescent="0.25">
      <c r="C332" s="255"/>
      <c r="D332" s="255"/>
      <c r="E332" s="255"/>
      <c r="F332" s="255"/>
      <c r="G332" s="253"/>
      <c r="H332" s="256"/>
      <c r="I332" s="255"/>
      <c r="J332" s="255"/>
      <c r="K332" s="254"/>
      <c r="L332" s="253"/>
    </row>
    <row r="333" spans="3:12" s="244" customFormat="1" x14ac:dyDescent="0.25">
      <c r="C333" s="255"/>
      <c r="D333" s="255"/>
      <c r="E333" s="255"/>
      <c r="F333" s="255"/>
      <c r="G333" s="253"/>
      <c r="H333" s="256"/>
      <c r="I333" s="255"/>
      <c r="J333" s="255"/>
      <c r="K333" s="254"/>
      <c r="L333" s="253"/>
    </row>
    <row r="334" spans="3:12" s="244" customFormat="1" x14ac:dyDescent="0.25">
      <c r="C334" s="255"/>
      <c r="D334" s="255"/>
      <c r="E334" s="255"/>
      <c r="F334" s="255"/>
      <c r="G334" s="253"/>
      <c r="H334" s="256"/>
      <c r="I334" s="255"/>
      <c r="J334" s="255"/>
      <c r="K334" s="254"/>
      <c r="L334" s="253"/>
    </row>
    <row r="335" spans="3:12" s="244" customFormat="1" x14ac:dyDescent="0.25">
      <c r="C335" s="255"/>
      <c r="D335" s="255"/>
      <c r="E335" s="255"/>
      <c r="F335" s="255"/>
      <c r="G335" s="253"/>
      <c r="H335" s="256"/>
      <c r="I335" s="255"/>
      <c r="J335" s="255"/>
      <c r="K335" s="254"/>
      <c r="L335" s="253"/>
    </row>
    <row r="336" spans="3:12" s="244" customFormat="1" x14ac:dyDescent="0.25">
      <c r="C336" s="255"/>
      <c r="D336" s="255"/>
      <c r="E336" s="255"/>
      <c r="F336" s="255"/>
      <c r="G336" s="253"/>
      <c r="H336" s="256"/>
      <c r="I336" s="255"/>
      <c r="J336" s="255"/>
      <c r="K336" s="254"/>
      <c r="L336" s="253"/>
    </row>
    <row r="337" spans="3:12" s="244" customFormat="1" x14ac:dyDescent="0.25">
      <c r="C337" s="255"/>
      <c r="D337" s="255"/>
      <c r="E337" s="255"/>
      <c r="F337" s="255"/>
      <c r="G337" s="253"/>
      <c r="H337" s="256"/>
      <c r="I337" s="255"/>
      <c r="J337" s="255"/>
      <c r="K337" s="254"/>
      <c r="L337" s="253"/>
    </row>
    <row r="338" spans="3:12" s="244" customFormat="1" x14ac:dyDescent="0.25">
      <c r="C338" s="255"/>
      <c r="D338" s="255"/>
      <c r="E338" s="255"/>
      <c r="F338" s="255"/>
      <c r="G338" s="253"/>
      <c r="H338" s="256"/>
      <c r="I338" s="255"/>
      <c r="J338" s="255"/>
      <c r="K338" s="254"/>
      <c r="L338" s="253"/>
    </row>
    <row r="339" spans="3:12" s="244" customFormat="1" x14ac:dyDescent="0.25">
      <c r="C339" s="255"/>
      <c r="D339" s="255"/>
      <c r="E339" s="255"/>
      <c r="F339" s="255"/>
      <c r="G339" s="253"/>
      <c r="H339" s="256"/>
      <c r="I339" s="255"/>
      <c r="J339" s="255"/>
      <c r="K339" s="254"/>
      <c r="L339" s="253"/>
    </row>
    <row r="340" spans="3:12" s="244" customFormat="1" x14ac:dyDescent="0.25">
      <c r="C340" s="255"/>
      <c r="D340" s="255"/>
      <c r="E340" s="255"/>
      <c r="F340" s="255"/>
      <c r="G340" s="253"/>
      <c r="H340" s="256"/>
      <c r="I340" s="255"/>
      <c r="J340" s="255"/>
      <c r="K340" s="254"/>
      <c r="L340" s="253"/>
    </row>
    <row r="341" spans="3:12" s="244" customFormat="1" x14ac:dyDescent="0.25">
      <c r="C341" s="255"/>
      <c r="D341" s="255"/>
      <c r="E341" s="255"/>
      <c r="F341" s="255"/>
      <c r="G341" s="253"/>
      <c r="H341" s="256"/>
      <c r="I341" s="255"/>
      <c r="J341" s="255"/>
      <c r="K341" s="254"/>
      <c r="L341" s="253"/>
    </row>
    <row r="342" spans="3:12" s="244" customFormat="1" x14ac:dyDescent="0.25">
      <c r="C342" s="255"/>
      <c r="D342" s="255"/>
      <c r="E342" s="255"/>
      <c r="F342" s="255"/>
      <c r="G342" s="253"/>
      <c r="H342" s="256"/>
      <c r="I342" s="255"/>
      <c r="J342" s="255"/>
      <c r="K342" s="254"/>
      <c r="L342" s="253"/>
    </row>
    <row r="343" spans="3:12" s="244" customFormat="1" x14ac:dyDescent="0.25">
      <c r="C343" s="255"/>
      <c r="D343" s="255"/>
      <c r="E343" s="255"/>
      <c r="F343" s="255"/>
      <c r="G343" s="253"/>
      <c r="H343" s="256"/>
      <c r="I343" s="255"/>
      <c r="J343" s="255"/>
      <c r="K343" s="254"/>
      <c r="L343" s="253"/>
    </row>
    <row r="344" spans="3:12" s="244" customFormat="1" x14ac:dyDescent="0.25">
      <c r="C344" s="255"/>
      <c r="D344" s="255"/>
      <c r="E344" s="255"/>
      <c r="F344" s="255"/>
      <c r="G344" s="253"/>
      <c r="H344" s="256"/>
      <c r="I344" s="255"/>
      <c r="J344" s="255"/>
      <c r="K344" s="254"/>
      <c r="L344" s="253"/>
    </row>
    <row r="345" spans="3:12" s="244" customFormat="1" x14ac:dyDescent="0.25">
      <c r="C345" s="255"/>
      <c r="D345" s="255"/>
      <c r="E345" s="255"/>
      <c r="F345" s="255"/>
      <c r="G345" s="253"/>
      <c r="H345" s="256"/>
      <c r="I345" s="255"/>
      <c r="J345" s="255"/>
      <c r="K345" s="254"/>
      <c r="L345" s="253"/>
    </row>
    <row r="346" spans="3:12" s="244" customFormat="1" x14ac:dyDescent="0.25">
      <c r="C346" s="255"/>
      <c r="D346" s="255"/>
      <c r="E346" s="255"/>
      <c r="F346" s="255"/>
      <c r="G346" s="253"/>
      <c r="H346" s="256"/>
      <c r="I346" s="255"/>
      <c r="J346" s="255"/>
      <c r="K346" s="254"/>
      <c r="L346" s="253"/>
    </row>
    <row r="347" spans="3:12" s="244" customFormat="1" x14ac:dyDescent="0.25">
      <c r="C347" s="255"/>
      <c r="D347" s="255"/>
      <c r="E347" s="255"/>
      <c r="F347" s="255"/>
      <c r="G347" s="253"/>
      <c r="H347" s="256"/>
      <c r="I347" s="255"/>
      <c r="J347" s="255"/>
      <c r="K347" s="254"/>
      <c r="L347" s="253"/>
    </row>
    <row r="348" spans="3:12" s="244" customFormat="1" x14ac:dyDescent="0.25">
      <c r="C348" s="255"/>
      <c r="D348" s="255"/>
      <c r="E348" s="255"/>
      <c r="F348" s="255"/>
      <c r="G348" s="253"/>
      <c r="H348" s="256"/>
      <c r="I348" s="255"/>
      <c r="J348" s="255"/>
      <c r="K348" s="254"/>
      <c r="L348" s="253"/>
    </row>
    <row r="349" spans="3:12" s="244" customFormat="1" x14ac:dyDescent="0.25">
      <c r="C349" s="255"/>
      <c r="D349" s="255"/>
      <c r="E349" s="255"/>
      <c r="F349" s="255"/>
      <c r="G349" s="253"/>
      <c r="H349" s="256"/>
      <c r="I349" s="255"/>
      <c r="J349" s="255"/>
      <c r="K349" s="254"/>
      <c r="L349" s="253"/>
    </row>
    <row r="350" spans="3:12" s="244" customFormat="1" x14ac:dyDescent="0.25">
      <c r="C350" s="255"/>
      <c r="D350" s="255"/>
      <c r="E350" s="255"/>
      <c r="F350" s="255"/>
      <c r="G350" s="253"/>
      <c r="H350" s="256"/>
      <c r="I350" s="255"/>
      <c r="J350" s="255"/>
      <c r="K350" s="254"/>
      <c r="L350" s="253"/>
    </row>
    <row r="351" spans="3:12" s="244" customFormat="1" x14ac:dyDescent="0.25">
      <c r="C351" s="255"/>
      <c r="D351" s="255"/>
      <c r="E351" s="255"/>
      <c r="F351" s="255"/>
      <c r="G351" s="253"/>
      <c r="H351" s="256"/>
      <c r="I351" s="255"/>
      <c r="J351" s="255"/>
      <c r="K351" s="254"/>
      <c r="L351" s="253"/>
    </row>
    <row r="352" spans="3:12" s="244" customFormat="1" x14ac:dyDescent="0.25">
      <c r="C352" s="255"/>
      <c r="D352" s="255"/>
      <c r="E352" s="255"/>
      <c r="F352" s="255"/>
      <c r="G352" s="253"/>
      <c r="H352" s="256"/>
      <c r="I352" s="255"/>
      <c r="J352" s="255"/>
      <c r="K352" s="254"/>
      <c r="L352" s="253"/>
    </row>
    <row r="353" spans="3:12" s="244" customFormat="1" x14ac:dyDescent="0.25">
      <c r="C353" s="255"/>
      <c r="D353" s="255"/>
      <c r="E353" s="255"/>
      <c r="F353" s="255"/>
      <c r="G353" s="253"/>
      <c r="H353" s="256"/>
      <c r="I353" s="255"/>
      <c r="J353" s="255"/>
      <c r="K353" s="254"/>
      <c r="L353" s="253"/>
    </row>
    <row r="354" spans="3:12" s="244" customFormat="1" x14ac:dyDescent="0.25">
      <c r="C354" s="255"/>
      <c r="D354" s="255"/>
      <c r="E354" s="255"/>
      <c r="F354" s="255"/>
      <c r="G354" s="253"/>
      <c r="H354" s="256"/>
      <c r="I354" s="255"/>
      <c r="J354" s="255"/>
      <c r="K354" s="254"/>
      <c r="L354" s="253"/>
    </row>
    <row r="355" spans="3:12" s="244" customFormat="1" x14ac:dyDescent="0.25">
      <c r="C355" s="255"/>
      <c r="D355" s="255"/>
      <c r="E355" s="255"/>
      <c r="F355" s="255"/>
      <c r="G355" s="253"/>
      <c r="H355" s="256"/>
      <c r="I355" s="255"/>
      <c r="J355" s="255"/>
      <c r="K355" s="254"/>
      <c r="L355" s="253"/>
    </row>
    <row r="356" spans="3:12" s="244" customFormat="1" x14ac:dyDescent="0.25">
      <c r="C356" s="255"/>
      <c r="D356" s="255"/>
      <c r="E356" s="255"/>
      <c r="F356" s="255"/>
      <c r="G356" s="253"/>
      <c r="H356" s="256"/>
      <c r="I356" s="255"/>
      <c r="J356" s="255"/>
      <c r="K356" s="254"/>
      <c r="L356" s="253"/>
    </row>
    <row r="357" spans="3:12" s="244" customFormat="1" x14ac:dyDescent="0.25">
      <c r="C357" s="255"/>
      <c r="D357" s="255"/>
      <c r="E357" s="255"/>
      <c r="F357" s="255"/>
      <c r="G357" s="253"/>
      <c r="H357" s="256"/>
      <c r="I357" s="255"/>
      <c r="J357" s="255"/>
      <c r="K357" s="254"/>
      <c r="L357" s="253"/>
    </row>
    <row r="358" spans="3:12" s="244" customFormat="1" x14ac:dyDescent="0.25">
      <c r="C358" s="255"/>
      <c r="D358" s="255"/>
      <c r="E358" s="255"/>
      <c r="F358" s="255"/>
      <c r="G358" s="253"/>
      <c r="H358" s="256"/>
      <c r="I358" s="255"/>
      <c r="J358" s="255"/>
      <c r="K358" s="254"/>
      <c r="L358" s="253"/>
    </row>
    <row r="359" spans="3:12" s="244" customFormat="1" x14ac:dyDescent="0.25">
      <c r="C359" s="255"/>
      <c r="D359" s="255"/>
      <c r="E359" s="255"/>
      <c r="F359" s="255"/>
      <c r="G359" s="253"/>
      <c r="H359" s="256"/>
      <c r="I359" s="255"/>
      <c r="J359" s="255"/>
      <c r="K359" s="254"/>
      <c r="L359" s="253"/>
    </row>
    <row r="360" spans="3:12" s="244" customFormat="1" x14ac:dyDescent="0.25">
      <c r="C360" s="255"/>
      <c r="D360" s="255"/>
      <c r="E360" s="255"/>
      <c r="F360" s="255"/>
      <c r="G360" s="253"/>
      <c r="H360" s="256"/>
      <c r="I360" s="255"/>
      <c r="J360" s="255"/>
      <c r="K360" s="254"/>
      <c r="L360" s="253"/>
    </row>
    <row r="361" spans="3:12" s="244" customFormat="1" x14ac:dyDescent="0.25">
      <c r="C361" s="255"/>
      <c r="D361" s="255"/>
      <c r="E361" s="255"/>
      <c r="F361" s="255"/>
      <c r="G361" s="253"/>
      <c r="H361" s="256"/>
      <c r="I361" s="255"/>
      <c r="J361" s="255"/>
      <c r="K361" s="254"/>
      <c r="L361" s="253"/>
    </row>
    <row r="362" spans="3:12" s="244" customFormat="1" x14ac:dyDescent="0.25">
      <c r="C362" s="255"/>
      <c r="D362" s="255"/>
      <c r="E362" s="255"/>
      <c r="F362" s="255"/>
      <c r="G362" s="253"/>
      <c r="H362" s="256"/>
      <c r="I362" s="255"/>
      <c r="J362" s="255"/>
      <c r="K362" s="254"/>
      <c r="L362" s="253"/>
    </row>
    <row r="363" spans="3:12" s="244" customFormat="1" x14ac:dyDescent="0.25">
      <c r="C363" s="255"/>
      <c r="D363" s="255"/>
      <c r="E363" s="255"/>
      <c r="F363" s="255"/>
      <c r="G363" s="253"/>
      <c r="H363" s="256"/>
      <c r="I363" s="255"/>
      <c r="J363" s="255"/>
      <c r="K363" s="254"/>
      <c r="L363" s="253"/>
    </row>
    <row r="364" spans="3:12" s="244" customFormat="1" x14ac:dyDescent="0.25">
      <c r="C364" s="255"/>
      <c r="D364" s="255"/>
      <c r="E364" s="255"/>
      <c r="F364" s="255"/>
      <c r="G364" s="253"/>
      <c r="H364" s="256"/>
      <c r="I364" s="255"/>
      <c r="J364" s="255"/>
      <c r="K364" s="254"/>
      <c r="L364" s="253"/>
    </row>
    <row r="365" spans="3:12" s="244" customFormat="1" x14ac:dyDescent="0.25">
      <c r="C365" s="255"/>
      <c r="D365" s="255"/>
      <c r="E365" s="255"/>
      <c r="F365" s="255"/>
      <c r="G365" s="253"/>
      <c r="H365" s="256"/>
      <c r="I365" s="255"/>
      <c r="J365" s="255"/>
      <c r="K365" s="254"/>
      <c r="L365" s="253"/>
    </row>
    <row r="366" spans="3:12" s="244" customFormat="1" x14ac:dyDescent="0.25">
      <c r="C366" s="255"/>
      <c r="D366" s="255"/>
      <c r="E366" s="255"/>
      <c r="F366" s="255"/>
      <c r="G366" s="253"/>
      <c r="H366" s="256"/>
      <c r="I366" s="255"/>
      <c r="J366" s="255"/>
      <c r="K366" s="254"/>
      <c r="L366" s="253"/>
    </row>
    <row r="367" spans="3:12" s="244" customFormat="1" x14ac:dyDescent="0.25">
      <c r="C367" s="255"/>
      <c r="D367" s="255"/>
      <c r="E367" s="255"/>
      <c r="F367" s="255"/>
      <c r="G367" s="253"/>
      <c r="H367" s="256"/>
      <c r="I367" s="255"/>
      <c r="J367" s="255"/>
      <c r="K367" s="254"/>
      <c r="L367" s="253"/>
    </row>
    <row r="368" spans="3:12" s="244" customFormat="1" x14ac:dyDescent="0.25">
      <c r="C368" s="255"/>
      <c r="D368" s="255"/>
      <c r="E368" s="255"/>
      <c r="F368" s="255"/>
      <c r="G368" s="253"/>
      <c r="H368" s="256"/>
      <c r="I368" s="255"/>
      <c r="J368" s="255"/>
      <c r="K368" s="254"/>
      <c r="L368" s="253"/>
    </row>
    <row r="369" spans="3:12" s="244" customFormat="1" x14ac:dyDescent="0.25">
      <c r="C369" s="255"/>
      <c r="D369" s="255"/>
      <c r="E369" s="255"/>
      <c r="F369" s="255"/>
      <c r="G369" s="253"/>
      <c r="H369" s="256"/>
      <c r="I369" s="255"/>
      <c r="J369" s="255"/>
      <c r="K369" s="254"/>
      <c r="L369" s="253"/>
    </row>
    <row r="370" spans="3:12" s="244" customFormat="1" x14ac:dyDescent="0.25">
      <c r="C370" s="255"/>
      <c r="D370" s="255"/>
      <c r="E370" s="255"/>
      <c r="F370" s="255"/>
      <c r="G370" s="253"/>
      <c r="H370" s="256"/>
      <c r="I370" s="255"/>
      <c r="J370" s="255"/>
      <c r="K370" s="254"/>
      <c r="L370" s="253"/>
    </row>
    <row r="371" spans="3:12" s="244" customFormat="1" x14ac:dyDescent="0.25">
      <c r="C371" s="255"/>
      <c r="D371" s="255"/>
      <c r="E371" s="255"/>
      <c r="F371" s="255"/>
      <c r="G371" s="253"/>
      <c r="H371" s="256"/>
      <c r="I371" s="255"/>
      <c r="J371" s="255"/>
      <c r="K371" s="254"/>
      <c r="L371" s="253"/>
    </row>
    <row r="372" spans="3:12" s="244" customFormat="1" x14ac:dyDescent="0.25">
      <c r="C372" s="255"/>
      <c r="D372" s="255"/>
      <c r="E372" s="255"/>
      <c r="F372" s="255"/>
      <c r="G372" s="253"/>
      <c r="H372" s="256"/>
      <c r="I372" s="255"/>
      <c r="J372" s="255"/>
      <c r="K372" s="254"/>
      <c r="L372" s="253"/>
    </row>
    <row r="373" spans="3:12" s="244" customFormat="1" x14ac:dyDescent="0.25">
      <c r="C373" s="255"/>
      <c r="D373" s="255"/>
      <c r="E373" s="255"/>
      <c r="F373" s="255"/>
      <c r="G373" s="253"/>
      <c r="H373" s="256"/>
      <c r="I373" s="255"/>
      <c r="J373" s="255"/>
      <c r="K373" s="254"/>
      <c r="L373" s="253"/>
    </row>
    <row r="374" spans="3:12" s="244" customFormat="1" x14ac:dyDescent="0.25">
      <c r="C374" s="255"/>
      <c r="D374" s="255"/>
      <c r="E374" s="255"/>
      <c r="F374" s="255"/>
      <c r="G374" s="253"/>
      <c r="H374" s="256"/>
      <c r="I374" s="255"/>
      <c r="J374" s="255"/>
      <c r="K374" s="254"/>
      <c r="L374" s="253"/>
    </row>
    <row r="375" spans="3:12" s="244" customFormat="1" x14ac:dyDescent="0.25">
      <c r="C375" s="255"/>
      <c r="D375" s="255"/>
      <c r="E375" s="255"/>
      <c r="F375" s="255"/>
      <c r="G375" s="253"/>
      <c r="H375" s="256"/>
      <c r="I375" s="255"/>
      <c r="J375" s="255"/>
      <c r="K375" s="254"/>
      <c r="L375" s="253"/>
    </row>
    <row r="376" spans="3:12" s="244" customFormat="1" x14ac:dyDescent="0.25">
      <c r="C376" s="255"/>
      <c r="D376" s="255"/>
      <c r="E376" s="255"/>
      <c r="F376" s="255"/>
      <c r="G376" s="253"/>
      <c r="H376" s="256"/>
      <c r="I376" s="255"/>
      <c r="J376" s="255"/>
      <c r="K376" s="254"/>
      <c r="L376" s="253"/>
    </row>
    <row r="377" spans="3:12" s="244" customFormat="1" x14ac:dyDescent="0.25">
      <c r="C377" s="255"/>
      <c r="D377" s="255"/>
      <c r="E377" s="255"/>
      <c r="F377" s="255"/>
      <c r="G377" s="253"/>
      <c r="H377" s="256"/>
      <c r="I377" s="255"/>
      <c r="J377" s="255"/>
      <c r="K377" s="254"/>
      <c r="L377" s="253"/>
    </row>
    <row r="378" spans="3:12" s="244" customFormat="1" x14ac:dyDescent="0.25">
      <c r="C378" s="255"/>
      <c r="D378" s="255"/>
      <c r="E378" s="255"/>
      <c r="F378" s="255"/>
      <c r="G378" s="253"/>
      <c r="H378" s="256"/>
      <c r="I378" s="255"/>
      <c r="J378" s="255"/>
      <c r="K378" s="254"/>
      <c r="L378" s="253"/>
    </row>
    <row r="379" spans="3:12" s="244" customFormat="1" x14ac:dyDescent="0.25">
      <c r="C379" s="255"/>
      <c r="D379" s="255"/>
      <c r="E379" s="255"/>
      <c r="F379" s="255"/>
      <c r="G379" s="253"/>
      <c r="H379" s="256"/>
      <c r="I379" s="255"/>
      <c r="J379" s="255"/>
      <c r="K379" s="254"/>
      <c r="L379" s="253"/>
    </row>
    <row r="380" spans="3:12" s="244" customFormat="1" x14ac:dyDescent="0.25">
      <c r="C380" s="255"/>
      <c r="D380" s="255"/>
      <c r="E380" s="255"/>
      <c r="F380" s="255"/>
      <c r="G380" s="253"/>
      <c r="H380" s="256"/>
      <c r="I380" s="255"/>
      <c r="J380" s="255"/>
      <c r="K380" s="254"/>
      <c r="L380" s="253"/>
    </row>
    <row r="381" spans="3:12" s="244" customFormat="1" x14ac:dyDescent="0.25">
      <c r="C381" s="255"/>
      <c r="D381" s="255"/>
      <c r="E381" s="255"/>
      <c r="F381" s="255"/>
      <c r="G381" s="253"/>
      <c r="H381" s="256"/>
      <c r="I381" s="255"/>
      <c r="J381" s="255"/>
      <c r="K381" s="254"/>
      <c r="L381" s="253"/>
    </row>
    <row r="382" spans="3:12" s="244" customFormat="1" x14ac:dyDescent="0.25">
      <c r="C382" s="255"/>
      <c r="D382" s="255"/>
      <c r="E382" s="255"/>
      <c r="F382" s="255"/>
      <c r="G382" s="253"/>
      <c r="H382" s="256"/>
      <c r="I382" s="255"/>
      <c r="J382" s="255"/>
      <c r="K382" s="254"/>
      <c r="L382" s="253"/>
    </row>
    <row r="383" spans="3:12" s="244" customFormat="1" x14ac:dyDescent="0.25">
      <c r="C383" s="255"/>
      <c r="D383" s="255"/>
      <c r="E383" s="255"/>
      <c r="F383" s="255"/>
      <c r="G383" s="253"/>
      <c r="H383" s="256"/>
      <c r="I383" s="255"/>
      <c r="J383" s="255"/>
      <c r="K383" s="254"/>
      <c r="L383" s="253"/>
    </row>
    <row r="384" spans="3:12" s="244" customFormat="1" x14ac:dyDescent="0.25">
      <c r="C384" s="255"/>
      <c r="D384" s="255"/>
      <c r="E384" s="255"/>
      <c r="F384" s="255"/>
      <c r="G384" s="253"/>
      <c r="H384" s="256"/>
      <c r="I384" s="255"/>
      <c r="J384" s="255"/>
      <c r="K384" s="254"/>
      <c r="L384" s="253"/>
    </row>
    <row r="385" spans="3:12" s="244" customFormat="1" x14ac:dyDescent="0.25">
      <c r="C385" s="255"/>
      <c r="D385" s="255"/>
      <c r="E385" s="255"/>
      <c r="F385" s="255"/>
      <c r="G385" s="253"/>
      <c r="H385" s="256"/>
      <c r="I385" s="255"/>
      <c r="J385" s="255"/>
      <c r="K385" s="254"/>
      <c r="L385" s="253"/>
    </row>
    <row r="386" spans="3:12" s="244" customFormat="1" x14ac:dyDescent="0.25">
      <c r="C386" s="255"/>
      <c r="D386" s="255"/>
      <c r="E386" s="255"/>
      <c r="F386" s="255"/>
      <c r="G386" s="253"/>
      <c r="H386" s="256"/>
      <c r="I386" s="255"/>
      <c r="J386" s="255"/>
      <c r="K386" s="254"/>
      <c r="L386" s="253"/>
    </row>
    <row r="387" spans="3:12" s="244" customFormat="1" x14ac:dyDescent="0.25">
      <c r="C387" s="255"/>
      <c r="D387" s="255"/>
      <c r="E387" s="255"/>
      <c r="F387" s="255"/>
      <c r="G387" s="253"/>
      <c r="H387" s="256"/>
      <c r="I387" s="255"/>
      <c r="J387" s="255"/>
      <c r="K387" s="254"/>
      <c r="L387" s="253"/>
    </row>
    <row r="388" spans="3:12" s="244" customFormat="1" x14ac:dyDescent="0.25">
      <c r="C388" s="255"/>
      <c r="D388" s="255"/>
      <c r="E388" s="255"/>
      <c r="F388" s="255"/>
      <c r="G388" s="253"/>
      <c r="H388" s="256"/>
      <c r="I388" s="255"/>
      <c r="J388" s="255"/>
      <c r="K388" s="254"/>
      <c r="L388" s="253"/>
    </row>
    <row r="389" spans="3:12" s="244" customFormat="1" x14ac:dyDescent="0.25">
      <c r="C389" s="255"/>
      <c r="D389" s="255"/>
      <c r="E389" s="255"/>
      <c r="F389" s="255"/>
      <c r="G389" s="253"/>
      <c r="H389" s="256"/>
      <c r="I389" s="255"/>
      <c r="J389" s="255"/>
      <c r="K389" s="254"/>
      <c r="L389" s="253"/>
    </row>
    <row r="390" spans="3:12" s="244" customFormat="1" x14ac:dyDescent="0.25">
      <c r="C390" s="255"/>
      <c r="D390" s="255"/>
      <c r="E390" s="255"/>
      <c r="F390" s="255"/>
      <c r="G390" s="253"/>
      <c r="H390" s="256"/>
      <c r="I390" s="255"/>
      <c r="J390" s="255"/>
      <c r="K390" s="254"/>
      <c r="L390" s="253"/>
    </row>
    <row r="391" spans="3:12" s="244" customFormat="1" x14ac:dyDescent="0.25">
      <c r="C391" s="255"/>
      <c r="D391" s="255"/>
      <c r="E391" s="255"/>
      <c r="F391" s="255"/>
      <c r="G391" s="253"/>
      <c r="H391" s="256"/>
      <c r="I391" s="255"/>
      <c r="J391" s="255"/>
      <c r="K391" s="254"/>
      <c r="L391" s="253"/>
    </row>
    <row r="392" spans="3:12" s="244" customFormat="1" x14ac:dyDescent="0.25">
      <c r="C392" s="255"/>
      <c r="D392" s="255"/>
      <c r="E392" s="255"/>
      <c r="F392" s="255"/>
      <c r="G392" s="253"/>
      <c r="H392" s="256"/>
      <c r="I392" s="255"/>
      <c r="J392" s="255"/>
      <c r="K392" s="254"/>
      <c r="L392" s="253"/>
    </row>
    <row r="393" spans="3:12" s="244" customFormat="1" x14ac:dyDescent="0.25">
      <c r="C393" s="255"/>
      <c r="D393" s="255"/>
      <c r="E393" s="255"/>
      <c r="F393" s="255"/>
      <c r="G393" s="253"/>
      <c r="H393" s="256"/>
      <c r="I393" s="255"/>
      <c r="J393" s="255"/>
      <c r="K393" s="254"/>
      <c r="L393" s="253"/>
    </row>
    <row r="394" spans="3:12" s="244" customFormat="1" x14ac:dyDescent="0.25">
      <c r="C394" s="255"/>
      <c r="D394" s="255"/>
      <c r="E394" s="255"/>
      <c r="F394" s="255"/>
      <c r="G394" s="253"/>
      <c r="H394" s="256"/>
      <c r="I394" s="255"/>
      <c r="J394" s="255"/>
      <c r="K394" s="254"/>
      <c r="L394" s="253"/>
    </row>
    <row r="395" spans="3:12" s="244" customFormat="1" x14ac:dyDescent="0.25">
      <c r="C395" s="255"/>
      <c r="D395" s="255"/>
      <c r="E395" s="255"/>
      <c r="F395" s="255"/>
      <c r="G395" s="253"/>
      <c r="H395" s="256"/>
      <c r="I395" s="255"/>
      <c r="J395" s="255"/>
      <c r="K395" s="254"/>
      <c r="L395" s="253"/>
    </row>
    <row r="396" spans="3:12" s="244" customFormat="1" x14ac:dyDescent="0.25">
      <c r="C396" s="255"/>
      <c r="D396" s="255"/>
      <c r="E396" s="255"/>
      <c r="F396" s="255"/>
      <c r="G396" s="253"/>
      <c r="H396" s="256"/>
      <c r="I396" s="255"/>
      <c r="J396" s="255"/>
      <c r="K396" s="254"/>
      <c r="L396" s="253"/>
    </row>
    <row r="397" spans="3:12" s="244" customFormat="1" x14ac:dyDescent="0.25">
      <c r="C397" s="255"/>
      <c r="D397" s="255"/>
      <c r="E397" s="255"/>
      <c r="F397" s="255"/>
      <c r="G397" s="253"/>
      <c r="H397" s="256"/>
      <c r="I397" s="255"/>
      <c r="J397" s="255"/>
      <c r="K397" s="254"/>
      <c r="L397" s="253"/>
    </row>
    <row r="398" spans="3:12" s="244" customFormat="1" x14ac:dyDescent="0.25">
      <c r="C398" s="255"/>
      <c r="D398" s="255"/>
      <c r="E398" s="255"/>
      <c r="F398" s="255"/>
      <c r="G398" s="253"/>
      <c r="H398" s="256"/>
      <c r="I398" s="255"/>
      <c r="J398" s="255"/>
      <c r="K398" s="254"/>
      <c r="L398" s="253"/>
    </row>
    <row r="399" spans="3:12" s="244" customFormat="1" x14ac:dyDescent="0.25">
      <c r="C399" s="255"/>
      <c r="D399" s="255"/>
      <c r="E399" s="255"/>
      <c r="F399" s="255"/>
      <c r="G399" s="253"/>
      <c r="H399" s="256"/>
      <c r="I399" s="255"/>
      <c r="J399" s="255"/>
      <c r="K399" s="254"/>
      <c r="L399" s="253"/>
    </row>
    <row r="400" spans="3:12" s="244" customFormat="1" x14ac:dyDescent="0.25">
      <c r="C400" s="255"/>
      <c r="D400" s="255"/>
      <c r="E400" s="255"/>
      <c r="F400" s="255"/>
      <c r="G400" s="253"/>
      <c r="H400" s="256"/>
      <c r="I400" s="255"/>
      <c r="J400" s="255"/>
      <c r="K400" s="254"/>
      <c r="L400" s="253"/>
    </row>
    <row r="401" spans="3:12" s="244" customFormat="1" x14ac:dyDescent="0.25">
      <c r="C401" s="255"/>
      <c r="D401" s="255"/>
      <c r="E401" s="255"/>
      <c r="F401" s="255"/>
      <c r="G401" s="253"/>
      <c r="H401" s="256"/>
      <c r="I401" s="255"/>
      <c r="J401" s="255"/>
      <c r="K401" s="254"/>
      <c r="L401" s="253"/>
    </row>
    <row r="402" spans="3:12" s="244" customFormat="1" x14ac:dyDescent="0.25">
      <c r="C402" s="255"/>
      <c r="D402" s="255"/>
      <c r="E402" s="255"/>
      <c r="F402" s="255"/>
      <c r="G402" s="253"/>
      <c r="H402" s="256"/>
      <c r="I402" s="255"/>
      <c r="J402" s="255"/>
      <c r="K402" s="254"/>
      <c r="L402" s="253"/>
    </row>
    <row r="403" spans="3:12" s="244" customFormat="1" x14ac:dyDescent="0.25">
      <c r="C403" s="255"/>
      <c r="D403" s="255"/>
      <c r="E403" s="255"/>
      <c r="F403" s="255"/>
      <c r="G403" s="253"/>
      <c r="H403" s="256"/>
      <c r="I403" s="255"/>
      <c r="J403" s="255"/>
      <c r="K403" s="254"/>
      <c r="L403" s="253"/>
    </row>
    <row r="404" spans="3:12" s="244" customFormat="1" x14ac:dyDescent="0.25">
      <c r="C404" s="255"/>
      <c r="D404" s="255"/>
      <c r="E404" s="255"/>
      <c r="F404" s="255"/>
      <c r="G404" s="253"/>
      <c r="H404" s="256"/>
      <c r="I404" s="255"/>
      <c r="J404" s="255"/>
      <c r="K404" s="254"/>
      <c r="L404" s="253"/>
    </row>
    <row r="405" spans="3:12" s="244" customFormat="1" x14ac:dyDescent="0.25">
      <c r="C405" s="255"/>
      <c r="D405" s="255"/>
      <c r="E405" s="255"/>
      <c r="F405" s="255"/>
      <c r="G405" s="253"/>
      <c r="H405" s="256"/>
      <c r="I405" s="255"/>
      <c r="J405" s="255"/>
      <c r="K405" s="254"/>
      <c r="L405" s="253"/>
    </row>
    <row r="406" spans="3:12" s="244" customFormat="1" x14ac:dyDescent="0.25">
      <c r="C406" s="255"/>
      <c r="D406" s="255"/>
      <c r="E406" s="255"/>
      <c r="F406" s="255"/>
      <c r="G406" s="253"/>
      <c r="H406" s="256"/>
      <c r="I406" s="255"/>
      <c r="J406" s="255"/>
      <c r="K406" s="254"/>
      <c r="L406" s="253"/>
    </row>
    <row r="407" spans="3:12" s="244" customFormat="1" x14ac:dyDescent="0.25">
      <c r="C407" s="255"/>
      <c r="D407" s="255"/>
      <c r="E407" s="255"/>
      <c r="F407" s="255"/>
      <c r="G407" s="253"/>
      <c r="H407" s="256"/>
      <c r="I407" s="255"/>
      <c r="J407" s="255"/>
      <c r="K407" s="254"/>
      <c r="L407" s="253"/>
    </row>
    <row r="408" spans="3:12" s="244" customFormat="1" x14ac:dyDescent="0.25">
      <c r="C408" s="255"/>
      <c r="D408" s="255"/>
      <c r="E408" s="255"/>
      <c r="F408" s="255"/>
      <c r="G408" s="253"/>
      <c r="H408" s="256"/>
      <c r="I408" s="255"/>
      <c r="J408" s="255"/>
      <c r="K408" s="254"/>
      <c r="L408" s="253"/>
    </row>
    <row r="409" spans="3:12" s="244" customFormat="1" x14ac:dyDescent="0.25">
      <c r="C409" s="255"/>
      <c r="D409" s="255"/>
      <c r="E409" s="255"/>
      <c r="F409" s="255"/>
      <c r="G409" s="253"/>
      <c r="H409" s="256"/>
      <c r="I409" s="255"/>
      <c r="J409" s="255"/>
      <c r="K409" s="254"/>
      <c r="L409" s="253"/>
    </row>
    <row r="410" spans="3:12" s="244" customFormat="1" x14ac:dyDescent="0.25">
      <c r="C410" s="255"/>
      <c r="D410" s="255"/>
      <c r="E410" s="255"/>
      <c r="F410" s="255"/>
      <c r="G410" s="253"/>
      <c r="H410" s="256"/>
      <c r="I410" s="255"/>
      <c r="J410" s="255"/>
      <c r="K410" s="254"/>
      <c r="L410" s="253"/>
    </row>
    <row r="411" spans="3:12" s="244" customFormat="1" x14ac:dyDescent="0.25">
      <c r="C411" s="255"/>
      <c r="D411" s="255"/>
      <c r="E411" s="255"/>
      <c r="F411" s="255"/>
      <c r="G411" s="253"/>
      <c r="H411" s="256"/>
      <c r="I411" s="255"/>
      <c r="J411" s="255"/>
      <c r="K411" s="254"/>
      <c r="L411" s="253"/>
    </row>
    <row r="412" spans="3:12" s="244" customFormat="1" x14ac:dyDescent="0.25">
      <c r="C412" s="255"/>
      <c r="D412" s="255"/>
      <c r="E412" s="255"/>
      <c r="F412" s="255"/>
      <c r="G412" s="253"/>
      <c r="H412" s="256"/>
      <c r="I412" s="255"/>
      <c r="J412" s="255"/>
      <c r="K412" s="254"/>
      <c r="L412" s="253"/>
    </row>
    <row r="413" spans="3:12" s="244" customFormat="1" x14ac:dyDescent="0.25">
      <c r="C413" s="255"/>
      <c r="D413" s="255"/>
      <c r="E413" s="255"/>
      <c r="F413" s="255"/>
      <c r="G413" s="253"/>
      <c r="H413" s="256"/>
      <c r="I413" s="255"/>
      <c r="J413" s="255"/>
      <c r="K413" s="254"/>
      <c r="L413" s="253"/>
    </row>
    <row r="414" spans="3:12" s="244" customFormat="1" x14ac:dyDescent="0.25">
      <c r="C414" s="255"/>
      <c r="D414" s="255"/>
      <c r="E414" s="255"/>
      <c r="F414" s="255"/>
      <c r="G414" s="253"/>
      <c r="H414" s="256"/>
      <c r="I414" s="255"/>
      <c r="J414" s="255"/>
      <c r="K414" s="254"/>
      <c r="L414" s="253"/>
    </row>
    <row r="415" spans="3:12" s="244" customFormat="1" x14ac:dyDescent="0.25">
      <c r="C415" s="255"/>
      <c r="D415" s="255"/>
      <c r="E415" s="255"/>
      <c r="F415" s="255"/>
      <c r="G415" s="253"/>
      <c r="H415" s="256"/>
      <c r="I415" s="255"/>
      <c r="J415" s="255"/>
      <c r="K415" s="254"/>
      <c r="L415" s="253"/>
    </row>
    <row r="416" spans="3:12" s="244" customFormat="1" x14ac:dyDescent="0.25">
      <c r="C416" s="255"/>
      <c r="D416" s="255"/>
      <c r="E416" s="255"/>
      <c r="F416" s="255"/>
      <c r="G416" s="253"/>
      <c r="H416" s="256"/>
      <c r="I416" s="255"/>
      <c r="J416" s="255"/>
      <c r="K416" s="254"/>
      <c r="L416" s="253"/>
    </row>
    <row r="417" spans="3:12" s="244" customFormat="1" x14ac:dyDescent="0.25">
      <c r="C417" s="255"/>
      <c r="D417" s="255"/>
      <c r="E417" s="255"/>
      <c r="F417" s="255"/>
      <c r="G417" s="253"/>
      <c r="H417" s="256"/>
      <c r="I417" s="255"/>
      <c r="J417" s="255"/>
      <c r="K417" s="254"/>
      <c r="L417" s="253"/>
    </row>
    <row r="418" spans="3:12" s="244" customFormat="1" x14ac:dyDescent="0.25">
      <c r="C418" s="255"/>
      <c r="D418" s="255"/>
      <c r="E418" s="255"/>
      <c r="F418" s="255"/>
      <c r="G418" s="253"/>
      <c r="H418" s="256"/>
      <c r="I418" s="255"/>
      <c r="J418" s="255"/>
      <c r="K418" s="254"/>
      <c r="L418" s="253"/>
    </row>
    <row r="419" spans="3:12" s="244" customFormat="1" x14ac:dyDescent="0.25">
      <c r="C419" s="255"/>
      <c r="D419" s="255"/>
      <c r="E419" s="255"/>
      <c r="F419" s="255"/>
      <c r="G419" s="253"/>
      <c r="H419" s="256"/>
      <c r="I419" s="255"/>
      <c r="J419" s="255"/>
      <c r="K419" s="254"/>
      <c r="L419" s="253"/>
    </row>
    <row r="420" spans="3:12" s="244" customFormat="1" x14ac:dyDescent="0.25">
      <c r="C420" s="255"/>
      <c r="D420" s="255"/>
      <c r="E420" s="255"/>
      <c r="F420" s="255"/>
      <c r="G420" s="253"/>
      <c r="H420" s="256"/>
      <c r="I420" s="255"/>
      <c r="J420" s="255"/>
      <c r="K420" s="254"/>
      <c r="L420" s="253"/>
    </row>
    <row r="421" spans="3:12" s="244" customFormat="1" x14ac:dyDescent="0.25">
      <c r="C421" s="255"/>
      <c r="D421" s="255"/>
      <c r="E421" s="255"/>
      <c r="F421" s="255"/>
      <c r="G421" s="253"/>
      <c r="H421" s="256"/>
      <c r="I421" s="255"/>
      <c r="J421" s="255"/>
      <c r="K421" s="254"/>
      <c r="L421" s="253"/>
    </row>
    <row r="422" spans="3:12" s="244" customFormat="1" x14ac:dyDescent="0.25">
      <c r="C422" s="255"/>
      <c r="D422" s="255"/>
      <c r="E422" s="255"/>
      <c r="F422" s="255"/>
      <c r="G422" s="253"/>
      <c r="H422" s="256"/>
      <c r="I422" s="255"/>
      <c r="J422" s="255"/>
      <c r="K422" s="254"/>
      <c r="L422" s="253"/>
    </row>
    <row r="423" spans="3:12" s="244" customFormat="1" x14ac:dyDescent="0.25">
      <c r="C423" s="255"/>
      <c r="D423" s="255"/>
      <c r="E423" s="255"/>
      <c r="F423" s="255"/>
      <c r="G423" s="253"/>
      <c r="H423" s="256"/>
      <c r="I423" s="255"/>
      <c r="J423" s="255"/>
      <c r="K423" s="254"/>
      <c r="L423" s="253"/>
    </row>
    <row r="424" spans="3:12" s="244" customFormat="1" x14ac:dyDescent="0.25">
      <c r="C424" s="255"/>
      <c r="D424" s="255"/>
      <c r="E424" s="255"/>
      <c r="F424" s="255"/>
      <c r="G424" s="253"/>
      <c r="H424" s="256"/>
      <c r="I424" s="255"/>
      <c r="J424" s="255"/>
      <c r="K424" s="254"/>
      <c r="L424" s="253"/>
    </row>
    <row r="425" spans="3:12" s="244" customFormat="1" x14ac:dyDescent="0.25">
      <c r="C425" s="255"/>
      <c r="D425" s="255"/>
      <c r="E425" s="255"/>
      <c r="F425" s="255"/>
      <c r="G425" s="253"/>
      <c r="H425" s="256"/>
      <c r="I425" s="255"/>
      <c r="J425" s="255"/>
      <c r="K425" s="254"/>
      <c r="L425" s="253"/>
    </row>
    <row r="426" spans="3:12" s="244" customFormat="1" x14ac:dyDescent="0.25">
      <c r="C426" s="255"/>
      <c r="D426" s="255"/>
      <c r="E426" s="255"/>
      <c r="F426" s="255"/>
      <c r="G426" s="253"/>
      <c r="H426" s="256"/>
      <c r="I426" s="255"/>
      <c r="J426" s="255"/>
      <c r="K426" s="254"/>
      <c r="L426" s="253"/>
    </row>
    <row r="427" spans="3:12" s="244" customFormat="1" x14ac:dyDescent="0.25">
      <c r="C427" s="255"/>
      <c r="D427" s="255"/>
      <c r="E427" s="255"/>
      <c r="F427" s="255"/>
      <c r="G427" s="253"/>
      <c r="H427" s="256"/>
      <c r="I427" s="255"/>
      <c r="J427" s="255"/>
      <c r="K427" s="254"/>
      <c r="L427" s="253"/>
    </row>
    <row r="428" spans="3:12" s="244" customFormat="1" x14ac:dyDescent="0.25">
      <c r="C428" s="255"/>
      <c r="D428" s="255"/>
      <c r="E428" s="255"/>
      <c r="F428" s="255"/>
      <c r="G428" s="253"/>
      <c r="H428" s="256"/>
      <c r="I428" s="255"/>
      <c r="J428" s="255"/>
      <c r="K428" s="254"/>
      <c r="L428" s="253"/>
    </row>
    <row r="429" spans="3:12" s="244" customFormat="1" x14ac:dyDescent="0.25">
      <c r="C429" s="255"/>
      <c r="D429" s="255"/>
      <c r="E429" s="255"/>
      <c r="F429" s="255"/>
      <c r="G429" s="253"/>
      <c r="H429" s="256"/>
      <c r="I429" s="255"/>
      <c r="J429" s="255"/>
      <c r="K429" s="254"/>
      <c r="L429" s="253"/>
    </row>
    <row r="430" spans="3:12" s="244" customFormat="1" x14ac:dyDescent="0.25">
      <c r="C430" s="255"/>
      <c r="D430" s="255"/>
      <c r="E430" s="255"/>
      <c r="F430" s="255"/>
      <c r="G430" s="253"/>
      <c r="H430" s="256"/>
      <c r="I430" s="255"/>
      <c r="J430" s="255"/>
      <c r="K430" s="254"/>
      <c r="L430" s="253"/>
    </row>
    <row r="431" spans="3:12" s="244" customFormat="1" x14ac:dyDescent="0.25">
      <c r="C431" s="255"/>
      <c r="D431" s="255"/>
      <c r="E431" s="255"/>
      <c r="F431" s="255"/>
      <c r="G431" s="253"/>
      <c r="H431" s="256"/>
      <c r="I431" s="255"/>
      <c r="J431" s="255"/>
      <c r="K431" s="254"/>
      <c r="L431" s="253"/>
    </row>
    <row r="432" spans="3:12" s="244" customFormat="1" x14ac:dyDescent="0.25">
      <c r="C432" s="255"/>
      <c r="D432" s="255"/>
      <c r="E432" s="255"/>
      <c r="F432" s="255"/>
      <c r="G432" s="253"/>
      <c r="H432" s="256"/>
      <c r="I432" s="255"/>
      <c r="J432" s="255"/>
      <c r="K432" s="254"/>
      <c r="L432" s="253"/>
    </row>
    <row r="433" spans="3:12" s="244" customFormat="1" x14ac:dyDescent="0.25">
      <c r="C433" s="255"/>
      <c r="D433" s="255"/>
      <c r="E433" s="255"/>
      <c r="F433" s="255"/>
      <c r="G433" s="253"/>
      <c r="H433" s="256"/>
      <c r="I433" s="255"/>
      <c r="J433" s="255"/>
      <c r="K433" s="254"/>
      <c r="L433" s="253"/>
    </row>
    <row r="434" spans="3:12" s="244" customFormat="1" x14ac:dyDescent="0.25">
      <c r="C434" s="255"/>
      <c r="D434" s="255"/>
      <c r="E434" s="255"/>
      <c r="F434" s="255"/>
      <c r="G434" s="253"/>
      <c r="H434" s="256"/>
      <c r="I434" s="255"/>
      <c r="J434" s="255"/>
      <c r="K434" s="254"/>
      <c r="L434" s="253"/>
    </row>
    <row r="435" spans="3:12" s="244" customFormat="1" x14ac:dyDescent="0.25">
      <c r="C435" s="255"/>
      <c r="D435" s="255"/>
      <c r="E435" s="255"/>
      <c r="F435" s="255"/>
      <c r="G435" s="253"/>
      <c r="H435" s="256"/>
      <c r="I435" s="255"/>
      <c r="J435" s="255"/>
      <c r="K435" s="254"/>
      <c r="L435" s="253"/>
    </row>
    <row r="436" spans="3:12" s="244" customFormat="1" x14ac:dyDescent="0.25">
      <c r="C436" s="255"/>
      <c r="D436" s="255"/>
      <c r="E436" s="255"/>
      <c r="F436" s="255"/>
      <c r="G436" s="253"/>
      <c r="H436" s="256"/>
      <c r="I436" s="255"/>
      <c r="J436" s="255"/>
      <c r="K436" s="254"/>
      <c r="L436" s="253"/>
    </row>
    <row r="437" spans="3:12" s="244" customFormat="1" x14ac:dyDescent="0.25">
      <c r="C437" s="255"/>
      <c r="D437" s="255"/>
      <c r="E437" s="255"/>
      <c r="F437" s="255"/>
      <c r="G437" s="253"/>
      <c r="H437" s="256"/>
      <c r="I437" s="255"/>
      <c r="J437" s="255"/>
      <c r="K437" s="254"/>
      <c r="L437" s="253"/>
    </row>
    <row r="438" spans="3:12" s="244" customFormat="1" x14ac:dyDescent="0.25">
      <c r="C438" s="255"/>
      <c r="D438" s="255"/>
      <c r="E438" s="255"/>
      <c r="F438" s="255"/>
      <c r="G438" s="253"/>
      <c r="H438" s="256"/>
      <c r="I438" s="255"/>
      <c r="J438" s="255"/>
      <c r="K438" s="254"/>
      <c r="L438" s="253"/>
    </row>
    <row r="439" spans="3:12" s="244" customFormat="1" x14ac:dyDescent="0.25">
      <c r="C439" s="255"/>
      <c r="D439" s="255"/>
      <c r="E439" s="255"/>
      <c r="F439" s="255"/>
      <c r="G439" s="253"/>
      <c r="H439" s="256"/>
      <c r="I439" s="255"/>
      <c r="J439" s="255"/>
      <c r="K439" s="254"/>
      <c r="L439" s="253"/>
    </row>
    <row r="440" spans="3:12" s="244" customFormat="1" x14ac:dyDescent="0.25">
      <c r="C440" s="255"/>
      <c r="D440" s="255"/>
      <c r="E440" s="255"/>
      <c r="F440" s="255"/>
      <c r="G440" s="253"/>
      <c r="H440" s="256"/>
      <c r="I440" s="255"/>
      <c r="J440" s="255"/>
      <c r="K440" s="254"/>
      <c r="L440" s="253"/>
    </row>
    <row r="441" spans="3:12" s="244" customFormat="1" x14ac:dyDescent="0.25">
      <c r="C441" s="255"/>
      <c r="D441" s="255"/>
      <c r="E441" s="255"/>
      <c r="F441" s="255"/>
      <c r="G441" s="253"/>
      <c r="H441" s="256"/>
      <c r="I441" s="255"/>
      <c r="J441" s="255"/>
      <c r="K441" s="254"/>
      <c r="L441" s="253"/>
    </row>
    <row r="442" spans="3:12" s="244" customFormat="1" x14ac:dyDescent="0.25">
      <c r="C442" s="255"/>
      <c r="D442" s="255"/>
      <c r="E442" s="255"/>
      <c r="F442" s="255"/>
      <c r="G442" s="253"/>
      <c r="H442" s="256"/>
      <c r="I442" s="255"/>
      <c r="J442" s="255"/>
      <c r="K442" s="254"/>
      <c r="L442" s="253"/>
    </row>
    <row r="443" spans="3:12" s="244" customFormat="1" x14ac:dyDescent="0.25">
      <c r="C443" s="255"/>
      <c r="D443" s="255"/>
      <c r="E443" s="255"/>
      <c r="F443" s="255"/>
      <c r="G443" s="253"/>
      <c r="H443" s="256"/>
      <c r="I443" s="255"/>
      <c r="J443" s="255"/>
      <c r="K443" s="254"/>
      <c r="L443" s="253"/>
    </row>
    <row r="444" spans="3:12" s="244" customFormat="1" x14ac:dyDescent="0.25">
      <c r="C444" s="255"/>
      <c r="D444" s="255"/>
      <c r="E444" s="255"/>
      <c r="F444" s="255"/>
      <c r="G444" s="253"/>
      <c r="H444" s="256"/>
      <c r="I444" s="255"/>
      <c r="J444" s="255"/>
      <c r="K444" s="254"/>
      <c r="L444" s="253"/>
    </row>
    <row r="445" spans="3:12" s="244" customFormat="1" x14ac:dyDescent="0.25">
      <c r="C445" s="255"/>
      <c r="D445" s="255"/>
      <c r="E445" s="255"/>
      <c r="F445" s="255"/>
      <c r="G445" s="253"/>
      <c r="H445" s="256"/>
      <c r="I445" s="255"/>
      <c r="J445" s="255"/>
      <c r="K445" s="254"/>
      <c r="L445" s="253"/>
    </row>
    <row r="446" spans="3:12" s="244" customFormat="1" x14ac:dyDescent="0.25">
      <c r="C446" s="255"/>
      <c r="D446" s="255"/>
      <c r="E446" s="255"/>
      <c r="F446" s="255"/>
      <c r="G446" s="253"/>
      <c r="H446" s="256"/>
      <c r="I446" s="255"/>
      <c r="J446" s="255"/>
      <c r="K446" s="254"/>
      <c r="L446" s="253"/>
    </row>
    <row r="447" spans="3:12" s="244" customFormat="1" x14ac:dyDescent="0.25">
      <c r="C447" s="255"/>
      <c r="D447" s="255"/>
      <c r="E447" s="255"/>
      <c r="F447" s="255"/>
      <c r="G447" s="253"/>
      <c r="H447" s="256"/>
      <c r="I447" s="255"/>
      <c r="J447" s="255"/>
      <c r="K447" s="254"/>
      <c r="L447" s="253"/>
    </row>
    <row r="448" spans="3:12" s="244" customFormat="1" x14ac:dyDescent="0.25">
      <c r="C448" s="255"/>
      <c r="D448" s="255"/>
      <c r="E448" s="255"/>
      <c r="F448" s="255"/>
      <c r="G448" s="253"/>
      <c r="H448" s="256"/>
      <c r="I448" s="255"/>
      <c r="J448" s="255"/>
      <c r="K448" s="254"/>
      <c r="L448" s="253"/>
    </row>
    <row r="449" spans="3:12" s="244" customFormat="1" x14ac:dyDescent="0.25">
      <c r="C449" s="255"/>
      <c r="D449" s="255"/>
      <c r="E449" s="255"/>
      <c r="F449" s="255"/>
      <c r="G449" s="253"/>
      <c r="H449" s="256"/>
      <c r="I449" s="255"/>
      <c r="J449" s="255"/>
      <c r="K449" s="254"/>
      <c r="L449" s="253"/>
    </row>
    <row r="450" spans="3:12" s="244" customFormat="1" x14ac:dyDescent="0.25">
      <c r="C450" s="255"/>
      <c r="D450" s="255"/>
      <c r="E450" s="255"/>
      <c r="F450" s="255"/>
      <c r="G450" s="253"/>
      <c r="H450" s="256"/>
      <c r="I450" s="255"/>
      <c r="J450" s="255"/>
      <c r="K450" s="254"/>
      <c r="L450" s="253"/>
    </row>
    <row r="451" spans="3:12" s="244" customFormat="1" x14ac:dyDescent="0.25">
      <c r="C451" s="255"/>
      <c r="D451" s="255"/>
      <c r="E451" s="255"/>
      <c r="F451" s="255"/>
      <c r="G451" s="253"/>
      <c r="H451" s="256"/>
      <c r="I451" s="255"/>
      <c r="J451" s="255"/>
      <c r="K451" s="254"/>
      <c r="L451" s="253"/>
    </row>
    <row r="452" spans="3:12" s="244" customFormat="1" x14ac:dyDescent="0.25">
      <c r="C452" s="255"/>
      <c r="D452" s="255"/>
      <c r="E452" s="255"/>
      <c r="F452" s="255"/>
      <c r="G452" s="253"/>
      <c r="H452" s="256"/>
      <c r="I452" s="255"/>
      <c r="J452" s="255"/>
      <c r="K452" s="254"/>
      <c r="L452" s="253"/>
    </row>
    <row r="453" spans="3:12" s="244" customFormat="1" x14ac:dyDescent="0.25">
      <c r="C453" s="255"/>
      <c r="D453" s="255"/>
      <c r="E453" s="255"/>
      <c r="F453" s="255"/>
      <c r="G453" s="253"/>
      <c r="H453" s="256"/>
      <c r="I453" s="255"/>
      <c r="J453" s="255"/>
      <c r="K453" s="254"/>
      <c r="L453" s="253"/>
    </row>
    <row r="454" spans="3:12" s="244" customFormat="1" x14ac:dyDescent="0.25">
      <c r="C454" s="255"/>
      <c r="D454" s="255"/>
      <c r="E454" s="255"/>
      <c r="F454" s="255"/>
      <c r="G454" s="253"/>
      <c r="H454" s="256"/>
      <c r="I454" s="255"/>
      <c r="J454" s="255"/>
      <c r="K454" s="254"/>
      <c r="L454" s="253"/>
    </row>
    <row r="455" spans="3:12" s="244" customFormat="1" x14ac:dyDescent="0.25">
      <c r="C455" s="255"/>
      <c r="D455" s="255"/>
      <c r="E455" s="255"/>
      <c r="F455" s="255"/>
      <c r="G455" s="253"/>
      <c r="H455" s="256"/>
      <c r="I455" s="255"/>
      <c r="J455" s="255"/>
      <c r="K455" s="254"/>
      <c r="L455" s="253"/>
    </row>
    <row r="456" spans="3:12" s="244" customFormat="1" x14ac:dyDescent="0.25">
      <c r="C456" s="255"/>
      <c r="D456" s="255"/>
      <c r="E456" s="255"/>
      <c r="F456" s="255"/>
      <c r="G456" s="253"/>
      <c r="H456" s="256"/>
      <c r="I456" s="255"/>
      <c r="J456" s="255"/>
      <c r="K456" s="254"/>
      <c r="L456" s="253"/>
    </row>
    <row r="457" spans="3:12" s="244" customFormat="1" x14ac:dyDescent="0.25">
      <c r="C457" s="255"/>
      <c r="D457" s="255"/>
      <c r="E457" s="255"/>
      <c r="F457" s="255"/>
      <c r="G457" s="253"/>
      <c r="H457" s="256"/>
      <c r="I457" s="255"/>
      <c r="J457" s="255"/>
      <c r="K457" s="254"/>
      <c r="L457" s="253"/>
    </row>
    <row r="458" spans="3:12" s="244" customFormat="1" x14ac:dyDescent="0.25">
      <c r="C458" s="255"/>
      <c r="D458" s="255"/>
      <c r="E458" s="255"/>
      <c r="F458" s="255"/>
      <c r="G458" s="253"/>
      <c r="H458" s="256"/>
      <c r="I458" s="255"/>
      <c r="J458" s="255"/>
      <c r="K458" s="254"/>
      <c r="L458" s="253"/>
    </row>
    <row r="459" spans="3:12" s="244" customFormat="1" x14ac:dyDescent="0.25">
      <c r="C459" s="255"/>
      <c r="D459" s="255"/>
      <c r="E459" s="255"/>
      <c r="F459" s="255"/>
      <c r="G459" s="253"/>
      <c r="H459" s="256"/>
      <c r="I459" s="255"/>
      <c r="J459" s="255"/>
      <c r="K459" s="254"/>
      <c r="L459" s="253"/>
    </row>
    <row r="460" spans="3:12" s="244" customFormat="1" x14ac:dyDescent="0.25">
      <c r="C460" s="255"/>
      <c r="D460" s="255"/>
      <c r="E460" s="255"/>
      <c r="F460" s="255"/>
      <c r="G460" s="253"/>
      <c r="H460" s="256"/>
      <c r="I460" s="255"/>
      <c r="J460" s="255"/>
      <c r="K460" s="254"/>
      <c r="L460" s="253"/>
    </row>
    <row r="461" spans="3:12" s="244" customFormat="1" x14ac:dyDescent="0.25">
      <c r="C461" s="255"/>
      <c r="D461" s="255"/>
      <c r="E461" s="255"/>
      <c r="F461" s="255"/>
      <c r="G461" s="253"/>
      <c r="H461" s="256"/>
      <c r="I461" s="255"/>
      <c r="J461" s="255"/>
      <c r="K461" s="254"/>
      <c r="L461" s="253"/>
    </row>
    <row r="462" spans="3:12" s="244" customFormat="1" x14ac:dyDescent="0.25">
      <c r="C462" s="255"/>
      <c r="D462" s="255"/>
      <c r="E462" s="255"/>
      <c r="F462" s="255"/>
      <c r="G462" s="253"/>
      <c r="H462" s="256"/>
      <c r="I462" s="255"/>
      <c r="J462" s="255"/>
      <c r="K462" s="254"/>
      <c r="L462" s="253"/>
    </row>
    <row r="463" spans="3:12" s="244" customFormat="1" x14ac:dyDescent="0.25">
      <c r="C463" s="255"/>
      <c r="D463" s="255"/>
      <c r="E463" s="255"/>
      <c r="F463" s="255"/>
      <c r="G463" s="253"/>
      <c r="H463" s="256"/>
      <c r="I463" s="255"/>
      <c r="J463" s="255"/>
      <c r="K463" s="254"/>
      <c r="L463" s="253"/>
    </row>
    <row r="464" spans="3:12" s="244" customFormat="1" x14ac:dyDescent="0.25">
      <c r="C464" s="255"/>
      <c r="D464" s="255"/>
      <c r="E464" s="255"/>
      <c r="F464" s="255"/>
      <c r="G464" s="253"/>
      <c r="H464" s="256"/>
      <c r="I464" s="255"/>
      <c r="J464" s="255"/>
      <c r="K464" s="254"/>
      <c r="L464" s="253"/>
    </row>
    <row r="465" spans="3:12" s="244" customFormat="1" x14ac:dyDescent="0.25">
      <c r="C465" s="255"/>
      <c r="D465" s="255"/>
      <c r="E465" s="255"/>
      <c r="F465" s="255"/>
      <c r="G465" s="253"/>
      <c r="H465" s="256"/>
      <c r="I465" s="255"/>
      <c r="J465" s="255"/>
      <c r="K465" s="254"/>
      <c r="L465" s="253"/>
    </row>
    <row r="466" spans="3:12" s="244" customFormat="1" x14ac:dyDescent="0.25">
      <c r="C466" s="255"/>
      <c r="D466" s="255"/>
      <c r="E466" s="255"/>
      <c r="F466" s="255"/>
      <c r="G466" s="253"/>
      <c r="H466" s="256"/>
      <c r="I466" s="255"/>
      <c r="J466" s="255"/>
      <c r="K466" s="254"/>
      <c r="L466" s="253"/>
    </row>
    <row r="467" spans="3:12" s="244" customFormat="1" x14ac:dyDescent="0.25">
      <c r="C467" s="255"/>
      <c r="D467" s="255"/>
      <c r="E467" s="255"/>
      <c r="F467" s="255"/>
      <c r="G467" s="253"/>
      <c r="H467" s="256"/>
      <c r="I467" s="255"/>
      <c r="J467" s="255"/>
      <c r="K467" s="254"/>
      <c r="L467" s="253"/>
    </row>
    <row r="468" spans="3:12" s="244" customFormat="1" x14ac:dyDescent="0.25">
      <c r="C468" s="255"/>
      <c r="D468" s="255"/>
      <c r="E468" s="255"/>
      <c r="F468" s="255"/>
      <c r="G468" s="253"/>
      <c r="H468" s="256"/>
      <c r="I468" s="255"/>
      <c r="J468" s="255"/>
      <c r="K468" s="254"/>
      <c r="L468" s="253"/>
    </row>
    <row r="469" spans="3:12" s="244" customFormat="1" x14ac:dyDescent="0.25">
      <c r="C469" s="255"/>
      <c r="D469" s="255"/>
      <c r="E469" s="255"/>
      <c r="F469" s="255"/>
      <c r="G469" s="253"/>
      <c r="H469" s="256"/>
      <c r="I469" s="255"/>
      <c r="J469" s="255"/>
      <c r="K469" s="254"/>
      <c r="L469" s="253"/>
    </row>
    <row r="470" spans="3:12" s="244" customFormat="1" x14ac:dyDescent="0.25">
      <c r="C470" s="255"/>
      <c r="D470" s="255"/>
      <c r="E470" s="255"/>
      <c r="F470" s="255"/>
      <c r="G470" s="253"/>
      <c r="H470" s="256"/>
      <c r="I470" s="255"/>
      <c r="J470" s="255"/>
      <c r="K470" s="254"/>
      <c r="L470" s="253"/>
    </row>
    <row r="471" spans="3:12" s="244" customFormat="1" x14ac:dyDescent="0.25">
      <c r="C471" s="255"/>
      <c r="D471" s="255"/>
      <c r="E471" s="255"/>
      <c r="F471" s="255"/>
      <c r="G471" s="253"/>
      <c r="H471" s="256"/>
      <c r="I471" s="255"/>
      <c r="J471" s="255"/>
      <c r="K471" s="254"/>
      <c r="L471" s="253"/>
    </row>
    <row r="472" spans="3:12" s="244" customFormat="1" x14ac:dyDescent="0.25">
      <c r="C472" s="255"/>
      <c r="D472" s="255"/>
      <c r="E472" s="255"/>
      <c r="F472" s="255"/>
      <c r="G472" s="253"/>
      <c r="H472" s="256"/>
      <c r="I472" s="255"/>
      <c r="J472" s="255"/>
      <c r="K472" s="254"/>
      <c r="L472" s="253"/>
    </row>
    <row r="473" spans="3:12" s="244" customFormat="1" x14ac:dyDescent="0.25">
      <c r="C473" s="255"/>
      <c r="D473" s="255"/>
      <c r="E473" s="255"/>
      <c r="F473" s="255"/>
      <c r="G473" s="253"/>
      <c r="H473" s="256"/>
      <c r="I473" s="255"/>
      <c r="J473" s="255"/>
      <c r="K473" s="254"/>
      <c r="L473" s="253"/>
    </row>
    <row r="474" spans="3:12" s="244" customFormat="1" x14ac:dyDescent="0.25">
      <c r="C474" s="255"/>
      <c r="D474" s="255"/>
      <c r="E474" s="255"/>
      <c r="F474" s="255"/>
      <c r="G474" s="253"/>
      <c r="H474" s="256"/>
      <c r="I474" s="255"/>
      <c r="J474" s="255"/>
      <c r="K474" s="254"/>
      <c r="L474" s="253"/>
    </row>
    <row r="475" spans="3:12" s="244" customFormat="1" x14ac:dyDescent="0.25">
      <c r="C475" s="255"/>
      <c r="D475" s="255"/>
      <c r="E475" s="255"/>
      <c r="F475" s="255"/>
      <c r="G475" s="253"/>
      <c r="H475" s="256"/>
      <c r="I475" s="255"/>
      <c r="J475" s="255"/>
      <c r="K475" s="254"/>
      <c r="L475" s="253"/>
    </row>
    <row r="476" spans="3:12" s="244" customFormat="1" x14ac:dyDescent="0.25">
      <c r="C476" s="255"/>
      <c r="D476" s="255"/>
      <c r="E476" s="255"/>
      <c r="F476" s="255"/>
      <c r="G476" s="253"/>
      <c r="H476" s="256"/>
      <c r="I476" s="255"/>
      <c r="J476" s="255"/>
      <c r="K476" s="254"/>
      <c r="L476" s="253"/>
    </row>
    <row r="477" spans="3:12" s="244" customFormat="1" x14ac:dyDescent="0.25">
      <c r="C477" s="255"/>
      <c r="D477" s="255"/>
      <c r="E477" s="255"/>
      <c r="F477" s="255"/>
      <c r="G477" s="253"/>
      <c r="H477" s="256"/>
      <c r="I477" s="255"/>
      <c r="J477" s="255"/>
      <c r="K477" s="254"/>
      <c r="L477" s="253"/>
    </row>
    <row r="478" spans="3:12" s="244" customFormat="1" x14ac:dyDescent="0.25">
      <c r="C478" s="255"/>
      <c r="D478" s="255"/>
      <c r="E478" s="255"/>
      <c r="F478" s="255"/>
      <c r="G478" s="253"/>
      <c r="H478" s="256"/>
      <c r="I478" s="255"/>
      <c r="J478" s="255"/>
      <c r="K478" s="254"/>
      <c r="L478" s="253"/>
    </row>
    <row r="479" spans="3:12" s="244" customFormat="1" x14ac:dyDescent="0.25">
      <c r="C479" s="255"/>
      <c r="D479" s="255"/>
      <c r="E479" s="255"/>
      <c r="F479" s="255"/>
      <c r="G479" s="253"/>
      <c r="H479" s="256"/>
      <c r="I479" s="255"/>
      <c r="J479" s="255"/>
      <c r="K479" s="254"/>
      <c r="L479" s="253"/>
    </row>
    <row r="480" spans="3:12" s="244" customFormat="1" x14ac:dyDescent="0.25">
      <c r="C480" s="255"/>
      <c r="D480" s="255"/>
      <c r="E480" s="255"/>
      <c r="F480" s="255"/>
      <c r="G480" s="253"/>
      <c r="H480" s="256"/>
      <c r="I480" s="255"/>
      <c r="J480" s="255"/>
      <c r="K480" s="254"/>
      <c r="L480" s="253"/>
    </row>
    <row r="481" spans="3:12" s="244" customFormat="1" x14ac:dyDescent="0.25">
      <c r="C481" s="255"/>
      <c r="D481" s="255"/>
      <c r="E481" s="255"/>
      <c r="F481" s="255"/>
      <c r="G481" s="253"/>
      <c r="H481" s="256"/>
      <c r="I481" s="255"/>
      <c r="J481" s="255"/>
      <c r="K481" s="254"/>
      <c r="L481" s="253"/>
    </row>
    <row r="482" spans="3:12" s="244" customFormat="1" x14ac:dyDescent="0.25">
      <c r="C482" s="255"/>
      <c r="D482" s="255"/>
      <c r="E482" s="255"/>
      <c r="F482" s="255"/>
      <c r="G482" s="253"/>
      <c r="H482" s="256"/>
      <c r="I482" s="255"/>
      <c r="J482" s="255"/>
      <c r="K482" s="254"/>
      <c r="L482" s="253"/>
    </row>
    <row r="483" spans="3:12" s="244" customFormat="1" x14ac:dyDescent="0.25">
      <c r="C483" s="255"/>
      <c r="D483" s="255"/>
      <c r="E483" s="255"/>
      <c r="F483" s="255"/>
      <c r="G483" s="253"/>
      <c r="H483" s="256"/>
      <c r="I483" s="255"/>
      <c r="J483" s="255"/>
      <c r="K483" s="254"/>
      <c r="L483" s="253"/>
    </row>
    <row r="484" spans="3:12" s="244" customFormat="1" x14ac:dyDescent="0.25">
      <c r="C484" s="255"/>
      <c r="D484" s="255"/>
      <c r="E484" s="255"/>
      <c r="F484" s="255"/>
      <c r="G484" s="253"/>
      <c r="H484" s="256"/>
      <c r="I484" s="255"/>
      <c r="J484" s="255"/>
      <c r="K484" s="254"/>
      <c r="L484" s="253"/>
    </row>
    <row r="485" spans="3:12" s="244" customFormat="1" x14ac:dyDescent="0.25">
      <c r="C485" s="255"/>
      <c r="D485" s="255"/>
      <c r="E485" s="255"/>
      <c r="F485" s="255"/>
      <c r="G485" s="253"/>
      <c r="H485" s="256"/>
      <c r="I485" s="255"/>
      <c r="J485" s="255"/>
      <c r="K485" s="254"/>
      <c r="L485" s="253"/>
    </row>
    <row r="486" spans="3:12" s="244" customFormat="1" x14ac:dyDescent="0.25">
      <c r="C486" s="255"/>
      <c r="D486" s="255"/>
      <c r="E486" s="255"/>
      <c r="F486" s="255"/>
      <c r="G486" s="253"/>
      <c r="H486" s="256"/>
      <c r="I486" s="255"/>
      <c r="J486" s="255"/>
      <c r="K486" s="254"/>
      <c r="L486" s="253"/>
    </row>
    <row r="487" spans="3:12" s="244" customFormat="1" x14ac:dyDescent="0.25">
      <c r="C487" s="255"/>
      <c r="D487" s="255"/>
      <c r="E487" s="255"/>
      <c r="F487" s="255"/>
      <c r="G487" s="253"/>
      <c r="H487" s="256"/>
      <c r="I487" s="255"/>
      <c r="J487" s="255"/>
      <c r="K487" s="254"/>
      <c r="L487" s="253"/>
    </row>
    <row r="488" spans="3:12" s="244" customFormat="1" x14ac:dyDescent="0.25">
      <c r="C488" s="255"/>
      <c r="D488" s="255"/>
      <c r="E488" s="255"/>
      <c r="F488" s="255"/>
      <c r="G488" s="253"/>
      <c r="H488" s="256"/>
      <c r="I488" s="255"/>
      <c r="J488" s="255"/>
      <c r="K488" s="254"/>
      <c r="L488" s="253"/>
    </row>
    <row r="489" spans="3:12" s="244" customFormat="1" x14ac:dyDescent="0.25">
      <c r="C489" s="255"/>
      <c r="D489" s="255"/>
      <c r="E489" s="255"/>
      <c r="F489" s="255"/>
      <c r="G489" s="253"/>
      <c r="H489" s="256"/>
      <c r="I489" s="255"/>
      <c r="J489" s="255"/>
      <c r="K489" s="254"/>
      <c r="L489" s="253"/>
    </row>
    <row r="490" spans="3:12" s="244" customFormat="1" x14ac:dyDescent="0.25">
      <c r="C490" s="255"/>
      <c r="D490" s="255"/>
      <c r="E490" s="255"/>
      <c r="F490" s="255"/>
      <c r="G490" s="253"/>
      <c r="H490" s="256"/>
      <c r="I490" s="255"/>
      <c r="J490" s="255"/>
      <c r="K490" s="254"/>
      <c r="L490" s="253"/>
    </row>
    <row r="491" spans="3:12" s="244" customFormat="1" x14ac:dyDescent="0.25">
      <c r="C491" s="255"/>
      <c r="D491" s="255"/>
      <c r="E491" s="255"/>
      <c r="F491" s="255"/>
      <c r="G491" s="253"/>
      <c r="H491" s="256"/>
      <c r="I491" s="255"/>
      <c r="J491" s="255"/>
      <c r="K491" s="254"/>
      <c r="L491" s="253"/>
    </row>
    <row r="492" spans="3:12" s="244" customFormat="1" x14ac:dyDescent="0.25">
      <c r="C492" s="255"/>
      <c r="D492" s="255"/>
      <c r="E492" s="255"/>
      <c r="F492" s="255"/>
      <c r="G492" s="253"/>
      <c r="H492" s="256"/>
      <c r="I492" s="255"/>
      <c r="J492" s="255"/>
      <c r="K492" s="254"/>
      <c r="L492" s="253"/>
    </row>
    <row r="493" spans="3:12" s="244" customFormat="1" x14ac:dyDescent="0.25">
      <c r="C493" s="255"/>
      <c r="D493" s="255"/>
      <c r="E493" s="255"/>
      <c r="F493" s="255"/>
      <c r="G493" s="253"/>
      <c r="H493" s="256"/>
      <c r="I493" s="255"/>
      <c r="J493" s="255"/>
      <c r="K493" s="254"/>
      <c r="L493" s="253"/>
    </row>
    <row r="494" spans="3:12" s="244" customFormat="1" x14ac:dyDescent="0.25">
      <c r="C494" s="255"/>
      <c r="D494" s="255"/>
      <c r="E494" s="255"/>
      <c r="F494" s="255"/>
      <c r="G494" s="253"/>
      <c r="H494" s="256"/>
      <c r="I494" s="255"/>
      <c r="J494" s="255"/>
      <c r="K494" s="254"/>
      <c r="L494" s="253"/>
    </row>
    <row r="495" spans="3:12" s="244" customFormat="1" x14ac:dyDescent="0.25">
      <c r="C495" s="255"/>
      <c r="D495" s="255"/>
      <c r="E495" s="255"/>
      <c r="F495" s="255"/>
      <c r="G495" s="253"/>
      <c r="H495" s="256"/>
      <c r="I495" s="255"/>
      <c r="J495" s="255"/>
      <c r="K495" s="254"/>
      <c r="L495" s="253"/>
    </row>
    <row r="496" spans="3:12" s="244" customFormat="1" x14ac:dyDescent="0.25">
      <c r="C496" s="255"/>
      <c r="D496" s="255"/>
      <c r="E496" s="255"/>
      <c r="F496" s="255"/>
      <c r="G496" s="253"/>
      <c r="H496" s="256"/>
      <c r="I496" s="255"/>
      <c r="J496" s="255"/>
      <c r="K496" s="254"/>
      <c r="L496" s="253"/>
    </row>
    <row r="497" spans="3:12" s="244" customFormat="1" x14ac:dyDescent="0.25">
      <c r="C497" s="255"/>
      <c r="D497" s="255"/>
      <c r="E497" s="255"/>
      <c r="F497" s="255"/>
      <c r="G497" s="253"/>
      <c r="H497" s="256"/>
      <c r="I497" s="255"/>
      <c r="J497" s="255"/>
      <c r="K497" s="254"/>
      <c r="L497" s="253"/>
    </row>
    <row r="498" spans="3:12" s="244" customFormat="1" x14ac:dyDescent="0.25">
      <c r="C498" s="255"/>
      <c r="D498" s="255"/>
      <c r="E498" s="255"/>
      <c r="F498" s="255"/>
      <c r="G498" s="253"/>
      <c r="H498" s="256"/>
      <c r="I498" s="255"/>
      <c r="J498" s="255"/>
      <c r="K498" s="254"/>
      <c r="L498" s="253"/>
    </row>
    <row r="499" spans="3:12" s="244" customFormat="1" x14ac:dyDescent="0.25">
      <c r="C499" s="255"/>
      <c r="D499" s="255"/>
      <c r="E499" s="255"/>
      <c r="F499" s="255"/>
      <c r="G499" s="253"/>
      <c r="H499" s="256"/>
      <c r="I499" s="255"/>
      <c r="J499" s="255"/>
      <c r="K499" s="254"/>
      <c r="L499" s="253"/>
    </row>
    <row r="500" spans="3:12" s="244" customFormat="1" x14ac:dyDescent="0.25">
      <c r="C500" s="255"/>
      <c r="D500" s="255"/>
      <c r="E500" s="255"/>
      <c r="F500" s="255"/>
      <c r="G500" s="253"/>
      <c r="H500" s="256"/>
      <c r="I500" s="255"/>
      <c r="J500" s="255"/>
      <c r="K500" s="254"/>
      <c r="L500" s="253"/>
    </row>
    <row r="501" spans="3:12" s="244" customFormat="1" x14ac:dyDescent="0.25">
      <c r="C501" s="255"/>
      <c r="D501" s="255"/>
      <c r="E501" s="255"/>
      <c r="F501" s="255"/>
      <c r="G501" s="253"/>
      <c r="H501" s="256"/>
      <c r="I501" s="255"/>
      <c r="J501" s="255"/>
      <c r="K501" s="254"/>
      <c r="L501" s="253"/>
    </row>
    <row r="502" spans="3:12" s="244" customFormat="1" x14ac:dyDescent="0.25">
      <c r="C502" s="255"/>
      <c r="D502" s="255"/>
      <c r="E502" s="255"/>
      <c r="F502" s="255"/>
      <c r="G502" s="253"/>
      <c r="H502" s="256"/>
      <c r="I502" s="255"/>
      <c r="J502" s="255"/>
      <c r="K502" s="254"/>
      <c r="L502" s="253"/>
    </row>
    <row r="503" spans="3:12" s="244" customFormat="1" x14ac:dyDescent="0.25">
      <c r="C503" s="255"/>
      <c r="D503" s="255"/>
      <c r="E503" s="255"/>
      <c r="F503" s="255"/>
      <c r="G503" s="253"/>
      <c r="H503" s="256"/>
      <c r="I503" s="255"/>
      <c r="J503" s="255"/>
      <c r="K503" s="254"/>
      <c r="L503" s="253"/>
    </row>
    <row r="504" spans="3:12" s="244" customFormat="1" x14ac:dyDescent="0.25">
      <c r="C504" s="255"/>
      <c r="D504" s="255"/>
      <c r="E504" s="255"/>
      <c r="F504" s="255"/>
      <c r="G504" s="253"/>
      <c r="H504" s="256"/>
      <c r="I504" s="255"/>
      <c r="J504" s="255"/>
      <c r="K504" s="254"/>
      <c r="L504" s="253"/>
    </row>
    <row r="505" spans="3:12" s="244" customFormat="1" x14ac:dyDescent="0.25">
      <c r="C505" s="255"/>
      <c r="D505" s="255"/>
      <c r="E505" s="255"/>
      <c r="F505" s="255"/>
      <c r="G505" s="253"/>
      <c r="H505" s="256"/>
      <c r="I505" s="255"/>
      <c r="J505" s="255"/>
      <c r="K505" s="254"/>
      <c r="L505" s="253"/>
    </row>
    <row r="506" spans="3:12" s="244" customFormat="1" x14ac:dyDescent="0.25">
      <c r="C506" s="255"/>
      <c r="D506" s="255"/>
      <c r="E506" s="255"/>
      <c r="F506" s="255"/>
      <c r="G506" s="253"/>
      <c r="H506" s="256"/>
      <c r="I506" s="255"/>
      <c r="J506" s="255"/>
      <c r="K506" s="254"/>
      <c r="L506" s="253"/>
    </row>
    <row r="507" spans="3:12" s="244" customFormat="1" x14ac:dyDescent="0.25">
      <c r="C507" s="255"/>
      <c r="D507" s="255"/>
      <c r="E507" s="255"/>
      <c r="F507" s="255"/>
      <c r="G507" s="253"/>
      <c r="H507" s="256"/>
      <c r="I507" s="255"/>
      <c r="J507" s="255"/>
      <c r="K507" s="254"/>
      <c r="L507" s="253"/>
    </row>
    <row r="508" spans="3:12" s="244" customFormat="1" x14ac:dyDescent="0.25">
      <c r="C508" s="255"/>
      <c r="D508" s="255"/>
      <c r="E508" s="255"/>
      <c r="F508" s="255"/>
      <c r="G508" s="253"/>
      <c r="H508" s="256"/>
      <c r="I508" s="255"/>
      <c r="J508" s="255"/>
      <c r="K508" s="254"/>
      <c r="L508" s="253"/>
    </row>
    <row r="509" spans="3:12" s="244" customFormat="1" x14ac:dyDescent="0.25">
      <c r="C509" s="255"/>
      <c r="D509" s="255"/>
      <c r="E509" s="255"/>
      <c r="F509" s="255"/>
      <c r="G509" s="253"/>
      <c r="H509" s="256"/>
      <c r="I509" s="255"/>
      <c r="J509" s="255"/>
      <c r="K509" s="254"/>
      <c r="L509" s="253"/>
    </row>
    <row r="510" spans="3:12" s="244" customFormat="1" x14ac:dyDescent="0.25">
      <c r="C510" s="255"/>
      <c r="D510" s="255"/>
      <c r="E510" s="255"/>
      <c r="F510" s="255"/>
      <c r="G510" s="253"/>
      <c r="H510" s="256"/>
      <c r="I510" s="255"/>
      <c r="J510" s="255"/>
      <c r="K510" s="254"/>
      <c r="L510" s="253"/>
    </row>
    <row r="511" spans="3:12" s="244" customFormat="1" x14ac:dyDescent="0.25">
      <c r="C511" s="255"/>
      <c r="D511" s="255"/>
      <c r="E511" s="255"/>
      <c r="F511" s="255"/>
      <c r="G511" s="253"/>
      <c r="H511" s="256"/>
      <c r="I511" s="255"/>
      <c r="J511" s="255"/>
      <c r="K511" s="254"/>
      <c r="L511" s="253"/>
    </row>
    <row r="512" spans="3:12" s="244" customFormat="1" x14ac:dyDescent="0.25">
      <c r="C512" s="255"/>
      <c r="D512" s="255"/>
      <c r="E512" s="255"/>
      <c r="F512" s="255"/>
      <c r="G512" s="253"/>
      <c r="H512" s="256"/>
      <c r="I512" s="255"/>
      <c r="J512" s="255"/>
      <c r="K512" s="254"/>
      <c r="L512" s="253"/>
    </row>
    <row r="513" spans="3:12" s="244" customFormat="1" x14ac:dyDescent="0.25">
      <c r="C513" s="255"/>
      <c r="D513" s="255"/>
      <c r="E513" s="255"/>
      <c r="F513" s="255"/>
      <c r="G513" s="253"/>
      <c r="H513" s="256"/>
      <c r="I513" s="255"/>
      <c r="J513" s="255"/>
      <c r="K513" s="254"/>
      <c r="L513" s="253"/>
    </row>
    <row r="514" spans="3:12" s="244" customFormat="1" x14ac:dyDescent="0.25">
      <c r="C514" s="255"/>
      <c r="D514" s="255"/>
      <c r="E514" s="255"/>
      <c r="F514" s="255"/>
      <c r="G514" s="253"/>
      <c r="H514" s="256"/>
      <c r="I514" s="255"/>
      <c r="J514" s="255"/>
      <c r="K514" s="254"/>
      <c r="L514" s="253"/>
    </row>
    <row r="515" spans="3:12" s="244" customFormat="1" x14ac:dyDescent="0.25">
      <c r="C515" s="255"/>
      <c r="D515" s="255"/>
      <c r="E515" s="255"/>
      <c r="F515" s="255"/>
      <c r="G515" s="253"/>
      <c r="H515" s="256"/>
      <c r="I515" s="255"/>
      <c r="J515" s="255"/>
      <c r="K515" s="254"/>
      <c r="L515" s="253"/>
    </row>
    <row r="516" spans="3:12" s="244" customFormat="1" x14ac:dyDescent="0.25">
      <c r="C516" s="255"/>
      <c r="D516" s="255"/>
      <c r="E516" s="255"/>
      <c r="F516" s="255"/>
      <c r="G516" s="253"/>
      <c r="H516" s="256"/>
      <c r="I516" s="255"/>
      <c r="J516" s="255"/>
      <c r="K516" s="254"/>
      <c r="L516" s="253"/>
    </row>
    <row r="517" spans="3:12" s="244" customFormat="1" x14ac:dyDescent="0.25">
      <c r="C517" s="255"/>
      <c r="D517" s="255"/>
      <c r="E517" s="255"/>
      <c r="F517" s="255"/>
      <c r="G517" s="253"/>
      <c r="H517" s="256"/>
      <c r="I517" s="255"/>
      <c r="J517" s="255"/>
      <c r="K517" s="254"/>
      <c r="L517" s="253"/>
    </row>
    <row r="518" spans="3:12" s="244" customFormat="1" x14ac:dyDescent="0.25">
      <c r="C518" s="255"/>
      <c r="D518" s="255"/>
      <c r="E518" s="255"/>
      <c r="F518" s="255"/>
      <c r="G518" s="253"/>
      <c r="H518" s="256"/>
      <c r="I518" s="255"/>
      <c r="J518" s="255"/>
      <c r="K518" s="254"/>
      <c r="L518" s="253"/>
    </row>
    <row r="519" spans="3:12" s="244" customFormat="1" x14ac:dyDescent="0.25">
      <c r="C519" s="255"/>
      <c r="D519" s="255"/>
      <c r="E519" s="255"/>
      <c r="F519" s="255"/>
      <c r="G519" s="253"/>
      <c r="H519" s="256"/>
      <c r="I519" s="255"/>
      <c r="J519" s="255"/>
      <c r="K519" s="254"/>
      <c r="L519" s="253"/>
    </row>
    <row r="520" spans="3:12" s="244" customFormat="1" x14ac:dyDescent="0.25">
      <c r="C520" s="255"/>
      <c r="D520" s="255"/>
      <c r="E520" s="255"/>
      <c r="F520" s="255"/>
      <c r="G520" s="253"/>
      <c r="H520" s="256"/>
      <c r="I520" s="255"/>
      <c r="J520" s="255"/>
      <c r="K520" s="254"/>
      <c r="L520" s="253"/>
    </row>
    <row r="521" spans="3:12" s="244" customFormat="1" x14ac:dyDescent="0.25">
      <c r="C521" s="255"/>
      <c r="D521" s="255"/>
      <c r="E521" s="255"/>
      <c r="F521" s="255"/>
      <c r="G521" s="253"/>
      <c r="H521" s="256"/>
      <c r="I521" s="255"/>
      <c r="J521" s="255"/>
      <c r="K521" s="254"/>
      <c r="L521" s="253"/>
    </row>
    <row r="522" spans="3:12" s="244" customFormat="1" x14ac:dyDescent="0.25">
      <c r="C522" s="255"/>
      <c r="D522" s="255"/>
      <c r="E522" s="255"/>
      <c r="F522" s="255"/>
      <c r="G522" s="253"/>
      <c r="H522" s="256"/>
      <c r="I522" s="255"/>
      <c r="J522" s="255"/>
      <c r="K522" s="254"/>
      <c r="L522" s="253"/>
    </row>
    <row r="523" spans="3:12" s="244" customFormat="1" x14ac:dyDescent="0.25">
      <c r="C523" s="255"/>
      <c r="D523" s="255"/>
      <c r="E523" s="255"/>
      <c r="F523" s="255"/>
      <c r="G523" s="253"/>
      <c r="H523" s="256"/>
      <c r="I523" s="255"/>
      <c r="J523" s="255"/>
      <c r="K523" s="254"/>
      <c r="L523" s="253"/>
    </row>
    <row r="524" spans="3:12" s="244" customFormat="1" x14ac:dyDescent="0.25">
      <c r="C524" s="255"/>
      <c r="D524" s="255"/>
      <c r="E524" s="255"/>
      <c r="F524" s="255"/>
      <c r="G524" s="253"/>
      <c r="H524" s="256"/>
      <c r="I524" s="255"/>
      <c r="J524" s="255"/>
      <c r="K524" s="254"/>
      <c r="L524" s="253"/>
    </row>
    <row r="525" spans="3:12" s="244" customFormat="1" x14ac:dyDescent="0.25">
      <c r="C525" s="255"/>
      <c r="D525" s="255"/>
      <c r="E525" s="255"/>
      <c r="F525" s="255"/>
      <c r="G525" s="253"/>
      <c r="H525" s="256"/>
      <c r="I525" s="255"/>
      <c r="J525" s="255"/>
      <c r="K525" s="254"/>
      <c r="L525" s="253"/>
    </row>
    <row r="526" spans="3:12" s="244" customFormat="1" x14ac:dyDescent="0.25">
      <c r="C526" s="255"/>
      <c r="D526" s="255"/>
      <c r="E526" s="255"/>
      <c r="F526" s="255"/>
      <c r="G526" s="253"/>
      <c r="H526" s="256"/>
      <c r="I526" s="255"/>
      <c r="J526" s="255"/>
      <c r="K526" s="254"/>
      <c r="L526" s="253"/>
    </row>
    <row r="527" spans="3:12" s="244" customFormat="1" x14ac:dyDescent="0.25">
      <c r="C527" s="255"/>
      <c r="D527" s="255"/>
      <c r="E527" s="255"/>
      <c r="F527" s="255"/>
      <c r="G527" s="253"/>
      <c r="H527" s="256"/>
      <c r="I527" s="255"/>
      <c r="J527" s="255"/>
      <c r="K527" s="254"/>
      <c r="L527" s="253"/>
    </row>
    <row r="528" spans="3:12" s="244" customFormat="1" x14ac:dyDescent="0.25">
      <c r="C528" s="255"/>
      <c r="D528" s="255"/>
      <c r="E528" s="255"/>
      <c r="F528" s="255"/>
      <c r="G528" s="253"/>
      <c r="H528" s="256"/>
      <c r="I528" s="255"/>
      <c r="J528" s="255"/>
      <c r="K528" s="254"/>
      <c r="L528" s="253"/>
    </row>
    <row r="529" spans="3:12" s="244" customFormat="1" x14ac:dyDescent="0.25">
      <c r="C529" s="255"/>
      <c r="D529" s="255"/>
      <c r="E529" s="255"/>
      <c r="F529" s="255"/>
      <c r="G529" s="253"/>
      <c r="H529" s="256"/>
      <c r="I529" s="255"/>
      <c r="J529" s="255"/>
      <c r="K529" s="254"/>
      <c r="L529" s="253"/>
    </row>
    <row r="530" spans="3:12" s="244" customFormat="1" x14ac:dyDescent="0.25">
      <c r="C530" s="255"/>
      <c r="D530" s="255"/>
      <c r="E530" s="255"/>
      <c r="F530" s="255"/>
      <c r="G530" s="253"/>
      <c r="H530" s="256"/>
      <c r="I530" s="255"/>
      <c r="J530" s="255"/>
      <c r="K530" s="254"/>
      <c r="L530" s="253"/>
    </row>
    <row r="531" spans="3:12" s="244" customFormat="1" x14ac:dyDescent="0.25">
      <c r="C531" s="255"/>
      <c r="D531" s="255"/>
      <c r="E531" s="255"/>
      <c r="F531" s="255"/>
      <c r="G531" s="253"/>
      <c r="H531" s="256"/>
      <c r="I531" s="255"/>
      <c r="J531" s="255"/>
      <c r="K531" s="254"/>
      <c r="L531" s="253"/>
    </row>
    <row r="532" spans="3:12" s="244" customFormat="1" x14ac:dyDescent="0.25">
      <c r="C532" s="255"/>
      <c r="D532" s="255"/>
      <c r="E532" s="255"/>
      <c r="F532" s="255"/>
      <c r="G532" s="253"/>
      <c r="H532" s="256"/>
      <c r="I532" s="255"/>
      <c r="J532" s="255"/>
      <c r="K532" s="254"/>
      <c r="L532" s="253"/>
    </row>
    <row r="533" spans="3:12" s="244" customFormat="1" x14ac:dyDescent="0.25">
      <c r="C533" s="255"/>
      <c r="D533" s="255"/>
      <c r="E533" s="255"/>
      <c r="F533" s="255"/>
      <c r="G533" s="253"/>
      <c r="H533" s="256"/>
      <c r="I533" s="255"/>
      <c r="J533" s="255"/>
      <c r="K533" s="254"/>
      <c r="L533" s="253"/>
    </row>
    <row r="534" spans="3:12" s="244" customFormat="1" x14ac:dyDescent="0.25">
      <c r="C534" s="255"/>
      <c r="D534" s="255"/>
      <c r="E534" s="255"/>
      <c r="F534" s="255"/>
      <c r="G534" s="253"/>
      <c r="H534" s="256"/>
      <c r="I534" s="255"/>
      <c r="J534" s="255"/>
      <c r="K534" s="254"/>
      <c r="L534" s="253"/>
    </row>
    <row r="535" spans="3:12" s="244" customFormat="1" x14ac:dyDescent="0.25">
      <c r="C535" s="255"/>
      <c r="D535" s="255"/>
      <c r="E535" s="255"/>
      <c r="F535" s="255"/>
      <c r="G535" s="253"/>
      <c r="H535" s="256"/>
      <c r="I535" s="255"/>
      <c r="J535" s="255"/>
      <c r="K535" s="254"/>
      <c r="L535" s="253"/>
    </row>
    <row r="536" spans="3:12" s="244" customFormat="1" x14ac:dyDescent="0.25">
      <c r="C536" s="255"/>
      <c r="D536" s="255"/>
      <c r="E536" s="255"/>
      <c r="F536" s="255"/>
      <c r="G536" s="253"/>
      <c r="H536" s="256"/>
      <c r="I536" s="255"/>
      <c r="J536" s="255"/>
      <c r="K536" s="254"/>
      <c r="L536" s="253"/>
    </row>
    <row r="537" spans="3:12" s="244" customFormat="1" x14ac:dyDescent="0.25">
      <c r="C537" s="255"/>
      <c r="D537" s="255"/>
      <c r="E537" s="255"/>
      <c r="F537" s="255"/>
      <c r="G537" s="253"/>
      <c r="H537" s="256"/>
      <c r="I537" s="255"/>
      <c r="J537" s="255"/>
      <c r="K537" s="254"/>
      <c r="L537" s="253"/>
    </row>
    <row r="538" spans="3:12" s="244" customFormat="1" x14ac:dyDescent="0.25">
      <c r="C538" s="255"/>
      <c r="D538" s="255"/>
      <c r="E538" s="255"/>
      <c r="F538" s="255"/>
      <c r="G538" s="253"/>
      <c r="H538" s="256"/>
      <c r="I538" s="255"/>
      <c r="J538" s="255"/>
      <c r="K538" s="254"/>
      <c r="L538" s="253"/>
    </row>
    <row r="539" spans="3:12" s="244" customFormat="1" x14ac:dyDescent="0.25">
      <c r="C539" s="255"/>
      <c r="D539" s="255"/>
      <c r="E539" s="255"/>
      <c r="F539" s="255"/>
      <c r="G539" s="253"/>
      <c r="H539" s="256"/>
      <c r="I539" s="255"/>
      <c r="J539" s="255"/>
      <c r="K539" s="254"/>
      <c r="L539" s="253"/>
    </row>
    <row r="540" spans="3:12" s="244" customFormat="1" x14ac:dyDescent="0.25">
      <c r="C540" s="255"/>
      <c r="D540" s="255"/>
      <c r="E540" s="255"/>
      <c r="F540" s="255"/>
      <c r="G540" s="253"/>
      <c r="H540" s="256"/>
      <c r="I540" s="255"/>
      <c r="J540" s="255"/>
      <c r="K540" s="254"/>
      <c r="L540" s="253"/>
    </row>
    <row r="541" spans="3:12" s="244" customFormat="1" x14ac:dyDescent="0.25">
      <c r="C541" s="255"/>
      <c r="D541" s="255"/>
      <c r="E541" s="255"/>
      <c r="F541" s="255"/>
      <c r="G541" s="253"/>
      <c r="H541" s="256"/>
      <c r="I541" s="255"/>
      <c r="J541" s="255"/>
      <c r="K541" s="254"/>
      <c r="L541" s="253"/>
    </row>
    <row r="542" spans="3:12" s="244" customFormat="1" x14ac:dyDescent="0.25">
      <c r="C542" s="255"/>
      <c r="D542" s="255"/>
      <c r="E542" s="255"/>
      <c r="F542" s="255"/>
      <c r="G542" s="253"/>
      <c r="H542" s="256"/>
      <c r="I542" s="255"/>
      <c r="J542" s="255"/>
      <c r="K542" s="254"/>
      <c r="L542" s="253"/>
    </row>
    <row r="543" spans="3:12" s="244" customFormat="1" x14ac:dyDescent="0.25">
      <c r="C543" s="255"/>
      <c r="D543" s="255"/>
      <c r="E543" s="255"/>
      <c r="F543" s="255"/>
      <c r="G543" s="253"/>
      <c r="H543" s="256"/>
      <c r="I543" s="255"/>
      <c r="J543" s="255"/>
      <c r="K543" s="254"/>
      <c r="L543" s="253"/>
    </row>
    <row r="544" spans="3:12" s="244" customFormat="1" x14ac:dyDescent="0.25">
      <c r="C544" s="255"/>
      <c r="D544" s="255"/>
      <c r="E544" s="255"/>
      <c r="F544" s="255"/>
      <c r="G544" s="253"/>
      <c r="H544" s="256"/>
      <c r="I544" s="255"/>
      <c r="J544" s="255"/>
      <c r="K544" s="254"/>
      <c r="L544" s="253"/>
    </row>
    <row r="545" spans="3:12" s="244" customFormat="1" x14ac:dyDescent="0.25">
      <c r="C545" s="255"/>
      <c r="D545" s="255"/>
      <c r="E545" s="255"/>
      <c r="F545" s="255"/>
      <c r="G545" s="253"/>
      <c r="H545" s="256"/>
      <c r="I545" s="255"/>
      <c r="J545" s="255"/>
      <c r="K545" s="254"/>
      <c r="L545" s="253"/>
    </row>
    <row r="546" spans="3:12" s="244" customFormat="1" x14ac:dyDescent="0.25">
      <c r="C546" s="255"/>
      <c r="D546" s="255"/>
      <c r="E546" s="255"/>
      <c r="F546" s="255"/>
      <c r="G546" s="253"/>
      <c r="H546" s="256"/>
      <c r="I546" s="255"/>
      <c r="J546" s="255"/>
      <c r="K546" s="254"/>
      <c r="L546" s="253"/>
    </row>
    <row r="547" spans="3:12" s="244" customFormat="1" x14ac:dyDescent="0.25">
      <c r="C547" s="255"/>
      <c r="D547" s="255"/>
      <c r="E547" s="255"/>
      <c r="F547" s="255"/>
      <c r="G547" s="253"/>
      <c r="H547" s="256"/>
      <c r="I547" s="255"/>
      <c r="J547" s="255"/>
      <c r="K547" s="254"/>
      <c r="L547" s="253"/>
    </row>
    <row r="548" spans="3:12" s="244" customFormat="1" x14ac:dyDescent="0.25">
      <c r="C548" s="255"/>
      <c r="D548" s="255"/>
      <c r="E548" s="255"/>
      <c r="F548" s="255"/>
      <c r="G548" s="253"/>
      <c r="H548" s="256"/>
      <c r="I548" s="255"/>
      <c r="J548" s="255"/>
      <c r="K548" s="254"/>
      <c r="L548" s="253"/>
    </row>
    <row r="549" spans="3:12" s="244" customFormat="1" x14ac:dyDescent="0.25">
      <c r="C549" s="255"/>
      <c r="D549" s="255"/>
      <c r="E549" s="255"/>
      <c r="F549" s="255"/>
      <c r="G549" s="253"/>
      <c r="H549" s="256"/>
      <c r="I549" s="255"/>
      <c r="J549" s="255"/>
      <c r="K549" s="254"/>
      <c r="L549" s="253"/>
    </row>
    <row r="550" spans="3:12" s="244" customFormat="1" x14ac:dyDescent="0.25">
      <c r="C550" s="255"/>
      <c r="D550" s="255"/>
      <c r="E550" s="255"/>
      <c r="F550" s="255"/>
      <c r="G550" s="253"/>
      <c r="H550" s="256"/>
      <c r="I550" s="255"/>
      <c r="J550" s="255"/>
      <c r="K550" s="254"/>
      <c r="L550" s="253"/>
    </row>
    <row r="551" spans="3:12" s="244" customFormat="1" x14ac:dyDescent="0.25">
      <c r="C551" s="255"/>
      <c r="D551" s="255"/>
      <c r="E551" s="255"/>
      <c r="F551" s="255"/>
      <c r="G551" s="253"/>
      <c r="H551" s="256"/>
      <c r="I551" s="255"/>
      <c r="J551" s="255"/>
      <c r="K551" s="254"/>
      <c r="L551" s="253"/>
    </row>
    <row r="552" spans="3:12" s="244" customFormat="1" x14ac:dyDescent="0.25">
      <c r="C552" s="255"/>
      <c r="D552" s="255"/>
      <c r="E552" s="255"/>
      <c r="F552" s="255"/>
      <c r="G552" s="253"/>
      <c r="H552" s="256"/>
      <c r="I552" s="255"/>
      <c r="J552" s="255"/>
      <c r="K552" s="254"/>
      <c r="L552" s="253"/>
    </row>
    <row r="553" spans="3:12" s="244" customFormat="1" x14ac:dyDescent="0.25">
      <c r="C553" s="255"/>
      <c r="D553" s="255"/>
      <c r="E553" s="255"/>
      <c r="F553" s="255"/>
      <c r="G553" s="253"/>
      <c r="H553" s="256"/>
      <c r="I553" s="255"/>
      <c r="J553" s="255"/>
      <c r="K553" s="254"/>
      <c r="L553" s="253"/>
    </row>
    <row r="554" spans="3:12" s="244" customFormat="1" x14ac:dyDescent="0.25">
      <c r="C554" s="255"/>
      <c r="D554" s="255"/>
      <c r="E554" s="255"/>
      <c r="F554" s="255"/>
      <c r="G554" s="253"/>
      <c r="H554" s="256"/>
      <c r="I554" s="255"/>
      <c r="J554" s="255"/>
      <c r="K554" s="254"/>
      <c r="L554" s="253"/>
    </row>
    <row r="555" spans="3:12" s="244" customFormat="1" x14ac:dyDescent="0.25">
      <c r="C555" s="255"/>
      <c r="D555" s="255"/>
      <c r="E555" s="255"/>
      <c r="F555" s="255"/>
      <c r="G555" s="253"/>
      <c r="H555" s="256"/>
      <c r="I555" s="255"/>
      <c r="J555" s="255"/>
      <c r="K555" s="254"/>
      <c r="L555" s="253"/>
    </row>
    <row r="556" spans="3:12" s="244" customFormat="1" x14ac:dyDescent="0.25">
      <c r="C556" s="255"/>
      <c r="D556" s="255"/>
      <c r="E556" s="255"/>
      <c r="F556" s="255"/>
      <c r="G556" s="253"/>
      <c r="H556" s="256"/>
      <c r="I556" s="255"/>
      <c r="J556" s="255"/>
      <c r="K556" s="254"/>
      <c r="L556" s="253"/>
    </row>
    <row r="557" spans="3:12" s="244" customFormat="1" x14ac:dyDescent="0.25">
      <c r="C557" s="255"/>
      <c r="D557" s="255"/>
      <c r="E557" s="255"/>
      <c r="F557" s="255"/>
      <c r="G557" s="253"/>
      <c r="H557" s="256"/>
      <c r="I557" s="255"/>
      <c r="J557" s="255"/>
      <c r="K557" s="254"/>
      <c r="L557" s="253"/>
    </row>
    <row r="558" spans="3:12" s="244" customFormat="1" x14ac:dyDescent="0.25">
      <c r="C558" s="255"/>
      <c r="D558" s="255"/>
      <c r="E558" s="255"/>
      <c r="F558" s="255"/>
      <c r="G558" s="253"/>
      <c r="H558" s="256"/>
      <c r="I558" s="255"/>
      <c r="J558" s="255"/>
      <c r="K558" s="254"/>
      <c r="L558" s="253"/>
    </row>
    <row r="559" spans="3:12" s="244" customFormat="1" x14ac:dyDescent="0.25">
      <c r="C559" s="255"/>
      <c r="D559" s="255"/>
      <c r="E559" s="255"/>
      <c r="F559" s="255"/>
      <c r="G559" s="253"/>
      <c r="H559" s="256"/>
      <c r="I559" s="255"/>
      <c r="J559" s="255"/>
      <c r="K559" s="254"/>
      <c r="L559" s="253"/>
    </row>
    <row r="560" spans="3:12" s="244" customFormat="1" x14ac:dyDescent="0.25">
      <c r="C560" s="255"/>
      <c r="D560" s="255"/>
      <c r="E560" s="255"/>
      <c r="F560" s="255"/>
      <c r="G560" s="253"/>
      <c r="H560" s="256"/>
      <c r="I560" s="255"/>
      <c r="J560" s="255"/>
      <c r="K560" s="254"/>
      <c r="L560" s="253"/>
    </row>
    <row r="561" spans="3:12" s="244" customFormat="1" x14ac:dyDescent="0.25">
      <c r="C561" s="255"/>
      <c r="D561" s="255"/>
      <c r="E561" s="255"/>
      <c r="F561" s="255"/>
      <c r="G561" s="253"/>
      <c r="H561" s="256"/>
      <c r="I561" s="255"/>
      <c r="J561" s="255"/>
      <c r="K561" s="254"/>
      <c r="L561" s="253"/>
    </row>
    <row r="562" spans="3:12" s="244" customFormat="1" x14ac:dyDescent="0.25">
      <c r="C562" s="255"/>
      <c r="D562" s="255"/>
      <c r="E562" s="255"/>
      <c r="F562" s="255"/>
      <c r="G562" s="253"/>
      <c r="H562" s="256"/>
      <c r="I562" s="255"/>
      <c r="J562" s="255"/>
      <c r="K562" s="254"/>
      <c r="L562" s="253"/>
    </row>
    <row r="563" spans="3:12" s="244" customFormat="1" x14ac:dyDescent="0.25">
      <c r="C563" s="255"/>
      <c r="D563" s="255"/>
      <c r="E563" s="255"/>
      <c r="F563" s="255"/>
      <c r="G563" s="253"/>
      <c r="H563" s="256"/>
      <c r="I563" s="255"/>
      <c r="J563" s="255"/>
      <c r="K563" s="254"/>
      <c r="L563" s="253"/>
    </row>
    <row r="564" spans="3:12" s="244" customFormat="1" x14ac:dyDescent="0.25">
      <c r="C564" s="255"/>
      <c r="D564" s="255"/>
      <c r="E564" s="255"/>
      <c r="F564" s="255"/>
      <c r="G564" s="253"/>
      <c r="H564" s="256"/>
      <c r="I564" s="255"/>
      <c r="J564" s="255"/>
      <c r="K564" s="254"/>
      <c r="L564" s="253"/>
    </row>
    <row r="565" spans="3:12" s="244" customFormat="1" x14ac:dyDescent="0.25">
      <c r="C565" s="255"/>
      <c r="D565" s="255"/>
      <c r="E565" s="255"/>
      <c r="F565" s="255"/>
      <c r="G565" s="253"/>
      <c r="H565" s="256"/>
      <c r="I565" s="255"/>
      <c r="J565" s="255"/>
      <c r="K565" s="254"/>
      <c r="L565" s="253"/>
    </row>
    <row r="566" spans="3:12" s="244" customFormat="1" x14ac:dyDescent="0.25">
      <c r="C566" s="255"/>
      <c r="D566" s="255"/>
      <c r="E566" s="255"/>
      <c r="F566" s="255"/>
      <c r="G566" s="253"/>
      <c r="H566" s="256"/>
      <c r="I566" s="255"/>
      <c r="J566" s="255"/>
      <c r="K566" s="254"/>
      <c r="L566" s="253"/>
    </row>
    <row r="567" spans="3:12" s="244" customFormat="1" x14ac:dyDescent="0.25">
      <c r="C567" s="255"/>
      <c r="D567" s="255"/>
      <c r="E567" s="255"/>
      <c r="F567" s="255"/>
      <c r="G567" s="253"/>
      <c r="H567" s="256"/>
      <c r="I567" s="255"/>
      <c r="J567" s="255"/>
      <c r="K567" s="254"/>
      <c r="L567" s="253"/>
    </row>
    <row r="568" spans="3:12" s="244" customFormat="1" x14ac:dyDescent="0.25">
      <c r="C568" s="255"/>
      <c r="D568" s="255"/>
      <c r="E568" s="255"/>
      <c r="F568" s="255"/>
      <c r="G568" s="253"/>
      <c r="H568" s="256"/>
      <c r="I568" s="255"/>
      <c r="J568" s="255"/>
      <c r="K568" s="254"/>
      <c r="L568" s="253"/>
    </row>
    <row r="569" spans="3:12" s="244" customFormat="1" x14ac:dyDescent="0.25">
      <c r="C569" s="255"/>
      <c r="D569" s="255"/>
      <c r="E569" s="255"/>
      <c r="F569" s="255"/>
      <c r="G569" s="253"/>
      <c r="H569" s="256"/>
      <c r="I569" s="255"/>
      <c r="J569" s="255"/>
      <c r="K569" s="254"/>
      <c r="L569" s="253"/>
    </row>
    <row r="570" spans="3:12" s="244" customFormat="1" x14ac:dyDescent="0.25">
      <c r="C570" s="255"/>
      <c r="D570" s="255"/>
      <c r="E570" s="255"/>
      <c r="F570" s="255"/>
      <c r="G570" s="253"/>
      <c r="H570" s="256"/>
      <c r="I570" s="255"/>
      <c r="J570" s="255"/>
      <c r="K570" s="254"/>
      <c r="L570" s="253"/>
    </row>
    <row r="571" spans="3:12" s="244" customFormat="1" x14ac:dyDescent="0.25">
      <c r="C571" s="255"/>
      <c r="D571" s="255"/>
      <c r="E571" s="255"/>
      <c r="F571" s="255"/>
      <c r="G571" s="253"/>
      <c r="H571" s="256"/>
      <c r="I571" s="255"/>
      <c r="J571" s="255"/>
      <c r="K571" s="254"/>
      <c r="L571" s="253"/>
    </row>
    <row r="572" spans="3:12" s="244" customFormat="1" x14ac:dyDescent="0.25">
      <c r="C572" s="255"/>
      <c r="D572" s="255"/>
      <c r="E572" s="255"/>
      <c r="F572" s="255"/>
      <c r="G572" s="253"/>
      <c r="H572" s="256"/>
      <c r="I572" s="255"/>
      <c r="J572" s="255"/>
      <c r="K572" s="254"/>
      <c r="L572" s="253"/>
    </row>
    <row r="573" spans="3:12" s="244" customFormat="1" x14ac:dyDescent="0.25">
      <c r="C573" s="255"/>
      <c r="D573" s="255"/>
      <c r="E573" s="255"/>
      <c r="F573" s="255"/>
      <c r="G573" s="253"/>
      <c r="H573" s="256"/>
      <c r="I573" s="255"/>
      <c r="J573" s="255"/>
      <c r="K573" s="254"/>
      <c r="L573" s="253"/>
    </row>
    <row r="574" spans="3:12" s="244" customFormat="1" x14ac:dyDescent="0.25">
      <c r="C574" s="255"/>
      <c r="D574" s="255"/>
      <c r="E574" s="255"/>
      <c r="F574" s="255"/>
      <c r="G574" s="253"/>
      <c r="H574" s="256"/>
      <c r="I574" s="255"/>
      <c r="J574" s="255"/>
      <c r="K574" s="254"/>
      <c r="L574" s="253"/>
    </row>
    <row r="575" spans="3:12" s="244" customFormat="1" x14ac:dyDescent="0.25">
      <c r="C575" s="255"/>
      <c r="D575" s="255"/>
      <c r="E575" s="255"/>
      <c r="F575" s="255"/>
      <c r="G575" s="253"/>
      <c r="H575" s="256"/>
      <c r="I575" s="255"/>
      <c r="J575" s="255"/>
      <c r="K575" s="254"/>
      <c r="L575" s="253"/>
    </row>
    <row r="576" spans="3:12" s="244" customFormat="1" x14ac:dyDescent="0.25">
      <c r="C576" s="255"/>
      <c r="D576" s="255"/>
      <c r="E576" s="255"/>
      <c r="F576" s="255"/>
      <c r="G576" s="253"/>
      <c r="H576" s="256"/>
      <c r="I576" s="255"/>
      <c r="J576" s="255"/>
      <c r="K576" s="254"/>
      <c r="L576" s="253"/>
    </row>
    <row r="577" spans="3:12" s="244" customFormat="1" x14ac:dyDescent="0.25">
      <c r="C577" s="255"/>
      <c r="D577" s="255"/>
      <c r="E577" s="255"/>
      <c r="F577" s="255"/>
      <c r="G577" s="253"/>
      <c r="H577" s="256"/>
      <c r="I577" s="255"/>
      <c r="J577" s="255"/>
      <c r="K577" s="254"/>
      <c r="L577" s="253"/>
    </row>
    <row r="578" spans="3:12" s="244" customFormat="1" x14ac:dyDescent="0.25">
      <c r="C578" s="255"/>
      <c r="D578" s="255"/>
      <c r="E578" s="255"/>
      <c r="F578" s="255"/>
      <c r="G578" s="253"/>
      <c r="H578" s="256"/>
      <c r="I578" s="255"/>
      <c r="J578" s="255"/>
      <c r="K578" s="254"/>
      <c r="L578" s="253"/>
    </row>
    <row r="579" spans="3:12" s="244" customFormat="1" x14ac:dyDescent="0.25">
      <c r="C579" s="255"/>
      <c r="D579" s="255"/>
      <c r="E579" s="255"/>
      <c r="F579" s="255"/>
      <c r="G579" s="253"/>
      <c r="H579" s="256"/>
      <c r="I579" s="255"/>
      <c r="J579" s="255"/>
      <c r="K579" s="254"/>
      <c r="L579" s="253"/>
    </row>
    <row r="580" spans="3:12" s="244" customFormat="1" x14ac:dyDescent="0.25">
      <c r="C580" s="255"/>
      <c r="D580" s="255"/>
      <c r="E580" s="255"/>
      <c r="F580" s="255"/>
      <c r="G580" s="253"/>
      <c r="H580" s="256"/>
      <c r="I580" s="255"/>
      <c r="J580" s="255"/>
      <c r="K580" s="254"/>
      <c r="L580" s="253"/>
    </row>
    <row r="581" spans="3:12" s="244" customFormat="1" x14ac:dyDescent="0.25">
      <c r="C581" s="255"/>
      <c r="D581" s="255"/>
      <c r="E581" s="255"/>
      <c r="F581" s="255"/>
      <c r="G581" s="253"/>
      <c r="H581" s="256"/>
      <c r="I581" s="255"/>
      <c r="J581" s="255"/>
      <c r="K581" s="254"/>
      <c r="L581" s="253"/>
    </row>
    <row r="582" spans="3:12" s="244" customFormat="1" x14ac:dyDescent="0.25">
      <c r="C582" s="255"/>
      <c r="D582" s="255"/>
      <c r="E582" s="255"/>
      <c r="F582" s="255"/>
      <c r="G582" s="253"/>
      <c r="H582" s="256"/>
      <c r="I582" s="255"/>
      <c r="J582" s="255"/>
      <c r="K582" s="254"/>
      <c r="L582" s="253"/>
    </row>
    <row r="583" spans="3:12" s="244" customFormat="1" x14ac:dyDescent="0.25">
      <c r="C583" s="255"/>
      <c r="D583" s="255"/>
      <c r="E583" s="255"/>
      <c r="F583" s="255"/>
      <c r="G583" s="253"/>
      <c r="H583" s="256"/>
      <c r="I583" s="255"/>
      <c r="J583" s="255"/>
      <c r="K583" s="254"/>
      <c r="L583" s="253"/>
    </row>
    <row r="584" spans="3:12" s="244" customFormat="1" x14ac:dyDescent="0.25">
      <c r="C584" s="255"/>
      <c r="D584" s="255"/>
      <c r="E584" s="255"/>
      <c r="F584" s="255"/>
      <c r="G584" s="253"/>
      <c r="H584" s="256"/>
      <c r="I584" s="255"/>
      <c r="J584" s="255"/>
      <c r="K584" s="254"/>
      <c r="L584" s="253"/>
    </row>
    <row r="585" spans="3:12" s="244" customFormat="1" x14ac:dyDescent="0.25">
      <c r="C585" s="255"/>
      <c r="D585" s="255"/>
      <c r="E585" s="255"/>
      <c r="F585" s="255"/>
      <c r="G585" s="253"/>
      <c r="H585" s="256"/>
      <c r="I585" s="255"/>
      <c r="J585" s="255"/>
      <c r="K585" s="254"/>
      <c r="L585" s="253"/>
    </row>
    <row r="586" spans="3:12" s="244" customFormat="1" x14ac:dyDescent="0.25">
      <c r="C586" s="255"/>
      <c r="D586" s="255"/>
      <c r="E586" s="255"/>
      <c r="F586" s="255"/>
      <c r="G586" s="253"/>
      <c r="H586" s="256"/>
      <c r="I586" s="255"/>
      <c r="J586" s="255"/>
      <c r="K586" s="254"/>
      <c r="L586" s="253"/>
    </row>
    <row r="587" spans="3:12" s="244" customFormat="1" x14ac:dyDescent="0.25">
      <c r="C587" s="255"/>
      <c r="D587" s="255"/>
      <c r="E587" s="255"/>
      <c r="F587" s="255"/>
      <c r="G587" s="253"/>
      <c r="H587" s="256"/>
      <c r="I587" s="255"/>
      <c r="J587" s="255"/>
      <c r="K587" s="254"/>
      <c r="L587" s="253"/>
    </row>
    <row r="588" spans="3:12" s="244" customFormat="1" x14ac:dyDescent="0.25">
      <c r="C588" s="255"/>
      <c r="D588" s="255"/>
      <c r="E588" s="255"/>
      <c r="F588" s="255"/>
      <c r="G588" s="253"/>
      <c r="H588" s="256"/>
      <c r="I588" s="255"/>
      <c r="J588" s="255"/>
      <c r="K588" s="254"/>
      <c r="L588" s="253"/>
    </row>
    <row r="589" spans="3:12" s="244" customFormat="1" x14ac:dyDescent="0.25">
      <c r="C589" s="255"/>
      <c r="D589" s="255"/>
      <c r="E589" s="255"/>
      <c r="F589" s="255"/>
      <c r="G589" s="253"/>
      <c r="H589" s="256"/>
      <c r="I589" s="255"/>
      <c r="J589" s="255"/>
      <c r="K589" s="254"/>
      <c r="L589" s="253"/>
    </row>
    <row r="590" spans="3:12" s="244" customFormat="1" x14ac:dyDescent="0.25">
      <c r="C590" s="255"/>
      <c r="D590" s="255"/>
      <c r="E590" s="255"/>
      <c r="F590" s="255"/>
      <c r="G590" s="253"/>
      <c r="H590" s="256"/>
      <c r="I590" s="255"/>
      <c r="J590" s="255"/>
      <c r="K590" s="254"/>
      <c r="L590" s="253"/>
    </row>
    <row r="591" spans="3:12" s="244" customFormat="1" x14ac:dyDescent="0.25">
      <c r="C591" s="255"/>
      <c r="D591" s="255"/>
      <c r="E591" s="255"/>
      <c r="F591" s="255"/>
      <c r="G591" s="253"/>
      <c r="H591" s="256"/>
      <c r="I591" s="255"/>
      <c r="J591" s="255"/>
      <c r="K591" s="254"/>
      <c r="L591" s="253"/>
    </row>
    <row r="592" spans="3:12" s="244" customFormat="1" x14ac:dyDescent="0.25">
      <c r="C592" s="255"/>
      <c r="D592" s="255"/>
      <c r="E592" s="255"/>
      <c r="F592" s="255"/>
      <c r="G592" s="253"/>
      <c r="H592" s="256"/>
      <c r="I592" s="255"/>
      <c r="J592" s="255"/>
      <c r="K592" s="254"/>
      <c r="L592" s="253"/>
    </row>
    <row r="593" spans="3:12" s="244" customFormat="1" x14ac:dyDescent="0.25">
      <c r="C593" s="255"/>
      <c r="D593" s="255"/>
      <c r="E593" s="255"/>
      <c r="F593" s="255"/>
      <c r="G593" s="253"/>
      <c r="H593" s="256"/>
      <c r="I593" s="255"/>
      <c r="J593" s="255"/>
      <c r="K593" s="254"/>
      <c r="L593" s="253"/>
    </row>
    <row r="594" spans="3:12" s="244" customFormat="1" x14ac:dyDescent="0.25">
      <c r="C594" s="255"/>
      <c r="D594" s="255"/>
      <c r="E594" s="255"/>
      <c r="F594" s="255"/>
      <c r="G594" s="253"/>
      <c r="H594" s="256"/>
      <c r="I594" s="255"/>
      <c r="J594" s="255"/>
      <c r="K594" s="254"/>
      <c r="L594" s="253"/>
    </row>
    <row r="595" spans="3:12" s="244" customFormat="1" x14ac:dyDescent="0.25">
      <c r="C595" s="255"/>
      <c r="D595" s="255"/>
      <c r="E595" s="255"/>
      <c r="F595" s="255"/>
      <c r="G595" s="253"/>
      <c r="H595" s="256"/>
      <c r="I595" s="255"/>
      <c r="J595" s="255"/>
      <c r="K595" s="254"/>
      <c r="L595" s="253"/>
    </row>
    <row r="596" spans="3:12" s="244" customFormat="1" x14ac:dyDescent="0.25">
      <c r="C596" s="255"/>
      <c r="D596" s="255"/>
      <c r="E596" s="255"/>
      <c r="F596" s="255"/>
      <c r="G596" s="253"/>
      <c r="H596" s="256"/>
      <c r="I596" s="255"/>
      <c r="J596" s="255"/>
      <c r="K596" s="254"/>
      <c r="L596" s="253"/>
    </row>
    <row r="597" spans="3:12" s="244" customFormat="1" x14ac:dyDescent="0.25">
      <c r="C597" s="255"/>
      <c r="D597" s="255"/>
      <c r="E597" s="255"/>
      <c r="F597" s="255"/>
      <c r="G597" s="253"/>
      <c r="H597" s="256"/>
      <c r="I597" s="255"/>
      <c r="J597" s="255"/>
      <c r="K597" s="254"/>
      <c r="L597" s="253"/>
    </row>
    <row r="598" spans="3:12" s="244" customFormat="1" x14ac:dyDescent="0.25">
      <c r="C598" s="255"/>
      <c r="D598" s="255"/>
      <c r="E598" s="255"/>
      <c r="F598" s="255"/>
      <c r="G598" s="253"/>
      <c r="H598" s="256"/>
      <c r="I598" s="255"/>
      <c r="J598" s="255"/>
      <c r="K598" s="254"/>
      <c r="L598" s="253"/>
    </row>
    <row r="599" spans="3:12" s="244" customFormat="1" x14ac:dyDescent="0.25">
      <c r="C599" s="255"/>
      <c r="D599" s="255"/>
      <c r="E599" s="255"/>
      <c r="F599" s="255"/>
      <c r="G599" s="253"/>
      <c r="H599" s="256"/>
      <c r="I599" s="255"/>
      <c r="J599" s="255"/>
      <c r="K599" s="254"/>
      <c r="L599" s="253"/>
    </row>
    <row r="600" spans="3:12" s="244" customFormat="1" x14ac:dyDescent="0.25">
      <c r="C600" s="255"/>
      <c r="D600" s="255"/>
      <c r="E600" s="255"/>
      <c r="F600" s="255"/>
      <c r="G600" s="253"/>
      <c r="H600" s="256"/>
      <c r="I600" s="255"/>
      <c r="J600" s="255"/>
      <c r="K600" s="254"/>
      <c r="L600" s="253"/>
    </row>
    <row r="601" spans="3:12" s="244" customFormat="1" x14ac:dyDescent="0.25">
      <c r="C601" s="255"/>
      <c r="D601" s="255"/>
      <c r="E601" s="255"/>
      <c r="F601" s="255"/>
      <c r="G601" s="253"/>
      <c r="H601" s="256"/>
      <c r="I601" s="255"/>
      <c r="J601" s="255"/>
      <c r="K601" s="254"/>
      <c r="L601" s="253"/>
    </row>
    <row r="602" spans="3:12" s="244" customFormat="1" x14ac:dyDescent="0.25">
      <c r="C602" s="255"/>
      <c r="D602" s="255"/>
      <c r="E602" s="255"/>
      <c r="F602" s="255"/>
      <c r="G602" s="253"/>
      <c r="H602" s="256"/>
      <c r="I602" s="255"/>
      <c r="J602" s="255"/>
      <c r="K602" s="254"/>
      <c r="L602" s="253"/>
    </row>
    <row r="603" spans="3:12" s="244" customFormat="1" x14ac:dyDescent="0.25">
      <c r="C603" s="255"/>
      <c r="D603" s="255"/>
      <c r="E603" s="255"/>
      <c r="F603" s="255"/>
      <c r="G603" s="253"/>
      <c r="H603" s="256"/>
      <c r="I603" s="255"/>
      <c r="J603" s="255"/>
      <c r="K603" s="254"/>
      <c r="L603" s="253"/>
    </row>
    <row r="604" spans="3:12" s="244" customFormat="1" x14ac:dyDescent="0.25">
      <c r="C604" s="255"/>
      <c r="D604" s="255"/>
      <c r="E604" s="255"/>
      <c r="F604" s="255"/>
      <c r="G604" s="253"/>
      <c r="H604" s="256"/>
      <c r="I604" s="255"/>
      <c r="J604" s="255"/>
      <c r="K604" s="254"/>
      <c r="L604" s="253"/>
    </row>
    <row r="605" spans="3:12" s="244" customFormat="1" x14ac:dyDescent="0.25">
      <c r="C605" s="255"/>
      <c r="D605" s="255"/>
      <c r="E605" s="255"/>
      <c r="F605" s="255"/>
      <c r="G605" s="253"/>
      <c r="H605" s="256"/>
      <c r="I605" s="255"/>
      <c r="J605" s="255"/>
      <c r="K605" s="254"/>
      <c r="L605" s="253"/>
    </row>
    <row r="606" spans="3:12" s="244" customFormat="1" x14ac:dyDescent="0.25">
      <c r="C606" s="255"/>
      <c r="D606" s="255"/>
      <c r="E606" s="255"/>
      <c r="F606" s="255"/>
      <c r="G606" s="253"/>
      <c r="H606" s="256"/>
      <c r="I606" s="255"/>
      <c r="J606" s="255"/>
      <c r="K606" s="254"/>
      <c r="L606" s="253"/>
    </row>
    <row r="607" spans="3:12" s="244" customFormat="1" x14ac:dyDescent="0.25">
      <c r="C607" s="255"/>
      <c r="D607" s="255"/>
      <c r="E607" s="255"/>
      <c r="F607" s="255"/>
      <c r="G607" s="253"/>
      <c r="H607" s="256"/>
      <c r="I607" s="255"/>
      <c r="J607" s="255"/>
      <c r="K607" s="254"/>
      <c r="L607" s="253"/>
    </row>
    <row r="608" spans="3:12" s="244" customFormat="1" x14ac:dyDescent="0.25">
      <c r="C608" s="255"/>
      <c r="D608" s="255"/>
      <c r="E608" s="255"/>
      <c r="F608" s="255"/>
      <c r="G608" s="253"/>
      <c r="H608" s="256"/>
      <c r="I608" s="255"/>
      <c r="J608" s="255"/>
      <c r="K608" s="254"/>
      <c r="L608" s="253"/>
    </row>
    <row r="609" spans="3:12" s="244" customFormat="1" x14ac:dyDescent="0.25">
      <c r="C609" s="255"/>
      <c r="D609" s="255"/>
      <c r="E609" s="255"/>
      <c r="F609" s="255"/>
      <c r="G609" s="253"/>
      <c r="H609" s="256"/>
      <c r="I609" s="255"/>
      <c r="J609" s="255"/>
      <c r="K609" s="254"/>
      <c r="L609" s="253"/>
    </row>
    <row r="610" spans="3:12" s="244" customFormat="1" x14ac:dyDescent="0.25">
      <c r="C610" s="255"/>
      <c r="D610" s="255"/>
      <c r="E610" s="255"/>
      <c r="F610" s="255"/>
      <c r="G610" s="253"/>
      <c r="H610" s="256"/>
      <c r="I610" s="255"/>
      <c r="J610" s="255"/>
      <c r="K610" s="254"/>
      <c r="L610" s="253"/>
    </row>
    <row r="611" spans="3:12" s="244" customFormat="1" x14ac:dyDescent="0.25">
      <c r="C611" s="255"/>
      <c r="D611" s="255"/>
      <c r="E611" s="255"/>
      <c r="F611" s="255"/>
      <c r="G611" s="253"/>
      <c r="H611" s="256"/>
      <c r="I611" s="255"/>
      <c r="J611" s="255"/>
      <c r="K611" s="254"/>
      <c r="L611" s="253"/>
    </row>
    <row r="612" spans="3:12" s="244" customFormat="1" x14ac:dyDescent="0.25">
      <c r="C612" s="255"/>
      <c r="D612" s="255"/>
      <c r="E612" s="255"/>
      <c r="F612" s="255"/>
      <c r="G612" s="253"/>
      <c r="H612" s="256"/>
      <c r="I612" s="255"/>
      <c r="J612" s="255"/>
      <c r="K612" s="254"/>
      <c r="L612" s="253"/>
    </row>
    <row r="613" spans="3:12" s="244" customFormat="1" x14ac:dyDescent="0.25">
      <c r="C613" s="255"/>
      <c r="D613" s="255"/>
      <c r="E613" s="255"/>
      <c r="F613" s="255"/>
      <c r="G613" s="253"/>
      <c r="H613" s="256"/>
      <c r="I613" s="255"/>
      <c r="J613" s="255"/>
      <c r="K613" s="254"/>
      <c r="L613" s="253"/>
    </row>
    <row r="614" spans="3:12" s="244" customFormat="1" x14ac:dyDescent="0.25">
      <c r="C614" s="255"/>
      <c r="D614" s="255"/>
      <c r="E614" s="255"/>
      <c r="F614" s="255"/>
      <c r="G614" s="253"/>
      <c r="H614" s="256"/>
      <c r="I614" s="255"/>
      <c r="J614" s="255"/>
      <c r="K614" s="254"/>
      <c r="L614" s="253"/>
    </row>
    <row r="615" spans="3:12" s="244" customFormat="1" x14ac:dyDescent="0.25">
      <c r="C615" s="255"/>
      <c r="D615" s="255"/>
      <c r="E615" s="255"/>
      <c r="F615" s="255"/>
      <c r="G615" s="253"/>
      <c r="H615" s="256"/>
      <c r="I615" s="255"/>
      <c r="J615" s="255"/>
      <c r="K615" s="254"/>
      <c r="L615" s="253"/>
    </row>
    <row r="616" spans="3:12" s="244" customFormat="1" x14ac:dyDescent="0.25">
      <c r="C616" s="255"/>
      <c r="D616" s="255"/>
      <c r="E616" s="255"/>
      <c r="F616" s="255"/>
      <c r="G616" s="253"/>
      <c r="H616" s="256"/>
      <c r="I616" s="255"/>
      <c r="J616" s="255"/>
      <c r="K616" s="254"/>
      <c r="L616" s="253"/>
    </row>
    <row r="617" spans="3:12" s="244" customFormat="1" x14ac:dyDescent="0.25">
      <c r="C617" s="255"/>
      <c r="D617" s="255"/>
      <c r="E617" s="255"/>
      <c r="F617" s="255"/>
      <c r="G617" s="253"/>
      <c r="H617" s="256"/>
      <c r="I617" s="255"/>
      <c r="J617" s="255"/>
      <c r="K617" s="254"/>
      <c r="L617" s="253"/>
    </row>
    <row r="618" spans="3:12" s="244" customFormat="1" x14ac:dyDescent="0.25">
      <c r="C618" s="255"/>
      <c r="D618" s="255"/>
      <c r="E618" s="255"/>
      <c r="F618" s="255"/>
      <c r="G618" s="253"/>
      <c r="H618" s="256"/>
      <c r="I618" s="255"/>
      <c r="J618" s="255"/>
      <c r="K618" s="254"/>
      <c r="L618" s="253"/>
    </row>
    <row r="619" spans="3:12" s="244" customFormat="1" x14ac:dyDescent="0.25">
      <c r="C619" s="255"/>
      <c r="D619" s="255"/>
      <c r="E619" s="255"/>
      <c r="F619" s="255"/>
      <c r="G619" s="253"/>
      <c r="H619" s="256"/>
      <c r="I619" s="255"/>
      <c r="J619" s="255"/>
      <c r="K619" s="254"/>
      <c r="L619" s="253"/>
    </row>
    <row r="620" spans="3:12" s="244" customFormat="1" x14ac:dyDescent="0.25">
      <c r="C620" s="255"/>
      <c r="D620" s="255"/>
      <c r="E620" s="255"/>
      <c r="F620" s="255"/>
      <c r="G620" s="253"/>
      <c r="H620" s="256"/>
      <c r="I620" s="255"/>
      <c r="J620" s="255"/>
      <c r="K620" s="254"/>
      <c r="L620" s="253"/>
    </row>
    <row r="621" spans="3:12" s="244" customFormat="1" x14ac:dyDescent="0.25">
      <c r="C621" s="255"/>
      <c r="D621" s="255"/>
      <c r="E621" s="255"/>
      <c r="F621" s="255"/>
      <c r="G621" s="253"/>
      <c r="H621" s="256"/>
      <c r="I621" s="255"/>
      <c r="J621" s="255"/>
      <c r="K621" s="254"/>
      <c r="L621" s="253"/>
    </row>
    <row r="622" spans="3:12" s="244" customFormat="1" x14ac:dyDescent="0.25">
      <c r="C622" s="255"/>
      <c r="D622" s="255"/>
      <c r="E622" s="255"/>
      <c r="F622" s="255"/>
      <c r="G622" s="253"/>
      <c r="H622" s="256"/>
      <c r="I622" s="255"/>
      <c r="J622" s="255"/>
      <c r="K622" s="254"/>
      <c r="L622" s="253"/>
    </row>
    <row r="623" spans="3:12" s="244" customFormat="1" x14ac:dyDescent="0.25">
      <c r="C623" s="255"/>
      <c r="D623" s="255"/>
      <c r="E623" s="255"/>
      <c r="F623" s="255"/>
      <c r="G623" s="253"/>
      <c r="H623" s="256"/>
      <c r="I623" s="255"/>
      <c r="J623" s="255"/>
      <c r="K623" s="254"/>
      <c r="L623" s="253"/>
    </row>
    <row r="624" spans="3:12" s="244" customFormat="1" x14ac:dyDescent="0.25">
      <c r="C624" s="255"/>
      <c r="D624" s="255"/>
      <c r="E624" s="255"/>
      <c r="F624" s="255"/>
      <c r="G624" s="253"/>
      <c r="H624" s="256"/>
      <c r="I624" s="255"/>
      <c r="J624" s="255"/>
      <c r="K624" s="254"/>
      <c r="L624" s="253"/>
    </row>
    <row r="625" spans="3:12" s="244" customFormat="1" x14ac:dyDescent="0.25">
      <c r="C625" s="255"/>
      <c r="D625" s="255"/>
      <c r="E625" s="255"/>
      <c r="F625" s="255"/>
      <c r="G625" s="253"/>
      <c r="H625" s="256"/>
      <c r="I625" s="255"/>
      <c r="J625" s="255"/>
      <c r="K625" s="254"/>
      <c r="L625" s="253"/>
    </row>
    <row r="626" spans="3:12" s="244" customFormat="1" x14ac:dyDescent="0.25">
      <c r="C626" s="255"/>
      <c r="D626" s="255"/>
      <c r="E626" s="255"/>
      <c r="F626" s="255"/>
      <c r="G626" s="253"/>
      <c r="H626" s="256"/>
      <c r="I626" s="255"/>
      <c r="J626" s="255"/>
      <c r="K626" s="254"/>
      <c r="L626" s="253"/>
    </row>
    <row r="627" spans="3:12" s="244" customFormat="1" x14ac:dyDescent="0.25">
      <c r="C627" s="255"/>
      <c r="D627" s="255"/>
      <c r="E627" s="255"/>
      <c r="F627" s="255"/>
      <c r="G627" s="253"/>
      <c r="H627" s="256"/>
      <c r="I627" s="255"/>
      <c r="J627" s="255"/>
      <c r="K627" s="254"/>
      <c r="L627" s="253"/>
    </row>
    <row r="628" spans="3:12" s="244" customFormat="1" x14ac:dyDescent="0.25">
      <c r="C628" s="255"/>
      <c r="D628" s="255"/>
      <c r="E628" s="255"/>
      <c r="F628" s="255"/>
      <c r="G628" s="253"/>
      <c r="H628" s="256"/>
      <c r="I628" s="255"/>
      <c r="J628" s="255"/>
      <c r="K628" s="254"/>
      <c r="L628" s="253"/>
    </row>
    <row r="629" spans="3:12" s="244" customFormat="1" x14ac:dyDescent="0.25">
      <c r="C629" s="255"/>
      <c r="D629" s="255"/>
      <c r="E629" s="255"/>
      <c r="F629" s="255"/>
      <c r="G629" s="253"/>
      <c r="H629" s="256"/>
      <c r="I629" s="255"/>
      <c r="J629" s="255"/>
      <c r="K629" s="254"/>
      <c r="L629" s="253"/>
    </row>
    <row r="630" spans="3:12" s="244" customFormat="1" x14ac:dyDescent="0.25">
      <c r="C630" s="255"/>
      <c r="D630" s="255"/>
      <c r="E630" s="255"/>
      <c r="F630" s="255"/>
      <c r="G630" s="253"/>
      <c r="H630" s="256"/>
      <c r="I630" s="255"/>
      <c r="J630" s="255"/>
      <c r="K630" s="254"/>
      <c r="L630" s="253"/>
    </row>
    <row r="631" spans="3:12" s="244" customFormat="1" x14ac:dyDescent="0.25">
      <c r="C631" s="255"/>
      <c r="D631" s="255"/>
      <c r="E631" s="255"/>
      <c r="F631" s="255"/>
      <c r="G631" s="253"/>
      <c r="H631" s="256"/>
      <c r="I631" s="255"/>
      <c r="J631" s="255"/>
      <c r="K631" s="254"/>
      <c r="L631" s="253"/>
    </row>
    <row r="632" spans="3:12" s="244" customFormat="1" x14ac:dyDescent="0.25">
      <c r="C632" s="255"/>
      <c r="D632" s="255"/>
      <c r="E632" s="255"/>
      <c r="F632" s="255"/>
      <c r="G632" s="253"/>
      <c r="H632" s="256"/>
      <c r="I632" s="255"/>
      <c r="J632" s="255"/>
      <c r="K632" s="254"/>
      <c r="L632" s="253"/>
    </row>
    <row r="633" spans="3:12" s="244" customFormat="1" x14ac:dyDescent="0.25">
      <c r="C633" s="255"/>
      <c r="D633" s="255"/>
      <c r="E633" s="255"/>
      <c r="F633" s="255"/>
      <c r="G633" s="253"/>
      <c r="H633" s="256"/>
      <c r="I633" s="255"/>
      <c r="J633" s="255"/>
      <c r="K633" s="254"/>
      <c r="L633" s="253"/>
    </row>
    <row r="634" spans="3:12" s="244" customFormat="1" x14ac:dyDescent="0.25">
      <c r="C634" s="255"/>
      <c r="D634" s="255"/>
      <c r="E634" s="255"/>
      <c r="F634" s="255"/>
      <c r="G634" s="253"/>
      <c r="H634" s="256"/>
      <c r="I634" s="255"/>
      <c r="J634" s="255"/>
      <c r="K634" s="254"/>
      <c r="L634" s="253"/>
    </row>
    <row r="635" spans="3:12" s="244" customFormat="1" x14ac:dyDescent="0.25">
      <c r="C635" s="255"/>
      <c r="D635" s="255"/>
      <c r="E635" s="255"/>
      <c r="F635" s="255"/>
      <c r="G635" s="253"/>
      <c r="H635" s="256"/>
      <c r="I635" s="255"/>
      <c r="J635" s="255"/>
      <c r="K635" s="254"/>
      <c r="L635" s="253"/>
    </row>
    <row r="636" spans="3:12" s="244" customFormat="1" x14ac:dyDescent="0.25">
      <c r="C636" s="255"/>
      <c r="D636" s="255"/>
      <c r="E636" s="255"/>
      <c r="F636" s="255"/>
      <c r="G636" s="253"/>
      <c r="H636" s="256"/>
      <c r="I636" s="255"/>
      <c r="J636" s="255"/>
      <c r="K636" s="254"/>
      <c r="L636" s="253"/>
    </row>
    <row r="637" spans="3:12" s="244" customFormat="1" x14ac:dyDescent="0.25">
      <c r="C637" s="255"/>
      <c r="D637" s="255"/>
      <c r="E637" s="255"/>
      <c r="F637" s="255"/>
      <c r="G637" s="253"/>
      <c r="H637" s="256"/>
      <c r="I637" s="255"/>
      <c r="J637" s="255"/>
      <c r="K637" s="254"/>
      <c r="L637" s="253"/>
    </row>
    <row r="638" spans="3:12" s="244" customFormat="1" x14ac:dyDescent="0.25">
      <c r="C638" s="255"/>
      <c r="D638" s="255"/>
      <c r="E638" s="255"/>
      <c r="F638" s="255"/>
      <c r="G638" s="253"/>
      <c r="H638" s="256"/>
      <c r="I638" s="255"/>
      <c r="J638" s="255"/>
      <c r="K638" s="254"/>
      <c r="L638" s="253"/>
    </row>
    <row r="639" spans="3:12" s="244" customFormat="1" x14ac:dyDescent="0.25">
      <c r="C639" s="255"/>
      <c r="D639" s="255"/>
      <c r="E639" s="255"/>
      <c r="F639" s="255"/>
      <c r="G639" s="253"/>
      <c r="H639" s="256"/>
      <c r="I639" s="255"/>
      <c r="J639" s="255"/>
      <c r="K639" s="254"/>
      <c r="L639" s="253"/>
    </row>
    <row r="640" spans="3:12" s="244" customFormat="1" x14ac:dyDescent="0.25">
      <c r="C640" s="255"/>
      <c r="D640" s="255"/>
      <c r="E640" s="255"/>
      <c r="F640" s="255"/>
      <c r="G640" s="253"/>
      <c r="H640" s="256"/>
      <c r="I640" s="255"/>
      <c r="J640" s="255"/>
      <c r="K640" s="254"/>
      <c r="L640" s="253"/>
    </row>
    <row r="641" spans="3:12" s="244" customFormat="1" x14ac:dyDescent="0.25">
      <c r="C641" s="255"/>
      <c r="D641" s="255"/>
      <c r="E641" s="255"/>
      <c r="F641" s="255"/>
      <c r="G641" s="253"/>
      <c r="H641" s="256"/>
      <c r="I641" s="255"/>
      <c r="J641" s="255"/>
      <c r="K641" s="254"/>
      <c r="L641" s="253"/>
    </row>
    <row r="642" spans="3:12" s="244" customFormat="1" x14ac:dyDescent="0.25">
      <c r="C642" s="255"/>
      <c r="D642" s="255"/>
      <c r="E642" s="255"/>
      <c r="F642" s="255"/>
      <c r="G642" s="253"/>
      <c r="H642" s="256"/>
      <c r="I642" s="255"/>
      <c r="J642" s="255"/>
      <c r="K642" s="254"/>
      <c r="L642" s="253"/>
    </row>
    <row r="643" spans="3:12" s="244" customFormat="1" x14ac:dyDescent="0.25">
      <c r="C643" s="255"/>
      <c r="D643" s="255"/>
      <c r="E643" s="255"/>
      <c r="F643" s="255"/>
      <c r="G643" s="253"/>
      <c r="H643" s="256"/>
      <c r="I643" s="255"/>
      <c r="J643" s="255"/>
      <c r="K643" s="254"/>
      <c r="L643" s="253"/>
    </row>
    <row r="644" spans="3:12" s="244" customFormat="1" x14ac:dyDescent="0.25">
      <c r="C644" s="255"/>
      <c r="D644" s="255"/>
      <c r="E644" s="255"/>
      <c r="F644" s="255"/>
      <c r="G644" s="253"/>
      <c r="H644" s="256"/>
      <c r="I644" s="255"/>
      <c r="J644" s="255"/>
      <c r="K644" s="254"/>
      <c r="L644" s="253"/>
    </row>
    <row r="645" spans="3:12" s="244" customFormat="1" x14ac:dyDescent="0.25">
      <c r="C645" s="255"/>
      <c r="D645" s="255"/>
      <c r="E645" s="255"/>
      <c r="F645" s="255"/>
      <c r="G645" s="253"/>
      <c r="H645" s="256"/>
      <c r="I645" s="255"/>
      <c r="J645" s="255"/>
      <c r="K645" s="254"/>
      <c r="L645" s="253"/>
    </row>
    <row r="646" spans="3:12" s="244" customFormat="1" x14ac:dyDescent="0.25">
      <c r="C646" s="255"/>
      <c r="D646" s="255"/>
      <c r="E646" s="255"/>
      <c r="F646" s="255"/>
      <c r="G646" s="253"/>
      <c r="H646" s="256"/>
      <c r="I646" s="255"/>
      <c r="J646" s="255"/>
      <c r="K646" s="254"/>
      <c r="L646" s="253"/>
    </row>
    <row r="647" spans="3:12" s="244" customFormat="1" x14ac:dyDescent="0.25">
      <c r="C647" s="255"/>
      <c r="D647" s="255"/>
      <c r="E647" s="255"/>
      <c r="F647" s="255"/>
      <c r="G647" s="253"/>
      <c r="H647" s="256"/>
      <c r="I647" s="255"/>
      <c r="J647" s="255"/>
      <c r="K647" s="254"/>
      <c r="L647" s="253"/>
    </row>
    <row r="648" spans="3:12" s="244" customFormat="1" x14ac:dyDescent="0.25">
      <c r="C648" s="255"/>
      <c r="D648" s="255"/>
      <c r="E648" s="255"/>
      <c r="F648" s="255"/>
      <c r="G648" s="253"/>
      <c r="H648" s="256"/>
      <c r="I648" s="255"/>
      <c r="J648" s="255"/>
      <c r="K648" s="254"/>
      <c r="L648" s="253"/>
    </row>
    <row r="649" spans="3:12" s="244" customFormat="1" x14ac:dyDescent="0.25">
      <c r="C649" s="255"/>
      <c r="D649" s="255"/>
      <c r="E649" s="255"/>
      <c r="F649" s="255"/>
      <c r="G649" s="253"/>
      <c r="H649" s="256"/>
      <c r="I649" s="255"/>
      <c r="J649" s="255"/>
      <c r="K649" s="254"/>
      <c r="L649" s="253"/>
    </row>
    <row r="650" spans="3:12" s="244" customFormat="1" x14ac:dyDescent="0.25">
      <c r="C650" s="255"/>
      <c r="D650" s="255"/>
      <c r="E650" s="255"/>
      <c r="F650" s="255"/>
      <c r="G650" s="253"/>
      <c r="H650" s="256"/>
      <c r="I650" s="255"/>
      <c r="J650" s="255"/>
      <c r="K650" s="254"/>
      <c r="L650" s="253"/>
    </row>
    <row r="651" spans="3:12" s="244" customFormat="1" x14ac:dyDescent="0.25">
      <c r="C651" s="255"/>
      <c r="D651" s="255"/>
      <c r="E651" s="255"/>
      <c r="F651" s="255"/>
      <c r="G651" s="253"/>
      <c r="H651" s="256"/>
      <c r="I651" s="255"/>
      <c r="J651" s="255"/>
      <c r="K651" s="254"/>
      <c r="L651" s="253"/>
    </row>
    <row r="652" spans="3:12" s="244" customFormat="1" x14ac:dyDescent="0.25">
      <c r="C652" s="255"/>
      <c r="D652" s="255"/>
      <c r="E652" s="255"/>
      <c r="F652" s="255"/>
      <c r="G652" s="253"/>
      <c r="H652" s="256"/>
      <c r="I652" s="255"/>
      <c r="J652" s="255"/>
      <c r="K652" s="254"/>
      <c r="L652" s="253"/>
    </row>
    <row r="653" spans="3:12" s="244" customFormat="1" x14ac:dyDescent="0.25">
      <c r="C653" s="255"/>
      <c r="D653" s="255"/>
      <c r="E653" s="255"/>
      <c r="F653" s="255"/>
      <c r="G653" s="253"/>
      <c r="H653" s="256"/>
      <c r="I653" s="255"/>
      <c r="J653" s="255"/>
      <c r="K653" s="254"/>
      <c r="L653" s="253"/>
    </row>
    <row r="654" spans="3:12" s="244" customFormat="1" x14ac:dyDescent="0.25">
      <c r="C654" s="255"/>
      <c r="D654" s="255"/>
      <c r="E654" s="255"/>
      <c r="F654" s="255"/>
      <c r="G654" s="253"/>
      <c r="H654" s="256"/>
      <c r="I654" s="255"/>
      <c r="J654" s="255"/>
      <c r="K654" s="254"/>
      <c r="L654" s="253"/>
    </row>
    <row r="655" spans="3:12" s="244" customFormat="1" x14ac:dyDescent="0.25">
      <c r="C655" s="255"/>
      <c r="D655" s="255"/>
      <c r="E655" s="255"/>
      <c r="F655" s="255"/>
      <c r="G655" s="253"/>
      <c r="H655" s="256"/>
      <c r="I655" s="255"/>
      <c r="J655" s="255"/>
      <c r="K655" s="254"/>
      <c r="L655" s="253"/>
    </row>
    <row r="656" spans="3:12" s="244" customFormat="1" x14ac:dyDescent="0.25">
      <c r="C656" s="255"/>
      <c r="D656" s="255"/>
      <c r="E656" s="255"/>
      <c r="F656" s="255"/>
      <c r="G656" s="253"/>
      <c r="H656" s="256"/>
      <c r="I656" s="255"/>
      <c r="J656" s="255"/>
      <c r="K656" s="254"/>
      <c r="L656" s="253"/>
    </row>
    <row r="657" spans="3:12" s="244" customFormat="1" x14ac:dyDescent="0.25">
      <c r="C657" s="255"/>
      <c r="D657" s="255"/>
      <c r="E657" s="255"/>
      <c r="F657" s="255"/>
      <c r="G657" s="253"/>
      <c r="H657" s="256"/>
      <c r="I657" s="255"/>
      <c r="J657" s="255"/>
      <c r="K657" s="254"/>
      <c r="L657" s="253"/>
    </row>
    <row r="658" spans="3:12" s="244" customFormat="1" x14ac:dyDescent="0.25">
      <c r="C658" s="255"/>
      <c r="D658" s="255"/>
      <c r="E658" s="255"/>
      <c r="F658" s="255"/>
      <c r="G658" s="253"/>
      <c r="H658" s="256"/>
      <c r="I658" s="255"/>
      <c r="J658" s="255"/>
      <c r="K658" s="254"/>
      <c r="L658" s="253"/>
    </row>
    <row r="659" spans="3:12" s="244" customFormat="1" x14ac:dyDescent="0.25">
      <c r="C659" s="255"/>
      <c r="D659" s="255"/>
      <c r="E659" s="255"/>
      <c r="F659" s="255"/>
      <c r="G659" s="253"/>
      <c r="H659" s="256"/>
      <c r="I659" s="255"/>
      <c r="J659" s="255"/>
      <c r="K659" s="254"/>
      <c r="L659" s="253"/>
    </row>
    <row r="660" spans="3:12" s="244" customFormat="1" x14ac:dyDescent="0.25">
      <c r="C660" s="255"/>
      <c r="D660" s="255"/>
      <c r="E660" s="255"/>
      <c r="F660" s="255"/>
      <c r="G660" s="253"/>
      <c r="H660" s="256"/>
      <c r="I660" s="255"/>
      <c r="J660" s="255"/>
      <c r="K660" s="254"/>
      <c r="L660" s="253"/>
    </row>
    <row r="661" spans="3:12" s="244" customFormat="1" x14ac:dyDescent="0.25">
      <c r="C661" s="255"/>
      <c r="D661" s="255"/>
      <c r="E661" s="255"/>
      <c r="F661" s="255"/>
      <c r="G661" s="253"/>
      <c r="H661" s="256"/>
      <c r="I661" s="255"/>
      <c r="J661" s="255"/>
      <c r="K661" s="254"/>
      <c r="L661" s="253"/>
    </row>
    <row r="662" spans="3:12" s="244" customFormat="1" x14ac:dyDescent="0.25">
      <c r="C662" s="255"/>
      <c r="D662" s="255"/>
      <c r="E662" s="255"/>
      <c r="F662" s="255"/>
      <c r="G662" s="253"/>
      <c r="H662" s="256"/>
      <c r="I662" s="255"/>
      <c r="J662" s="255"/>
      <c r="K662" s="254"/>
      <c r="L662" s="253"/>
    </row>
    <row r="663" spans="3:12" s="244" customFormat="1" x14ac:dyDescent="0.25">
      <c r="C663" s="255"/>
      <c r="D663" s="255"/>
      <c r="E663" s="255"/>
      <c r="F663" s="255"/>
      <c r="G663" s="253"/>
      <c r="H663" s="256"/>
      <c r="I663" s="255"/>
      <c r="J663" s="255"/>
      <c r="K663" s="254"/>
      <c r="L663" s="253"/>
    </row>
    <row r="664" spans="3:12" s="244" customFormat="1" x14ac:dyDescent="0.25">
      <c r="C664" s="255"/>
      <c r="D664" s="255"/>
      <c r="E664" s="255"/>
      <c r="F664" s="255"/>
      <c r="G664" s="253"/>
      <c r="H664" s="256"/>
      <c r="I664" s="255"/>
      <c r="J664" s="255"/>
      <c r="K664" s="254"/>
      <c r="L664" s="253"/>
    </row>
    <row r="665" spans="3:12" s="244" customFormat="1" x14ac:dyDescent="0.25">
      <c r="C665" s="255"/>
      <c r="D665" s="255"/>
      <c r="E665" s="255"/>
      <c r="F665" s="255"/>
      <c r="G665" s="253"/>
      <c r="H665" s="256"/>
      <c r="I665" s="255"/>
      <c r="J665" s="255"/>
      <c r="K665" s="254"/>
      <c r="L665" s="253"/>
    </row>
    <row r="666" spans="3:12" s="244" customFormat="1" x14ac:dyDescent="0.25">
      <c r="C666" s="255"/>
      <c r="D666" s="255"/>
      <c r="E666" s="255"/>
      <c r="F666" s="255"/>
      <c r="G666" s="253"/>
      <c r="H666" s="256"/>
      <c r="I666" s="255"/>
      <c r="J666" s="255"/>
      <c r="K666" s="254"/>
      <c r="L666" s="253"/>
    </row>
    <row r="667" spans="3:12" s="244" customFormat="1" x14ac:dyDescent="0.25">
      <c r="C667" s="255"/>
      <c r="D667" s="255"/>
      <c r="E667" s="255"/>
      <c r="F667" s="255"/>
      <c r="G667" s="253"/>
      <c r="H667" s="256"/>
      <c r="I667" s="255"/>
      <c r="J667" s="255"/>
      <c r="K667" s="254"/>
      <c r="L667" s="253"/>
    </row>
    <row r="668" spans="3:12" s="244" customFormat="1" x14ac:dyDescent="0.25">
      <c r="C668" s="255"/>
      <c r="D668" s="255"/>
      <c r="E668" s="255"/>
      <c r="F668" s="255"/>
      <c r="G668" s="253"/>
      <c r="H668" s="256"/>
      <c r="I668" s="255"/>
      <c r="J668" s="255"/>
      <c r="K668" s="254"/>
      <c r="L668" s="253"/>
    </row>
    <row r="669" spans="3:12" s="244" customFormat="1" x14ac:dyDescent="0.25">
      <c r="C669" s="255"/>
      <c r="D669" s="255"/>
      <c r="E669" s="255"/>
      <c r="F669" s="255"/>
      <c r="G669" s="253"/>
      <c r="H669" s="256"/>
      <c r="I669" s="255"/>
      <c r="J669" s="255"/>
      <c r="K669" s="254"/>
      <c r="L669" s="253"/>
    </row>
    <row r="670" spans="3:12" s="244" customFormat="1" x14ac:dyDescent="0.25">
      <c r="C670" s="255"/>
      <c r="D670" s="255"/>
      <c r="E670" s="255"/>
      <c r="F670" s="255"/>
      <c r="G670" s="253"/>
      <c r="H670" s="256"/>
      <c r="I670" s="255"/>
      <c r="J670" s="255"/>
      <c r="K670" s="254"/>
      <c r="L670" s="253"/>
    </row>
    <row r="671" spans="3:12" s="244" customFormat="1" x14ac:dyDescent="0.25">
      <c r="C671" s="255"/>
      <c r="D671" s="255"/>
      <c r="E671" s="255"/>
      <c r="F671" s="255"/>
      <c r="G671" s="253"/>
      <c r="H671" s="256"/>
      <c r="I671" s="255"/>
      <c r="J671" s="255"/>
      <c r="K671" s="254"/>
      <c r="L671" s="253"/>
    </row>
    <row r="672" spans="3:12" s="244" customFormat="1" x14ac:dyDescent="0.25">
      <c r="C672" s="255"/>
      <c r="D672" s="255"/>
      <c r="E672" s="255"/>
      <c r="F672" s="255"/>
      <c r="G672" s="253"/>
      <c r="H672" s="256"/>
      <c r="I672" s="255"/>
      <c r="J672" s="255"/>
      <c r="K672" s="254"/>
      <c r="L672" s="253"/>
    </row>
    <row r="673" spans="3:12" s="244" customFormat="1" x14ac:dyDescent="0.25">
      <c r="C673" s="255"/>
      <c r="D673" s="255"/>
      <c r="E673" s="255"/>
      <c r="F673" s="255"/>
      <c r="G673" s="253"/>
      <c r="H673" s="256"/>
      <c r="I673" s="255"/>
      <c r="J673" s="255"/>
      <c r="K673" s="254"/>
      <c r="L673" s="253"/>
    </row>
    <row r="674" spans="3:12" s="244" customFormat="1" x14ac:dyDescent="0.25">
      <c r="C674" s="255"/>
      <c r="D674" s="255"/>
      <c r="E674" s="255"/>
      <c r="F674" s="255"/>
      <c r="G674" s="253"/>
      <c r="H674" s="256"/>
      <c r="I674" s="255"/>
      <c r="J674" s="255"/>
      <c r="K674" s="254"/>
      <c r="L674" s="253"/>
    </row>
    <row r="675" spans="3:12" s="244" customFormat="1" x14ac:dyDescent="0.25">
      <c r="C675" s="255"/>
      <c r="D675" s="255"/>
      <c r="E675" s="255"/>
      <c r="F675" s="255"/>
      <c r="G675" s="253"/>
      <c r="H675" s="256"/>
      <c r="I675" s="255"/>
      <c r="J675" s="255"/>
      <c r="K675" s="254"/>
      <c r="L675" s="253"/>
    </row>
    <row r="676" spans="3:12" s="244" customFormat="1" x14ac:dyDescent="0.25">
      <c r="C676" s="255"/>
      <c r="D676" s="255"/>
      <c r="E676" s="255"/>
      <c r="F676" s="255"/>
      <c r="G676" s="253"/>
      <c r="H676" s="256"/>
      <c r="I676" s="255"/>
      <c r="J676" s="255"/>
      <c r="K676" s="254"/>
      <c r="L676" s="253"/>
    </row>
    <row r="677" spans="3:12" s="244" customFormat="1" x14ac:dyDescent="0.25">
      <c r="C677" s="255"/>
      <c r="D677" s="255"/>
      <c r="E677" s="255"/>
      <c r="F677" s="255"/>
      <c r="G677" s="253"/>
      <c r="H677" s="256"/>
      <c r="I677" s="255"/>
      <c r="J677" s="255"/>
      <c r="K677" s="254"/>
      <c r="L677" s="253"/>
    </row>
    <row r="678" spans="3:12" s="244" customFormat="1" x14ac:dyDescent="0.25">
      <c r="C678" s="255"/>
      <c r="D678" s="255"/>
      <c r="E678" s="255"/>
      <c r="F678" s="255"/>
      <c r="G678" s="253"/>
      <c r="H678" s="256"/>
      <c r="I678" s="255"/>
      <c r="J678" s="255"/>
      <c r="K678" s="254"/>
      <c r="L678" s="253"/>
    </row>
    <row r="679" spans="3:12" s="244" customFormat="1" x14ac:dyDescent="0.25">
      <c r="C679" s="255"/>
      <c r="D679" s="255"/>
      <c r="E679" s="255"/>
      <c r="F679" s="255"/>
      <c r="G679" s="253"/>
      <c r="H679" s="256"/>
      <c r="I679" s="255"/>
      <c r="J679" s="255"/>
      <c r="K679" s="254"/>
      <c r="L679" s="253"/>
    </row>
    <row r="680" spans="3:12" s="244" customFormat="1" x14ac:dyDescent="0.25">
      <c r="C680" s="255"/>
      <c r="D680" s="255"/>
      <c r="E680" s="255"/>
      <c r="F680" s="255"/>
      <c r="G680" s="253"/>
      <c r="H680" s="256"/>
      <c r="I680" s="255"/>
      <c r="J680" s="255"/>
      <c r="K680" s="254"/>
      <c r="L680" s="253"/>
    </row>
    <row r="681" spans="3:12" s="244" customFormat="1" x14ac:dyDescent="0.25">
      <c r="C681" s="255"/>
      <c r="D681" s="255"/>
      <c r="E681" s="255"/>
      <c r="F681" s="255"/>
      <c r="G681" s="253"/>
      <c r="H681" s="256"/>
      <c r="I681" s="255"/>
      <c r="J681" s="255"/>
      <c r="K681" s="254"/>
      <c r="L681" s="253"/>
    </row>
    <row r="682" spans="3:12" s="244" customFormat="1" x14ac:dyDescent="0.25">
      <c r="C682" s="255"/>
      <c r="D682" s="255"/>
      <c r="E682" s="255"/>
      <c r="F682" s="255"/>
      <c r="G682" s="253"/>
      <c r="H682" s="256"/>
      <c r="I682" s="255"/>
      <c r="J682" s="255"/>
      <c r="K682" s="254"/>
      <c r="L682" s="253"/>
    </row>
    <row r="683" spans="3:12" s="244" customFormat="1" x14ac:dyDescent="0.25">
      <c r="C683" s="255"/>
      <c r="D683" s="255"/>
      <c r="E683" s="255"/>
      <c r="F683" s="255"/>
      <c r="G683" s="253"/>
      <c r="H683" s="256"/>
      <c r="I683" s="255"/>
      <c r="J683" s="255"/>
      <c r="K683" s="254"/>
      <c r="L683" s="253"/>
    </row>
    <row r="684" spans="3:12" s="244" customFormat="1" x14ac:dyDescent="0.25">
      <c r="C684" s="255"/>
      <c r="D684" s="255"/>
      <c r="E684" s="255"/>
      <c r="F684" s="255"/>
      <c r="G684" s="253"/>
      <c r="H684" s="256"/>
      <c r="I684" s="255"/>
      <c r="J684" s="255"/>
      <c r="K684" s="254"/>
      <c r="L684" s="253"/>
    </row>
    <row r="685" spans="3:12" s="244" customFormat="1" x14ac:dyDescent="0.25">
      <c r="C685" s="255"/>
      <c r="D685" s="255"/>
      <c r="E685" s="255"/>
      <c r="F685" s="255"/>
      <c r="G685" s="253"/>
      <c r="H685" s="256"/>
      <c r="I685" s="255"/>
      <c r="J685" s="255"/>
      <c r="K685" s="254"/>
      <c r="L685" s="253"/>
    </row>
    <row r="686" spans="3:12" s="244" customFormat="1" x14ac:dyDescent="0.25">
      <c r="C686" s="255"/>
      <c r="D686" s="255"/>
      <c r="E686" s="255"/>
      <c r="F686" s="255"/>
      <c r="G686" s="253"/>
      <c r="H686" s="256"/>
      <c r="I686" s="255"/>
      <c r="J686" s="255"/>
      <c r="K686" s="254"/>
      <c r="L686" s="253"/>
    </row>
    <row r="687" spans="3:12" s="244" customFormat="1" x14ac:dyDescent="0.25">
      <c r="C687" s="255"/>
      <c r="D687" s="255"/>
      <c r="E687" s="255"/>
      <c r="F687" s="255"/>
      <c r="G687" s="253"/>
      <c r="H687" s="256"/>
      <c r="I687" s="255"/>
      <c r="J687" s="255"/>
      <c r="K687" s="254"/>
      <c r="L687" s="253"/>
    </row>
    <row r="688" spans="3:12" s="244" customFormat="1" x14ac:dyDescent="0.25">
      <c r="C688" s="255"/>
      <c r="D688" s="255"/>
      <c r="E688" s="255"/>
      <c r="F688" s="255"/>
      <c r="G688" s="253"/>
      <c r="H688" s="256"/>
      <c r="I688" s="255"/>
      <c r="J688" s="255"/>
      <c r="K688" s="254"/>
      <c r="L688" s="253"/>
    </row>
    <row r="689" spans="3:12" s="244" customFormat="1" x14ac:dyDescent="0.25">
      <c r="C689" s="255"/>
      <c r="D689" s="255"/>
      <c r="E689" s="255"/>
      <c r="F689" s="255"/>
      <c r="G689" s="253"/>
      <c r="H689" s="256"/>
      <c r="I689" s="255"/>
      <c r="J689" s="255"/>
      <c r="K689" s="254"/>
      <c r="L689" s="253"/>
    </row>
    <row r="690" spans="3:12" s="244" customFormat="1" x14ac:dyDescent="0.25">
      <c r="C690" s="255"/>
      <c r="D690" s="255"/>
      <c r="E690" s="255"/>
      <c r="F690" s="255"/>
      <c r="G690" s="253"/>
      <c r="H690" s="256"/>
      <c r="I690" s="255"/>
      <c r="J690" s="255"/>
      <c r="K690" s="254"/>
      <c r="L690" s="253"/>
    </row>
    <row r="691" spans="3:12" s="244" customFormat="1" x14ac:dyDescent="0.25">
      <c r="C691" s="255"/>
      <c r="D691" s="255"/>
      <c r="E691" s="255"/>
      <c r="F691" s="255"/>
      <c r="G691" s="253"/>
      <c r="H691" s="256"/>
      <c r="I691" s="255"/>
      <c r="J691" s="255"/>
      <c r="K691" s="254"/>
      <c r="L691" s="253"/>
    </row>
    <row r="692" spans="3:12" s="244" customFormat="1" x14ac:dyDescent="0.25">
      <c r="C692" s="255"/>
      <c r="D692" s="255"/>
      <c r="E692" s="255"/>
      <c r="F692" s="255"/>
      <c r="G692" s="253"/>
      <c r="H692" s="256"/>
      <c r="I692" s="255"/>
      <c r="J692" s="255"/>
      <c r="K692" s="254"/>
      <c r="L692" s="253"/>
    </row>
    <row r="693" spans="3:12" s="244" customFormat="1" x14ac:dyDescent="0.25">
      <c r="C693" s="255"/>
      <c r="D693" s="255"/>
      <c r="E693" s="255"/>
      <c r="F693" s="255"/>
      <c r="G693" s="253"/>
      <c r="H693" s="256"/>
      <c r="I693" s="255"/>
      <c r="J693" s="255"/>
      <c r="K693" s="254"/>
      <c r="L693" s="253"/>
    </row>
    <row r="694" spans="3:12" s="244" customFormat="1" x14ac:dyDescent="0.25">
      <c r="C694" s="255"/>
      <c r="D694" s="255"/>
      <c r="E694" s="255"/>
      <c r="F694" s="255"/>
      <c r="G694" s="253"/>
      <c r="H694" s="256"/>
      <c r="I694" s="255"/>
      <c r="J694" s="255"/>
      <c r="K694" s="254"/>
      <c r="L694" s="253"/>
    </row>
    <row r="695" spans="3:12" s="244" customFormat="1" x14ac:dyDescent="0.25">
      <c r="C695" s="255"/>
      <c r="D695" s="255"/>
      <c r="E695" s="255"/>
      <c r="F695" s="255"/>
      <c r="G695" s="253"/>
      <c r="H695" s="256"/>
      <c r="I695" s="255"/>
      <c r="J695" s="255"/>
      <c r="K695" s="254"/>
      <c r="L695" s="253"/>
    </row>
    <row r="696" spans="3:12" s="244" customFormat="1" x14ac:dyDescent="0.25">
      <c r="C696" s="255"/>
      <c r="D696" s="255"/>
      <c r="E696" s="255"/>
      <c r="F696" s="255"/>
      <c r="G696" s="253"/>
      <c r="H696" s="256"/>
      <c r="I696" s="255"/>
      <c r="J696" s="255"/>
      <c r="K696" s="254"/>
      <c r="L696" s="253"/>
    </row>
    <row r="697" spans="3:12" s="244" customFormat="1" x14ac:dyDescent="0.25">
      <c r="C697" s="255"/>
      <c r="D697" s="255"/>
      <c r="E697" s="255"/>
      <c r="F697" s="255"/>
      <c r="G697" s="253"/>
      <c r="H697" s="256"/>
      <c r="I697" s="255"/>
      <c r="J697" s="255"/>
      <c r="K697" s="254"/>
      <c r="L697" s="253"/>
    </row>
    <row r="698" spans="3:12" s="244" customFormat="1" x14ac:dyDescent="0.25">
      <c r="C698" s="255"/>
      <c r="D698" s="255"/>
      <c r="E698" s="255"/>
      <c r="F698" s="255"/>
      <c r="G698" s="253"/>
      <c r="H698" s="256"/>
      <c r="I698" s="255"/>
      <c r="J698" s="255"/>
      <c r="K698" s="254"/>
      <c r="L698" s="253"/>
    </row>
    <row r="699" spans="3:12" s="244" customFormat="1" x14ac:dyDescent="0.25">
      <c r="C699" s="255"/>
      <c r="D699" s="255"/>
      <c r="E699" s="255"/>
      <c r="F699" s="255"/>
      <c r="G699" s="253"/>
      <c r="H699" s="256"/>
      <c r="I699" s="255"/>
      <c r="J699" s="255"/>
      <c r="K699" s="254"/>
      <c r="L699" s="253"/>
    </row>
    <row r="700" spans="3:12" s="244" customFormat="1" x14ac:dyDescent="0.25">
      <c r="C700" s="255"/>
      <c r="D700" s="255"/>
      <c r="E700" s="255"/>
      <c r="F700" s="255"/>
      <c r="G700" s="253"/>
      <c r="H700" s="256"/>
      <c r="I700" s="255"/>
      <c r="J700" s="255"/>
      <c r="K700" s="254"/>
      <c r="L700" s="253"/>
    </row>
    <row r="701" spans="3:12" s="244" customFormat="1" x14ac:dyDescent="0.25">
      <c r="C701" s="255"/>
      <c r="D701" s="255"/>
      <c r="E701" s="255"/>
      <c r="F701" s="255"/>
      <c r="G701" s="253"/>
      <c r="H701" s="256"/>
      <c r="I701" s="255"/>
      <c r="J701" s="255"/>
      <c r="K701" s="254"/>
      <c r="L701" s="253"/>
    </row>
    <row r="702" spans="3:12" s="244" customFormat="1" x14ac:dyDescent="0.25">
      <c r="C702" s="255"/>
      <c r="D702" s="255"/>
      <c r="E702" s="255"/>
      <c r="F702" s="255"/>
      <c r="G702" s="253"/>
      <c r="H702" s="256"/>
      <c r="I702" s="255"/>
      <c r="J702" s="255"/>
      <c r="K702" s="254"/>
      <c r="L702" s="253"/>
    </row>
    <row r="703" spans="3:12" s="244" customFormat="1" x14ac:dyDescent="0.25">
      <c r="C703" s="255"/>
      <c r="D703" s="255"/>
      <c r="E703" s="255"/>
      <c r="F703" s="255"/>
      <c r="G703" s="253"/>
      <c r="H703" s="256"/>
      <c r="I703" s="255"/>
      <c r="J703" s="255"/>
      <c r="K703" s="254"/>
      <c r="L703" s="253"/>
    </row>
    <row r="704" spans="3:12" s="244" customFormat="1" x14ac:dyDescent="0.25">
      <c r="C704" s="255"/>
      <c r="D704" s="255"/>
      <c r="E704" s="255"/>
      <c r="F704" s="255"/>
      <c r="G704" s="253"/>
      <c r="H704" s="256"/>
      <c r="I704" s="255"/>
      <c r="J704" s="255"/>
      <c r="K704" s="254"/>
      <c r="L704" s="253"/>
    </row>
    <row r="705" spans="3:12" s="244" customFormat="1" x14ac:dyDescent="0.25">
      <c r="C705" s="255"/>
      <c r="D705" s="255"/>
      <c r="E705" s="255"/>
      <c r="F705" s="255"/>
      <c r="G705" s="253"/>
      <c r="H705" s="256"/>
      <c r="I705" s="255"/>
      <c r="J705" s="255"/>
      <c r="K705" s="254"/>
      <c r="L705" s="253"/>
    </row>
    <row r="706" spans="3:12" s="244" customFormat="1" x14ac:dyDescent="0.25">
      <c r="C706" s="255"/>
      <c r="D706" s="255"/>
      <c r="E706" s="255"/>
      <c r="F706" s="255"/>
      <c r="G706" s="253"/>
      <c r="H706" s="256"/>
      <c r="I706" s="255"/>
      <c r="J706" s="255"/>
      <c r="K706" s="254"/>
      <c r="L706" s="253"/>
    </row>
    <row r="707" spans="3:12" s="244" customFormat="1" x14ac:dyDescent="0.25">
      <c r="C707" s="255"/>
      <c r="D707" s="255"/>
      <c r="E707" s="255"/>
      <c r="F707" s="255"/>
      <c r="G707" s="253"/>
      <c r="H707" s="256"/>
      <c r="I707" s="255"/>
      <c r="J707" s="255"/>
      <c r="K707" s="254"/>
      <c r="L707" s="253"/>
    </row>
    <row r="708" spans="3:12" s="244" customFormat="1" x14ac:dyDescent="0.25">
      <c r="C708" s="255"/>
      <c r="D708" s="255"/>
      <c r="E708" s="255"/>
      <c r="F708" s="255"/>
      <c r="G708" s="253"/>
      <c r="H708" s="256"/>
      <c r="I708" s="255"/>
      <c r="J708" s="255"/>
      <c r="K708" s="254"/>
      <c r="L708" s="253"/>
    </row>
    <row r="709" spans="3:12" s="244" customFormat="1" x14ac:dyDescent="0.25">
      <c r="C709" s="255"/>
      <c r="D709" s="255"/>
      <c r="E709" s="255"/>
      <c r="F709" s="255"/>
      <c r="G709" s="253"/>
      <c r="H709" s="256"/>
      <c r="I709" s="255"/>
      <c r="J709" s="255"/>
      <c r="K709" s="254"/>
      <c r="L709" s="253"/>
    </row>
    <row r="710" spans="3:12" s="244" customFormat="1" x14ac:dyDescent="0.25">
      <c r="C710" s="255"/>
      <c r="D710" s="255"/>
      <c r="E710" s="255"/>
      <c r="F710" s="255"/>
      <c r="G710" s="253"/>
      <c r="H710" s="256"/>
      <c r="I710" s="255"/>
      <c r="J710" s="255"/>
      <c r="K710" s="254"/>
      <c r="L710" s="253"/>
    </row>
    <row r="711" spans="3:12" s="244" customFormat="1" x14ac:dyDescent="0.25">
      <c r="C711" s="255"/>
      <c r="D711" s="255"/>
      <c r="E711" s="255"/>
      <c r="F711" s="255"/>
      <c r="G711" s="253"/>
      <c r="H711" s="256"/>
      <c r="I711" s="255"/>
      <c r="J711" s="255"/>
      <c r="K711" s="254"/>
      <c r="L711" s="253"/>
    </row>
    <row r="712" spans="3:12" s="244" customFormat="1" x14ac:dyDescent="0.25">
      <c r="C712" s="255"/>
      <c r="D712" s="255"/>
      <c r="E712" s="255"/>
      <c r="F712" s="255"/>
      <c r="G712" s="253"/>
      <c r="H712" s="256"/>
      <c r="I712" s="255"/>
      <c r="J712" s="255"/>
      <c r="K712" s="254"/>
      <c r="L712" s="253"/>
    </row>
    <row r="713" spans="3:12" s="244" customFormat="1" x14ac:dyDescent="0.25">
      <c r="C713" s="255"/>
      <c r="D713" s="255"/>
      <c r="E713" s="255"/>
      <c r="F713" s="255"/>
      <c r="G713" s="253"/>
      <c r="H713" s="256"/>
      <c r="I713" s="255"/>
      <c r="J713" s="255"/>
      <c r="K713" s="254"/>
      <c r="L713" s="253"/>
    </row>
    <row r="714" spans="3:12" s="244" customFormat="1" x14ac:dyDescent="0.25">
      <c r="C714" s="255"/>
      <c r="D714" s="255"/>
      <c r="E714" s="255"/>
      <c r="F714" s="255"/>
      <c r="G714" s="253"/>
      <c r="H714" s="256"/>
      <c r="I714" s="255"/>
      <c r="J714" s="255"/>
      <c r="K714" s="254"/>
      <c r="L714" s="253"/>
    </row>
    <row r="715" spans="3:12" s="244" customFormat="1" x14ac:dyDescent="0.25">
      <c r="C715" s="255"/>
      <c r="D715" s="255"/>
      <c r="E715" s="255"/>
      <c r="F715" s="255"/>
      <c r="G715" s="253"/>
      <c r="H715" s="256"/>
      <c r="I715" s="255"/>
      <c r="J715" s="255"/>
      <c r="K715" s="254"/>
      <c r="L715" s="253"/>
    </row>
    <row r="716" spans="3:12" s="244" customFormat="1" x14ac:dyDescent="0.25">
      <c r="C716" s="255"/>
      <c r="D716" s="255"/>
      <c r="E716" s="255"/>
      <c r="F716" s="255"/>
      <c r="G716" s="253"/>
      <c r="H716" s="256"/>
      <c r="I716" s="255"/>
      <c r="J716" s="255"/>
      <c r="K716" s="254"/>
      <c r="L716" s="253"/>
    </row>
    <row r="717" spans="3:12" s="244" customFormat="1" x14ac:dyDescent="0.25">
      <c r="C717" s="255"/>
      <c r="D717" s="255"/>
      <c r="E717" s="255"/>
      <c r="F717" s="255"/>
      <c r="G717" s="253"/>
      <c r="H717" s="256"/>
      <c r="I717" s="255"/>
      <c r="J717" s="255"/>
      <c r="K717" s="254"/>
      <c r="L717" s="253"/>
    </row>
    <row r="718" spans="3:12" s="244" customFormat="1" x14ac:dyDescent="0.25">
      <c r="C718" s="255"/>
      <c r="D718" s="255"/>
      <c r="E718" s="255"/>
      <c r="F718" s="255"/>
      <c r="G718" s="253"/>
      <c r="H718" s="256"/>
      <c r="I718" s="255"/>
      <c r="J718" s="255"/>
      <c r="K718" s="254"/>
      <c r="L718" s="253"/>
    </row>
    <row r="719" spans="3:12" s="244" customFormat="1" x14ac:dyDescent="0.25">
      <c r="C719" s="255"/>
      <c r="D719" s="255"/>
      <c r="E719" s="255"/>
      <c r="F719" s="255"/>
      <c r="G719" s="253"/>
      <c r="H719" s="256"/>
      <c r="I719" s="255"/>
      <c r="J719" s="255"/>
      <c r="K719" s="254"/>
      <c r="L719" s="253"/>
    </row>
    <row r="720" spans="3:12" s="244" customFormat="1" x14ac:dyDescent="0.25">
      <c r="C720" s="255"/>
      <c r="D720" s="255"/>
      <c r="E720" s="255"/>
      <c r="F720" s="255"/>
      <c r="G720" s="253"/>
      <c r="H720" s="256"/>
      <c r="I720" s="255"/>
      <c r="J720" s="255"/>
      <c r="K720" s="254"/>
      <c r="L720" s="253"/>
    </row>
    <row r="721" spans="3:12" s="244" customFormat="1" x14ac:dyDescent="0.25">
      <c r="C721" s="255"/>
      <c r="D721" s="255"/>
      <c r="E721" s="255"/>
      <c r="F721" s="255"/>
      <c r="G721" s="253"/>
      <c r="H721" s="256"/>
      <c r="I721" s="255"/>
      <c r="J721" s="255"/>
      <c r="K721" s="254"/>
      <c r="L721" s="253"/>
    </row>
    <row r="722" spans="3:12" s="244" customFormat="1" x14ac:dyDescent="0.25">
      <c r="C722" s="255"/>
      <c r="D722" s="255"/>
      <c r="E722" s="255"/>
      <c r="F722" s="255"/>
      <c r="G722" s="253"/>
      <c r="H722" s="256"/>
      <c r="I722" s="255"/>
      <c r="J722" s="255"/>
      <c r="K722" s="254"/>
      <c r="L722" s="253"/>
    </row>
    <row r="723" spans="3:12" s="244" customFormat="1" x14ac:dyDescent="0.25">
      <c r="C723" s="255"/>
      <c r="D723" s="255"/>
      <c r="E723" s="255"/>
      <c r="F723" s="255"/>
      <c r="G723" s="253"/>
      <c r="H723" s="256"/>
      <c r="I723" s="255"/>
      <c r="J723" s="255"/>
      <c r="K723" s="254"/>
      <c r="L723" s="253"/>
    </row>
    <row r="724" spans="3:12" s="244" customFormat="1" x14ac:dyDescent="0.25">
      <c r="C724" s="255"/>
      <c r="D724" s="255"/>
      <c r="E724" s="255"/>
      <c r="F724" s="255"/>
      <c r="G724" s="253"/>
      <c r="H724" s="256"/>
      <c r="I724" s="255"/>
      <c r="J724" s="255"/>
      <c r="K724" s="254"/>
      <c r="L724" s="253"/>
    </row>
    <row r="725" spans="3:12" s="244" customFormat="1" x14ac:dyDescent="0.25">
      <c r="C725" s="255"/>
      <c r="D725" s="255"/>
      <c r="E725" s="255"/>
      <c r="F725" s="255"/>
      <c r="G725" s="253"/>
      <c r="H725" s="256"/>
      <c r="I725" s="255"/>
      <c r="J725" s="255"/>
      <c r="K725" s="254"/>
      <c r="L725" s="253"/>
    </row>
    <row r="726" spans="3:12" s="244" customFormat="1" x14ac:dyDescent="0.25">
      <c r="C726" s="255"/>
      <c r="D726" s="255"/>
      <c r="E726" s="255"/>
      <c r="F726" s="255"/>
      <c r="G726" s="253"/>
      <c r="H726" s="256"/>
      <c r="I726" s="255"/>
      <c r="J726" s="255"/>
      <c r="K726" s="254"/>
      <c r="L726" s="253"/>
    </row>
    <row r="727" spans="3:12" s="244" customFormat="1" x14ac:dyDescent="0.25">
      <c r="C727" s="255"/>
      <c r="D727" s="255"/>
      <c r="E727" s="255"/>
      <c r="F727" s="255"/>
      <c r="G727" s="253"/>
      <c r="H727" s="256"/>
      <c r="I727" s="255"/>
      <c r="J727" s="255"/>
      <c r="K727" s="254"/>
      <c r="L727" s="253"/>
    </row>
    <row r="728" spans="3:12" s="244" customFormat="1" x14ac:dyDescent="0.25">
      <c r="C728" s="255"/>
      <c r="D728" s="255"/>
      <c r="E728" s="255"/>
      <c r="F728" s="255"/>
      <c r="G728" s="253"/>
      <c r="H728" s="256"/>
      <c r="I728" s="255"/>
      <c r="J728" s="255"/>
      <c r="K728" s="254"/>
      <c r="L728" s="253"/>
    </row>
    <row r="729" spans="3:12" s="244" customFormat="1" x14ac:dyDescent="0.25">
      <c r="C729" s="255"/>
      <c r="D729" s="255"/>
      <c r="E729" s="255"/>
      <c r="F729" s="255"/>
      <c r="G729" s="253"/>
      <c r="H729" s="256"/>
      <c r="I729" s="255"/>
      <c r="J729" s="255"/>
      <c r="K729" s="254"/>
      <c r="L729" s="253"/>
    </row>
    <row r="730" spans="3:12" s="244" customFormat="1" x14ac:dyDescent="0.25">
      <c r="C730" s="255"/>
      <c r="D730" s="255"/>
      <c r="E730" s="255"/>
      <c r="F730" s="255"/>
      <c r="G730" s="253"/>
      <c r="H730" s="256"/>
      <c r="I730" s="255"/>
      <c r="J730" s="255"/>
      <c r="K730" s="254"/>
      <c r="L730" s="253"/>
    </row>
    <row r="731" spans="3:12" s="244" customFormat="1" x14ac:dyDescent="0.25">
      <c r="C731" s="255"/>
      <c r="D731" s="255"/>
      <c r="E731" s="255"/>
      <c r="F731" s="255"/>
      <c r="G731" s="253"/>
      <c r="H731" s="256"/>
      <c r="I731" s="255"/>
      <c r="J731" s="255"/>
      <c r="K731" s="254"/>
      <c r="L731" s="253"/>
    </row>
    <row r="732" spans="3:12" s="244" customFormat="1" x14ac:dyDescent="0.25">
      <c r="C732" s="255"/>
      <c r="D732" s="255"/>
      <c r="E732" s="255"/>
      <c r="F732" s="255"/>
      <c r="G732" s="253"/>
      <c r="H732" s="256"/>
      <c r="I732" s="255"/>
      <c r="J732" s="255"/>
      <c r="K732" s="254"/>
      <c r="L732" s="253"/>
    </row>
    <row r="733" spans="3:12" s="244" customFormat="1" x14ac:dyDescent="0.25">
      <c r="C733" s="255"/>
      <c r="D733" s="255"/>
      <c r="E733" s="255"/>
      <c r="F733" s="255"/>
      <c r="G733" s="253"/>
      <c r="H733" s="256"/>
      <c r="I733" s="255"/>
      <c r="J733" s="255"/>
      <c r="K733" s="254"/>
      <c r="L733" s="253"/>
    </row>
    <row r="734" spans="3:12" s="244" customFormat="1" x14ac:dyDescent="0.25">
      <c r="C734" s="255"/>
      <c r="D734" s="255"/>
      <c r="E734" s="255"/>
      <c r="F734" s="255"/>
      <c r="G734" s="253"/>
      <c r="H734" s="256"/>
      <c r="I734" s="255"/>
      <c r="J734" s="255"/>
      <c r="K734" s="254"/>
      <c r="L734" s="253"/>
    </row>
    <row r="735" spans="3:12" s="244" customFormat="1" x14ac:dyDescent="0.25">
      <c r="C735" s="255"/>
      <c r="D735" s="255"/>
      <c r="E735" s="255"/>
      <c r="F735" s="255"/>
      <c r="G735" s="253"/>
      <c r="H735" s="256"/>
      <c r="I735" s="255"/>
      <c r="J735" s="255"/>
      <c r="K735" s="254"/>
      <c r="L735" s="253"/>
    </row>
    <row r="736" spans="3:12" s="244" customFormat="1" x14ac:dyDescent="0.25">
      <c r="C736" s="255"/>
      <c r="D736" s="255"/>
      <c r="E736" s="255"/>
      <c r="F736" s="255"/>
      <c r="G736" s="253"/>
      <c r="H736" s="256"/>
      <c r="I736" s="255"/>
      <c r="J736" s="255"/>
      <c r="K736" s="254"/>
      <c r="L736" s="253"/>
    </row>
    <row r="737" spans="3:12" s="244" customFormat="1" x14ac:dyDescent="0.25">
      <c r="C737" s="255"/>
      <c r="D737" s="255"/>
      <c r="E737" s="255"/>
      <c r="F737" s="255"/>
      <c r="G737" s="253"/>
      <c r="H737" s="256"/>
      <c r="I737" s="255"/>
      <c r="J737" s="255"/>
      <c r="K737" s="254"/>
      <c r="L737" s="253"/>
    </row>
    <row r="738" spans="3:12" s="244" customFormat="1" x14ac:dyDescent="0.25">
      <c r="C738" s="255"/>
      <c r="D738" s="255"/>
      <c r="E738" s="255"/>
      <c r="F738" s="255"/>
      <c r="G738" s="253"/>
      <c r="H738" s="256"/>
      <c r="I738" s="255"/>
      <c r="J738" s="255"/>
      <c r="K738" s="254"/>
      <c r="L738" s="253"/>
    </row>
    <row r="739" spans="3:12" s="244" customFormat="1" x14ac:dyDescent="0.25">
      <c r="C739" s="255"/>
      <c r="D739" s="255"/>
      <c r="E739" s="255"/>
      <c r="F739" s="255"/>
      <c r="G739" s="253"/>
      <c r="H739" s="256"/>
      <c r="I739" s="255"/>
      <c r="J739" s="255"/>
      <c r="K739" s="254"/>
      <c r="L739" s="253"/>
    </row>
    <row r="740" spans="3:12" s="244" customFormat="1" x14ac:dyDescent="0.25">
      <c r="C740" s="255"/>
      <c r="D740" s="255"/>
      <c r="E740" s="255"/>
      <c r="F740" s="255"/>
      <c r="G740" s="253"/>
      <c r="H740" s="256"/>
      <c r="I740" s="255"/>
      <c r="J740" s="255"/>
      <c r="K740" s="254"/>
      <c r="L740" s="253"/>
    </row>
    <row r="741" spans="3:12" s="244" customFormat="1" x14ac:dyDescent="0.25">
      <c r="C741" s="255"/>
      <c r="D741" s="255"/>
      <c r="E741" s="255"/>
      <c r="F741" s="255"/>
      <c r="G741" s="253"/>
      <c r="H741" s="256"/>
      <c r="I741" s="255"/>
      <c r="J741" s="255"/>
      <c r="K741" s="254"/>
      <c r="L741" s="253"/>
    </row>
    <row r="742" spans="3:12" s="244" customFormat="1" x14ac:dyDescent="0.25">
      <c r="C742" s="255"/>
      <c r="D742" s="255"/>
      <c r="E742" s="255"/>
      <c r="F742" s="255"/>
      <c r="G742" s="253"/>
      <c r="H742" s="256"/>
      <c r="I742" s="255"/>
      <c r="J742" s="255"/>
      <c r="K742" s="254"/>
      <c r="L742" s="253"/>
    </row>
    <row r="743" spans="3:12" s="244" customFormat="1" x14ac:dyDescent="0.25">
      <c r="C743" s="255"/>
      <c r="D743" s="255"/>
      <c r="E743" s="255"/>
      <c r="F743" s="255"/>
      <c r="G743" s="253"/>
      <c r="H743" s="256"/>
      <c r="I743" s="255"/>
      <c r="J743" s="255"/>
      <c r="K743" s="254"/>
      <c r="L743" s="253"/>
    </row>
    <row r="744" spans="3:12" s="244" customFormat="1" x14ac:dyDescent="0.25">
      <c r="C744" s="255"/>
      <c r="D744" s="255"/>
      <c r="E744" s="255"/>
      <c r="F744" s="255"/>
      <c r="G744" s="253"/>
      <c r="H744" s="256"/>
      <c r="I744" s="255"/>
      <c r="J744" s="255"/>
      <c r="K744" s="254"/>
      <c r="L744" s="253"/>
    </row>
    <row r="745" spans="3:12" s="244" customFormat="1" x14ac:dyDescent="0.25">
      <c r="C745" s="255"/>
      <c r="D745" s="255"/>
      <c r="E745" s="255"/>
      <c r="F745" s="255"/>
      <c r="G745" s="253"/>
      <c r="H745" s="256"/>
      <c r="I745" s="255"/>
      <c r="J745" s="255"/>
      <c r="K745" s="254"/>
      <c r="L745" s="253"/>
    </row>
    <row r="746" spans="3:12" s="244" customFormat="1" x14ac:dyDescent="0.25">
      <c r="C746" s="255"/>
      <c r="D746" s="255"/>
      <c r="E746" s="255"/>
      <c r="F746" s="255"/>
      <c r="G746" s="253"/>
      <c r="H746" s="256"/>
      <c r="I746" s="255"/>
      <c r="J746" s="255"/>
      <c r="K746" s="254"/>
      <c r="L746" s="253"/>
    </row>
    <row r="747" spans="3:12" s="244" customFormat="1" x14ac:dyDescent="0.25">
      <c r="C747" s="255"/>
      <c r="D747" s="255"/>
      <c r="E747" s="255"/>
      <c r="F747" s="255"/>
      <c r="G747" s="253"/>
      <c r="H747" s="256"/>
      <c r="I747" s="255"/>
      <c r="J747" s="255"/>
      <c r="K747" s="254"/>
      <c r="L747" s="253"/>
    </row>
    <row r="748" spans="3:12" s="244" customFormat="1" x14ac:dyDescent="0.25">
      <c r="C748" s="255"/>
      <c r="D748" s="255"/>
      <c r="E748" s="255"/>
      <c r="F748" s="255"/>
      <c r="G748" s="253"/>
      <c r="H748" s="256"/>
      <c r="I748" s="255"/>
      <c r="J748" s="255"/>
      <c r="K748" s="254"/>
      <c r="L748" s="253"/>
    </row>
    <row r="749" spans="3:12" s="244" customFormat="1" x14ac:dyDescent="0.25">
      <c r="C749" s="255"/>
      <c r="D749" s="255"/>
      <c r="E749" s="255"/>
      <c r="F749" s="255"/>
      <c r="G749" s="253"/>
      <c r="H749" s="256"/>
      <c r="I749" s="255"/>
      <c r="J749" s="255"/>
      <c r="K749" s="254"/>
      <c r="L749" s="253"/>
    </row>
    <row r="750" spans="3:12" s="244" customFormat="1" x14ac:dyDescent="0.25">
      <c r="C750" s="255"/>
      <c r="D750" s="255"/>
      <c r="E750" s="255"/>
      <c r="F750" s="255"/>
      <c r="G750" s="253"/>
      <c r="H750" s="256"/>
      <c r="I750" s="255"/>
      <c r="J750" s="255"/>
      <c r="K750" s="254"/>
      <c r="L750" s="253"/>
    </row>
    <row r="751" spans="3:12" s="244" customFormat="1" x14ac:dyDescent="0.25">
      <c r="C751" s="255"/>
      <c r="D751" s="255"/>
      <c r="E751" s="255"/>
      <c r="F751" s="255"/>
      <c r="G751" s="253"/>
      <c r="H751" s="256"/>
      <c r="I751" s="255"/>
      <c r="J751" s="255"/>
      <c r="K751" s="254"/>
      <c r="L751" s="253"/>
    </row>
    <row r="752" spans="3:12" s="244" customFormat="1" x14ac:dyDescent="0.25">
      <c r="C752" s="255"/>
      <c r="D752" s="255"/>
      <c r="E752" s="255"/>
      <c r="F752" s="255"/>
      <c r="G752" s="253"/>
      <c r="H752" s="256"/>
      <c r="I752" s="255"/>
      <c r="J752" s="255"/>
      <c r="K752" s="254"/>
      <c r="L752" s="253"/>
    </row>
    <row r="753" spans="3:12" s="244" customFormat="1" x14ac:dyDescent="0.25">
      <c r="C753" s="255"/>
      <c r="D753" s="255"/>
      <c r="E753" s="255"/>
      <c r="F753" s="255"/>
      <c r="G753" s="253"/>
      <c r="H753" s="256"/>
      <c r="I753" s="255"/>
      <c r="J753" s="255"/>
      <c r="K753" s="254"/>
      <c r="L753" s="253"/>
    </row>
    <row r="754" spans="3:12" s="244" customFormat="1" x14ac:dyDescent="0.25">
      <c r="C754" s="255"/>
      <c r="D754" s="255"/>
      <c r="E754" s="255"/>
      <c r="F754" s="255"/>
      <c r="G754" s="253"/>
      <c r="H754" s="256"/>
      <c r="I754" s="255"/>
      <c r="J754" s="255"/>
      <c r="K754" s="254"/>
      <c r="L754" s="253"/>
    </row>
    <row r="755" spans="3:12" s="244" customFormat="1" x14ac:dyDescent="0.25">
      <c r="C755" s="255"/>
      <c r="D755" s="255"/>
      <c r="E755" s="255"/>
      <c r="F755" s="255"/>
      <c r="G755" s="253"/>
      <c r="H755" s="256"/>
      <c r="I755" s="255"/>
      <c r="J755" s="255"/>
      <c r="K755" s="254"/>
      <c r="L755" s="253"/>
    </row>
    <row r="756" spans="3:12" s="244" customFormat="1" x14ac:dyDescent="0.25">
      <c r="C756" s="255"/>
      <c r="D756" s="255"/>
      <c r="E756" s="255"/>
      <c r="F756" s="255"/>
      <c r="G756" s="253"/>
      <c r="H756" s="256"/>
      <c r="I756" s="255"/>
      <c r="J756" s="255"/>
      <c r="K756" s="254"/>
      <c r="L756" s="253"/>
    </row>
    <row r="757" spans="3:12" s="244" customFormat="1" x14ac:dyDescent="0.25">
      <c r="C757" s="255"/>
      <c r="D757" s="255"/>
      <c r="E757" s="255"/>
      <c r="F757" s="255"/>
      <c r="G757" s="253"/>
      <c r="H757" s="256"/>
      <c r="I757" s="255"/>
      <c r="J757" s="255"/>
      <c r="K757" s="254"/>
      <c r="L757" s="253"/>
    </row>
    <row r="758" spans="3:12" s="244" customFormat="1" x14ac:dyDescent="0.25">
      <c r="C758" s="255"/>
      <c r="D758" s="255"/>
      <c r="E758" s="255"/>
      <c r="F758" s="255"/>
      <c r="G758" s="253"/>
      <c r="H758" s="256"/>
      <c r="I758" s="255"/>
      <c r="J758" s="255"/>
      <c r="K758" s="254"/>
      <c r="L758" s="253"/>
    </row>
    <row r="759" spans="3:12" s="244" customFormat="1" x14ac:dyDescent="0.25">
      <c r="C759" s="255"/>
      <c r="D759" s="255"/>
      <c r="E759" s="255"/>
      <c r="F759" s="255"/>
      <c r="G759" s="253"/>
      <c r="H759" s="256"/>
      <c r="I759" s="255"/>
      <c r="J759" s="255"/>
      <c r="K759" s="254"/>
      <c r="L759" s="253"/>
    </row>
    <row r="760" spans="3:12" s="244" customFormat="1" x14ac:dyDescent="0.25">
      <c r="C760" s="255"/>
      <c r="D760" s="255"/>
      <c r="E760" s="255"/>
      <c r="F760" s="255"/>
      <c r="G760" s="253"/>
      <c r="H760" s="256"/>
      <c r="I760" s="255"/>
      <c r="J760" s="255"/>
      <c r="K760" s="254"/>
      <c r="L760" s="253"/>
    </row>
    <row r="761" spans="3:12" s="244" customFormat="1" x14ac:dyDescent="0.25">
      <c r="C761" s="255"/>
      <c r="D761" s="255"/>
      <c r="E761" s="255"/>
      <c r="F761" s="255"/>
      <c r="G761" s="253"/>
      <c r="H761" s="256"/>
      <c r="I761" s="255"/>
      <c r="J761" s="255"/>
      <c r="K761" s="254"/>
      <c r="L761" s="253"/>
    </row>
    <row r="762" spans="3:12" s="244" customFormat="1" x14ac:dyDescent="0.25">
      <c r="C762" s="255"/>
      <c r="D762" s="255"/>
      <c r="E762" s="255"/>
      <c r="F762" s="255"/>
      <c r="G762" s="253"/>
      <c r="H762" s="256"/>
      <c r="I762" s="255"/>
      <c r="J762" s="255"/>
      <c r="K762" s="254"/>
      <c r="L762" s="253"/>
    </row>
    <row r="763" spans="3:12" s="244" customFormat="1" x14ac:dyDescent="0.25">
      <c r="C763" s="255"/>
      <c r="D763" s="255"/>
      <c r="E763" s="255"/>
      <c r="F763" s="255"/>
      <c r="G763" s="253"/>
      <c r="H763" s="256"/>
      <c r="I763" s="255"/>
      <c r="J763" s="255"/>
      <c r="K763" s="254"/>
      <c r="L763" s="253"/>
    </row>
    <row r="764" spans="3:12" s="244" customFormat="1" x14ac:dyDescent="0.25">
      <c r="C764" s="255"/>
      <c r="D764" s="255"/>
      <c r="E764" s="255"/>
      <c r="F764" s="255"/>
      <c r="G764" s="253"/>
      <c r="H764" s="256"/>
      <c r="I764" s="255"/>
      <c r="J764" s="255"/>
      <c r="K764" s="254"/>
      <c r="L764" s="253"/>
    </row>
    <row r="765" spans="3:12" s="244" customFormat="1" x14ac:dyDescent="0.25">
      <c r="C765" s="255"/>
      <c r="D765" s="255"/>
      <c r="E765" s="255"/>
      <c r="F765" s="255"/>
      <c r="G765" s="253"/>
      <c r="H765" s="256"/>
      <c r="I765" s="255"/>
      <c r="J765" s="255"/>
      <c r="K765" s="254"/>
      <c r="L765" s="253"/>
    </row>
    <row r="766" spans="3:12" s="244" customFormat="1" x14ac:dyDescent="0.25">
      <c r="C766" s="255"/>
      <c r="D766" s="255"/>
      <c r="E766" s="255"/>
      <c r="F766" s="255"/>
      <c r="G766" s="253"/>
      <c r="H766" s="256"/>
      <c r="I766" s="255"/>
      <c r="J766" s="255"/>
      <c r="K766" s="254"/>
      <c r="L766" s="253"/>
    </row>
    <row r="767" spans="3:12" s="244" customFormat="1" x14ac:dyDescent="0.25">
      <c r="C767" s="255"/>
      <c r="D767" s="255"/>
      <c r="E767" s="255"/>
      <c r="F767" s="255"/>
      <c r="G767" s="253"/>
      <c r="H767" s="256"/>
      <c r="I767" s="255"/>
      <c r="J767" s="255"/>
      <c r="K767" s="254"/>
      <c r="L767" s="253"/>
    </row>
    <row r="768" spans="3:12" s="244" customFormat="1" x14ac:dyDescent="0.25">
      <c r="C768" s="255"/>
      <c r="D768" s="255"/>
      <c r="E768" s="255"/>
      <c r="F768" s="255"/>
      <c r="G768" s="253"/>
      <c r="H768" s="256"/>
      <c r="I768" s="255"/>
      <c r="J768" s="255"/>
      <c r="K768" s="254"/>
      <c r="L768" s="253"/>
    </row>
    <row r="769" spans="3:12" s="244" customFormat="1" x14ac:dyDescent="0.25">
      <c r="C769" s="255"/>
      <c r="D769" s="255"/>
      <c r="E769" s="255"/>
      <c r="F769" s="255"/>
      <c r="G769" s="253"/>
      <c r="H769" s="256"/>
      <c r="I769" s="255"/>
      <c r="J769" s="255"/>
      <c r="K769" s="254"/>
      <c r="L769" s="253"/>
    </row>
    <row r="770" spans="3:12" s="244" customFormat="1" x14ac:dyDescent="0.25">
      <c r="C770" s="255"/>
      <c r="D770" s="255"/>
      <c r="E770" s="255"/>
      <c r="F770" s="255"/>
      <c r="G770" s="253"/>
      <c r="H770" s="256"/>
      <c r="I770" s="255"/>
      <c r="J770" s="255"/>
      <c r="K770" s="254"/>
      <c r="L770" s="253"/>
    </row>
    <row r="771" spans="3:12" s="244" customFormat="1" x14ac:dyDescent="0.25">
      <c r="C771" s="255"/>
      <c r="D771" s="255"/>
      <c r="E771" s="255"/>
      <c r="F771" s="255"/>
      <c r="G771" s="253"/>
      <c r="H771" s="256"/>
      <c r="I771" s="255"/>
      <c r="J771" s="255"/>
      <c r="K771" s="254"/>
      <c r="L771" s="253"/>
    </row>
    <row r="772" spans="3:12" s="244" customFormat="1" x14ac:dyDescent="0.25">
      <c r="C772" s="255"/>
      <c r="D772" s="255"/>
      <c r="E772" s="255"/>
      <c r="F772" s="255"/>
      <c r="G772" s="253"/>
      <c r="H772" s="256"/>
      <c r="I772" s="255"/>
      <c r="J772" s="255"/>
      <c r="K772" s="254"/>
      <c r="L772" s="253"/>
    </row>
    <row r="773" spans="3:12" s="244" customFormat="1" x14ac:dyDescent="0.25">
      <c r="C773" s="255"/>
      <c r="D773" s="255"/>
      <c r="E773" s="255"/>
      <c r="F773" s="255"/>
      <c r="G773" s="253"/>
      <c r="H773" s="256"/>
      <c r="I773" s="255"/>
      <c r="J773" s="255"/>
      <c r="K773" s="254"/>
      <c r="L773" s="253"/>
    </row>
    <row r="774" spans="3:12" s="244" customFormat="1" x14ac:dyDescent="0.25">
      <c r="C774" s="255"/>
      <c r="D774" s="255"/>
      <c r="E774" s="255"/>
      <c r="F774" s="255"/>
      <c r="G774" s="253"/>
      <c r="H774" s="256"/>
      <c r="I774" s="255"/>
      <c r="J774" s="255"/>
      <c r="K774" s="254"/>
      <c r="L774" s="253"/>
    </row>
    <row r="775" spans="3:12" s="244" customFormat="1" x14ac:dyDescent="0.25">
      <c r="C775" s="255"/>
      <c r="D775" s="255"/>
      <c r="E775" s="255"/>
      <c r="F775" s="255"/>
      <c r="G775" s="253"/>
      <c r="H775" s="256"/>
      <c r="I775" s="255"/>
      <c r="J775" s="255"/>
      <c r="K775" s="254"/>
      <c r="L775" s="253"/>
    </row>
    <row r="776" spans="3:12" s="244" customFormat="1" x14ac:dyDescent="0.25">
      <c r="C776" s="255"/>
      <c r="D776" s="255"/>
      <c r="E776" s="255"/>
      <c r="F776" s="255"/>
      <c r="G776" s="253"/>
      <c r="H776" s="256"/>
      <c r="I776" s="255"/>
      <c r="J776" s="255"/>
      <c r="K776" s="254"/>
      <c r="L776" s="253"/>
    </row>
    <row r="777" spans="3:12" s="244" customFormat="1" x14ac:dyDescent="0.25">
      <c r="C777" s="255"/>
      <c r="D777" s="255"/>
      <c r="E777" s="255"/>
      <c r="F777" s="255"/>
      <c r="G777" s="253"/>
      <c r="H777" s="256"/>
      <c r="I777" s="255"/>
      <c r="J777" s="255"/>
      <c r="K777" s="254"/>
      <c r="L777" s="253"/>
    </row>
    <row r="778" spans="3:12" s="244" customFormat="1" x14ac:dyDescent="0.25">
      <c r="C778" s="255"/>
      <c r="D778" s="255"/>
      <c r="E778" s="255"/>
      <c r="F778" s="255"/>
      <c r="G778" s="253"/>
      <c r="H778" s="256"/>
      <c r="I778" s="255"/>
      <c r="J778" s="255"/>
      <c r="K778" s="254"/>
      <c r="L778" s="253"/>
    </row>
    <row r="779" spans="3:12" s="244" customFormat="1" x14ac:dyDescent="0.25">
      <c r="C779" s="255"/>
      <c r="D779" s="255"/>
      <c r="E779" s="255"/>
      <c r="F779" s="255"/>
      <c r="G779" s="253"/>
      <c r="H779" s="256"/>
      <c r="I779" s="255"/>
      <c r="J779" s="255"/>
      <c r="K779" s="254"/>
      <c r="L779" s="253"/>
    </row>
    <row r="780" spans="3:12" s="244" customFormat="1" x14ac:dyDescent="0.25">
      <c r="C780" s="255"/>
      <c r="D780" s="255"/>
      <c r="E780" s="255"/>
      <c r="F780" s="255"/>
      <c r="G780" s="253"/>
      <c r="H780" s="256"/>
      <c r="I780" s="255"/>
      <c r="J780" s="255"/>
      <c r="K780" s="254"/>
      <c r="L780" s="253"/>
    </row>
    <row r="781" spans="3:12" s="244" customFormat="1" x14ac:dyDescent="0.25">
      <c r="C781" s="255"/>
      <c r="D781" s="255"/>
      <c r="E781" s="255"/>
      <c r="F781" s="255"/>
      <c r="G781" s="253"/>
      <c r="H781" s="256"/>
      <c r="I781" s="255"/>
      <c r="J781" s="255"/>
      <c r="K781" s="254"/>
      <c r="L781" s="253"/>
    </row>
    <row r="782" spans="3:12" s="244" customFormat="1" x14ac:dyDescent="0.25">
      <c r="C782" s="255"/>
      <c r="D782" s="255"/>
      <c r="E782" s="255"/>
      <c r="F782" s="255"/>
      <c r="G782" s="253"/>
      <c r="H782" s="256"/>
      <c r="I782" s="255"/>
      <c r="J782" s="255"/>
      <c r="K782" s="254"/>
      <c r="L782" s="253"/>
    </row>
    <row r="783" spans="3:12" s="244" customFormat="1" x14ac:dyDescent="0.25">
      <c r="C783" s="255"/>
      <c r="D783" s="255"/>
      <c r="E783" s="255"/>
      <c r="F783" s="255"/>
      <c r="G783" s="253"/>
      <c r="H783" s="256"/>
      <c r="I783" s="255"/>
      <c r="J783" s="255"/>
      <c r="K783" s="254"/>
      <c r="L783" s="253"/>
    </row>
    <row r="784" spans="3:12" s="244" customFormat="1" x14ac:dyDescent="0.25">
      <c r="C784" s="255"/>
      <c r="D784" s="255"/>
      <c r="E784" s="255"/>
      <c r="F784" s="255"/>
      <c r="G784" s="253"/>
      <c r="H784" s="256"/>
      <c r="I784" s="255"/>
      <c r="J784" s="255"/>
      <c r="K784" s="254"/>
      <c r="L784" s="253"/>
    </row>
    <row r="785" spans="3:12" s="244" customFormat="1" x14ac:dyDescent="0.25">
      <c r="C785" s="255"/>
      <c r="D785" s="255"/>
      <c r="E785" s="255"/>
      <c r="F785" s="255"/>
      <c r="G785" s="253"/>
      <c r="H785" s="256"/>
      <c r="I785" s="255"/>
      <c r="J785" s="255"/>
      <c r="K785" s="254"/>
      <c r="L785" s="253"/>
    </row>
    <row r="786" spans="3:12" s="244" customFormat="1" x14ac:dyDescent="0.25">
      <c r="C786" s="255"/>
      <c r="D786" s="255"/>
      <c r="E786" s="255"/>
      <c r="F786" s="255"/>
      <c r="G786" s="253"/>
      <c r="H786" s="256"/>
      <c r="I786" s="255"/>
      <c r="J786" s="255"/>
      <c r="K786" s="254"/>
      <c r="L786" s="253"/>
    </row>
    <row r="787" spans="3:12" s="244" customFormat="1" x14ac:dyDescent="0.25">
      <c r="C787" s="255"/>
      <c r="D787" s="255"/>
      <c r="E787" s="255"/>
      <c r="F787" s="255"/>
      <c r="G787" s="253"/>
      <c r="H787" s="256"/>
      <c r="I787" s="255"/>
      <c r="J787" s="255"/>
      <c r="K787" s="254"/>
      <c r="L787" s="253"/>
    </row>
    <row r="788" spans="3:12" s="244" customFormat="1" x14ac:dyDescent="0.25">
      <c r="C788" s="255"/>
      <c r="D788" s="255"/>
      <c r="E788" s="255"/>
      <c r="F788" s="255"/>
      <c r="G788" s="253"/>
      <c r="H788" s="256"/>
      <c r="I788" s="255"/>
      <c r="J788" s="255"/>
      <c r="K788" s="254"/>
      <c r="L788" s="253"/>
    </row>
    <row r="789" spans="3:12" s="244" customFormat="1" x14ac:dyDescent="0.25">
      <c r="C789" s="255"/>
      <c r="D789" s="255"/>
      <c r="E789" s="255"/>
      <c r="F789" s="255"/>
      <c r="G789" s="253"/>
      <c r="H789" s="256"/>
      <c r="I789" s="255"/>
      <c r="J789" s="255"/>
      <c r="K789" s="254"/>
      <c r="L789" s="253"/>
    </row>
    <row r="790" spans="3:12" s="244" customFormat="1" x14ac:dyDescent="0.25">
      <c r="C790" s="255"/>
      <c r="D790" s="255"/>
      <c r="E790" s="255"/>
      <c r="F790" s="255"/>
      <c r="G790" s="253"/>
      <c r="H790" s="256"/>
      <c r="I790" s="255"/>
      <c r="J790" s="255"/>
      <c r="K790" s="254"/>
      <c r="L790" s="253"/>
    </row>
    <row r="791" spans="3:12" s="244" customFormat="1" x14ac:dyDescent="0.25">
      <c r="C791" s="255"/>
      <c r="D791" s="255"/>
      <c r="E791" s="255"/>
      <c r="F791" s="255"/>
      <c r="G791" s="253"/>
      <c r="H791" s="256"/>
      <c r="I791" s="255"/>
      <c r="J791" s="255"/>
      <c r="K791" s="254"/>
      <c r="L791" s="253"/>
    </row>
    <row r="792" spans="3:12" s="244" customFormat="1" x14ac:dyDescent="0.25">
      <c r="C792" s="255"/>
      <c r="D792" s="255"/>
      <c r="E792" s="255"/>
      <c r="F792" s="255"/>
      <c r="G792" s="253"/>
      <c r="H792" s="256"/>
      <c r="I792" s="255"/>
      <c r="J792" s="255"/>
      <c r="K792" s="254"/>
      <c r="L792" s="253"/>
    </row>
    <row r="793" spans="3:12" s="244" customFormat="1" x14ac:dyDescent="0.25">
      <c r="C793" s="255"/>
      <c r="D793" s="255"/>
      <c r="E793" s="255"/>
      <c r="F793" s="255"/>
      <c r="G793" s="253"/>
      <c r="H793" s="256"/>
      <c r="I793" s="255"/>
      <c r="J793" s="255"/>
      <c r="K793" s="254"/>
      <c r="L793" s="253"/>
    </row>
    <row r="794" spans="3:12" s="244" customFormat="1" x14ac:dyDescent="0.25">
      <c r="C794" s="255"/>
      <c r="D794" s="255"/>
      <c r="E794" s="255"/>
      <c r="F794" s="255"/>
      <c r="G794" s="253"/>
      <c r="H794" s="256"/>
      <c r="I794" s="255"/>
      <c r="J794" s="255"/>
      <c r="K794" s="254"/>
      <c r="L794" s="253"/>
    </row>
    <row r="795" spans="3:12" s="244" customFormat="1" x14ac:dyDescent="0.25">
      <c r="C795" s="255"/>
      <c r="D795" s="255"/>
      <c r="E795" s="255"/>
      <c r="F795" s="255"/>
      <c r="G795" s="253"/>
      <c r="H795" s="256"/>
      <c r="I795" s="255"/>
      <c r="J795" s="255"/>
      <c r="K795" s="254"/>
      <c r="L795" s="253"/>
    </row>
    <row r="796" spans="3:12" s="244" customFormat="1" x14ac:dyDescent="0.25">
      <c r="C796" s="255"/>
      <c r="D796" s="255"/>
      <c r="E796" s="255"/>
      <c r="F796" s="255"/>
      <c r="G796" s="253"/>
      <c r="H796" s="256"/>
      <c r="I796" s="255"/>
      <c r="J796" s="255"/>
      <c r="K796" s="254"/>
      <c r="L796" s="253"/>
    </row>
    <row r="797" spans="3:12" s="244" customFormat="1" x14ac:dyDescent="0.25">
      <c r="C797" s="255"/>
      <c r="D797" s="255"/>
      <c r="E797" s="255"/>
      <c r="F797" s="255"/>
      <c r="G797" s="253"/>
      <c r="H797" s="256"/>
      <c r="I797" s="255"/>
      <c r="J797" s="255"/>
      <c r="K797" s="254"/>
      <c r="L797" s="253"/>
    </row>
    <row r="798" spans="3:12" s="244" customFormat="1" x14ac:dyDescent="0.25">
      <c r="C798" s="255"/>
      <c r="D798" s="255"/>
      <c r="E798" s="255"/>
      <c r="F798" s="255"/>
      <c r="G798" s="253"/>
      <c r="H798" s="256"/>
      <c r="I798" s="255"/>
      <c r="J798" s="255"/>
      <c r="K798" s="254"/>
      <c r="L798" s="253"/>
    </row>
    <row r="799" spans="3:12" s="244" customFormat="1" x14ac:dyDescent="0.25">
      <c r="C799" s="255"/>
      <c r="D799" s="255"/>
      <c r="E799" s="255"/>
      <c r="F799" s="255"/>
      <c r="G799" s="253"/>
      <c r="H799" s="256"/>
      <c r="I799" s="255"/>
      <c r="J799" s="255"/>
      <c r="K799" s="254"/>
      <c r="L799" s="253"/>
    </row>
    <row r="800" spans="3:12" s="244" customFormat="1" x14ac:dyDescent="0.25">
      <c r="C800" s="255"/>
      <c r="D800" s="255"/>
      <c r="E800" s="255"/>
      <c r="F800" s="255"/>
      <c r="G800" s="253"/>
      <c r="H800" s="256"/>
      <c r="I800" s="255"/>
      <c r="J800" s="255"/>
      <c r="K800" s="254"/>
      <c r="L800" s="253"/>
    </row>
    <row r="801" spans="3:12" s="244" customFormat="1" x14ac:dyDescent="0.25">
      <c r="C801" s="255"/>
      <c r="D801" s="255"/>
      <c r="E801" s="255"/>
      <c r="F801" s="255"/>
      <c r="G801" s="253"/>
      <c r="H801" s="256"/>
      <c r="I801" s="255"/>
      <c r="J801" s="255"/>
      <c r="K801" s="254"/>
      <c r="L801" s="253"/>
    </row>
    <row r="802" spans="3:12" s="244" customFormat="1" x14ac:dyDescent="0.25">
      <c r="C802" s="255"/>
      <c r="D802" s="255"/>
      <c r="E802" s="255"/>
      <c r="F802" s="255"/>
      <c r="G802" s="253"/>
      <c r="H802" s="256"/>
      <c r="I802" s="255"/>
      <c r="J802" s="255"/>
      <c r="K802" s="254"/>
      <c r="L802" s="253"/>
    </row>
    <row r="803" spans="3:12" s="244" customFormat="1" x14ac:dyDescent="0.25">
      <c r="C803" s="255"/>
      <c r="D803" s="255"/>
      <c r="E803" s="255"/>
      <c r="F803" s="255"/>
      <c r="G803" s="253"/>
      <c r="H803" s="256"/>
      <c r="I803" s="255"/>
      <c r="J803" s="255"/>
      <c r="K803" s="254"/>
      <c r="L803" s="253"/>
    </row>
    <row r="804" spans="3:12" s="244" customFormat="1" x14ac:dyDescent="0.25">
      <c r="C804" s="255"/>
      <c r="D804" s="255"/>
      <c r="E804" s="255"/>
      <c r="F804" s="255"/>
      <c r="G804" s="253"/>
      <c r="H804" s="256"/>
      <c r="I804" s="255"/>
      <c r="J804" s="255"/>
      <c r="K804" s="254"/>
      <c r="L804" s="253"/>
    </row>
    <row r="805" spans="3:12" s="244" customFormat="1" x14ac:dyDescent="0.25">
      <c r="C805" s="255"/>
      <c r="D805" s="255"/>
      <c r="E805" s="255"/>
      <c r="F805" s="255"/>
      <c r="G805" s="253"/>
      <c r="H805" s="256"/>
      <c r="I805" s="255"/>
      <c r="J805" s="255"/>
      <c r="K805" s="254"/>
      <c r="L805" s="253"/>
    </row>
    <row r="806" spans="3:12" s="244" customFormat="1" x14ac:dyDescent="0.25">
      <c r="C806" s="255"/>
      <c r="D806" s="255"/>
      <c r="E806" s="255"/>
      <c r="F806" s="255"/>
      <c r="G806" s="253"/>
      <c r="H806" s="256"/>
      <c r="I806" s="255"/>
      <c r="J806" s="255"/>
      <c r="K806" s="254"/>
      <c r="L806" s="253"/>
    </row>
    <row r="807" spans="3:12" s="244" customFormat="1" x14ac:dyDescent="0.25">
      <c r="C807" s="255"/>
      <c r="D807" s="255"/>
      <c r="E807" s="255"/>
      <c r="F807" s="255"/>
      <c r="G807" s="253"/>
      <c r="H807" s="256"/>
      <c r="I807" s="255"/>
      <c r="J807" s="255"/>
      <c r="K807" s="254"/>
      <c r="L807" s="253"/>
    </row>
    <row r="808" spans="3:12" s="244" customFormat="1" x14ac:dyDescent="0.25">
      <c r="C808" s="255"/>
      <c r="D808" s="255"/>
      <c r="E808" s="255"/>
      <c r="F808" s="255"/>
      <c r="G808" s="253"/>
      <c r="H808" s="256"/>
      <c r="I808" s="255"/>
      <c r="J808" s="255"/>
      <c r="K808" s="254"/>
      <c r="L808" s="253"/>
    </row>
    <row r="809" spans="3:12" s="244" customFormat="1" x14ac:dyDescent="0.25">
      <c r="C809" s="255"/>
      <c r="D809" s="255"/>
      <c r="E809" s="255"/>
      <c r="F809" s="255"/>
      <c r="G809" s="253"/>
      <c r="H809" s="256"/>
      <c r="I809" s="255"/>
      <c r="J809" s="255"/>
      <c r="K809" s="254"/>
      <c r="L809" s="253"/>
    </row>
    <row r="810" spans="3:12" s="244" customFormat="1" x14ac:dyDescent="0.25">
      <c r="C810" s="255"/>
      <c r="D810" s="255"/>
      <c r="E810" s="255"/>
      <c r="F810" s="255"/>
      <c r="G810" s="253"/>
      <c r="H810" s="256"/>
      <c r="I810" s="255"/>
      <c r="J810" s="255"/>
      <c r="K810" s="254"/>
      <c r="L810" s="253"/>
    </row>
    <row r="811" spans="3:12" s="244" customFormat="1" x14ac:dyDescent="0.25">
      <c r="C811" s="255"/>
      <c r="D811" s="255"/>
      <c r="E811" s="255"/>
      <c r="F811" s="255"/>
      <c r="G811" s="253"/>
      <c r="H811" s="256"/>
      <c r="I811" s="255"/>
      <c r="J811" s="255"/>
      <c r="K811" s="254"/>
      <c r="L811" s="253"/>
    </row>
    <row r="812" spans="3:12" s="244" customFormat="1" x14ac:dyDescent="0.25">
      <c r="C812" s="255"/>
      <c r="D812" s="255"/>
      <c r="E812" s="255"/>
      <c r="F812" s="255"/>
      <c r="G812" s="253"/>
      <c r="H812" s="256"/>
      <c r="I812" s="255"/>
      <c r="J812" s="255"/>
      <c r="K812" s="254"/>
      <c r="L812" s="253"/>
    </row>
    <row r="813" spans="3:12" s="244" customFormat="1" x14ac:dyDescent="0.25">
      <c r="C813" s="255"/>
      <c r="D813" s="255"/>
      <c r="E813" s="255"/>
      <c r="F813" s="255"/>
      <c r="G813" s="253"/>
      <c r="H813" s="256"/>
      <c r="I813" s="255"/>
      <c r="J813" s="255"/>
      <c r="K813" s="254"/>
      <c r="L813" s="253"/>
    </row>
    <row r="814" spans="3:12" s="244" customFormat="1" x14ac:dyDescent="0.25">
      <c r="C814" s="255"/>
      <c r="D814" s="255"/>
      <c r="E814" s="255"/>
      <c r="F814" s="255"/>
      <c r="G814" s="253"/>
      <c r="H814" s="256"/>
      <c r="I814" s="255"/>
      <c r="J814" s="255"/>
      <c r="K814" s="254"/>
      <c r="L814" s="253"/>
    </row>
    <row r="815" spans="3:12" s="244" customFormat="1" x14ac:dyDescent="0.25">
      <c r="C815" s="255"/>
      <c r="D815" s="255"/>
      <c r="E815" s="255"/>
      <c r="F815" s="255"/>
      <c r="G815" s="253"/>
      <c r="H815" s="256"/>
      <c r="I815" s="255"/>
      <c r="J815" s="255"/>
      <c r="K815" s="254"/>
      <c r="L815" s="253"/>
    </row>
    <row r="816" spans="3:12" s="244" customFormat="1" x14ac:dyDescent="0.25">
      <c r="C816" s="255"/>
      <c r="D816" s="255"/>
      <c r="E816" s="255"/>
      <c r="F816" s="255"/>
      <c r="G816" s="253"/>
      <c r="H816" s="256"/>
      <c r="I816" s="255"/>
      <c r="J816" s="255"/>
      <c r="K816" s="254"/>
      <c r="L816" s="253"/>
    </row>
    <row r="817" spans="3:12" s="244" customFormat="1" x14ac:dyDescent="0.25">
      <c r="C817" s="255"/>
      <c r="D817" s="255"/>
      <c r="E817" s="255"/>
      <c r="F817" s="255"/>
      <c r="G817" s="253"/>
      <c r="H817" s="256"/>
      <c r="I817" s="255"/>
      <c r="J817" s="255"/>
      <c r="K817" s="254"/>
      <c r="L817" s="253"/>
    </row>
    <row r="818" spans="3:12" s="244" customFormat="1" x14ac:dyDescent="0.25">
      <c r="C818" s="255"/>
      <c r="D818" s="255"/>
      <c r="E818" s="255"/>
      <c r="F818" s="255"/>
      <c r="G818" s="253"/>
      <c r="H818" s="256"/>
      <c r="I818" s="255"/>
      <c r="J818" s="255"/>
      <c r="K818" s="254"/>
      <c r="L818" s="253"/>
    </row>
    <row r="819" spans="3:12" s="244" customFormat="1" x14ac:dyDescent="0.25">
      <c r="C819" s="255"/>
      <c r="D819" s="255"/>
      <c r="E819" s="255"/>
      <c r="F819" s="255"/>
      <c r="G819" s="253"/>
      <c r="H819" s="256"/>
      <c r="I819" s="255"/>
      <c r="J819" s="255"/>
      <c r="K819" s="254"/>
      <c r="L819" s="253"/>
    </row>
    <row r="820" spans="3:12" s="244" customFormat="1" x14ac:dyDescent="0.25">
      <c r="C820" s="255"/>
      <c r="D820" s="255"/>
      <c r="E820" s="255"/>
      <c r="F820" s="255"/>
      <c r="G820" s="253"/>
      <c r="H820" s="256"/>
      <c r="I820" s="255"/>
      <c r="J820" s="255"/>
      <c r="K820" s="254"/>
      <c r="L820" s="253"/>
    </row>
    <row r="821" spans="3:12" s="244" customFormat="1" x14ac:dyDescent="0.25">
      <c r="C821" s="255"/>
      <c r="D821" s="255"/>
      <c r="E821" s="255"/>
      <c r="F821" s="255"/>
      <c r="G821" s="253"/>
      <c r="H821" s="256"/>
      <c r="I821" s="255"/>
      <c r="J821" s="255"/>
      <c r="K821" s="254"/>
      <c r="L821" s="253"/>
    </row>
    <row r="822" spans="3:12" s="244" customFormat="1" x14ac:dyDescent="0.25">
      <c r="C822" s="255"/>
      <c r="D822" s="255"/>
      <c r="E822" s="255"/>
      <c r="F822" s="255"/>
      <c r="G822" s="253"/>
      <c r="H822" s="256"/>
      <c r="I822" s="255"/>
      <c r="J822" s="255"/>
      <c r="K822" s="254"/>
      <c r="L822" s="253"/>
    </row>
    <row r="823" spans="3:12" s="244" customFormat="1" x14ac:dyDescent="0.25">
      <c r="C823" s="255"/>
      <c r="D823" s="255"/>
      <c r="E823" s="255"/>
      <c r="F823" s="255"/>
      <c r="G823" s="253"/>
      <c r="H823" s="256"/>
      <c r="I823" s="255"/>
      <c r="J823" s="255"/>
      <c r="K823" s="254"/>
      <c r="L823" s="253"/>
    </row>
    <row r="824" spans="3:12" s="244" customFormat="1" x14ac:dyDescent="0.25">
      <c r="C824" s="255"/>
      <c r="D824" s="255"/>
      <c r="E824" s="255"/>
      <c r="F824" s="255"/>
      <c r="G824" s="253"/>
      <c r="H824" s="256"/>
      <c r="I824" s="255"/>
      <c r="J824" s="255"/>
      <c r="K824" s="254"/>
      <c r="L824" s="253"/>
    </row>
    <row r="825" spans="3:12" s="244" customFormat="1" x14ac:dyDescent="0.25">
      <c r="C825" s="255"/>
      <c r="D825" s="255"/>
      <c r="E825" s="255"/>
      <c r="F825" s="255"/>
      <c r="G825" s="253"/>
      <c r="H825" s="256"/>
      <c r="I825" s="255"/>
      <c r="J825" s="255"/>
      <c r="K825" s="254"/>
      <c r="L825" s="253"/>
    </row>
    <row r="826" spans="3:12" s="244" customFormat="1" x14ac:dyDescent="0.25">
      <c r="C826" s="255"/>
      <c r="D826" s="255"/>
      <c r="E826" s="255"/>
      <c r="F826" s="255"/>
      <c r="G826" s="253"/>
      <c r="H826" s="256"/>
      <c r="I826" s="255"/>
      <c r="J826" s="255"/>
      <c r="K826" s="254"/>
      <c r="L826" s="253"/>
    </row>
    <row r="827" spans="3:12" s="244" customFormat="1" x14ac:dyDescent="0.25">
      <c r="C827" s="255"/>
      <c r="D827" s="255"/>
      <c r="E827" s="255"/>
      <c r="F827" s="255"/>
      <c r="G827" s="253"/>
      <c r="H827" s="256"/>
      <c r="I827" s="255"/>
      <c r="J827" s="255"/>
      <c r="K827" s="254"/>
      <c r="L827" s="253"/>
    </row>
    <row r="828" spans="3:12" s="244" customFormat="1" x14ac:dyDescent="0.25">
      <c r="C828" s="255"/>
      <c r="D828" s="255"/>
      <c r="E828" s="255"/>
      <c r="F828" s="255"/>
      <c r="G828" s="253"/>
      <c r="H828" s="256"/>
      <c r="I828" s="255"/>
      <c r="J828" s="255"/>
      <c r="K828" s="254"/>
      <c r="L828" s="253"/>
    </row>
    <row r="829" spans="3:12" s="244" customFormat="1" x14ac:dyDescent="0.25">
      <c r="C829" s="255"/>
      <c r="D829" s="255"/>
      <c r="E829" s="255"/>
      <c r="F829" s="255"/>
      <c r="G829" s="253"/>
      <c r="H829" s="256"/>
      <c r="I829" s="255"/>
      <c r="J829" s="255"/>
      <c r="K829" s="254"/>
      <c r="L829" s="253"/>
    </row>
    <row r="830" spans="3:12" s="244" customFormat="1" x14ac:dyDescent="0.25">
      <c r="C830" s="255"/>
      <c r="D830" s="255"/>
      <c r="E830" s="255"/>
      <c r="F830" s="255"/>
      <c r="G830" s="253"/>
      <c r="H830" s="256"/>
      <c r="I830" s="255"/>
      <c r="J830" s="255"/>
      <c r="K830" s="254"/>
      <c r="L830" s="253"/>
    </row>
    <row r="831" spans="3:12" s="244" customFormat="1" x14ac:dyDescent="0.25">
      <c r="C831" s="255"/>
      <c r="D831" s="255"/>
      <c r="E831" s="255"/>
      <c r="F831" s="255"/>
      <c r="G831" s="253"/>
      <c r="H831" s="256"/>
      <c r="I831" s="255"/>
      <c r="J831" s="255"/>
      <c r="K831" s="254"/>
      <c r="L831" s="253"/>
    </row>
    <row r="832" spans="3:12" s="244" customFormat="1" x14ac:dyDescent="0.25">
      <c r="C832" s="255"/>
      <c r="D832" s="255"/>
      <c r="E832" s="255"/>
      <c r="F832" s="255"/>
      <c r="G832" s="253"/>
      <c r="H832" s="256"/>
      <c r="I832" s="255"/>
      <c r="J832" s="255"/>
      <c r="K832" s="254"/>
      <c r="L832" s="253"/>
    </row>
    <row r="833" spans="3:12" s="244" customFormat="1" x14ac:dyDescent="0.25">
      <c r="C833" s="255"/>
      <c r="D833" s="255"/>
      <c r="E833" s="255"/>
      <c r="F833" s="255"/>
      <c r="G833" s="253"/>
      <c r="H833" s="256"/>
      <c r="I833" s="255"/>
      <c r="J833" s="255"/>
      <c r="K833" s="254"/>
      <c r="L833" s="253"/>
    </row>
    <row r="834" spans="3:12" s="244" customFormat="1" x14ac:dyDescent="0.25">
      <c r="C834" s="255"/>
      <c r="D834" s="255"/>
      <c r="E834" s="255"/>
      <c r="F834" s="255"/>
      <c r="G834" s="253"/>
      <c r="H834" s="256"/>
      <c r="I834" s="255"/>
      <c r="J834" s="255"/>
      <c r="K834" s="254"/>
      <c r="L834" s="253"/>
    </row>
    <row r="835" spans="3:12" s="244" customFormat="1" x14ac:dyDescent="0.25">
      <c r="C835" s="255"/>
      <c r="D835" s="255"/>
      <c r="E835" s="255"/>
      <c r="F835" s="255"/>
      <c r="G835" s="253"/>
      <c r="H835" s="256"/>
      <c r="I835" s="255"/>
      <c r="J835" s="255"/>
      <c r="K835" s="254"/>
      <c r="L835" s="253"/>
    </row>
    <row r="836" spans="3:12" s="244" customFormat="1" x14ac:dyDescent="0.25">
      <c r="C836" s="255"/>
      <c r="D836" s="255"/>
      <c r="E836" s="255"/>
      <c r="F836" s="255"/>
      <c r="G836" s="253"/>
      <c r="H836" s="256"/>
      <c r="I836" s="255"/>
      <c r="J836" s="255"/>
      <c r="K836" s="254"/>
      <c r="L836" s="253"/>
    </row>
    <row r="837" spans="3:12" s="244" customFormat="1" x14ac:dyDescent="0.25">
      <c r="C837" s="255"/>
      <c r="D837" s="255"/>
      <c r="E837" s="255"/>
      <c r="F837" s="255"/>
      <c r="G837" s="253"/>
      <c r="H837" s="256"/>
      <c r="I837" s="255"/>
      <c r="J837" s="255"/>
      <c r="K837" s="254"/>
      <c r="L837" s="253"/>
    </row>
    <row r="838" spans="3:12" s="244" customFormat="1" x14ac:dyDescent="0.25">
      <c r="C838" s="255"/>
      <c r="D838" s="255"/>
      <c r="E838" s="255"/>
      <c r="F838" s="255"/>
      <c r="G838" s="253"/>
      <c r="H838" s="256"/>
      <c r="I838" s="255"/>
      <c r="J838" s="255"/>
      <c r="K838" s="254"/>
      <c r="L838" s="253"/>
    </row>
    <row r="839" spans="3:12" s="244" customFormat="1" x14ac:dyDescent="0.25">
      <c r="C839" s="255"/>
      <c r="D839" s="255"/>
      <c r="E839" s="255"/>
      <c r="F839" s="255"/>
      <c r="G839" s="253"/>
      <c r="H839" s="256"/>
      <c r="I839" s="255"/>
      <c r="J839" s="255"/>
      <c r="K839" s="254"/>
      <c r="L839" s="253"/>
    </row>
    <row r="840" spans="3:12" s="244" customFormat="1" x14ac:dyDescent="0.25">
      <c r="C840" s="255"/>
      <c r="D840" s="255"/>
      <c r="E840" s="255"/>
      <c r="F840" s="255"/>
      <c r="G840" s="253"/>
      <c r="H840" s="256"/>
      <c r="I840" s="255"/>
      <c r="J840" s="255"/>
      <c r="K840" s="254"/>
      <c r="L840" s="253"/>
    </row>
    <row r="841" spans="3:12" s="244" customFormat="1" x14ac:dyDescent="0.25">
      <c r="C841" s="255"/>
      <c r="D841" s="255"/>
      <c r="E841" s="255"/>
      <c r="F841" s="255"/>
      <c r="G841" s="253"/>
      <c r="H841" s="256"/>
      <c r="I841" s="255"/>
      <c r="J841" s="255"/>
      <c r="K841" s="254"/>
      <c r="L841" s="253"/>
    </row>
    <row r="842" spans="3:12" s="244" customFormat="1" x14ac:dyDescent="0.25">
      <c r="C842" s="255"/>
      <c r="D842" s="255"/>
      <c r="E842" s="255"/>
      <c r="F842" s="255"/>
      <c r="G842" s="253"/>
      <c r="H842" s="256"/>
      <c r="I842" s="255"/>
      <c r="J842" s="255"/>
      <c r="K842" s="254"/>
      <c r="L842" s="253"/>
    </row>
    <row r="843" spans="3:12" s="244" customFormat="1" x14ac:dyDescent="0.25">
      <c r="C843" s="255"/>
      <c r="D843" s="255"/>
      <c r="E843" s="255"/>
      <c r="F843" s="255"/>
      <c r="G843" s="253"/>
      <c r="H843" s="256"/>
      <c r="I843" s="255"/>
      <c r="J843" s="255"/>
      <c r="K843" s="254"/>
      <c r="L843" s="253"/>
    </row>
    <row r="844" spans="3:12" s="244" customFormat="1" x14ac:dyDescent="0.25">
      <c r="C844" s="255"/>
      <c r="D844" s="255"/>
      <c r="E844" s="255"/>
      <c r="F844" s="255"/>
      <c r="G844" s="253"/>
      <c r="H844" s="256"/>
      <c r="I844" s="255"/>
      <c r="J844" s="255"/>
      <c r="K844" s="254"/>
      <c r="L844" s="253"/>
    </row>
    <row r="845" spans="3:12" s="244" customFormat="1" x14ac:dyDescent="0.25">
      <c r="C845" s="255"/>
      <c r="D845" s="255"/>
      <c r="E845" s="255"/>
      <c r="F845" s="255"/>
      <c r="G845" s="253"/>
      <c r="H845" s="256"/>
      <c r="I845" s="255"/>
      <c r="J845" s="255"/>
      <c r="K845" s="254"/>
      <c r="L845" s="253"/>
    </row>
    <row r="846" spans="3:12" s="244" customFormat="1" x14ac:dyDescent="0.25">
      <c r="C846" s="255"/>
      <c r="D846" s="255"/>
      <c r="E846" s="255"/>
      <c r="F846" s="255"/>
      <c r="G846" s="253"/>
      <c r="H846" s="256"/>
      <c r="I846" s="255"/>
      <c r="J846" s="255"/>
      <c r="K846" s="254"/>
      <c r="L846" s="253"/>
    </row>
    <row r="847" spans="3:12" s="244" customFormat="1" x14ac:dyDescent="0.25">
      <c r="C847" s="255"/>
      <c r="D847" s="255"/>
      <c r="E847" s="255"/>
      <c r="F847" s="255"/>
      <c r="G847" s="253"/>
      <c r="H847" s="256"/>
      <c r="I847" s="255"/>
      <c r="J847" s="255"/>
      <c r="K847" s="254"/>
      <c r="L847" s="253"/>
    </row>
    <row r="848" spans="3:12" s="244" customFormat="1" x14ac:dyDescent="0.25">
      <c r="C848" s="255"/>
      <c r="D848" s="255"/>
      <c r="E848" s="255"/>
      <c r="F848" s="255"/>
      <c r="G848" s="253"/>
      <c r="H848" s="256"/>
      <c r="I848" s="255"/>
      <c r="J848" s="255"/>
      <c r="K848" s="254"/>
      <c r="L848" s="253"/>
    </row>
    <row r="849" spans="3:12" s="244" customFormat="1" x14ac:dyDescent="0.25">
      <c r="C849" s="255"/>
      <c r="D849" s="255"/>
      <c r="E849" s="255"/>
      <c r="F849" s="255"/>
      <c r="G849" s="253"/>
      <c r="H849" s="256"/>
      <c r="I849" s="255"/>
      <c r="J849" s="255"/>
      <c r="K849" s="254"/>
      <c r="L849" s="253"/>
    </row>
    <row r="850" spans="3:12" s="244" customFormat="1" x14ac:dyDescent="0.25">
      <c r="C850" s="255"/>
      <c r="D850" s="255"/>
      <c r="E850" s="255"/>
      <c r="F850" s="255"/>
      <c r="G850" s="253"/>
      <c r="H850" s="256"/>
      <c r="I850" s="255"/>
      <c r="J850" s="255"/>
      <c r="K850" s="254"/>
      <c r="L850" s="253"/>
    </row>
    <row r="851" spans="3:12" s="244" customFormat="1" x14ac:dyDescent="0.25">
      <c r="C851" s="255"/>
      <c r="D851" s="255"/>
      <c r="E851" s="255"/>
      <c r="F851" s="255"/>
      <c r="G851" s="253"/>
      <c r="H851" s="256"/>
      <c r="I851" s="255"/>
      <c r="J851" s="255"/>
      <c r="K851" s="254"/>
      <c r="L851" s="253"/>
    </row>
    <row r="852" spans="3:12" s="244" customFormat="1" x14ac:dyDescent="0.25">
      <c r="C852" s="255"/>
      <c r="D852" s="255"/>
      <c r="E852" s="255"/>
      <c r="F852" s="255"/>
      <c r="G852" s="253"/>
      <c r="H852" s="256"/>
      <c r="I852" s="255"/>
      <c r="J852" s="255"/>
      <c r="K852" s="254"/>
      <c r="L852" s="253"/>
    </row>
    <row r="853" spans="3:12" s="244" customFormat="1" x14ac:dyDescent="0.25">
      <c r="C853" s="255"/>
      <c r="D853" s="255"/>
      <c r="E853" s="255"/>
      <c r="F853" s="255"/>
      <c r="G853" s="253"/>
      <c r="H853" s="256"/>
      <c r="I853" s="255"/>
      <c r="J853" s="255"/>
      <c r="K853" s="254"/>
      <c r="L853" s="253"/>
    </row>
    <row r="854" spans="3:12" s="244" customFormat="1" x14ac:dyDescent="0.25">
      <c r="C854" s="255"/>
      <c r="D854" s="255"/>
      <c r="E854" s="255"/>
      <c r="F854" s="255"/>
      <c r="G854" s="253"/>
      <c r="H854" s="256"/>
      <c r="I854" s="255"/>
      <c r="J854" s="255"/>
      <c r="K854" s="254"/>
      <c r="L854" s="253"/>
    </row>
    <row r="855" spans="3:12" s="244" customFormat="1" x14ac:dyDescent="0.25">
      <c r="C855" s="255"/>
      <c r="D855" s="255"/>
      <c r="E855" s="255"/>
      <c r="F855" s="255"/>
      <c r="G855" s="253"/>
      <c r="H855" s="256"/>
      <c r="I855" s="255"/>
      <c r="J855" s="255"/>
      <c r="K855" s="254"/>
      <c r="L855" s="253"/>
    </row>
    <row r="856" spans="3:12" s="244" customFormat="1" x14ac:dyDescent="0.25">
      <c r="C856" s="255"/>
      <c r="D856" s="255"/>
      <c r="E856" s="255"/>
      <c r="F856" s="255"/>
      <c r="G856" s="253"/>
      <c r="H856" s="256"/>
      <c r="I856" s="255"/>
      <c r="J856" s="255"/>
      <c r="K856" s="254"/>
      <c r="L856" s="253"/>
    </row>
    <row r="857" spans="3:12" s="244" customFormat="1" x14ac:dyDescent="0.25">
      <c r="C857" s="255"/>
      <c r="D857" s="255"/>
      <c r="E857" s="255"/>
      <c r="F857" s="255"/>
      <c r="G857" s="253"/>
      <c r="H857" s="256"/>
      <c r="I857" s="255"/>
      <c r="J857" s="255"/>
      <c r="K857" s="254"/>
      <c r="L857" s="253"/>
    </row>
    <row r="858" spans="3:12" s="244" customFormat="1" x14ac:dyDescent="0.25">
      <c r="C858" s="255"/>
      <c r="D858" s="255"/>
      <c r="E858" s="255"/>
      <c r="F858" s="255"/>
      <c r="G858" s="253"/>
      <c r="H858" s="256"/>
      <c r="I858" s="255"/>
      <c r="J858" s="255"/>
      <c r="K858" s="254"/>
      <c r="L858" s="253"/>
    </row>
    <row r="859" spans="3:12" s="244" customFormat="1" x14ac:dyDescent="0.25">
      <c r="C859" s="255"/>
      <c r="D859" s="255"/>
      <c r="E859" s="255"/>
      <c r="F859" s="255"/>
      <c r="G859" s="253"/>
      <c r="H859" s="256"/>
      <c r="I859" s="255"/>
      <c r="J859" s="255"/>
      <c r="K859" s="254"/>
      <c r="L859" s="253"/>
    </row>
    <row r="860" spans="3:12" s="244" customFormat="1" x14ac:dyDescent="0.25">
      <c r="C860" s="255"/>
      <c r="D860" s="255"/>
      <c r="E860" s="255"/>
      <c r="F860" s="255"/>
      <c r="G860" s="253"/>
      <c r="H860" s="256"/>
      <c r="I860" s="255"/>
      <c r="J860" s="255"/>
      <c r="K860" s="254"/>
      <c r="L860" s="253"/>
    </row>
    <row r="861" spans="3:12" s="244" customFormat="1" x14ac:dyDescent="0.25">
      <c r="C861" s="255"/>
      <c r="D861" s="255"/>
      <c r="E861" s="255"/>
      <c r="F861" s="255"/>
      <c r="G861" s="253"/>
      <c r="H861" s="256"/>
      <c r="I861" s="255"/>
      <c r="J861" s="255"/>
      <c r="K861" s="254"/>
      <c r="L861" s="253"/>
    </row>
    <row r="862" spans="3:12" s="244" customFormat="1" x14ac:dyDescent="0.25">
      <c r="C862" s="255"/>
      <c r="D862" s="255"/>
      <c r="E862" s="255"/>
      <c r="F862" s="255"/>
      <c r="G862" s="253"/>
      <c r="H862" s="256"/>
      <c r="I862" s="255"/>
      <c r="J862" s="255"/>
      <c r="K862" s="254"/>
      <c r="L862" s="253"/>
    </row>
    <row r="863" spans="3:12" s="244" customFormat="1" x14ac:dyDescent="0.25">
      <c r="C863" s="255"/>
      <c r="D863" s="255"/>
      <c r="E863" s="255"/>
      <c r="F863" s="255"/>
      <c r="G863" s="253"/>
      <c r="H863" s="256"/>
      <c r="I863" s="255"/>
      <c r="J863" s="255"/>
      <c r="K863" s="254"/>
      <c r="L863" s="253"/>
    </row>
    <row r="864" spans="3:12" s="244" customFormat="1" x14ac:dyDescent="0.25">
      <c r="C864" s="255"/>
      <c r="D864" s="255"/>
      <c r="E864" s="255"/>
      <c r="F864" s="255"/>
      <c r="G864" s="253"/>
      <c r="H864" s="256"/>
      <c r="I864" s="255"/>
      <c r="J864" s="255"/>
      <c r="K864" s="254"/>
      <c r="L864" s="253"/>
    </row>
    <row r="865" spans="3:12" s="244" customFormat="1" x14ac:dyDescent="0.25">
      <c r="C865" s="255"/>
      <c r="D865" s="255"/>
      <c r="E865" s="255"/>
      <c r="F865" s="255"/>
      <c r="G865" s="253"/>
      <c r="H865" s="256"/>
      <c r="I865" s="255"/>
      <c r="J865" s="255"/>
      <c r="K865" s="254"/>
      <c r="L865" s="253"/>
    </row>
    <row r="866" spans="3:12" s="244" customFormat="1" x14ac:dyDescent="0.25">
      <c r="C866" s="255"/>
      <c r="D866" s="255"/>
      <c r="E866" s="255"/>
      <c r="F866" s="255"/>
      <c r="G866" s="253"/>
      <c r="H866" s="256"/>
      <c r="I866" s="255"/>
      <c r="J866" s="255"/>
      <c r="K866" s="254"/>
      <c r="L866" s="253"/>
    </row>
    <row r="867" spans="3:12" s="244" customFormat="1" x14ac:dyDescent="0.25">
      <c r="C867" s="255"/>
      <c r="D867" s="255"/>
      <c r="E867" s="255"/>
      <c r="F867" s="255"/>
      <c r="G867" s="253"/>
      <c r="H867" s="256"/>
      <c r="I867" s="255"/>
      <c r="J867" s="255"/>
      <c r="K867" s="254"/>
      <c r="L867" s="253"/>
    </row>
    <row r="868" spans="3:12" s="244" customFormat="1" x14ac:dyDescent="0.25">
      <c r="C868" s="255"/>
      <c r="D868" s="255"/>
      <c r="E868" s="255"/>
      <c r="F868" s="255"/>
      <c r="G868" s="253"/>
      <c r="H868" s="256"/>
      <c r="I868" s="255"/>
      <c r="J868" s="255"/>
      <c r="K868" s="254"/>
      <c r="L868" s="253"/>
    </row>
    <row r="869" spans="3:12" s="244" customFormat="1" x14ac:dyDescent="0.25">
      <c r="C869" s="255"/>
      <c r="D869" s="255"/>
      <c r="E869" s="255"/>
      <c r="F869" s="255"/>
      <c r="G869" s="253"/>
      <c r="H869" s="256"/>
      <c r="I869" s="255"/>
      <c r="J869" s="255"/>
      <c r="K869" s="254"/>
      <c r="L869" s="253"/>
    </row>
    <row r="870" spans="3:12" s="244" customFormat="1" x14ac:dyDescent="0.25">
      <c r="C870" s="255"/>
      <c r="D870" s="255"/>
      <c r="E870" s="255"/>
      <c r="F870" s="255"/>
      <c r="G870" s="253"/>
      <c r="H870" s="256"/>
      <c r="I870" s="255"/>
      <c r="J870" s="255"/>
      <c r="K870" s="254"/>
      <c r="L870" s="253"/>
    </row>
    <row r="871" spans="3:12" s="244" customFormat="1" x14ac:dyDescent="0.25">
      <c r="C871" s="255"/>
      <c r="D871" s="255"/>
      <c r="E871" s="255"/>
      <c r="F871" s="255"/>
      <c r="G871" s="253"/>
      <c r="H871" s="256"/>
      <c r="I871" s="255"/>
      <c r="J871" s="255"/>
      <c r="K871" s="254"/>
      <c r="L871" s="253"/>
    </row>
    <row r="872" spans="3:12" s="244" customFormat="1" x14ac:dyDescent="0.25">
      <c r="C872" s="255"/>
      <c r="D872" s="255"/>
      <c r="E872" s="255"/>
      <c r="F872" s="255"/>
      <c r="G872" s="253"/>
      <c r="H872" s="256"/>
      <c r="I872" s="255"/>
      <c r="J872" s="255"/>
      <c r="K872" s="254"/>
      <c r="L872" s="253"/>
    </row>
    <row r="873" spans="3:12" s="244" customFormat="1" x14ac:dyDescent="0.25">
      <c r="C873" s="255"/>
      <c r="D873" s="255"/>
      <c r="E873" s="255"/>
      <c r="F873" s="255"/>
      <c r="G873" s="253"/>
      <c r="H873" s="256"/>
      <c r="I873" s="255"/>
      <c r="J873" s="255"/>
      <c r="K873" s="254"/>
      <c r="L873" s="253"/>
    </row>
    <row r="874" spans="3:12" s="244" customFormat="1" x14ac:dyDescent="0.25">
      <c r="C874" s="255"/>
      <c r="D874" s="255"/>
      <c r="E874" s="255"/>
      <c r="F874" s="255"/>
      <c r="G874" s="253"/>
      <c r="H874" s="256"/>
      <c r="I874" s="255"/>
      <c r="J874" s="255"/>
      <c r="K874" s="254"/>
      <c r="L874" s="253"/>
    </row>
    <row r="875" spans="3:12" s="244" customFormat="1" x14ac:dyDescent="0.25">
      <c r="C875" s="255"/>
      <c r="D875" s="255"/>
      <c r="E875" s="255"/>
      <c r="F875" s="255"/>
      <c r="G875" s="253"/>
      <c r="H875" s="256"/>
      <c r="I875" s="255"/>
      <c r="J875" s="255"/>
      <c r="K875" s="254"/>
      <c r="L875" s="253"/>
    </row>
    <row r="876" spans="3:12" s="244" customFormat="1" x14ac:dyDescent="0.25">
      <c r="C876" s="255"/>
      <c r="D876" s="255"/>
      <c r="E876" s="255"/>
      <c r="F876" s="255"/>
      <c r="G876" s="253"/>
      <c r="H876" s="256"/>
      <c r="I876" s="255"/>
      <c r="J876" s="255"/>
      <c r="K876" s="254"/>
      <c r="L876" s="253"/>
    </row>
    <row r="877" spans="3:12" s="244" customFormat="1" x14ac:dyDescent="0.25">
      <c r="C877" s="255"/>
      <c r="D877" s="255"/>
      <c r="E877" s="255"/>
      <c r="F877" s="255"/>
      <c r="G877" s="253"/>
      <c r="H877" s="256"/>
      <c r="I877" s="255"/>
      <c r="J877" s="255"/>
      <c r="K877" s="254"/>
      <c r="L877" s="253"/>
    </row>
    <row r="878" spans="3:12" s="244" customFormat="1" x14ac:dyDescent="0.25">
      <c r="C878" s="255"/>
      <c r="D878" s="255"/>
      <c r="E878" s="255"/>
      <c r="F878" s="255"/>
      <c r="G878" s="253"/>
      <c r="H878" s="256"/>
      <c r="I878" s="255"/>
      <c r="J878" s="255"/>
      <c r="K878" s="254"/>
      <c r="L878" s="253"/>
    </row>
    <row r="879" spans="3:12" s="244" customFormat="1" x14ac:dyDescent="0.25">
      <c r="C879" s="255"/>
      <c r="D879" s="255"/>
      <c r="E879" s="255"/>
      <c r="F879" s="255"/>
      <c r="G879" s="253"/>
      <c r="H879" s="256"/>
      <c r="I879" s="255"/>
      <c r="J879" s="255"/>
      <c r="K879" s="254"/>
      <c r="L879" s="253"/>
    </row>
    <row r="880" spans="3:12" s="244" customFormat="1" x14ac:dyDescent="0.25">
      <c r="C880" s="255"/>
      <c r="D880" s="255"/>
      <c r="E880" s="255"/>
      <c r="F880" s="255"/>
      <c r="G880" s="253"/>
      <c r="H880" s="256"/>
      <c r="I880" s="255"/>
      <c r="J880" s="255"/>
      <c r="K880" s="254"/>
      <c r="L880" s="253"/>
    </row>
    <row r="881" spans="3:12" s="244" customFormat="1" x14ac:dyDescent="0.25">
      <c r="C881" s="255"/>
      <c r="D881" s="255"/>
      <c r="E881" s="255"/>
      <c r="F881" s="255"/>
      <c r="G881" s="253"/>
      <c r="H881" s="256"/>
      <c r="I881" s="255"/>
      <c r="J881" s="255"/>
      <c r="K881" s="254"/>
      <c r="L881" s="253"/>
    </row>
    <row r="882" spans="3:12" s="244" customFormat="1" x14ac:dyDescent="0.25">
      <c r="C882" s="255"/>
      <c r="D882" s="255"/>
      <c r="E882" s="255"/>
      <c r="F882" s="255"/>
      <c r="G882" s="253"/>
      <c r="H882" s="256"/>
      <c r="I882" s="255"/>
      <c r="J882" s="255"/>
      <c r="K882" s="254"/>
      <c r="L882" s="253"/>
    </row>
    <row r="883" spans="3:12" s="244" customFormat="1" x14ac:dyDescent="0.25">
      <c r="C883" s="255"/>
      <c r="D883" s="255"/>
      <c r="E883" s="255"/>
      <c r="F883" s="255"/>
      <c r="G883" s="253"/>
      <c r="H883" s="256"/>
      <c r="I883" s="255"/>
      <c r="J883" s="255"/>
      <c r="K883" s="254"/>
      <c r="L883" s="253"/>
    </row>
    <row r="884" spans="3:12" s="244" customFormat="1" x14ac:dyDescent="0.25">
      <c r="C884" s="255"/>
      <c r="D884" s="255"/>
      <c r="E884" s="255"/>
      <c r="F884" s="255"/>
      <c r="G884" s="253"/>
      <c r="H884" s="256"/>
      <c r="I884" s="255"/>
      <c r="J884" s="255"/>
      <c r="K884" s="254"/>
      <c r="L884" s="253"/>
    </row>
    <row r="885" spans="3:12" s="244" customFormat="1" x14ac:dyDescent="0.25">
      <c r="C885" s="255"/>
      <c r="D885" s="255"/>
      <c r="E885" s="255"/>
      <c r="F885" s="255"/>
      <c r="G885" s="253"/>
      <c r="H885" s="256"/>
      <c r="I885" s="255"/>
      <c r="J885" s="255"/>
      <c r="K885" s="254"/>
      <c r="L885" s="253"/>
    </row>
    <row r="886" spans="3:12" s="244" customFormat="1" x14ac:dyDescent="0.25">
      <c r="C886" s="255"/>
      <c r="D886" s="255"/>
      <c r="E886" s="255"/>
      <c r="F886" s="255"/>
      <c r="G886" s="253"/>
      <c r="H886" s="256"/>
      <c r="I886" s="255"/>
      <c r="J886" s="255"/>
      <c r="K886" s="254"/>
      <c r="L886" s="253"/>
    </row>
    <row r="887" spans="3:12" s="244" customFormat="1" x14ac:dyDescent="0.25">
      <c r="C887" s="255"/>
      <c r="D887" s="255"/>
      <c r="E887" s="255"/>
      <c r="F887" s="255"/>
      <c r="G887" s="253"/>
      <c r="H887" s="256"/>
      <c r="I887" s="255"/>
      <c r="J887" s="255"/>
      <c r="K887" s="254"/>
      <c r="L887" s="253"/>
    </row>
    <row r="888" spans="3:12" s="244" customFormat="1" x14ac:dyDescent="0.25">
      <c r="C888" s="255"/>
      <c r="D888" s="255"/>
      <c r="E888" s="255"/>
      <c r="F888" s="255"/>
      <c r="G888" s="253"/>
      <c r="H888" s="256"/>
      <c r="I888" s="255"/>
      <c r="J888" s="255"/>
      <c r="K888" s="254"/>
      <c r="L888" s="253"/>
    </row>
    <row r="889" spans="3:12" s="244" customFormat="1" x14ac:dyDescent="0.25">
      <c r="C889" s="255"/>
      <c r="D889" s="255"/>
      <c r="E889" s="255"/>
      <c r="F889" s="255"/>
      <c r="G889" s="253"/>
      <c r="H889" s="256"/>
      <c r="I889" s="255"/>
      <c r="J889" s="255"/>
      <c r="K889" s="254"/>
      <c r="L889" s="253"/>
    </row>
    <row r="890" spans="3:12" s="244" customFormat="1" x14ac:dyDescent="0.25">
      <c r="C890" s="255"/>
      <c r="D890" s="255"/>
      <c r="E890" s="255"/>
      <c r="F890" s="255"/>
      <c r="G890" s="253"/>
      <c r="H890" s="256"/>
      <c r="I890" s="255"/>
      <c r="J890" s="255"/>
      <c r="K890" s="254"/>
      <c r="L890" s="253"/>
    </row>
    <row r="891" spans="3:12" s="244" customFormat="1" x14ac:dyDescent="0.25">
      <c r="C891" s="255"/>
      <c r="D891" s="255"/>
      <c r="E891" s="255"/>
      <c r="F891" s="255"/>
      <c r="G891" s="253"/>
      <c r="H891" s="256"/>
      <c r="I891" s="255"/>
      <c r="J891" s="255"/>
      <c r="K891" s="254"/>
      <c r="L891" s="253"/>
    </row>
    <row r="892" spans="3:12" s="244" customFormat="1" x14ac:dyDescent="0.25">
      <c r="C892" s="255"/>
      <c r="D892" s="255"/>
      <c r="E892" s="255"/>
      <c r="F892" s="255"/>
      <c r="G892" s="253"/>
      <c r="H892" s="256"/>
      <c r="I892" s="255"/>
      <c r="J892" s="255"/>
      <c r="K892" s="254"/>
      <c r="L892" s="253"/>
    </row>
    <row r="893" spans="3:12" s="244" customFormat="1" x14ac:dyDescent="0.25">
      <c r="C893" s="255"/>
      <c r="D893" s="255"/>
      <c r="E893" s="255"/>
      <c r="F893" s="255"/>
      <c r="G893" s="253"/>
      <c r="H893" s="256"/>
      <c r="I893" s="255"/>
      <c r="J893" s="255"/>
      <c r="K893" s="254"/>
      <c r="L893" s="253"/>
    </row>
    <row r="894" spans="3:12" s="244" customFormat="1" x14ac:dyDescent="0.25">
      <c r="C894" s="255"/>
      <c r="D894" s="255"/>
      <c r="E894" s="255"/>
      <c r="F894" s="255"/>
      <c r="G894" s="253"/>
      <c r="H894" s="256"/>
      <c r="I894" s="255"/>
      <c r="J894" s="255"/>
      <c r="K894" s="254"/>
      <c r="L894" s="253"/>
    </row>
    <row r="895" spans="3:12" s="244" customFormat="1" x14ac:dyDescent="0.25">
      <c r="C895" s="255"/>
      <c r="D895" s="255"/>
      <c r="E895" s="255"/>
      <c r="F895" s="255"/>
      <c r="G895" s="253"/>
      <c r="H895" s="256"/>
      <c r="I895" s="255"/>
      <c r="J895" s="255"/>
      <c r="K895" s="254"/>
      <c r="L895" s="253"/>
    </row>
    <row r="896" spans="3:12" s="244" customFormat="1" x14ac:dyDescent="0.25">
      <c r="C896" s="255"/>
      <c r="D896" s="255"/>
      <c r="E896" s="255"/>
      <c r="F896" s="255"/>
      <c r="G896" s="253"/>
      <c r="H896" s="256"/>
      <c r="I896" s="255"/>
      <c r="J896" s="255"/>
      <c r="K896" s="254"/>
      <c r="L896" s="253"/>
    </row>
    <row r="897" spans="3:12" s="244" customFormat="1" x14ac:dyDescent="0.25">
      <c r="C897" s="255"/>
      <c r="D897" s="255"/>
      <c r="E897" s="255"/>
      <c r="F897" s="255"/>
      <c r="G897" s="253"/>
      <c r="H897" s="256"/>
      <c r="I897" s="255"/>
      <c r="J897" s="255"/>
      <c r="K897" s="254"/>
      <c r="L897" s="253"/>
    </row>
    <row r="898" spans="3:12" s="244" customFormat="1" x14ac:dyDescent="0.25">
      <c r="C898" s="255"/>
      <c r="D898" s="255"/>
      <c r="E898" s="255"/>
      <c r="F898" s="255"/>
      <c r="G898" s="253"/>
      <c r="H898" s="256"/>
      <c r="I898" s="255"/>
      <c r="J898" s="255"/>
      <c r="K898" s="254"/>
      <c r="L898" s="253"/>
    </row>
    <row r="899" spans="3:12" s="244" customFormat="1" x14ac:dyDescent="0.25">
      <c r="C899" s="255"/>
      <c r="D899" s="255"/>
      <c r="E899" s="255"/>
      <c r="F899" s="255"/>
      <c r="G899" s="253"/>
      <c r="H899" s="256"/>
      <c r="I899" s="255"/>
      <c r="J899" s="255"/>
      <c r="K899" s="254"/>
      <c r="L899" s="253"/>
    </row>
    <row r="900" spans="3:12" s="244" customFormat="1" x14ac:dyDescent="0.25">
      <c r="C900" s="255"/>
      <c r="D900" s="255"/>
      <c r="E900" s="255"/>
      <c r="F900" s="255"/>
      <c r="G900" s="253"/>
      <c r="H900" s="256"/>
      <c r="I900" s="255"/>
      <c r="J900" s="255"/>
      <c r="K900" s="254"/>
      <c r="L900" s="253"/>
    </row>
    <row r="901" spans="3:12" s="244" customFormat="1" x14ac:dyDescent="0.25">
      <c r="C901" s="255"/>
      <c r="D901" s="255"/>
      <c r="E901" s="255"/>
      <c r="F901" s="255"/>
      <c r="G901" s="253"/>
      <c r="H901" s="256"/>
      <c r="I901" s="255"/>
      <c r="J901" s="255"/>
      <c r="K901" s="254"/>
      <c r="L901" s="253"/>
    </row>
    <row r="902" spans="3:12" s="244" customFormat="1" x14ac:dyDescent="0.25">
      <c r="C902" s="255"/>
      <c r="D902" s="255"/>
      <c r="E902" s="255"/>
      <c r="F902" s="255"/>
      <c r="G902" s="253"/>
      <c r="H902" s="256"/>
      <c r="I902" s="255"/>
      <c r="J902" s="255"/>
      <c r="K902" s="254"/>
      <c r="L902" s="253"/>
    </row>
    <row r="903" spans="3:12" s="244" customFormat="1" x14ac:dyDescent="0.25">
      <c r="C903" s="255"/>
      <c r="D903" s="255"/>
      <c r="E903" s="255"/>
      <c r="F903" s="255"/>
      <c r="G903" s="253"/>
      <c r="H903" s="256"/>
      <c r="I903" s="255"/>
      <c r="J903" s="255"/>
      <c r="K903" s="254"/>
      <c r="L903" s="253"/>
    </row>
    <row r="904" spans="3:12" s="244" customFormat="1" x14ac:dyDescent="0.25">
      <c r="C904" s="255"/>
      <c r="D904" s="255"/>
      <c r="E904" s="255"/>
      <c r="F904" s="255"/>
      <c r="G904" s="253"/>
      <c r="H904" s="256"/>
      <c r="I904" s="255"/>
      <c r="J904" s="255"/>
      <c r="K904" s="254"/>
      <c r="L904" s="253"/>
    </row>
    <row r="905" spans="3:12" s="244" customFormat="1" x14ac:dyDescent="0.25">
      <c r="C905" s="255"/>
      <c r="D905" s="255"/>
      <c r="E905" s="255"/>
      <c r="F905" s="255"/>
      <c r="G905" s="253"/>
      <c r="H905" s="256"/>
      <c r="I905" s="255"/>
      <c r="J905" s="255"/>
      <c r="K905" s="254"/>
      <c r="L905" s="253"/>
    </row>
    <row r="906" spans="3:12" s="244" customFormat="1" x14ac:dyDescent="0.25">
      <c r="C906" s="255"/>
      <c r="D906" s="255"/>
      <c r="E906" s="255"/>
      <c r="F906" s="255"/>
      <c r="G906" s="253"/>
      <c r="H906" s="256"/>
      <c r="I906" s="255"/>
      <c r="J906" s="255"/>
      <c r="K906" s="254"/>
      <c r="L906" s="253"/>
    </row>
    <row r="907" spans="3:12" s="244" customFormat="1" x14ac:dyDescent="0.25">
      <c r="C907" s="255"/>
      <c r="D907" s="255"/>
      <c r="E907" s="255"/>
      <c r="F907" s="255"/>
      <c r="G907" s="253"/>
      <c r="H907" s="256"/>
      <c r="I907" s="255"/>
      <c r="J907" s="255"/>
      <c r="K907" s="254"/>
      <c r="L907" s="253"/>
    </row>
    <row r="908" spans="3:12" s="244" customFormat="1" x14ac:dyDescent="0.25">
      <c r="C908" s="255"/>
      <c r="D908" s="255"/>
      <c r="E908" s="255"/>
      <c r="F908" s="255"/>
      <c r="G908" s="253"/>
      <c r="H908" s="256"/>
      <c r="I908" s="255"/>
      <c r="J908" s="255"/>
      <c r="K908" s="254"/>
      <c r="L908" s="253"/>
    </row>
    <row r="909" spans="3:12" s="244" customFormat="1" x14ac:dyDescent="0.25">
      <c r="C909" s="255"/>
      <c r="D909" s="255"/>
      <c r="E909" s="255"/>
      <c r="F909" s="255"/>
      <c r="G909" s="253"/>
      <c r="H909" s="256"/>
      <c r="I909" s="255"/>
      <c r="J909" s="255"/>
      <c r="K909" s="254"/>
      <c r="L909" s="253"/>
    </row>
    <row r="910" spans="3:12" s="244" customFormat="1" x14ac:dyDescent="0.25">
      <c r="C910" s="255"/>
      <c r="D910" s="255"/>
      <c r="E910" s="255"/>
      <c r="F910" s="255"/>
      <c r="G910" s="253"/>
      <c r="H910" s="256"/>
      <c r="I910" s="255"/>
      <c r="J910" s="255"/>
      <c r="K910" s="254"/>
      <c r="L910" s="253"/>
    </row>
    <row r="911" spans="3:12" s="244" customFormat="1" x14ac:dyDescent="0.25">
      <c r="C911" s="255"/>
      <c r="D911" s="255"/>
      <c r="E911" s="255"/>
      <c r="F911" s="255"/>
      <c r="G911" s="253"/>
      <c r="H911" s="256"/>
      <c r="I911" s="255"/>
      <c r="J911" s="255"/>
      <c r="K911" s="254"/>
      <c r="L911" s="253"/>
    </row>
    <row r="912" spans="3:12" s="244" customFormat="1" x14ac:dyDescent="0.25">
      <c r="C912" s="255"/>
      <c r="D912" s="255"/>
      <c r="E912" s="255"/>
      <c r="F912" s="255"/>
      <c r="G912" s="253"/>
      <c r="H912" s="256"/>
      <c r="I912" s="255"/>
      <c r="J912" s="255"/>
      <c r="K912" s="254"/>
      <c r="L912" s="253"/>
    </row>
    <row r="913" spans="3:12" s="244" customFormat="1" x14ac:dyDescent="0.25">
      <c r="C913" s="255"/>
      <c r="D913" s="255"/>
      <c r="E913" s="255"/>
      <c r="F913" s="255"/>
      <c r="G913" s="253"/>
      <c r="H913" s="256"/>
      <c r="I913" s="255"/>
      <c r="J913" s="255"/>
      <c r="K913" s="254"/>
      <c r="L913" s="253"/>
    </row>
    <row r="914" spans="3:12" s="244" customFormat="1" x14ac:dyDescent="0.25">
      <c r="C914" s="255"/>
      <c r="D914" s="255"/>
      <c r="E914" s="255"/>
      <c r="F914" s="255"/>
      <c r="G914" s="253"/>
      <c r="H914" s="256"/>
      <c r="I914" s="255"/>
      <c r="J914" s="255"/>
      <c r="K914" s="254"/>
      <c r="L914" s="253"/>
    </row>
    <row r="915" spans="3:12" s="244" customFormat="1" x14ac:dyDescent="0.25">
      <c r="C915" s="255"/>
      <c r="D915" s="255"/>
      <c r="E915" s="255"/>
      <c r="F915" s="255"/>
      <c r="G915" s="253"/>
      <c r="H915" s="256"/>
      <c r="I915" s="255"/>
      <c r="J915" s="255"/>
      <c r="K915" s="254"/>
      <c r="L915" s="253"/>
    </row>
    <row r="916" spans="3:12" s="244" customFormat="1" x14ac:dyDescent="0.25">
      <c r="C916" s="255"/>
      <c r="D916" s="255"/>
      <c r="E916" s="255"/>
      <c r="F916" s="255"/>
      <c r="G916" s="253"/>
      <c r="H916" s="256"/>
      <c r="I916" s="255"/>
      <c r="J916" s="255"/>
      <c r="K916" s="254"/>
      <c r="L916" s="253"/>
    </row>
    <row r="917" spans="3:12" s="244" customFormat="1" x14ac:dyDescent="0.25">
      <c r="C917" s="255"/>
      <c r="D917" s="255"/>
      <c r="E917" s="255"/>
      <c r="F917" s="255"/>
      <c r="G917" s="253"/>
      <c r="H917" s="256"/>
      <c r="I917" s="255"/>
      <c r="J917" s="255"/>
      <c r="K917" s="254"/>
      <c r="L917" s="253"/>
    </row>
    <row r="918" spans="3:12" s="244" customFormat="1" x14ac:dyDescent="0.25">
      <c r="C918" s="255"/>
      <c r="D918" s="255"/>
      <c r="E918" s="255"/>
      <c r="F918" s="255"/>
      <c r="G918" s="253"/>
      <c r="H918" s="256"/>
      <c r="I918" s="255"/>
      <c r="J918" s="255"/>
      <c r="K918" s="254"/>
      <c r="L918" s="253"/>
    </row>
    <row r="919" spans="3:12" s="244" customFormat="1" x14ac:dyDescent="0.25">
      <c r="C919" s="255"/>
      <c r="D919" s="255"/>
      <c r="E919" s="255"/>
      <c r="F919" s="255"/>
      <c r="G919" s="253"/>
      <c r="H919" s="256"/>
      <c r="I919" s="255"/>
      <c r="J919" s="255"/>
      <c r="K919" s="254"/>
      <c r="L919" s="253"/>
    </row>
    <row r="920" spans="3:12" s="244" customFormat="1" x14ac:dyDescent="0.25">
      <c r="C920" s="255"/>
      <c r="D920" s="255"/>
      <c r="E920" s="255"/>
      <c r="F920" s="255"/>
      <c r="G920" s="253"/>
      <c r="H920" s="256"/>
      <c r="I920" s="255"/>
      <c r="J920" s="255"/>
      <c r="K920" s="254"/>
      <c r="L920" s="253"/>
    </row>
    <row r="921" spans="3:12" s="244" customFormat="1" x14ac:dyDescent="0.25">
      <c r="C921" s="255"/>
      <c r="D921" s="255"/>
      <c r="E921" s="255"/>
      <c r="F921" s="255"/>
      <c r="G921" s="253"/>
      <c r="H921" s="256"/>
      <c r="I921" s="255"/>
      <c r="J921" s="255"/>
      <c r="K921" s="254"/>
      <c r="L921" s="253"/>
    </row>
    <row r="922" spans="3:12" s="244" customFormat="1" x14ac:dyDescent="0.25">
      <c r="C922" s="255"/>
      <c r="D922" s="255"/>
      <c r="E922" s="255"/>
      <c r="F922" s="255"/>
      <c r="G922" s="253"/>
      <c r="H922" s="256"/>
      <c r="I922" s="255"/>
      <c r="J922" s="255"/>
      <c r="K922" s="254"/>
      <c r="L922" s="253"/>
    </row>
    <row r="923" spans="3:12" s="244" customFormat="1" x14ac:dyDescent="0.25">
      <c r="C923" s="255"/>
      <c r="D923" s="255"/>
      <c r="E923" s="255"/>
      <c r="F923" s="255"/>
      <c r="G923" s="253"/>
      <c r="H923" s="256"/>
      <c r="I923" s="255"/>
      <c r="J923" s="255"/>
      <c r="K923" s="254"/>
      <c r="L923" s="253"/>
    </row>
    <row r="924" spans="3:12" s="244" customFormat="1" x14ac:dyDescent="0.25">
      <c r="C924" s="255"/>
      <c r="D924" s="255"/>
      <c r="E924" s="255"/>
      <c r="F924" s="255"/>
      <c r="G924" s="253"/>
      <c r="H924" s="256"/>
      <c r="I924" s="255"/>
      <c r="J924" s="255"/>
      <c r="K924" s="254"/>
      <c r="L924" s="253"/>
    </row>
    <row r="925" spans="3:12" s="244" customFormat="1" x14ac:dyDescent="0.25">
      <c r="C925" s="255"/>
      <c r="D925" s="255"/>
      <c r="E925" s="255"/>
      <c r="F925" s="255"/>
      <c r="G925" s="253"/>
      <c r="H925" s="256"/>
      <c r="I925" s="255"/>
      <c r="J925" s="255"/>
      <c r="K925" s="254"/>
      <c r="L925" s="253"/>
    </row>
    <row r="926" spans="3:12" s="244" customFormat="1" x14ac:dyDescent="0.25">
      <c r="C926" s="255"/>
      <c r="D926" s="255"/>
      <c r="E926" s="255"/>
      <c r="F926" s="255"/>
      <c r="G926" s="253"/>
      <c r="H926" s="256"/>
      <c r="I926" s="255"/>
      <c r="J926" s="255"/>
      <c r="K926" s="254"/>
      <c r="L926" s="253"/>
    </row>
    <row r="927" spans="3:12" s="244" customFormat="1" x14ac:dyDescent="0.25">
      <c r="C927" s="255"/>
      <c r="D927" s="255"/>
      <c r="E927" s="255"/>
      <c r="F927" s="255"/>
      <c r="G927" s="253"/>
      <c r="H927" s="256"/>
      <c r="I927" s="255"/>
      <c r="J927" s="255"/>
      <c r="K927" s="254"/>
      <c r="L927" s="253"/>
    </row>
    <row r="928" spans="3:12" s="244" customFormat="1" x14ac:dyDescent="0.25">
      <c r="C928" s="255"/>
      <c r="D928" s="255"/>
      <c r="E928" s="255"/>
      <c r="F928" s="255"/>
      <c r="G928" s="253"/>
      <c r="H928" s="256"/>
      <c r="I928" s="255"/>
      <c r="J928" s="255"/>
      <c r="K928" s="254"/>
      <c r="L928" s="253"/>
    </row>
    <row r="929" spans="3:12" s="244" customFormat="1" x14ac:dyDescent="0.25">
      <c r="C929" s="255"/>
      <c r="D929" s="255"/>
      <c r="E929" s="255"/>
      <c r="F929" s="255"/>
      <c r="G929" s="253"/>
      <c r="H929" s="256"/>
      <c r="I929" s="255"/>
      <c r="J929" s="255"/>
      <c r="K929" s="254"/>
      <c r="L929" s="253"/>
    </row>
    <row r="930" spans="3:12" s="244" customFormat="1" x14ac:dyDescent="0.25">
      <c r="C930" s="255"/>
      <c r="D930" s="255"/>
      <c r="E930" s="255"/>
      <c r="F930" s="255"/>
      <c r="G930" s="253"/>
      <c r="H930" s="256"/>
      <c r="I930" s="255"/>
      <c r="J930" s="255"/>
      <c r="K930" s="254"/>
      <c r="L930" s="253"/>
    </row>
    <row r="931" spans="3:12" s="244" customFormat="1" x14ac:dyDescent="0.25">
      <c r="C931" s="255"/>
      <c r="D931" s="255"/>
      <c r="E931" s="255"/>
      <c r="F931" s="255"/>
      <c r="G931" s="253"/>
      <c r="H931" s="256"/>
      <c r="I931" s="255"/>
      <c r="J931" s="255"/>
      <c r="K931" s="254"/>
      <c r="L931" s="253"/>
    </row>
    <row r="932" spans="3:12" s="244" customFormat="1" x14ac:dyDescent="0.25">
      <c r="C932" s="255"/>
      <c r="D932" s="255"/>
      <c r="E932" s="255"/>
      <c r="F932" s="255"/>
      <c r="G932" s="253"/>
      <c r="H932" s="256"/>
      <c r="I932" s="255"/>
      <c r="J932" s="255"/>
      <c r="K932" s="254"/>
      <c r="L932" s="253"/>
    </row>
    <row r="933" spans="3:12" s="244" customFormat="1" x14ac:dyDescent="0.25">
      <c r="C933" s="255"/>
      <c r="D933" s="255"/>
      <c r="E933" s="255"/>
      <c r="F933" s="255"/>
      <c r="G933" s="253"/>
      <c r="H933" s="256"/>
      <c r="I933" s="255"/>
      <c r="J933" s="255"/>
      <c r="K933" s="254"/>
      <c r="L933" s="253"/>
    </row>
    <row r="934" spans="3:12" s="244" customFormat="1" x14ac:dyDescent="0.25">
      <c r="C934" s="255"/>
      <c r="D934" s="255"/>
      <c r="E934" s="255"/>
      <c r="F934" s="255"/>
      <c r="G934" s="253"/>
      <c r="H934" s="256"/>
      <c r="I934" s="255"/>
      <c r="J934" s="255"/>
      <c r="K934" s="254"/>
      <c r="L934" s="253"/>
    </row>
    <row r="935" spans="3:12" s="244" customFormat="1" x14ac:dyDescent="0.25">
      <c r="C935" s="255"/>
      <c r="D935" s="255"/>
      <c r="E935" s="255"/>
      <c r="F935" s="255"/>
      <c r="G935" s="253"/>
      <c r="H935" s="256"/>
      <c r="I935" s="255"/>
      <c r="J935" s="255"/>
      <c r="K935" s="254"/>
      <c r="L935" s="253"/>
    </row>
    <row r="936" spans="3:12" s="244" customFormat="1" x14ac:dyDescent="0.25">
      <c r="C936" s="255"/>
      <c r="D936" s="255"/>
      <c r="E936" s="255"/>
      <c r="F936" s="255"/>
      <c r="G936" s="253"/>
      <c r="H936" s="256"/>
      <c r="I936" s="255"/>
      <c r="J936" s="255"/>
      <c r="K936" s="254"/>
      <c r="L936" s="253"/>
    </row>
    <row r="937" spans="3:12" s="244" customFormat="1" x14ac:dyDescent="0.25">
      <c r="C937" s="255"/>
      <c r="D937" s="255"/>
      <c r="E937" s="255"/>
      <c r="F937" s="255"/>
      <c r="G937" s="253"/>
      <c r="H937" s="256"/>
      <c r="I937" s="255"/>
      <c r="J937" s="255"/>
      <c r="K937" s="254"/>
      <c r="L937" s="253"/>
    </row>
    <row r="938" spans="3:12" s="244" customFormat="1" x14ac:dyDescent="0.25">
      <c r="C938" s="255"/>
      <c r="D938" s="255"/>
      <c r="E938" s="255"/>
      <c r="F938" s="255"/>
      <c r="G938" s="253"/>
      <c r="H938" s="256"/>
      <c r="I938" s="255"/>
      <c r="J938" s="255"/>
      <c r="K938" s="254"/>
      <c r="L938" s="253"/>
    </row>
    <row r="939" spans="3:12" s="244" customFormat="1" x14ac:dyDescent="0.25">
      <c r="C939" s="255"/>
      <c r="D939" s="255"/>
      <c r="E939" s="255"/>
      <c r="F939" s="255"/>
      <c r="G939" s="253"/>
      <c r="H939" s="256"/>
      <c r="I939" s="255"/>
      <c r="J939" s="255"/>
      <c r="K939" s="254"/>
      <c r="L939" s="253"/>
    </row>
    <row r="940" spans="3:12" s="244" customFormat="1" x14ac:dyDescent="0.25">
      <c r="C940" s="255"/>
      <c r="D940" s="255"/>
      <c r="E940" s="255"/>
      <c r="F940" s="255"/>
      <c r="G940" s="253"/>
      <c r="H940" s="256"/>
      <c r="I940" s="255"/>
      <c r="J940" s="255"/>
      <c r="K940" s="254"/>
      <c r="L940" s="253"/>
    </row>
    <row r="941" spans="3:12" s="244" customFormat="1" x14ac:dyDescent="0.25">
      <c r="C941" s="255"/>
      <c r="D941" s="255"/>
      <c r="E941" s="255"/>
      <c r="F941" s="255"/>
      <c r="G941" s="253"/>
      <c r="H941" s="256"/>
      <c r="I941" s="255"/>
      <c r="J941" s="255"/>
      <c r="K941" s="254"/>
      <c r="L941" s="253"/>
    </row>
    <row r="942" spans="3:12" s="244" customFormat="1" x14ac:dyDescent="0.25">
      <c r="C942" s="255"/>
      <c r="D942" s="255"/>
      <c r="E942" s="255"/>
      <c r="F942" s="255"/>
      <c r="G942" s="253"/>
      <c r="H942" s="256"/>
      <c r="I942" s="255"/>
      <c r="J942" s="255"/>
      <c r="K942" s="254"/>
      <c r="L942" s="253"/>
    </row>
    <row r="943" spans="3:12" s="244" customFormat="1" x14ac:dyDescent="0.25">
      <c r="C943" s="255"/>
      <c r="D943" s="255"/>
      <c r="E943" s="255"/>
      <c r="F943" s="255"/>
      <c r="G943" s="253"/>
      <c r="H943" s="256"/>
      <c r="I943" s="255"/>
      <c r="J943" s="255"/>
      <c r="K943" s="254"/>
      <c r="L943" s="253"/>
    </row>
    <row r="944" spans="3:12" s="244" customFormat="1" x14ac:dyDescent="0.25">
      <c r="C944" s="255"/>
      <c r="D944" s="255"/>
      <c r="E944" s="255"/>
      <c r="F944" s="255"/>
      <c r="G944" s="253"/>
      <c r="H944" s="256"/>
      <c r="I944" s="255"/>
      <c r="J944" s="255"/>
      <c r="K944" s="254"/>
      <c r="L944" s="253"/>
    </row>
    <row r="945" spans="3:12" s="244" customFormat="1" x14ac:dyDescent="0.25">
      <c r="C945" s="255"/>
      <c r="D945" s="255"/>
      <c r="E945" s="255"/>
      <c r="F945" s="255"/>
      <c r="G945" s="253"/>
      <c r="H945" s="256"/>
      <c r="I945" s="255"/>
      <c r="J945" s="255"/>
      <c r="K945" s="254"/>
      <c r="L945" s="253"/>
    </row>
    <row r="946" spans="3:12" s="244" customFormat="1" x14ac:dyDescent="0.25">
      <c r="C946" s="255"/>
      <c r="D946" s="255"/>
      <c r="E946" s="255"/>
      <c r="F946" s="255"/>
      <c r="G946" s="253"/>
      <c r="H946" s="256"/>
      <c r="I946" s="255"/>
      <c r="J946" s="255"/>
      <c r="K946" s="254"/>
      <c r="L946" s="253"/>
    </row>
    <row r="947" spans="3:12" s="244" customFormat="1" x14ac:dyDescent="0.25">
      <c r="C947" s="255"/>
      <c r="D947" s="255"/>
      <c r="E947" s="255"/>
      <c r="F947" s="255"/>
      <c r="G947" s="253"/>
      <c r="H947" s="256"/>
      <c r="I947" s="255"/>
      <c r="J947" s="255"/>
      <c r="K947" s="254"/>
      <c r="L947" s="253"/>
    </row>
    <row r="948" spans="3:12" s="244" customFormat="1" x14ac:dyDescent="0.25">
      <c r="C948" s="255"/>
      <c r="D948" s="255"/>
      <c r="E948" s="255"/>
      <c r="F948" s="255"/>
      <c r="G948" s="253"/>
      <c r="H948" s="256"/>
      <c r="I948" s="255"/>
      <c r="J948" s="255"/>
      <c r="K948" s="254"/>
      <c r="L948" s="253"/>
    </row>
    <row r="949" spans="3:12" s="244" customFormat="1" x14ac:dyDescent="0.25">
      <c r="C949" s="255"/>
      <c r="D949" s="255"/>
      <c r="E949" s="255"/>
      <c r="F949" s="255"/>
      <c r="G949" s="253"/>
      <c r="H949" s="256"/>
      <c r="I949" s="255"/>
      <c r="J949" s="255"/>
      <c r="K949" s="254"/>
      <c r="L949" s="253"/>
    </row>
    <row r="950" spans="3:12" s="244" customFormat="1" x14ac:dyDescent="0.25">
      <c r="C950" s="255"/>
      <c r="D950" s="255"/>
      <c r="E950" s="255"/>
      <c r="F950" s="255"/>
      <c r="G950" s="253"/>
      <c r="H950" s="256"/>
      <c r="I950" s="255"/>
      <c r="J950" s="255"/>
      <c r="K950" s="254"/>
      <c r="L950" s="253"/>
    </row>
    <row r="951" spans="3:12" s="244" customFormat="1" x14ac:dyDescent="0.25">
      <c r="C951" s="255"/>
      <c r="D951" s="255"/>
      <c r="E951" s="255"/>
      <c r="F951" s="255"/>
      <c r="G951" s="253"/>
      <c r="H951" s="256"/>
      <c r="I951" s="255"/>
      <c r="J951" s="255"/>
      <c r="K951" s="254"/>
      <c r="L951" s="253"/>
    </row>
    <row r="952" spans="3:12" s="244" customFormat="1" x14ac:dyDescent="0.25">
      <c r="C952" s="255"/>
      <c r="D952" s="255"/>
      <c r="E952" s="255"/>
      <c r="F952" s="255"/>
      <c r="G952" s="253"/>
      <c r="H952" s="256"/>
      <c r="I952" s="255"/>
      <c r="J952" s="255"/>
      <c r="K952" s="254"/>
      <c r="L952" s="253"/>
    </row>
    <row r="953" spans="3:12" s="244" customFormat="1" x14ac:dyDescent="0.25">
      <c r="C953" s="255"/>
      <c r="D953" s="255"/>
      <c r="E953" s="255"/>
      <c r="F953" s="255"/>
      <c r="G953" s="253"/>
      <c r="H953" s="256"/>
      <c r="I953" s="255"/>
      <c r="J953" s="255"/>
      <c r="K953" s="254"/>
      <c r="L953" s="253"/>
    </row>
    <row r="954" spans="3:12" s="244" customFormat="1" x14ac:dyDescent="0.25">
      <c r="C954" s="255"/>
      <c r="D954" s="255"/>
      <c r="E954" s="255"/>
      <c r="F954" s="255"/>
      <c r="G954" s="253"/>
      <c r="H954" s="256"/>
      <c r="I954" s="255"/>
      <c r="J954" s="255"/>
      <c r="K954" s="254"/>
      <c r="L954" s="253"/>
    </row>
    <row r="955" spans="3:12" s="244" customFormat="1" x14ac:dyDescent="0.25">
      <c r="C955" s="255"/>
      <c r="D955" s="255"/>
      <c r="E955" s="255"/>
      <c r="F955" s="255"/>
      <c r="G955" s="253"/>
      <c r="H955" s="256"/>
      <c r="I955" s="255"/>
      <c r="J955" s="255"/>
      <c r="K955" s="254"/>
      <c r="L955" s="253"/>
    </row>
    <row r="956" spans="3:12" s="244" customFormat="1" x14ac:dyDescent="0.25">
      <c r="C956" s="255"/>
      <c r="D956" s="255"/>
      <c r="E956" s="255"/>
      <c r="F956" s="255"/>
      <c r="G956" s="253"/>
      <c r="H956" s="256"/>
      <c r="I956" s="255"/>
      <c r="J956" s="255"/>
      <c r="K956" s="254"/>
      <c r="L956" s="253"/>
    </row>
    <row r="957" spans="3:12" s="244" customFormat="1" x14ac:dyDescent="0.25">
      <c r="C957" s="255"/>
      <c r="D957" s="255"/>
      <c r="E957" s="255"/>
      <c r="F957" s="255"/>
      <c r="G957" s="253"/>
      <c r="H957" s="256"/>
      <c r="I957" s="255"/>
      <c r="J957" s="255"/>
      <c r="K957" s="254"/>
      <c r="L957" s="253"/>
    </row>
    <row r="958" spans="3:12" s="244" customFormat="1" x14ac:dyDescent="0.25">
      <c r="C958" s="255"/>
      <c r="D958" s="255"/>
      <c r="E958" s="255"/>
      <c r="F958" s="255"/>
      <c r="G958" s="253"/>
      <c r="H958" s="256"/>
      <c r="I958" s="255"/>
      <c r="J958" s="255"/>
      <c r="K958" s="254"/>
      <c r="L958" s="253"/>
    </row>
    <row r="959" spans="3:12" s="244" customFormat="1" x14ac:dyDescent="0.25">
      <c r="C959" s="255"/>
      <c r="D959" s="255"/>
      <c r="E959" s="255"/>
      <c r="F959" s="255"/>
      <c r="G959" s="253"/>
      <c r="H959" s="256"/>
      <c r="I959" s="255"/>
      <c r="J959" s="255"/>
      <c r="K959" s="254"/>
      <c r="L959" s="253"/>
    </row>
    <row r="960" spans="3:12" s="244" customFormat="1" x14ac:dyDescent="0.25">
      <c r="C960" s="255"/>
      <c r="D960" s="255"/>
      <c r="E960" s="255"/>
      <c r="F960" s="255"/>
      <c r="G960" s="253"/>
      <c r="H960" s="256"/>
      <c r="I960" s="255"/>
      <c r="J960" s="255"/>
      <c r="K960" s="254"/>
      <c r="L960" s="253"/>
    </row>
    <row r="961" spans="3:12" s="244" customFormat="1" x14ac:dyDescent="0.25">
      <c r="C961" s="255"/>
      <c r="D961" s="255"/>
      <c r="E961" s="255"/>
      <c r="F961" s="255"/>
      <c r="G961" s="253"/>
      <c r="H961" s="256"/>
      <c r="I961" s="255"/>
      <c r="J961" s="255"/>
      <c r="K961" s="254"/>
      <c r="L961" s="253"/>
    </row>
    <row r="962" spans="3:12" s="244" customFormat="1" x14ac:dyDescent="0.25">
      <c r="C962" s="255"/>
      <c r="D962" s="255"/>
      <c r="E962" s="255"/>
      <c r="F962" s="255"/>
      <c r="G962" s="253"/>
      <c r="H962" s="256"/>
      <c r="I962" s="255"/>
      <c r="J962" s="255"/>
      <c r="K962" s="254"/>
      <c r="L962" s="253"/>
    </row>
    <row r="963" spans="3:12" s="244" customFormat="1" x14ac:dyDescent="0.25">
      <c r="C963" s="255"/>
      <c r="D963" s="255"/>
      <c r="E963" s="255"/>
      <c r="F963" s="255"/>
      <c r="G963" s="253"/>
      <c r="H963" s="256"/>
      <c r="I963" s="255"/>
      <c r="J963" s="255"/>
      <c r="K963" s="254"/>
      <c r="L963" s="253"/>
    </row>
    <row r="964" spans="3:12" s="244" customFormat="1" x14ac:dyDescent="0.25">
      <c r="C964" s="255"/>
      <c r="D964" s="255"/>
      <c r="E964" s="255"/>
      <c r="F964" s="255"/>
      <c r="G964" s="253"/>
      <c r="H964" s="256"/>
      <c r="I964" s="255"/>
      <c r="J964" s="255"/>
      <c r="K964" s="254"/>
      <c r="L964" s="253"/>
    </row>
    <row r="965" spans="3:12" s="244" customFormat="1" x14ac:dyDescent="0.25">
      <c r="C965" s="255"/>
      <c r="D965" s="255"/>
      <c r="E965" s="255"/>
      <c r="F965" s="255"/>
      <c r="G965" s="253"/>
      <c r="H965" s="256"/>
      <c r="I965" s="255"/>
      <c r="J965" s="255"/>
      <c r="K965" s="254"/>
      <c r="L965" s="253"/>
    </row>
    <row r="966" spans="3:12" s="244" customFormat="1" x14ac:dyDescent="0.25">
      <c r="C966" s="255"/>
      <c r="D966" s="255"/>
      <c r="E966" s="255"/>
      <c r="F966" s="255"/>
      <c r="G966" s="253"/>
      <c r="H966" s="256"/>
      <c r="I966" s="255"/>
      <c r="J966" s="255"/>
      <c r="K966" s="254"/>
      <c r="L966" s="253"/>
    </row>
    <row r="967" spans="3:12" s="244" customFormat="1" x14ac:dyDescent="0.25">
      <c r="C967" s="255"/>
      <c r="D967" s="255"/>
      <c r="E967" s="255"/>
      <c r="F967" s="255"/>
      <c r="G967" s="253"/>
      <c r="H967" s="256"/>
      <c r="I967" s="255"/>
      <c r="J967" s="255"/>
      <c r="K967" s="254"/>
      <c r="L967" s="253"/>
    </row>
    <row r="968" spans="3:12" s="244" customFormat="1" x14ac:dyDescent="0.25">
      <c r="C968" s="255"/>
      <c r="D968" s="255"/>
      <c r="E968" s="255"/>
      <c r="F968" s="255"/>
      <c r="G968" s="253"/>
      <c r="H968" s="256"/>
      <c r="I968" s="255"/>
      <c r="J968" s="255"/>
      <c r="K968" s="254"/>
      <c r="L968" s="253"/>
    </row>
    <row r="969" spans="3:12" s="244" customFormat="1" x14ac:dyDescent="0.25">
      <c r="C969" s="255"/>
      <c r="D969" s="255"/>
      <c r="E969" s="255"/>
      <c r="F969" s="255"/>
      <c r="G969" s="253"/>
      <c r="H969" s="256"/>
      <c r="I969" s="255"/>
      <c r="J969" s="255"/>
      <c r="K969" s="254"/>
      <c r="L969" s="253"/>
    </row>
    <row r="970" spans="3:12" s="244" customFormat="1" x14ac:dyDescent="0.25">
      <c r="C970" s="255"/>
      <c r="D970" s="255"/>
      <c r="E970" s="255"/>
      <c r="F970" s="255"/>
      <c r="G970" s="253"/>
      <c r="H970" s="256"/>
      <c r="I970" s="255"/>
      <c r="J970" s="255"/>
      <c r="K970" s="254"/>
      <c r="L970" s="253"/>
    </row>
    <row r="971" spans="3:12" s="244" customFormat="1" x14ac:dyDescent="0.25">
      <c r="C971" s="255"/>
      <c r="D971" s="255"/>
      <c r="E971" s="255"/>
      <c r="F971" s="255"/>
      <c r="G971" s="253"/>
      <c r="H971" s="256"/>
      <c r="I971" s="255"/>
      <c r="J971" s="255"/>
      <c r="K971" s="254"/>
      <c r="L971" s="253"/>
    </row>
    <row r="972" spans="3:12" s="244" customFormat="1" x14ac:dyDescent="0.25">
      <c r="C972" s="255"/>
      <c r="D972" s="255"/>
      <c r="E972" s="255"/>
      <c r="F972" s="255"/>
      <c r="G972" s="253"/>
      <c r="H972" s="256"/>
      <c r="I972" s="255"/>
      <c r="J972" s="255"/>
      <c r="K972" s="254"/>
      <c r="L972" s="253"/>
    </row>
    <row r="973" spans="3:12" s="244" customFormat="1" x14ac:dyDescent="0.25">
      <c r="C973" s="255"/>
      <c r="D973" s="255"/>
      <c r="E973" s="255"/>
      <c r="F973" s="255"/>
      <c r="G973" s="253"/>
      <c r="H973" s="256"/>
      <c r="I973" s="255"/>
      <c r="J973" s="255"/>
      <c r="K973" s="254"/>
      <c r="L973" s="253"/>
    </row>
    <row r="974" spans="3:12" s="244" customFormat="1" x14ac:dyDescent="0.25">
      <c r="C974" s="255"/>
      <c r="D974" s="255"/>
      <c r="E974" s="255"/>
      <c r="F974" s="255"/>
      <c r="G974" s="253"/>
      <c r="H974" s="256"/>
      <c r="I974" s="255"/>
      <c r="J974" s="255"/>
      <c r="K974" s="254"/>
      <c r="L974" s="253"/>
    </row>
    <row r="975" spans="3:12" s="244" customFormat="1" x14ac:dyDescent="0.25">
      <c r="C975" s="255"/>
      <c r="D975" s="255"/>
      <c r="E975" s="255"/>
      <c r="F975" s="255"/>
      <c r="G975" s="253"/>
      <c r="H975" s="256"/>
      <c r="I975" s="255"/>
      <c r="J975" s="255"/>
      <c r="K975" s="254"/>
      <c r="L975" s="253"/>
    </row>
    <row r="976" spans="3:12" s="244" customFormat="1" x14ac:dyDescent="0.25">
      <c r="C976" s="255"/>
      <c r="D976" s="255"/>
      <c r="E976" s="255"/>
      <c r="F976" s="255"/>
      <c r="G976" s="253"/>
      <c r="H976" s="256"/>
      <c r="I976" s="255"/>
      <c r="J976" s="255"/>
      <c r="K976" s="254"/>
      <c r="L976" s="253"/>
    </row>
    <row r="977" spans="3:12" s="244" customFormat="1" x14ac:dyDescent="0.25">
      <c r="C977" s="255"/>
      <c r="D977" s="255"/>
      <c r="E977" s="255"/>
      <c r="F977" s="255"/>
      <c r="G977" s="253"/>
      <c r="H977" s="256"/>
      <c r="I977" s="255"/>
      <c r="J977" s="255"/>
      <c r="K977" s="254"/>
      <c r="L977" s="253"/>
    </row>
    <row r="978" spans="3:12" s="244" customFormat="1" x14ac:dyDescent="0.25">
      <c r="C978" s="255"/>
      <c r="D978" s="255"/>
      <c r="E978" s="255"/>
      <c r="F978" s="255"/>
      <c r="G978" s="253"/>
      <c r="H978" s="256"/>
      <c r="I978" s="255"/>
      <c r="J978" s="255"/>
      <c r="K978" s="254"/>
      <c r="L978" s="253"/>
    </row>
    <row r="979" spans="3:12" s="244" customFormat="1" x14ac:dyDescent="0.25">
      <c r="C979" s="255"/>
      <c r="D979" s="255"/>
      <c r="E979" s="255"/>
      <c r="F979" s="255"/>
      <c r="G979" s="253"/>
      <c r="H979" s="256"/>
      <c r="I979" s="255"/>
      <c r="J979" s="255"/>
      <c r="K979" s="254"/>
      <c r="L979" s="253"/>
    </row>
    <row r="980" spans="3:12" s="244" customFormat="1" x14ac:dyDescent="0.25">
      <c r="C980" s="255"/>
      <c r="D980" s="255"/>
      <c r="E980" s="255"/>
      <c r="F980" s="255"/>
      <c r="G980" s="253"/>
      <c r="H980" s="256"/>
      <c r="I980" s="255"/>
      <c r="J980" s="255"/>
      <c r="K980" s="254"/>
      <c r="L980" s="253"/>
    </row>
    <row r="981" spans="3:12" s="244" customFormat="1" x14ac:dyDescent="0.25">
      <c r="C981" s="255"/>
      <c r="D981" s="255"/>
      <c r="E981" s="255"/>
      <c r="F981" s="255"/>
      <c r="G981" s="253"/>
      <c r="H981" s="256"/>
      <c r="I981" s="255"/>
      <c r="J981" s="255"/>
      <c r="K981" s="254"/>
      <c r="L981" s="253"/>
    </row>
    <row r="982" spans="3:12" s="244" customFormat="1" x14ac:dyDescent="0.25">
      <c r="C982" s="255"/>
      <c r="D982" s="255"/>
      <c r="E982" s="255"/>
      <c r="F982" s="255"/>
      <c r="G982" s="253"/>
      <c r="H982" s="256"/>
      <c r="I982" s="255"/>
      <c r="J982" s="255"/>
      <c r="K982" s="254"/>
      <c r="L982" s="253"/>
    </row>
    <row r="983" spans="3:12" s="244" customFormat="1" x14ac:dyDescent="0.25">
      <c r="C983" s="255"/>
      <c r="D983" s="255"/>
      <c r="E983" s="255"/>
      <c r="F983" s="255"/>
      <c r="G983" s="253"/>
      <c r="H983" s="256"/>
      <c r="I983" s="255"/>
      <c r="J983" s="255"/>
      <c r="K983" s="254"/>
      <c r="L983" s="253"/>
    </row>
    <row r="984" spans="3:12" s="244" customFormat="1" x14ac:dyDescent="0.25">
      <c r="C984" s="255"/>
      <c r="D984" s="255"/>
      <c r="E984" s="255"/>
      <c r="F984" s="255"/>
      <c r="G984" s="253"/>
      <c r="H984" s="256"/>
      <c r="I984" s="255"/>
      <c r="J984" s="255"/>
      <c r="K984" s="254"/>
      <c r="L984" s="253"/>
    </row>
    <row r="985" spans="3:12" s="244" customFormat="1" x14ac:dyDescent="0.25">
      <c r="C985" s="255"/>
      <c r="D985" s="255"/>
      <c r="E985" s="255"/>
      <c r="F985" s="255"/>
      <c r="G985" s="253"/>
      <c r="H985" s="256"/>
      <c r="I985" s="255"/>
      <c r="J985" s="255"/>
      <c r="K985" s="254"/>
      <c r="L985" s="253"/>
    </row>
    <row r="986" spans="3:12" s="244" customFormat="1" x14ac:dyDescent="0.25">
      <c r="C986" s="255"/>
      <c r="D986" s="255"/>
      <c r="E986" s="255"/>
      <c r="F986" s="255"/>
      <c r="G986" s="253"/>
      <c r="H986" s="256"/>
      <c r="I986" s="255"/>
      <c r="J986" s="255"/>
      <c r="K986" s="254"/>
      <c r="L986" s="253"/>
    </row>
    <row r="987" spans="3:12" s="244" customFormat="1" x14ac:dyDescent="0.25">
      <c r="C987" s="255"/>
      <c r="D987" s="255"/>
      <c r="E987" s="255"/>
      <c r="F987" s="255"/>
      <c r="G987" s="253"/>
      <c r="H987" s="256"/>
      <c r="I987" s="255"/>
      <c r="J987" s="255"/>
      <c r="K987" s="254"/>
      <c r="L987" s="253"/>
    </row>
    <row r="988" spans="3:12" s="244" customFormat="1" x14ac:dyDescent="0.25">
      <c r="C988" s="255"/>
      <c r="D988" s="255"/>
      <c r="E988" s="255"/>
      <c r="F988" s="255"/>
      <c r="G988" s="253"/>
      <c r="H988" s="256"/>
      <c r="I988" s="255"/>
      <c r="J988" s="255"/>
      <c r="K988" s="254"/>
      <c r="L988" s="253"/>
    </row>
    <row r="989" spans="3:12" s="244" customFormat="1" x14ac:dyDescent="0.25">
      <c r="C989" s="255"/>
      <c r="D989" s="255"/>
      <c r="E989" s="255"/>
      <c r="F989" s="255"/>
      <c r="G989" s="253"/>
      <c r="H989" s="256"/>
      <c r="I989" s="255"/>
      <c r="J989" s="255"/>
      <c r="K989" s="254"/>
      <c r="L989" s="253"/>
    </row>
    <row r="990" spans="3:12" s="244" customFormat="1" x14ac:dyDescent="0.25">
      <c r="C990" s="255"/>
      <c r="D990" s="255"/>
      <c r="E990" s="255"/>
      <c r="F990" s="255"/>
      <c r="G990" s="253"/>
      <c r="H990" s="256"/>
      <c r="I990" s="255"/>
      <c r="J990" s="255"/>
      <c r="K990" s="254"/>
      <c r="L990" s="253"/>
    </row>
    <row r="991" spans="3:12" s="244" customFormat="1" x14ac:dyDescent="0.25">
      <c r="C991" s="255"/>
      <c r="D991" s="255"/>
      <c r="E991" s="255"/>
      <c r="F991" s="255"/>
      <c r="G991" s="253"/>
      <c r="H991" s="256"/>
      <c r="I991" s="255"/>
      <c r="J991" s="255"/>
      <c r="K991" s="254"/>
      <c r="L991" s="253"/>
    </row>
    <row r="992" spans="3:12" s="244" customFormat="1" x14ac:dyDescent="0.25">
      <c r="C992" s="255"/>
      <c r="D992" s="255"/>
      <c r="E992" s="255"/>
      <c r="F992" s="255"/>
      <c r="G992" s="253"/>
      <c r="H992" s="256"/>
      <c r="I992" s="255"/>
      <c r="J992" s="255"/>
      <c r="K992" s="254"/>
      <c r="L992" s="253"/>
    </row>
    <row r="993" spans="3:12" s="244" customFormat="1" x14ac:dyDescent="0.25">
      <c r="C993" s="255"/>
      <c r="D993" s="255"/>
      <c r="E993" s="255"/>
      <c r="F993" s="255"/>
      <c r="G993" s="253"/>
      <c r="H993" s="256"/>
      <c r="I993" s="255"/>
      <c r="J993" s="255"/>
      <c r="K993" s="254"/>
      <c r="L993" s="253"/>
    </row>
    <row r="994" spans="3:12" s="244" customFormat="1" x14ac:dyDescent="0.25">
      <c r="C994" s="255"/>
      <c r="D994" s="255"/>
      <c r="E994" s="255"/>
      <c r="F994" s="255"/>
      <c r="G994" s="253"/>
      <c r="H994" s="256"/>
      <c r="I994" s="255"/>
      <c r="J994" s="255"/>
      <c r="K994" s="254"/>
      <c r="L994" s="253"/>
    </row>
    <row r="995" spans="3:12" s="244" customFormat="1" x14ac:dyDescent="0.25">
      <c r="C995" s="255"/>
      <c r="D995" s="255"/>
      <c r="E995" s="255"/>
      <c r="F995" s="255"/>
      <c r="G995" s="253"/>
      <c r="H995" s="256"/>
      <c r="I995" s="255"/>
      <c r="J995" s="255"/>
      <c r="K995" s="254"/>
      <c r="L995" s="253"/>
    </row>
    <row r="996" spans="3:12" s="244" customFormat="1" x14ac:dyDescent="0.25">
      <c r="C996" s="255"/>
      <c r="D996" s="255"/>
      <c r="E996" s="255"/>
      <c r="F996" s="255"/>
      <c r="G996" s="253"/>
      <c r="H996" s="256"/>
      <c r="I996" s="255"/>
      <c r="J996" s="255"/>
      <c r="K996" s="254"/>
      <c r="L996" s="253"/>
    </row>
    <row r="997" spans="3:12" s="244" customFormat="1" x14ac:dyDescent="0.25">
      <c r="C997" s="255"/>
      <c r="D997" s="255"/>
      <c r="E997" s="255"/>
      <c r="F997" s="255"/>
      <c r="G997" s="253"/>
      <c r="H997" s="256"/>
      <c r="I997" s="255"/>
      <c r="J997" s="255"/>
      <c r="K997" s="254"/>
      <c r="L997" s="253"/>
    </row>
    <row r="998" spans="3:12" s="244" customFormat="1" x14ac:dyDescent="0.25">
      <c r="C998" s="255"/>
      <c r="D998" s="255"/>
      <c r="E998" s="255"/>
      <c r="F998" s="255"/>
      <c r="G998" s="253"/>
      <c r="H998" s="256"/>
      <c r="I998" s="255"/>
      <c r="J998" s="255"/>
      <c r="K998" s="254"/>
      <c r="L998" s="253"/>
    </row>
    <row r="999" spans="3:12" s="244" customFormat="1" x14ac:dyDescent="0.25">
      <c r="C999" s="255"/>
      <c r="D999" s="255"/>
      <c r="E999" s="255"/>
      <c r="F999" s="255"/>
      <c r="G999" s="253"/>
      <c r="H999" s="256"/>
      <c r="I999" s="255"/>
      <c r="J999" s="255"/>
      <c r="K999" s="254"/>
      <c r="L999" s="253"/>
    </row>
    <row r="1000" spans="3:12" s="244" customFormat="1" x14ac:dyDescent="0.25">
      <c r="C1000" s="255"/>
      <c r="D1000" s="255"/>
      <c r="E1000" s="255"/>
      <c r="F1000" s="255"/>
      <c r="G1000" s="253"/>
      <c r="H1000" s="256"/>
      <c r="I1000" s="255"/>
      <c r="J1000" s="255"/>
      <c r="K1000" s="254"/>
      <c r="L1000" s="253"/>
    </row>
    <row r="1001" spans="3:12" s="244" customFormat="1" x14ac:dyDescent="0.25">
      <c r="C1001" s="255"/>
      <c r="D1001" s="255"/>
      <c r="E1001" s="255"/>
      <c r="F1001" s="255"/>
      <c r="G1001" s="253"/>
      <c r="H1001" s="256"/>
      <c r="I1001" s="255"/>
      <c r="J1001" s="255"/>
      <c r="K1001" s="254"/>
      <c r="L1001" s="253"/>
    </row>
    <row r="1002" spans="3:12" s="244" customFormat="1" x14ac:dyDescent="0.25">
      <c r="C1002" s="255"/>
      <c r="D1002" s="255"/>
      <c r="E1002" s="255"/>
      <c r="F1002" s="255"/>
      <c r="G1002" s="253"/>
      <c r="H1002" s="256"/>
      <c r="I1002" s="255"/>
      <c r="J1002" s="255"/>
      <c r="K1002" s="254"/>
      <c r="L1002" s="253"/>
    </row>
    <row r="1003" spans="3:12" s="244" customFormat="1" x14ac:dyDescent="0.25">
      <c r="C1003" s="255"/>
      <c r="D1003" s="255"/>
      <c r="E1003" s="255"/>
      <c r="F1003" s="255"/>
      <c r="G1003" s="253"/>
      <c r="H1003" s="256"/>
      <c r="I1003" s="255"/>
      <c r="J1003" s="255"/>
      <c r="K1003" s="254"/>
      <c r="L1003" s="253"/>
    </row>
    <row r="1004" spans="3:12" s="244" customFormat="1" x14ac:dyDescent="0.25">
      <c r="C1004" s="255"/>
      <c r="D1004" s="255"/>
      <c r="E1004" s="255"/>
      <c r="F1004" s="255"/>
      <c r="G1004" s="253"/>
      <c r="H1004" s="256"/>
      <c r="I1004" s="255"/>
      <c r="J1004" s="255"/>
      <c r="K1004" s="254"/>
      <c r="L1004" s="253"/>
    </row>
    <row r="1005" spans="3:12" s="244" customFormat="1" x14ac:dyDescent="0.25">
      <c r="C1005" s="255"/>
      <c r="D1005" s="255"/>
      <c r="E1005" s="255"/>
      <c r="F1005" s="255"/>
      <c r="G1005" s="253"/>
      <c r="H1005" s="256"/>
      <c r="I1005" s="255"/>
      <c r="J1005" s="255"/>
      <c r="K1005" s="254"/>
      <c r="L1005" s="253"/>
    </row>
    <row r="1006" spans="3:12" s="244" customFormat="1" x14ac:dyDescent="0.25">
      <c r="C1006" s="255"/>
      <c r="D1006" s="255"/>
      <c r="E1006" s="255"/>
      <c r="F1006" s="255"/>
      <c r="G1006" s="253"/>
      <c r="H1006" s="256"/>
      <c r="I1006" s="255"/>
      <c r="J1006" s="255"/>
      <c r="K1006" s="254"/>
      <c r="L1006" s="253"/>
    </row>
    <row r="1007" spans="3:12" s="244" customFormat="1" x14ac:dyDescent="0.25">
      <c r="C1007" s="255"/>
      <c r="D1007" s="255"/>
      <c r="E1007" s="255"/>
      <c r="F1007" s="255"/>
      <c r="G1007" s="253"/>
      <c r="H1007" s="256"/>
      <c r="I1007" s="255"/>
      <c r="J1007" s="255"/>
      <c r="K1007" s="254"/>
      <c r="L1007" s="253"/>
    </row>
    <row r="1008" spans="3:12" s="244" customFormat="1" x14ac:dyDescent="0.25">
      <c r="C1008" s="255"/>
      <c r="D1008" s="255"/>
      <c r="E1008" s="255"/>
      <c r="F1008" s="255"/>
      <c r="G1008" s="253"/>
      <c r="H1008" s="256"/>
      <c r="I1008" s="255"/>
      <c r="J1008" s="255"/>
      <c r="K1008" s="254"/>
      <c r="L1008" s="253"/>
    </row>
    <row r="1009" spans="3:12" s="244" customFormat="1" x14ac:dyDescent="0.25">
      <c r="C1009" s="255"/>
      <c r="D1009" s="255"/>
      <c r="E1009" s="255"/>
      <c r="F1009" s="255"/>
      <c r="G1009" s="253"/>
      <c r="H1009" s="256"/>
      <c r="I1009" s="255"/>
      <c r="J1009" s="255"/>
      <c r="K1009" s="254"/>
      <c r="L1009" s="253"/>
    </row>
    <row r="1010" spans="3:12" s="244" customFormat="1" x14ac:dyDescent="0.25">
      <c r="C1010" s="255"/>
      <c r="D1010" s="255"/>
      <c r="E1010" s="255"/>
      <c r="F1010" s="255"/>
      <c r="G1010" s="253"/>
      <c r="H1010" s="256"/>
      <c r="I1010" s="255"/>
      <c r="J1010" s="255"/>
      <c r="K1010" s="254"/>
      <c r="L1010" s="253"/>
    </row>
    <row r="1011" spans="3:12" s="244" customFormat="1" x14ac:dyDescent="0.25">
      <c r="C1011" s="255"/>
      <c r="D1011" s="255"/>
      <c r="E1011" s="255"/>
      <c r="F1011" s="255"/>
      <c r="G1011" s="253"/>
      <c r="H1011" s="256"/>
      <c r="I1011" s="255"/>
      <c r="J1011" s="255"/>
      <c r="K1011" s="254"/>
      <c r="L1011" s="253"/>
    </row>
    <row r="1012" spans="3:12" s="244" customFormat="1" x14ac:dyDescent="0.25">
      <c r="C1012" s="255"/>
      <c r="D1012" s="255"/>
      <c r="E1012" s="255"/>
      <c r="F1012" s="255"/>
      <c r="G1012" s="253"/>
      <c r="H1012" s="256"/>
      <c r="I1012" s="255"/>
      <c r="J1012" s="255"/>
      <c r="K1012" s="254"/>
      <c r="L1012" s="253"/>
    </row>
    <row r="1013" spans="3:12" s="244" customFormat="1" x14ac:dyDescent="0.25">
      <c r="C1013" s="255"/>
      <c r="D1013" s="255"/>
      <c r="E1013" s="255"/>
      <c r="F1013" s="255"/>
      <c r="G1013" s="253"/>
      <c r="H1013" s="256"/>
      <c r="I1013" s="255"/>
      <c r="J1013" s="255"/>
      <c r="K1013" s="254"/>
      <c r="L1013" s="253"/>
    </row>
    <row r="1014" spans="3:12" s="244" customFormat="1" x14ac:dyDescent="0.25">
      <c r="C1014" s="255"/>
      <c r="D1014" s="255"/>
      <c r="E1014" s="255"/>
      <c r="F1014" s="255"/>
      <c r="G1014" s="253"/>
      <c r="H1014" s="256"/>
      <c r="I1014" s="255"/>
      <c r="J1014" s="255"/>
      <c r="K1014" s="254"/>
      <c r="L1014" s="253"/>
    </row>
    <row r="1015" spans="3:12" s="244" customFormat="1" x14ac:dyDescent="0.25">
      <c r="C1015" s="255"/>
      <c r="D1015" s="255"/>
      <c r="E1015" s="255"/>
      <c r="F1015" s="255"/>
      <c r="G1015" s="253"/>
      <c r="H1015" s="256"/>
      <c r="I1015" s="255"/>
      <c r="J1015" s="255"/>
      <c r="K1015" s="254"/>
      <c r="L1015" s="253"/>
    </row>
    <row r="1016" spans="3:12" s="244" customFormat="1" x14ac:dyDescent="0.25">
      <c r="C1016" s="255"/>
      <c r="D1016" s="255"/>
      <c r="E1016" s="255"/>
      <c r="F1016" s="255"/>
      <c r="G1016" s="253"/>
      <c r="H1016" s="256"/>
      <c r="I1016" s="255"/>
      <c r="J1016" s="255"/>
      <c r="K1016" s="254"/>
      <c r="L1016" s="253"/>
    </row>
    <row r="1017" spans="3:12" s="244" customFormat="1" x14ac:dyDescent="0.25">
      <c r="C1017" s="255"/>
      <c r="D1017" s="255"/>
      <c r="E1017" s="255"/>
      <c r="F1017" s="255"/>
      <c r="G1017" s="253"/>
      <c r="H1017" s="256"/>
      <c r="I1017" s="255"/>
      <c r="J1017" s="255"/>
      <c r="K1017" s="254"/>
      <c r="L1017" s="253"/>
    </row>
    <row r="1018" spans="3:12" s="244" customFormat="1" x14ac:dyDescent="0.25">
      <c r="C1018" s="255"/>
      <c r="D1018" s="255"/>
      <c r="E1018" s="255"/>
      <c r="F1018" s="255"/>
      <c r="G1018" s="253"/>
      <c r="H1018" s="256"/>
      <c r="I1018" s="255"/>
      <c r="J1018" s="255"/>
      <c r="K1018" s="254"/>
      <c r="L1018" s="253"/>
    </row>
    <row r="1019" spans="3:12" s="244" customFormat="1" x14ac:dyDescent="0.25">
      <c r="C1019" s="255"/>
      <c r="D1019" s="255"/>
      <c r="E1019" s="255"/>
      <c r="F1019" s="255"/>
      <c r="G1019" s="253"/>
      <c r="H1019" s="256"/>
      <c r="I1019" s="255"/>
      <c r="J1019" s="255"/>
      <c r="K1019" s="254"/>
      <c r="L1019" s="253"/>
    </row>
    <row r="1020" spans="3:12" s="244" customFormat="1" x14ac:dyDescent="0.25">
      <c r="C1020" s="255"/>
      <c r="D1020" s="255"/>
      <c r="E1020" s="255"/>
      <c r="F1020" s="255"/>
      <c r="G1020" s="253"/>
      <c r="H1020" s="256"/>
      <c r="I1020" s="255"/>
      <c r="J1020" s="255"/>
      <c r="K1020" s="254"/>
      <c r="L1020" s="253"/>
    </row>
    <row r="1021" spans="3:12" s="244" customFormat="1" x14ac:dyDescent="0.25">
      <c r="C1021" s="255"/>
      <c r="D1021" s="255"/>
      <c r="E1021" s="255"/>
      <c r="F1021" s="255"/>
      <c r="G1021" s="253"/>
      <c r="H1021" s="256"/>
      <c r="I1021" s="255"/>
      <c r="J1021" s="255"/>
      <c r="K1021" s="254"/>
      <c r="L1021" s="253"/>
    </row>
    <row r="1022" spans="3:12" s="244" customFormat="1" x14ac:dyDescent="0.25">
      <c r="C1022" s="255"/>
      <c r="D1022" s="255"/>
      <c r="E1022" s="255"/>
      <c r="F1022" s="255"/>
      <c r="G1022" s="253"/>
      <c r="H1022" s="256"/>
      <c r="I1022" s="255"/>
      <c r="J1022" s="255"/>
      <c r="K1022" s="254"/>
      <c r="L1022" s="253"/>
    </row>
    <row r="1023" spans="3:12" s="244" customFormat="1" x14ac:dyDescent="0.25">
      <c r="C1023" s="255"/>
      <c r="D1023" s="255"/>
      <c r="E1023" s="255"/>
      <c r="F1023" s="255"/>
      <c r="G1023" s="253"/>
      <c r="H1023" s="256"/>
      <c r="I1023" s="255"/>
      <c r="J1023" s="255"/>
      <c r="K1023" s="254"/>
      <c r="L1023" s="253"/>
    </row>
    <row r="1024" spans="3:12" s="244" customFormat="1" x14ac:dyDescent="0.25">
      <c r="C1024" s="255"/>
      <c r="D1024" s="255"/>
      <c r="E1024" s="255"/>
      <c r="F1024" s="255"/>
      <c r="G1024" s="253"/>
      <c r="H1024" s="256"/>
      <c r="I1024" s="255"/>
      <c r="J1024" s="255"/>
      <c r="K1024" s="254"/>
      <c r="L1024" s="253"/>
    </row>
    <row r="1025" spans="3:12" s="244" customFormat="1" x14ac:dyDescent="0.25">
      <c r="C1025" s="255"/>
      <c r="D1025" s="255"/>
      <c r="E1025" s="255"/>
      <c r="F1025" s="255"/>
      <c r="G1025" s="253"/>
      <c r="H1025" s="256"/>
      <c r="I1025" s="255"/>
      <c r="J1025" s="255"/>
      <c r="K1025" s="254"/>
      <c r="L1025" s="253"/>
    </row>
    <row r="1026" spans="3:12" s="244" customFormat="1" x14ac:dyDescent="0.25">
      <c r="C1026" s="255"/>
      <c r="D1026" s="255"/>
      <c r="E1026" s="255"/>
      <c r="F1026" s="255"/>
      <c r="G1026" s="253"/>
      <c r="H1026" s="256"/>
      <c r="I1026" s="255"/>
      <c r="J1026" s="255"/>
      <c r="K1026" s="254"/>
      <c r="L1026" s="253"/>
    </row>
    <row r="1027" spans="3:12" s="244" customFormat="1" x14ac:dyDescent="0.25">
      <c r="C1027" s="255"/>
      <c r="D1027" s="255"/>
      <c r="E1027" s="255"/>
      <c r="F1027" s="255"/>
      <c r="G1027" s="253"/>
      <c r="H1027" s="256"/>
      <c r="I1027" s="255"/>
      <c r="J1027" s="255"/>
      <c r="K1027" s="254"/>
      <c r="L1027" s="253"/>
    </row>
    <row r="1028" spans="3:12" s="244" customFormat="1" x14ac:dyDescent="0.25">
      <c r="C1028" s="255"/>
      <c r="D1028" s="255"/>
      <c r="E1028" s="255"/>
      <c r="F1028" s="255"/>
      <c r="G1028" s="253"/>
      <c r="H1028" s="256"/>
      <c r="I1028" s="255"/>
      <c r="J1028" s="255"/>
      <c r="K1028" s="254"/>
      <c r="L1028" s="253"/>
    </row>
    <row r="1029" spans="3:12" s="244" customFormat="1" x14ac:dyDescent="0.25">
      <c r="C1029" s="255"/>
      <c r="D1029" s="255"/>
      <c r="E1029" s="255"/>
      <c r="F1029" s="255"/>
      <c r="G1029" s="253"/>
      <c r="H1029" s="256"/>
      <c r="I1029" s="255"/>
      <c r="J1029" s="255"/>
      <c r="K1029" s="254"/>
      <c r="L1029" s="253"/>
    </row>
    <row r="1030" spans="3:12" s="244" customFormat="1" x14ac:dyDescent="0.25">
      <c r="C1030" s="255"/>
      <c r="D1030" s="255"/>
      <c r="E1030" s="255"/>
      <c r="F1030" s="255"/>
      <c r="G1030" s="253"/>
      <c r="H1030" s="256"/>
      <c r="I1030" s="255"/>
      <c r="J1030" s="255"/>
      <c r="K1030" s="254"/>
      <c r="L1030" s="253"/>
    </row>
    <row r="1031" spans="3:12" s="244" customFormat="1" x14ac:dyDescent="0.25">
      <c r="C1031" s="255"/>
      <c r="D1031" s="255"/>
      <c r="E1031" s="255"/>
      <c r="F1031" s="255"/>
      <c r="G1031" s="253"/>
      <c r="H1031" s="256"/>
      <c r="I1031" s="255"/>
      <c r="J1031" s="255"/>
      <c r="K1031" s="254"/>
      <c r="L1031" s="253"/>
    </row>
    <row r="1032" spans="3:12" s="244" customFormat="1" x14ac:dyDescent="0.25">
      <c r="C1032" s="255"/>
      <c r="D1032" s="255"/>
      <c r="E1032" s="255"/>
      <c r="F1032" s="255"/>
      <c r="G1032" s="253"/>
      <c r="H1032" s="256"/>
      <c r="I1032" s="255"/>
      <c r="J1032" s="255"/>
      <c r="K1032" s="254"/>
      <c r="L1032" s="253"/>
    </row>
    <row r="1033" spans="3:12" s="244" customFormat="1" x14ac:dyDescent="0.25">
      <c r="C1033" s="255"/>
      <c r="D1033" s="255"/>
      <c r="E1033" s="255"/>
      <c r="F1033" s="255"/>
      <c r="G1033" s="253"/>
      <c r="H1033" s="256"/>
      <c r="I1033" s="255"/>
      <c r="J1033" s="255"/>
      <c r="K1033" s="254"/>
      <c r="L1033" s="253"/>
    </row>
    <row r="1034" spans="3:12" s="244" customFormat="1" x14ac:dyDescent="0.25">
      <c r="C1034" s="255"/>
      <c r="D1034" s="255"/>
      <c r="E1034" s="255"/>
      <c r="F1034" s="255"/>
      <c r="G1034" s="253"/>
      <c r="H1034" s="256"/>
      <c r="I1034" s="255"/>
      <c r="J1034" s="255"/>
      <c r="K1034" s="254"/>
      <c r="L1034" s="253"/>
    </row>
    <row r="1035" spans="3:12" s="244" customFormat="1" x14ac:dyDescent="0.25">
      <c r="C1035" s="255"/>
      <c r="D1035" s="255"/>
      <c r="E1035" s="255"/>
      <c r="F1035" s="255"/>
      <c r="G1035" s="253"/>
      <c r="H1035" s="256"/>
      <c r="I1035" s="255"/>
      <c r="J1035" s="255"/>
      <c r="K1035" s="254"/>
      <c r="L1035" s="253"/>
    </row>
    <row r="1036" spans="3:12" s="244" customFormat="1" x14ac:dyDescent="0.25">
      <c r="C1036" s="255"/>
      <c r="D1036" s="255"/>
      <c r="E1036" s="255"/>
      <c r="F1036" s="255"/>
      <c r="G1036" s="253"/>
      <c r="H1036" s="256"/>
      <c r="I1036" s="255"/>
      <c r="J1036" s="255"/>
      <c r="K1036" s="254"/>
      <c r="L1036" s="253"/>
    </row>
    <row r="1037" spans="3:12" s="244" customFormat="1" x14ac:dyDescent="0.25">
      <c r="C1037" s="255"/>
      <c r="D1037" s="255"/>
      <c r="E1037" s="255"/>
      <c r="F1037" s="255"/>
      <c r="G1037" s="253"/>
      <c r="H1037" s="256"/>
      <c r="I1037" s="255"/>
      <c r="J1037" s="255"/>
      <c r="K1037" s="254"/>
      <c r="L1037" s="253"/>
    </row>
    <row r="1038" spans="3:12" s="244" customFormat="1" x14ac:dyDescent="0.25">
      <c r="C1038" s="255"/>
      <c r="D1038" s="255"/>
      <c r="E1038" s="255"/>
      <c r="F1038" s="255"/>
      <c r="G1038" s="253"/>
      <c r="H1038" s="256"/>
      <c r="I1038" s="255"/>
      <c r="J1038" s="255"/>
      <c r="K1038" s="254"/>
      <c r="L1038" s="253"/>
    </row>
    <row r="1039" spans="3:12" s="244" customFormat="1" x14ac:dyDescent="0.25">
      <c r="C1039" s="255"/>
      <c r="D1039" s="255"/>
      <c r="E1039" s="255"/>
      <c r="F1039" s="255"/>
      <c r="G1039" s="253"/>
      <c r="H1039" s="256"/>
      <c r="I1039" s="255"/>
      <c r="J1039" s="255"/>
      <c r="K1039" s="254"/>
      <c r="L1039" s="253"/>
    </row>
    <row r="1040" spans="3:12" s="244" customFormat="1" x14ac:dyDescent="0.25">
      <c r="C1040" s="255"/>
      <c r="D1040" s="255"/>
      <c r="E1040" s="255"/>
      <c r="F1040" s="255"/>
      <c r="G1040" s="253"/>
      <c r="H1040" s="256"/>
      <c r="I1040" s="255"/>
      <c r="J1040" s="255"/>
      <c r="K1040" s="254"/>
      <c r="L1040" s="253"/>
    </row>
    <row r="1041" spans="3:12" s="244" customFormat="1" x14ac:dyDescent="0.25">
      <c r="C1041" s="255"/>
      <c r="D1041" s="255"/>
      <c r="E1041" s="255"/>
      <c r="F1041" s="255"/>
      <c r="G1041" s="253"/>
      <c r="H1041" s="256"/>
      <c r="I1041" s="255"/>
      <c r="J1041" s="255"/>
      <c r="K1041" s="254"/>
      <c r="L1041" s="253"/>
    </row>
    <row r="1042" spans="3:12" s="244" customFormat="1" x14ac:dyDescent="0.25">
      <c r="C1042" s="255"/>
      <c r="D1042" s="255"/>
      <c r="E1042" s="255"/>
      <c r="F1042" s="255"/>
      <c r="G1042" s="253"/>
      <c r="H1042" s="256"/>
      <c r="I1042" s="255"/>
      <c r="J1042" s="255"/>
      <c r="K1042" s="254"/>
      <c r="L1042" s="253"/>
    </row>
    <row r="1043" spans="3:12" s="244" customFormat="1" x14ac:dyDescent="0.25">
      <c r="C1043" s="255"/>
      <c r="D1043" s="255"/>
      <c r="E1043" s="255"/>
      <c r="F1043" s="255"/>
      <c r="G1043" s="253"/>
      <c r="H1043" s="256"/>
      <c r="I1043" s="255"/>
      <c r="J1043" s="255"/>
      <c r="K1043" s="254"/>
      <c r="L1043" s="253"/>
    </row>
    <row r="1044" spans="3:12" s="244" customFormat="1" x14ac:dyDescent="0.25">
      <c r="C1044" s="255"/>
      <c r="D1044" s="255"/>
      <c r="E1044" s="255"/>
      <c r="F1044" s="255"/>
      <c r="G1044" s="253"/>
      <c r="H1044" s="256"/>
      <c r="I1044" s="255"/>
      <c r="J1044" s="255"/>
      <c r="K1044" s="254"/>
      <c r="L1044" s="253"/>
    </row>
    <row r="1045" spans="3:12" s="244" customFormat="1" x14ac:dyDescent="0.25">
      <c r="C1045" s="255"/>
      <c r="D1045" s="255"/>
      <c r="E1045" s="255"/>
      <c r="F1045" s="255"/>
      <c r="G1045" s="253"/>
      <c r="H1045" s="256"/>
      <c r="I1045" s="255"/>
      <c r="J1045" s="255"/>
      <c r="K1045" s="254"/>
      <c r="L1045" s="253"/>
    </row>
    <row r="1046" spans="3:12" s="244" customFormat="1" x14ac:dyDescent="0.25">
      <c r="C1046" s="255"/>
      <c r="D1046" s="255"/>
      <c r="E1046" s="255"/>
      <c r="F1046" s="255"/>
      <c r="G1046" s="253"/>
      <c r="H1046" s="256"/>
      <c r="I1046" s="255"/>
      <c r="J1046" s="255"/>
      <c r="K1046" s="254"/>
      <c r="L1046" s="253"/>
    </row>
    <row r="1047" spans="3:12" s="244" customFormat="1" x14ac:dyDescent="0.25">
      <c r="C1047" s="255"/>
      <c r="D1047" s="255"/>
      <c r="E1047" s="255"/>
      <c r="F1047" s="255"/>
      <c r="G1047" s="253"/>
      <c r="H1047" s="256"/>
      <c r="I1047" s="255"/>
      <c r="J1047" s="255"/>
      <c r="K1047" s="254"/>
      <c r="L1047" s="253"/>
    </row>
    <row r="1048" spans="3:12" s="244" customFormat="1" x14ac:dyDescent="0.25">
      <c r="C1048" s="255"/>
      <c r="D1048" s="255"/>
      <c r="E1048" s="255"/>
      <c r="F1048" s="255"/>
      <c r="G1048" s="253"/>
      <c r="H1048" s="256"/>
      <c r="I1048" s="255"/>
      <c r="J1048" s="255"/>
      <c r="K1048" s="254"/>
      <c r="L1048" s="253"/>
    </row>
    <row r="1049" spans="3:12" s="244" customFormat="1" x14ac:dyDescent="0.25">
      <c r="C1049" s="255"/>
      <c r="D1049" s="255"/>
      <c r="E1049" s="255"/>
      <c r="F1049" s="255"/>
      <c r="G1049" s="253"/>
      <c r="H1049" s="256"/>
      <c r="I1049" s="255"/>
      <c r="J1049" s="255"/>
      <c r="K1049" s="254"/>
      <c r="L1049" s="253"/>
    </row>
    <row r="1050" spans="3:12" s="244" customFormat="1" x14ac:dyDescent="0.25">
      <c r="C1050" s="255"/>
      <c r="D1050" s="255"/>
      <c r="E1050" s="255"/>
      <c r="F1050" s="255"/>
      <c r="G1050" s="253"/>
      <c r="H1050" s="256"/>
      <c r="I1050" s="255"/>
      <c r="J1050" s="255"/>
      <c r="K1050" s="254"/>
      <c r="L1050" s="253"/>
    </row>
    <row r="1051" spans="3:12" s="244" customFormat="1" x14ac:dyDescent="0.25">
      <c r="C1051" s="255"/>
      <c r="D1051" s="255"/>
      <c r="E1051" s="255"/>
      <c r="F1051" s="255"/>
      <c r="G1051" s="253"/>
      <c r="H1051" s="256"/>
      <c r="I1051" s="255"/>
      <c r="J1051" s="255"/>
      <c r="K1051" s="254"/>
      <c r="L1051" s="253"/>
    </row>
    <row r="1052" spans="3:12" s="244" customFormat="1" x14ac:dyDescent="0.25">
      <c r="C1052" s="255"/>
      <c r="D1052" s="255"/>
      <c r="E1052" s="255"/>
      <c r="F1052" s="255"/>
      <c r="G1052" s="253"/>
      <c r="H1052" s="256"/>
      <c r="I1052" s="255"/>
      <c r="J1052" s="255"/>
      <c r="K1052" s="254"/>
      <c r="L1052" s="253"/>
    </row>
    <row r="1053" spans="3:12" s="244" customFormat="1" x14ac:dyDescent="0.25">
      <c r="C1053" s="255"/>
      <c r="D1053" s="255"/>
      <c r="E1053" s="255"/>
      <c r="F1053" s="255"/>
      <c r="G1053" s="253"/>
      <c r="H1053" s="256"/>
      <c r="I1053" s="255"/>
      <c r="J1053" s="255"/>
      <c r="K1053" s="254"/>
      <c r="L1053" s="253"/>
    </row>
    <row r="1054" spans="3:12" s="244" customFormat="1" x14ac:dyDescent="0.25">
      <c r="C1054" s="255"/>
      <c r="D1054" s="255"/>
      <c r="E1054" s="255"/>
      <c r="F1054" s="255"/>
      <c r="G1054" s="253"/>
      <c r="H1054" s="256"/>
      <c r="I1054" s="255"/>
      <c r="J1054" s="255"/>
      <c r="K1054" s="254"/>
      <c r="L1054" s="253"/>
    </row>
    <row r="1055" spans="3:12" s="244" customFormat="1" x14ac:dyDescent="0.25">
      <c r="C1055" s="255"/>
      <c r="D1055" s="255"/>
      <c r="E1055" s="255"/>
      <c r="F1055" s="255"/>
      <c r="G1055" s="253"/>
      <c r="H1055" s="256"/>
      <c r="I1055" s="255"/>
      <c r="J1055" s="255"/>
      <c r="K1055" s="254"/>
      <c r="L1055" s="253"/>
    </row>
    <row r="1056" spans="3:12" s="244" customFormat="1" x14ac:dyDescent="0.25">
      <c r="C1056" s="255"/>
      <c r="D1056" s="255"/>
      <c r="E1056" s="255"/>
      <c r="F1056" s="255"/>
      <c r="G1056" s="253"/>
      <c r="H1056" s="256"/>
      <c r="I1056" s="255"/>
      <c r="J1056" s="255"/>
      <c r="K1056" s="254"/>
      <c r="L1056" s="253"/>
    </row>
    <row r="1057" spans="3:12" s="244" customFormat="1" x14ac:dyDescent="0.25">
      <c r="C1057" s="255"/>
      <c r="D1057" s="255"/>
      <c r="E1057" s="255"/>
      <c r="F1057" s="255"/>
      <c r="G1057" s="253"/>
      <c r="H1057" s="256"/>
      <c r="I1057" s="255"/>
      <c r="J1057" s="255"/>
      <c r="K1057" s="254"/>
      <c r="L1057" s="253"/>
    </row>
    <row r="1058" spans="3:12" s="244" customFormat="1" x14ac:dyDescent="0.25">
      <c r="C1058" s="255"/>
      <c r="D1058" s="255"/>
      <c r="E1058" s="255"/>
      <c r="F1058" s="255"/>
      <c r="G1058" s="253"/>
      <c r="H1058" s="256"/>
      <c r="I1058" s="255"/>
      <c r="J1058" s="255"/>
      <c r="K1058" s="254"/>
      <c r="L1058" s="253"/>
    </row>
    <row r="1059" spans="3:12" s="244" customFormat="1" x14ac:dyDescent="0.25">
      <c r="C1059" s="255"/>
      <c r="D1059" s="255"/>
      <c r="E1059" s="255"/>
      <c r="F1059" s="255"/>
      <c r="G1059" s="253"/>
      <c r="H1059" s="256"/>
      <c r="I1059" s="255"/>
      <c r="J1059" s="255"/>
      <c r="K1059" s="254"/>
      <c r="L1059" s="253"/>
    </row>
    <row r="1060" spans="3:12" s="244" customFormat="1" x14ac:dyDescent="0.25">
      <c r="C1060" s="255"/>
      <c r="D1060" s="255"/>
      <c r="E1060" s="255"/>
      <c r="F1060" s="255"/>
      <c r="G1060" s="253"/>
      <c r="H1060" s="256"/>
      <c r="I1060" s="255"/>
      <c r="J1060" s="255"/>
      <c r="K1060" s="254"/>
      <c r="L1060" s="253"/>
    </row>
    <row r="1061" spans="3:12" s="244" customFormat="1" x14ac:dyDescent="0.25">
      <c r="C1061" s="255"/>
      <c r="D1061" s="255"/>
      <c r="E1061" s="255"/>
      <c r="F1061" s="255"/>
      <c r="G1061" s="253"/>
      <c r="H1061" s="256"/>
      <c r="I1061" s="255"/>
      <c r="J1061" s="255"/>
      <c r="K1061" s="254"/>
      <c r="L1061" s="253"/>
    </row>
    <row r="1062" spans="3:12" s="244" customFormat="1" x14ac:dyDescent="0.25">
      <c r="C1062" s="255"/>
      <c r="D1062" s="255"/>
      <c r="E1062" s="255"/>
      <c r="F1062" s="255"/>
      <c r="G1062" s="253"/>
      <c r="H1062" s="256"/>
      <c r="I1062" s="255"/>
      <c r="J1062" s="255"/>
      <c r="K1062" s="254"/>
      <c r="L1062" s="253"/>
    </row>
    <row r="1063" spans="3:12" s="244" customFormat="1" x14ac:dyDescent="0.25">
      <c r="C1063" s="255"/>
      <c r="D1063" s="255"/>
      <c r="E1063" s="255"/>
      <c r="F1063" s="255"/>
      <c r="G1063" s="253"/>
      <c r="H1063" s="256"/>
      <c r="I1063" s="255"/>
      <c r="J1063" s="255"/>
      <c r="K1063" s="254"/>
      <c r="L1063" s="253"/>
    </row>
    <row r="1064" spans="3:12" s="244" customFormat="1" x14ac:dyDescent="0.25">
      <c r="C1064" s="255"/>
      <c r="D1064" s="255"/>
      <c r="E1064" s="255"/>
      <c r="F1064" s="255"/>
      <c r="G1064" s="253"/>
      <c r="H1064" s="256"/>
      <c r="I1064" s="255"/>
      <c r="J1064" s="255"/>
      <c r="K1064" s="254"/>
      <c r="L1064" s="253"/>
    </row>
    <row r="1065" spans="3:12" s="244" customFormat="1" x14ac:dyDescent="0.25">
      <c r="C1065" s="255"/>
      <c r="D1065" s="255"/>
      <c r="E1065" s="255"/>
      <c r="F1065" s="255"/>
      <c r="G1065" s="253"/>
      <c r="H1065" s="256"/>
      <c r="I1065" s="255"/>
      <c r="J1065" s="255"/>
      <c r="K1065" s="254"/>
      <c r="L1065" s="253"/>
    </row>
    <row r="1066" spans="3:12" s="244" customFormat="1" x14ac:dyDescent="0.25">
      <c r="C1066" s="255"/>
      <c r="D1066" s="255"/>
      <c r="E1066" s="255"/>
      <c r="F1066" s="255"/>
      <c r="G1066" s="253"/>
      <c r="H1066" s="256"/>
      <c r="I1066" s="255"/>
      <c r="J1066" s="255"/>
      <c r="K1066" s="254"/>
      <c r="L1066" s="253"/>
    </row>
    <row r="1067" spans="3:12" s="244" customFormat="1" x14ac:dyDescent="0.25">
      <c r="C1067" s="255"/>
      <c r="D1067" s="255"/>
      <c r="E1067" s="255"/>
      <c r="F1067" s="255"/>
      <c r="G1067" s="253"/>
      <c r="H1067" s="256"/>
      <c r="I1067" s="255"/>
      <c r="J1067" s="255"/>
      <c r="K1067" s="254"/>
      <c r="L1067" s="253"/>
    </row>
    <row r="1068" spans="3:12" s="244" customFormat="1" x14ac:dyDescent="0.25">
      <c r="C1068" s="255"/>
      <c r="D1068" s="255"/>
      <c r="E1068" s="255"/>
      <c r="F1068" s="255"/>
      <c r="G1068" s="253"/>
      <c r="H1068" s="256"/>
      <c r="I1068" s="255"/>
      <c r="J1068" s="255"/>
      <c r="K1068" s="254"/>
      <c r="L1068" s="253"/>
    </row>
    <row r="1069" spans="3:12" s="244" customFormat="1" x14ac:dyDescent="0.25">
      <c r="C1069" s="255"/>
      <c r="D1069" s="255"/>
      <c r="E1069" s="255"/>
      <c r="F1069" s="255"/>
      <c r="G1069" s="253"/>
      <c r="H1069" s="256"/>
      <c r="I1069" s="255"/>
      <c r="J1069" s="255"/>
      <c r="K1069" s="254"/>
      <c r="L1069" s="253"/>
    </row>
    <row r="1070" spans="3:12" s="244" customFormat="1" x14ac:dyDescent="0.25">
      <c r="C1070" s="255"/>
      <c r="D1070" s="255"/>
      <c r="E1070" s="255"/>
      <c r="F1070" s="255"/>
      <c r="G1070" s="253"/>
      <c r="H1070" s="256"/>
      <c r="I1070" s="255"/>
      <c r="J1070" s="255"/>
      <c r="K1070" s="254"/>
      <c r="L1070" s="253"/>
    </row>
    <row r="1071" spans="3:12" s="244" customFormat="1" x14ac:dyDescent="0.25">
      <c r="C1071" s="255"/>
      <c r="D1071" s="255"/>
      <c r="E1071" s="255"/>
      <c r="F1071" s="255"/>
      <c r="G1071" s="253"/>
      <c r="H1071" s="256"/>
      <c r="I1071" s="255"/>
      <c r="J1071" s="255"/>
      <c r="K1071" s="254"/>
      <c r="L1071" s="253"/>
    </row>
    <row r="1072" spans="3:12" s="244" customFormat="1" x14ac:dyDescent="0.25">
      <c r="C1072" s="255"/>
      <c r="D1072" s="255"/>
      <c r="E1072" s="255"/>
      <c r="F1072" s="255"/>
      <c r="G1072" s="253"/>
      <c r="H1072" s="256"/>
      <c r="I1072" s="255"/>
      <c r="J1072" s="255"/>
      <c r="K1072" s="254"/>
      <c r="L1072" s="253"/>
    </row>
    <row r="1073" spans="3:12" s="244" customFormat="1" x14ac:dyDescent="0.25">
      <c r="C1073" s="255"/>
      <c r="D1073" s="255"/>
      <c r="E1073" s="255"/>
      <c r="F1073" s="255"/>
      <c r="G1073" s="253"/>
      <c r="H1073" s="256"/>
      <c r="I1073" s="255"/>
      <c r="J1073" s="255"/>
      <c r="K1073" s="254"/>
      <c r="L1073" s="253"/>
    </row>
    <row r="1074" spans="3:12" s="244" customFormat="1" x14ac:dyDescent="0.25">
      <c r="C1074" s="255"/>
      <c r="D1074" s="255"/>
      <c r="E1074" s="255"/>
      <c r="F1074" s="255"/>
      <c r="G1074" s="253"/>
      <c r="H1074" s="256"/>
      <c r="I1074" s="255"/>
      <c r="J1074" s="255"/>
      <c r="K1074" s="254"/>
      <c r="L1074" s="253"/>
    </row>
    <row r="1075" spans="3:12" s="244" customFormat="1" x14ac:dyDescent="0.25">
      <c r="C1075" s="255"/>
      <c r="D1075" s="255"/>
      <c r="E1075" s="255"/>
      <c r="F1075" s="255"/>
      <c r="G1075" s="253"/>
      <c r="H1075" s="256"/>
      <c r="I1075" s="255"/>
      <c r="J1075" s="255"/>
      <c r="K1075" s="254"/>
      <c r="L1075" s="253"/>
    </row>
    <row r="1076" spans="3:12" s="244" customFormat="1" x14ac:dyDescent="0.25">
      <c r="C1076" s="255"/>
      <c r="D1076" s="255"/>
      <c r="E1076" s="255"/>
      <c r="F1076" s="255"/>
      <c r="G1076" s="253"/>
      <c r="H1076" s="256"/>
      <c r="I1076" s="255"/>
      <c r="J1076" s="255"/>
      <c r="K1076" s="254"/>
      <c r="L1076" s="253"/>
    </row>
    <row r="1077" spans="3:12" s="244" customFormat="1" x14ac:dyDescent="0.25">
      <c r="C1077" s="255"/>
      <c r="D1077" s="255"/>
      <c r="E1077" s="255"/>
      <c r="F1077" s="255"/>
      <c r="G1077" s="253"/>
      <c r="H1077" s="256"/>
      <c r="I1077" s="255"/>
      <c r="J1077" s="255"/>
      <c r="K1077" s="254"/>
      <c r="L1077" s="253"/>
    </row>
    <row r="1078" spans="3:12" s="244" customFormat="1" x14ac:dyDescent="0.25">
      <c r="C1078" s="255"/>
      <c r="D1078" s="255"/>
      <c r="E1078" s="255"/>
      <c r="F1078" s="255"/>
      <c r="G1078" s="253"/>
      <c r="H1078" s="256"/>
      <c r="I1078" s="255"/>
      <c r="J1078" s="255"/>
      <c r="K1078" s="254"/>
      <c r="L1078" s="253"/>
    </row>
    <row r="1079" spans="3:12" s="244" customFormat="1" x14ac:dyDescent="0.25">
      <c r="C1079" s="255"/>
      <c r="D1079" s="255"/>
      <c r="E1079" s="255"/>
      <c r="F1079" s="255"/>
      <c r="G1079" s="253"/>
      <c r="H1079" s="256"/>
      <c r="I1079" s="255"/>
      <c r="J1079" s="255"/>
      <c r="K1079" s="254"/>
      <c r="L1079" s="253"/>
    </row>
    <row r="1080" spans="3:12" s="244" customFormat="1" x14ac:dyDescent="0.25">
      <c r="C1080" s="255"/>
      <c r="D1080" s="255"/>
      <c r="E1080" s="255"/>
      <c r="F1080" s="255"/>
      <c r="G1080" s="253"/>
      <c r="H1080" s="256"/>
      <c r="I1080" s="255"/>
      <c r="J1080" s="255"/>
      <c r="K1080" s="254"/>
      <c r="L1080" s="253"/>
    </row>
    <row r="1081" spans="3:12" s="244" customFormat="1" x14ac:dyDescent="0.25">
      <c r="C1081" s="255"/>
      <c r="D1081" s="255"/>
      <c r="E1081" s="255"/>
      <c r="F1081" s="255"/>
      <c r="G1081" s="253"/>
      <c r="H1081" s="256"/>
      <c r="I1081" s="255"/>
      <c r="J1081" s="255"/>
      <c r="K1081" s="254"/>
      <c r="L1081" s="253"/>
    </row>
    <row r="1082" spans="3:12" s="244" customFormat="1" x14ac:dyDescent="0.25">
      <c r="C1082" s="255"/>
      <c r="D1082" s="255"/>
      <c r="E1082" s="255"/>
      <c r="F1082" s="255"/>
      <c r="G1082" s="253"/>
      <c r="H1082" s="256"/>
      <c r="I1082" s="255"/>
      <c r="J1082" s="255"/>
      <c r="K1082" s="254"/>
      <c r="L1082" s="253"/>
    </row>
    <row r="1083" spans="3:12" s="244" customFormat="1" x14ac:dyDescent="0.25">
      <c r="C1083" s="255"/>
      <c r="D1083" s="255"/>
      <c r="E1083" s="255"/>
      <c r="F1083" s="255"/>
      <c r="G1083" s="253"/>
      <c r="H1083" s="256"/>
      <c r="I1083" s="255"/>
      <c r="J1083" s="255"/>
      <c r="K1083" s="254"/>
      <c r="L1083" s="253"/>
    </row>
    <row r="1084" spans="3:12" s="244" customFormat="1" x14ac:dyDescent="0.25">
      <c r="C1084" s="255"/>
      <c r="D1084" s="255"/>
      <c r="E1084" s="255"/>
      <c r="F1084" s="255"/>
      <c r="G1084" s="253"/>
      <c r="H1084" s="256"/>
      <c r="I1084" s="255"/>
      <c r="J1084" s="255"/>
      <c r="K1084" s="254"/>
      <c r="L1084" s="253"/>
    </row>
    <row r="1085" spans="3:12" s="244" customFormat="1" x14ac:dyDescent="0.25">
      <c r="C1085" s="255"/>
      <c r="D1085" s="255"/>
      <c r="E1085" s="255"/>
      <c r="F1085" s="255"/>
      <c r="G1085" s="253"/>
      <c r="H1085" s="256"/>
      <c r="I1085" s="255"/>
      <c r="J1085" s="255"/>
      <c r="K1085" s="254"/>
      <c r="L1085" s="253"/>
    </row>
    <row r="1086" spans="3:12" s="244" customFormat="1" x14ac:dyDescent="0.25">
      <c r="C1086" s="255"/>
      <c r="D1086" s="255"/>
      <c r="E1086" s="255"/>
      <c r="F1086" s="255"/>
      <c r="G1086" s="253"/>
      <c r="H1086" s="256"/>
      <c r="I1086" s="255"/>
      <c r="J1086" s="255"/>
      <c r="K1086" s="254"/>
      <c r="L1086" s="253"/>
    </row>
    <row r="1087" spans="3:12" s="244" customFormat="1" x14ac:dyDescent="0.25">
      <c r="C1087" s="255"/>
      <c r="D1087" s="255"/>
      <c r="E1087" s="255"/>
      <c r="F1087" s="255"/>
      <c r="G1087" s="253"/>
      <c r="H1087" s="256"/>
      <c r="I1087" s="255"/>
      <c r="J1087" s="255"/>
      <c r="K1087" s="254"/>
      <c r="L1087" s="253"/>
    </row>
    <row r="1088" spans="3:12" s="244" customFormat="1" x14ac:dyDescent="0.25">
      <c r="C1088" s="255"/>
      <c r="D1088" s="255"/>
      <c r="E1088" s="255"/>
      <c r="F1088" s="255"/>
      <c r="G1088" s="253"/>
      <c r="H1088" s="256"/>
      <c r="I1088" s="255"/>
      <c r="J1088" s="255"/>
      <c r="K1088" s="254"/>
      <c r="L1088" s="253"/>
    </row>
    <row r="1089" spans="3:12" s="244" customFormat="1" x14ac:dyDescent="0.25">
      <c r="C1089" s="255"/>
      <c r="D1089" s="255"/>
      <c r="E1089" s="255"/>
      <c r="F1089" s="255"/>
      <c r="G1089" s="253"/>
      <c r="H1089" s="256"/>
      <c r="I1089" s="255"/>
      <c r="J1089" s="255"/>
      <c r="K1089" s="254"/>
      <c r="L1089" s="253"/>
    </row>
    <row r="1090" spans="3:12" s="244" customFormat="1" x14ac:dyDescent="0.25">
      <c r="C1090" s="255"/>
      <c r="D1090" s="255"/>
      <c r="E1090" s="255"/>
      <c r="F1090" s="255"/>
      <c r="G1090" s="253"/>
      <c r="H1090" s="256"/>
      <c r="I1090" s="255"/>
      <c r="J1090" s="255"/>
      <c r="K1090" s="254"/>
      <c r="L1090" s="253"/>
    </row>
    <row r="1091" spans="3:12" s="244" customFormat="1" x14ac:dyDescent="0.25">
      <c r="C1091" s="255"/>
      <c r="D1091" s="255"/>
      <c r="E1091" s="255"/>
      <c r="F1091" s="255"/>
      <c r="G1091" s="253"/>
      <c r="H1091" s="256"/>
      <c r="I1091" s="255"/>
      <c r="J1091" s="255"/>
      <c r="K1091" s="254"/>
      <c r="L1091" s="253"/>
    </row>
    <row r="1092" spans="3:12" s="244" customFormat="1" x14ac:dyDescent="0.25">
      <c r="C1092" s="255"/>
      <c r="D1092" s="255"/>
      <c r="E1092" s="255"/>
      <c r="F1092" s="255"/>
      <c r="G1092" s="253"/>
      <c r="H1092" s="256"/>
      <c r="I1092" s="255"/>
      <c r="J1092" s="255"/>
      <c r="K1092" s="254"/>
      <c r="L1092" s="253"/>
    </row>
    <row r="1093" spans="3:12" s="244" customFormat="1" x14ac:dyDescent="0.25">
      <c r="C1093" s="255"/>
      <c r="D1093" s="255"/>
      <c r="E1093" s="255"/>
      <c r="F1093" s="255"/>
      <c r="G1093" s="253"/>
      <c r="H1093" s="256"/>
      <c r="I1093" s="255"/>
      <c r="J1093" s="255"/>
      <c r="K1093" s="254"/>
      <c r="L1093" s="253"/>
    </row>
    <row r="1094" spans="3:12" s="244" customFormat="1" x14ac:dyDescent="0.25">
      <c r="C1094" s="255"/>
      <c r="D1094" s="255"/>
      <c r="E1094" s="255"/>
      <c r="F1094" s="255"/>
      <c r="G1094" s="253"/>
      <c r="H1094" s="256"/>
      <c r="I1094" s="255"/>
      <c r="J1094" s="255"/>
      <c r="K1094" s="254"/>
      <c r="L1094" s="253"/>
    </row>
    <row r="1095" spans="3:12" s="244" customFormat="1" x14ac:dyDescent="0.25">
      <c r="C1095" s="255"/>
      <c r="D1095" s="255"/>
      <c r="E1095" s="255"/>
      <c r="F1095" s="255"/>
      <c r="G1095" s="253"/>
      <c r="H1095" s="256"/>
      <c r="I1095" s="255"/>
      <c r="J1095" s="255"/>
      <c r="K1095" s="254"/>
      <c r="L1095" s="253"/>
    </row>
    <row r="1096" spans="3:12" s="244" customFormat="1" x14ac:dyDescent="0.25">
      <c r="C1096" s="255"/>
      <c r="D1096" s="255"/>
      <c r="E1096" s="255"/>
      <c r="F1096" s="255"/>
      <c r="G1096" s="253"/>
      <c r="H1096" s="256"/>
      <c r="I1096" s="255"/>
      <c r="J1096" s="255"/>
      <c r="K1096" s="254"/>
      <c r="L1096" s="253"/>
    </row>
    <row r="1097" spans="3:12" s="244" customFormat="1" x14ac:dyDescent="0.25">
      <c r="C1097" s="255"/>
      <c r="D1097" s="255"/>
      <c r="E1097" s="255"/>
      <c r="F1097" s="255"/>
      <c r="G1097" s="253"/>
      <c r="H1097" s="256"/>
      <c r="I1097" s="255"/>
      <c r="J1097" s="255"/>
      <c r="K1097" s="254"/>
      <c r="L1097" s="253"/>
    </row>
    <row r="1098" spans="3:12" s="244" customFormat="1" x14ac:dyDescent="0.25">
      <c r="C1098" s="255"/>
      <c r="D1098" s="255"/>
      <c r="E1098" s="255"/>
      <c r="F1098" s="255"/>
      <c r="G1098" s="253"/>
      <c r="H1098" s="256"/>
      <c r="I1098" s="255"/>
      <c r="J1098" s="255"/>
      <c r="K1098" s="254"/>
      <c r="L1098" s="253"/>
    </row>
    <row r="1099" spans="3:12" s="244" customFormat="1" x14ac:dyDescent="0.25">
      <c r="C1099" s="255"/>
      <c r="D1099" s="255"/>
      <c r="E1099" s="255"/>
      <c r="F1099" s="255"/>
      <c r="G1099" s="253"/>
      <c r="H1099" s="256"/>
      <c r="I1099" s="255"/>
      <c r="J1099" s="255"/>
      <c r="K1099" s="254"/>
      <c r="L1099" s="253"/>
    </row>
    <row r="1100" spans="3:12" s="244" customFormat="1" x14ac:dyDescent="0.25">
      <c r="C1100" s="255"/>
      <c r="D1100" s="255"/>
      <c r="E1100" s="255"/>
      <c r="F1100" s="255"/>
      <c r="G1100" s="253"/>
      <c r="H1100" s="256"/>
      <c r="I1100" s="255"/>
      <c r="J1100" s="255"/>
      <c r="K1100" s="254"/>
      <c r="L1100" s="253"/>
    </row>
    <row r="1101" spans="3:12" s="244" customFormat="1" x14ac:dyDescent="0.25">
      <c r="C1101" s="255"/>
      <c r="D1101" s="255"/>
      <c r="E1101" s="255"/>
      <c r="F1101" s="255"/>
      <c r="G1101" s="253"/>
      <c r="H1101" s="256"/>
      <c r="I1101" s="255"/>
      <c r="J1101" s="255"/>
      <c r="K1101" s="254"/>
      <c r="L1101" s="253"/>
    </row>
    <row r="1102" spans="3:12" s="244" customFormat="1" x14ac:dyDescent="0.25">
      <c r="C1102" s="255"/>
      <c r="D1102" s="255"/>
      <c r="E1102" s="255"/>
      <c r="F1102" s="255"/>
      <c r="G1102" s="253"/>
      <c r="H1102" s="256"/>
      <c r="I1102" s="255"/>
      <c r="J1102" s="255"/>
      <c r="K1102" s="254"/>
      <c r="L1102" s="253"/>
    </row>
    <row r="1103" spans="3:12" s="244" customFormat="1" x14ac:dyDescent="0.25">
      <c r="C1103" s="255"/>
      <c r="D1103" s="255"/>
      <c r="E1103" s="255"/>
      <c r="F1103" s="255"/>
      <c r="G1103" s="253"/>
      <c r="H1103" s="256"/>
      <c r="I1103" s="255"/>
      <c r="J1103" s="255"/>
      <c r="K1103" s="254"/>
      <c r="L1103" s="253"/>
    </row>
    <row r="1104" spans="3:12" s="244" customFormat="1" x14ac:dyDescent="0.25">
      <c r="C1104" s="255"/>
      <c r="D1104" s="255"/>
      <c r="E1104" s="255"/>
      <c r="F1104" s="255"/>
      <c r="G1104" s="253"/>
      <c r="H1104" s="256"/>
      <c r="I1104" s="255"/>
      <c r="J1104" s="255"/>
      <c r="K1104" s="254"/>
      <c r="L1104" s="253"/>
    </row>
    <row r="1105" spans="3:12" s="244" customFormat="1" x14ac:dyDescent="0.25">
      <c r="C1105" s="255"/>
      <c r="D1105" s="255"/>
      <c r="E1105" s="255"/>
      <c r="F1105" s="255"/>
      <c r="G1105" s="253"/>
      <c r="H1105" s="256"/>
      <c r="I1105" s="255"/>
      <c r="J1105" s="255"/>
      <c r="K1105" s="254"/>
      <c r="L1105" s="253"/>
    </row>
    <row r="1106" spans="3:12" s="244" customFormat="1" x14ac:dyDescent="0.25">
      <c r="C1106" s="255"/>
      <c r="D1106" s="255"/>
      <c r="E1106" s="255"/>
      <c r="F1106" s="255"/>
      <c r="G1106" s="253"/>
      <c r="H1106" s="256"/>
      <c r="I1106" s="255"/>
      <c r="J1106" s="255"/>
      <c r="K1106" s="254"/>
      <c r="L1106" s="253"/>
    </row>
    <row r="1107" spans="3:12" s="244" customFormat="1" x14ac:dyDescent="0.25">
      <c r="C1107" s="255"/>
      <c r="D1107" s="255"/>
      <c r="E1107" s="255"/>
      <c r="F1107" s="255"/>
      <c r="G1107" s="253"/>
      <c r="H1107" s="256"/>
      <c r="I1107" s="255"/>
      <c r="J1107" s="255"/>
      <c r="K1107" s="254"/>
      <c r="L1107" s="253"/>
    </row>
    <row r="1108" spans="3:12" s="244" customFormat="1" x14ac:dyDescent="0.25">
      <c r="C1108" s="255"/>
      <c r="D1108" s="255"/>
      <c r="E1108" s="255"/>
      <c r="F1108" s="255"/>
      <c r="G1108" s="253"/>
      <c r="H1108" s="256"/>
      <c r="I1108" s="255"/>
      <c r="J1108" s="255"/>
      <c r="K1108" s="254"/>
      <c r="L1108" s="253"/>
    </row>
    <row r="1109" spans="3:12" s="244" customFormat="1" x14ac:dyDescent="0.25">
      <c r="C1109" s="255"/>
      <c r="D1109" s="255"/>
      <c r="E1109" s="255"/>
      <c r="F1109" s="255"/>
      <c r="G1109" s="253"/>
      <c r="H1109" s="256"/>
      <c r="I1109" s="255"/>
      <c r="J1109" s="255"/>
      <c r="K1109" s="254"/>
      <c r="L1109" s="253"/>
    </row>
    <row r="1110" spans="3:12" s="244" customFormat="1" x14ac:dyDescent="0.25">
      <c r="C1110" s="255"/>
      <c r="D1110" s="255"/>
      <c r="E1110" s="255"/>
      <c r="F1110" s="255"/>
      <c r="G1110" s="253"/>
      <c r="H1110" s="256"/>
      <c r="I1110" s="255"/>
      <c r="J1110" s="255"/>
      <c r="K1110" s="254"/>
      <c r="L1110" s="253"/>
    </row>
    <row r="1111" spans="3:12" s="244" customFormat="1" x14ac:dyDescent="0.25">
      <c r="C1111" s="255"/>
      <c r="D1111" s="255"/>
      <c r="E1111" s="255"/>
      <c r="F1111" s="255"/>
      <c r="G1111" s="253"/>
      <c r="H1111" s="256"/>
      <c r="I1111" s="255"/>
      <c r="J1111" s="255"/>
      <c r="K1111" s="254"/>
      <c r="L1111" s="253"/>
    </row>
    <row r="1112" spans="3:12" s="244" customFormat="1" x14ac:dyDescent="0.25">
      <c r="C1112" s="255"/>
      <c r="D1112" s="255"/>
      <c r="E1112" s="255"/>
      <c r="F1112" s="255"/>
      <c r="G1112" s="253"/>
      <c r="H1112" s="256"/>
      <c r="I1112" s="255"/>
      <c r="J1112" s="255"/>
      <c r="K1112" s="254"/>
      <c r="L1112" s="253"/>
    </row>
    <row r="1113" spans="3:12" s="244" customFormat="1" x14ac:dyDescent="0.25">
      <c r="C1113" s="255"/>
      <c r="D1113" s="255"/>
      <c r="E1113" s="255"/>
      <c r="F1113" s="255"/>
      <c r="G1113" s="253"/>
      <c r="H1113" s="256"/>
      <c r="I1113" s="255"/>
      <c r="J1113" s="255"/>
      <c r="K1113" s="254"/>
      <c r="L1113" s="253"/>
    </row>
    <row r="1114" spans="3:12" s="244" customFormat="1" x14ac:dyDescent="0.25">
      <c r="C1114" s="255"/>
      <c r="D1114" s="255"/>
      <c r="E1114" s="255"/>
      <c r="F1114" s="255"/>
      <c r="G1114" s="253"/>
      <c r="H1114" s="256"/>
      <c r="I1114" s="255"/>
      <c r="J1114" s="255"/>
      <c r="K1114" s="254"/>
      <c r="L1114" s="253"/>
    </row>
    <row r="1115" spans="3:12" s="244" customFormat="1" x14ac:dyDescent="0.25">
      <c r="C1115" s="255"/>
      <c r="D1115" s="255"/>
      <c r="E1115" s="255"/>
      <c r="F1115" s="255"/>
      <c r="G1115" s="253"/>
      <c r="H1115" s="256"/>
      <c r="I1115" s="255"/>
      <c r="J1115" s="255"/>
      <c r="K1115" s="254"/>
      <c r="L1115" s="253"/>
    </row>
    <row r="1116" spans="3:12" s="244" customFormat="1" x14ac:dyDescent="0.25">
      <c r="C1116" s="255"/>
      <c r="D1116" s="255"/>
      <c r="E1116" s="255"/>
      <c r="F1116" s="255"/>
      <c r="G1116" s="253"/>
      <c r="H1116" s="256"/>
      <c r="I1116" s="255"/>
      <c r="J1116" s="255"/>
      <c r="K1116" s="254"/>
      <c r="L1116" s="253"/>
    </row>
    <row r="1117" spans="3:12" s="244" customFormat="1" x14ac:dyDescent="0.25">
      <c r="C1117" s="255"/>
      <c r="D1117" s="255"/>
      <c r="E1117" s="255"/>
      <c r="F1117" s="255"/>
      <c r="G1117" s="253"/>
      <c r="H1117" s="256"/>
      <c r="I1117" s="255"/>
      <c r="J1117" s="255"/>
      <c r="K1117" s="254"/>
      <c r="L1117" s="253"/>
    </row>
    <row r="1118" spans="3:12" s="244" customFormat="1" x14ac:dyDescent="0.25">
      <c r="C1118" s="255"/>
      <c r="D1118" s="255"/>
      <c r="E1118" s="255"/>
      <c r="F1118" s="255"/>
      <c r="G1118" s="253"/>
      <c r="H1118" s="256"/>
      <c r="I1118" s="255"/>
      <c r="J1118" s="255"/>
      <c r="K1118" s="254"/>
      <c r="L1118" s="253"/>
    </row>
    <row r="1119" spans="3:12" s="244" customFormat="1" x14ac:dyDescent="0.25">
      <c r="C1119" s="255"/>
      <c r="D1119" s="255"/>
      <c r="E1119" s="255"/>
      <c r="F1119" s="255"/>
      <c r="G1119" s="253"/>
      <c r="H1119" s="256"/>
      <c r="I1119" s="255"/>
      <c r="J1119" s="255"/>
      <c r="K1119" s="254"/>
      <c r="L1119" s="253"/>
    </row>
    <row r="1120" spans="3:12" s="244" customFormat="1" x14ac:dyDescent="0.25">
      <c r="C1120" s="255"/>
      <c r="D1120" s="255"/>
      <c r="E1120" s="255"/>
      <c r="F1120" s="255"/>
      <c r="G1120" s="253"/>
      <c r="H1120" s="256"/>
      <c r="I1120" s="255"/>
      <c r="J1120" s="255"/>
      <c r="K1120" s="254"/>
      <c r="L1120" s="253"/>
    </row>
    <row r="1121" spans="3:12" s="244" customFormat="1" x14ac:dyDescent="0.25">
      <c r="C1121" s="255"/>
      <c r="D1121" s="255"/>
      <c r="E1121" s="255"/>
      <c r="F1121" s="255"/>
      <c r="G1121" s="253"/>
      <c r="H1121" s="256"/>
      <c r="I1121" s="255"/>
      <c r="J1121" s="255"/>
      <c r="K1121" s="254"/>
      <c r="L1121" s="253"/>
    </row>
    <row r="1122" spans="3:12" s="244" customFormat="1" x14ac:dyDescent="0.25">
      <c r="C1122" s="255"/>
      <c r="D1122" s="255"/>
      <c r="E1122" s="255"/>
      <c r="F1122" s="255"/>
      <c r="G1122" s="253"/>
      <c r="H1122" s="256"/>
      <c r="I1122" s="255"/>
      <c r="J1122" s="255"/>
      <c r="K1122" s="254"/>
      <c r="L1122" s="253"/>
    </row>
    <row r="1123" spans="3:12" s="244" customFormat="1" x14ac:dyDescent="0.25">
      <c r="C1123" s="255"/>
      <c r="D1123" s="255"/>
      <c r="E1123" s="255"/>
      <c r="F1123" s="255"/>
      <c r="G1123" s="253"/>
      <c r="H1123" s="256"/>
      <c r="I1123" s="255"/>
      <c r="J1123" s="255"/>
      <c r="K1123" s="254"/>
      <c r="L1123" s="253"/>
    </row>
    <row r="1124" spans="3:12" s="244" customFormat="1" x14ac:dyDescent="0.25">
      <c r="C1124" s="255"/>
      <c r="D1124" s="255"/>
      <c r="E1124" s="255"/>
      <c r="F1124" s="255"/>
      <c r="G1124" s="253"/>
      <c r="H1124" s="256"/>
      <c r="I1124" s="255"/>
      <c r="J1124" s="255"/>
      <c r="K1124" s="254"/>
      <c r="L1124" s="253"/>
    </row>
    <row r="1125" spans="3:12" s="244" customFormat="1" x14ac:dyDescent="0.25">
      <c r="C1125" s="255"/>
      <c r="D1125" s="255"/>
      <c r="E1125" s="255"/>
      <c r="F1125" s="255"/>
      <c r="G1125" s="253"/>
      <c r="H1125" s="256"/>
      <c r="I1125" s="255"/>
      <c r="J1125" s="255"/>
      <c r="K1125" s="254"/>
      <c r="L1125" s="253"/>
    </row>
    <row r="1126" spans="3:12" s="244" customFormat="1" x14ac:dyDescent="0.25">
      <c r="C1126" s="255"/>
      <c r="D1126" s="255"/>
      <c r="E1126" s="255"/>
      <c r="F1126" s="255"/>
      <c r="G1126" s="253"/>
      <c r="H1126" s="256"/>
      <c r="I1126" s="255"/>
      <c r="J1126" s="255"/>
      <c r="K1126" s="254"/>
      <c r="L1126" s="253"/>
    </row>
    <row r="1127" spans="3:12" s="244" customFormat="1" x14ac:dyDescent="0.25">
      <c r="C1127" s="255"/>
      <c r="D1127" s="255"/>
      <c r="E1127" s="255"/>
      <c r="F1127" s="255"/>
      <c r="G1127" s="253"/>
      <c r="H1127" s="256"/>
      <c r="I1127" s="255"/>
      <c r="J1127" s="255"/>
      <c r="K1127" s="254"/>
      <c r="L1127" s="253"/>
    </row>
    <row r="1128" spans="3:12" s="244" customFormat="1" x14ac:dyDescent="0.25">
      <c r="C1128" s="255"/>
      <c r="D1128" s="255"/>
      <c r="E1128" s="255"/>
      <c r="F1128" s="255"/>
      <c r="G1128" s="253"/>
      <c r="H1128" s="256"/>
      <c r="I1128" s="255"/>
      <c r="J1128" s="255"/>
      <c r="K1128" s="254"/>
      <c r="L1128" s="253"/>
    </row>
    <row r="1129" spans="3:12" s="244" customFormat="1" x14ac:dyDescent="0.25">
      <c r="C1129" s="255"/>
      <c r="D1129" s="255"/>
      <c r="E1129" s="255"/>
      <c r="F1129" s="255"/>
      <c r="G1129" s="253"/>
      <c r="H1129" s="256"/>
      <c r="I1129" s="255"/>
      <c r="J1129" s="255"/>
      <c r="K1129" s="254"/>
      <c r="L1129" s="253"/>
    </row>
    <row r="1130" spans="3:12" s="244" customFormat="1" x14ac:dyDescent="0.25">
      <c r="C1130" s="255"/>
      <c r="D1130" s="255"/>
      <c r="E1130" s="255"/>
      <c r="F1130" s="255"/>
      <c r="G1130" s="253"/>
      <c r="H1130" s="256"/>
      <c r="I1130" s="255"/>
      <c r="J1130" s="255"/>
      <c r="K1130" s="254"/>
      <c r="L1130" s="253"/>
    </row>
    <row r="1131" spans="3:12" s="244" customFormat="1" x14ac:dyDescent="0.25">
      <c r="C1131" s="255"/>
      <c r="D1131" s="255"/>
      <c r="E1131" s="255"/>
      <c r="F1131" s="255"/>
      <c r="G1131" s="253"/>
      <c r="H1131" s="256"/>
      <c r="I1131" s="255"/>
      <c r="J1131" s="255"/>
      <c r="K1131" s="254"/>
      <c r="L1131" s="253"/>
    </row>
    <row r="1132" spans="3:12" s="244" customFormat="1" x14ac:dyDescent="0.25">
      <c r="C1132" s="255"/>
      <c r="D1132" s="255"/>
      <c r="E1132" s="255"/>
      <c r="F1132" s="255"/>
      <c r="G1132" s="253"/>
      <c r="H1132" s="256"/>
      <c r="I1132" s="255"/>
      <c r="J1132" s="255"/>
      <c r="K1132" s="254"/>
      <c r="L1132" s="253"/>
    </row>
    <row r="1133" spans="3:12" s="244" customFormat="1" x14ac:dyDescent="0.25">
      <c r="C1133" s="255"/>
      <c r="D1133" s="255"/>
      <c r="E1133" s="255"/>
      <c r="F1133" s="255"/>
      <c r="G1133" s="253"/>
      <c r="H1133" s="256"/>
      <c r="I1133" s="255"/>
      <c r="J1133" s="255"/>
      <c r="K1133" s="254"/>
      <c r="L1133" s="253"/>
    </row>
    <row r="1134" spans="3:12" s="244" customFormat="1" x14ac:dyDescent="0.25">
      <c r="C1134" s="255"/>
      <c r="D1134" s="255"/>
      <c r="E1134" s="255"/>
      <c r="F1134" s="255"/>
      <c r="G1134" s="253"/>
      <c r="H1134" s="256"/>
      <c r="I1134" s="255"/>
      <c r="J1134" s="255"/>
      <c r="K1134" s="254"/>
      <c r="L1134" s="253"/>
    </row>
    <row r="1135" spans="3:12" s="244" customFormat="1" x14ac:dyDescent="0.25">
      <c r="C1135" s="255"/>
      <c r="D1135" s="255"/>
      <c r="E1135" s="255"/>
      <c r="F1135" s="255"/>
      <c r="G1135" s="253"/>
      <c r="H1135" s="256"/>
      <c r="I1135" s="255"/>
      <c r="J1135" s="255"/>
      <c r="K1135" s="254"/>
      <c r="L1135" s="253"/>
    </row>
    <row r="1136" spans="3:12" s="244" customFormat="1" x14ac:dyDescent="0.25">
      <c r="C1136" s="255"/>
      <c r="D1136" s="255"/>
      <c r="E1136" s="255"/>
      <c r="F1136" s="255"/>
      <c r="G1136" s="253"/>
      <c r="H1136" s="256"/>
      <c r="I1136" s="255"/>
      <c r="J1136" s="255"/>
      <c r="K1136" s="254"/>
      <c r="L1136" s="253"/>
    </row>
    <row r="1137" spans="3:12" s="244" customFormat="1" x14ac:dyDescent="0.25">
      <c r="C1137" s="255"/>
      <c r="D1137" s="255"/>
      <c r="E1137" s="255"/>
      <c r="F1137" s="255"/>
      <c r="G1137" s="253"/>
      <c r="H1137" s="256"/>
      <c r="I1137" s="255"/>
      <c r="J1137" s="255"/>
      <c r="K1137" s="254"/>
      <c r="L1137" s="253"/>
    </row>
    <row r="1138" spans="3:12" s="244" customFormat="1" x14ac:dyDescent="0.25">
      <c r="C1138" s="255"/>
      <c r="D1138" s="255"/>
      <c r="E1138" s="255"/>
      <c r="F1138" s="255"/>
      <c r="G1138" s="253"/>
      <c r="H1138" s="256"/>
      <c r="I1138" s="255"/>
      <c r="J1138" s="255"/>
      <c r="K1138" s="254"/>
      <c r="L1138" s="253"/>
    </row>
    <row r="1139" spans="3:12" s="244" customFormat="1" x14ac:dyDescent="0.25">
      <c r="C1139" s="255"/>
      <c r="D1139" s="255"/>
      <c r="E1139" s="255"/>
      <c r="F1139" s="255"/>
      <c r="G1139" s="253"/>
      <c r="H1139" s="256"/>
      <c r="I1139" s="255"/>
      <c r="J1139" s="255"/>
      <c r="K1139" s="254"/>
      <c r="L1139" s="253"/>
    </row>
    <row r="1140" spans="3:12" s="244" customFormat="1" x14ac:dyDescent="0.25">
      <c r="C1140" s="255"/>
      <c r="D1140" s="255"/>
      <c r="E1140" s="255"/>
      <c r="F1140" s="255"/>
      <c r="G1140" s="253"/>
      <c r="H1140" s="256"/>
      <c r="I1140" s="255"/>
      <c r="J1140" s="255"/>
      <c r="K1140" s="254"/>
      <c r="L1140" s="253"/>
    </row>
    <row r="1141" spans="3:12" s="244" customFormat="1" x14ac:dyDescent="0.25">
      <c r="C1141" s="255"/>
      <c r="D1141" s="255"/>
      <c r="E1141" s="255"/>
      <c r="F1141" s="255"/>
      <c r="G1141" s="253"/>
      <c r="H1141" s="256"/>
      <c r="I1141" s="255"/>
      <c r="J1141" s="255"/>
      <c r="K1141" s="254"/>
      <c r="L1141" s="253"/>
    </row>
    <row r="1142" spans="3:12" s="244" customFormat="1" x14ac:dyDescent="0.25">
      <c r="C1142" s="255"/>
      <c r="D1142" s="255"/>
      <c r="E1142" s="255"/>
      <c r="F1142" s="255"/>
      <c r="G1142" s="253"/>
      <c r="H1142" s="256"/>
      <c r="I1142" s="255"/>
      <c r="J1142" s="255"/>
      <c r="K1142" s="254"/>
      <c r="L1142" s="253"/>
    </row>
    <row r="1143" spans="3:12" s="244" customFormat="1" x14ac:dyDescent="0.25">
      <c r="C1143" s="255"/>
      <c r="D1143" s="255"/>
      <c r="E1143" s="255"/>
      <c r="F1143" s="255"/>
      <c r="G1143" s="253"/>
      <c r="H1143" s="256"/>
      <c r="I1143" s="255"/>
      <c r="J1143" s="255"/>
      <c r="K1143" s="254"/>
      <c r="L1143" s="253"/>
    </row>
    <row r="1144" spans="3:12" s="244" customFormat="1" x14ac:dyDescent="0.25">
      <c r="C1144" s="255"/>
      <c r="D1144" s="255"/>
      <c r="E1144" s="255"/>
      <c r="F1144" s="255"/>
      <c r="G1144" s="253"/>
      <c r="H1144" s="256"/>
      <c r="I1144" s="255"/>
      <c r="J1144" s="255"/>
      <c r="K1144" s="254"/>
      <c r="L1144" s="253"/>
    </row>
    <row r="1145" spans="3:12" s="244" customFormat="1" x14ac:dyDescent="0.25">
      <c r="C1145" s="255"/>
      <c r="D1145" s="255"/>
      <c r="E1145" s="255"/>
      <c r="F1145" s="255"/>
      <c r="G1145" s="253"/>
      <c r="H1145" s="256"/>
      <c r="I1145" s="255"/>
      <c r="J1145" s="255"/>
      <c r="K1145" s="254"/>
      <c r="L1145" s="253"/>
    </row>
    <row r="1146" spans="3:12" s="244" customFormat="1" x14ac:dyDescent="0.25">
      <c r="C1146" s="255"/>
      <c r="D1146" s="255"/>
      <c r="E1146" s="255"/>
      <c r="F1146" s="255"/>
      <c r="G1146" s="253"/>
      <c r="H1146" s="256"/>
      <c r="I1146" s="255"/>
      <c r="J1146" s="255"/>
      <c r="K1146" s="254"/>
      <c r="L1146" s="253"/>
    </row>
    <row r="1147" spans="3:12" s="244" customFormat="1" x14ac:dyDescent="0.25">
      <c r="C1147" s="255"/>
      <c r="D1147" s="255"/>
      <c r="E1147" s="255"/>
      <c r="F1147" s="255"/>
      <c r="G1147" s="253"/>
      <c r="H1147" s="256"/>
      <c r="I1147" s="255"/>
      <c r="J1147" s="255"/>
      <c r="K1147" s="254"/>
      <c r="L1147" s="253"/>
    </row>
    <row r="1148" spans="3:12" s="244" customFormat="1" x14ac:dyDescent="0.25">
      <c r="C1148" s="255"/>
      <c r="D1148" s="255"/>
      <c r="E1148" s="255"/>
      <c r="F1148" s="255"/>
      <c r="G1148" s="253"/>
      <c r="H1148" s="256"/>
      <c r="I1148" s="255"/>
      <c r="J1148" s="255"/>
      <c r="K1148" s="254"/>
      <c r="L1148" s="253"/>
    </row>
    <row r="1149" spans="3:12" s="244" customFormat="1" x14ac:dyDescent="0.25">
      <c r="C1149" s="255"/>
      <c r="D1149" s="255"/>
      <c r="E1149" s="255"/>
      <c r="F1149" s="255"/>
      <c r="G1149" s="253"/>
      <c r="H1149" s="256"/>
      <c r="I1149" s="255"/>
      <c r="J1149" s="255"/>
      <c r="K1149" s="254"/>
      <c r="L1149" s="253"/>
    </row>
    <row r="1150" spans="3:12" s="244" customFormat="1" x14ac:dyDescent="0.25">
      <c r="C1150" s="255"/>
      <c r="D1150" s="255"/>
      <c r="E1150" s="255"/>
      <c r="F1150" s="255"/>
      <c r="G1150" s="253"/>
      <c r="H1150" s="256"/>
      <c r="I1150" s="255"/>
      <c r="J1150" s="255"/>
      <c r="K1150" s="254"/>
      <c r="L1150" s="253"/>
    </row>
    <row r="1151" spans="3:12" s="244" customFormat="1" x14ac:dyDescent="0.25">
      <c r="C1151" s="255"/>
      <c r="D1151" s="255"/>
      <c r="E1151" s="255"/>
      <c r="F1151" s="255"/>
      <c r="G1151" s="253"/>
      <c r="H1151" s="256"/>
      <c r="I1151" s="255"/>
      <c r="J1151" s="255"/>
      <c r="K1151" s="254"/>
      <c r="L1151" s="253"/>
    </row>
    <row r="1152" spans="3:12" s="244" customFormat="1" x14ac:dyDescent="0.25">
      <c r="C1152" s="255"/>
      <c r="D1152" s="255"/>
      <c r="E1152" s="255"/>
      <c r="F1152" s="255"/>
      <c r="G1152" s="253"/>
      <c r="H1152" s="256"/>
      <c r="I1152" s="255"/>
      <c r="J1152" s="255"/>
      <c r="K1152" s="254"/>
      <c r="L1152" s="253"/>
    </row>
    <row r="1153" spans="3:12" s="244" customFormat="1" x14ac:dyDescent="0.25">
      <c r="C1153" s="255"/>
      <c r="D1153" s="255"/>
      <c r="E1153" s="255"/>
      <c r="F1153" s="255"/>
      <c r="G1153" s="253"/>
      <c r="H1153" s="256"/>
      <c r="I1153" s="255"/>
      <c r="J1153" s="255"/>
      <c r="K1153" s="254"/>
      <c r="L1153" s="253"/>
    </row>
    <row r="1154" spans="3:12" s="244" customFormat="1" x14ac:dyDescent="0.25">
      <c r="C1154" s="255"/>
      <c r="D1154" s="255"/>
      <c r="E1154" s="255"/>
      <c r="F1154" s="255"/>
      <c r="G1154" s="253"/>
      <c r="H1154" s="256"/>
      <c r="I1154" s="255"/>
      <c r="J1154" s="255"/>
      <c r="K1154" s="254"/>
      <c r="L1154" s="253"/>
    </row>
    <row r="1155" spans="3:12" s="244" customFormat="1" x14ac:dyDescent="0.25">
      <c r="C1155" s="255"/>
      <c r="D1155" s="255"/>
      <c r="E1155" s="255"/>
      <c r="F1155" s="255"/>
      <c r="G1155" s="253"/>
      <c r="H1155" s="256"/>
      <c r="I1155" s="255"/>
      <c r="J1155" s="255"/>
      <c r="K1155" s="254"/>
      <c r="L1155" s="253"/>
    </row>
    <row r="1156" spans="3:12" s="244" customFormat="1" x14ac:dyDescent="0.25">
      <c r="C1156" s="255"/>
      <c r="D1156" s="255"/>
      <c r="E1156" s="255"/>
      <c r="F1156" s="255"/>
      <c r="G1156" s="253"/>
      <c r="H1156" s="256"/>
      <c r="I1156" s="255"/>
      <c r="J1156" s="255"/>
      <c r="K1156" s="254"/>
      <c r="L1156" s="253"/>
    </row>
    <row r="1157" spans="3:12" s="244" customFormat="1" x14ac:dyDescent="0.25">
      <c r="C1157" s="255"/>
      <c r="D1157" s="255"/>
      <c r="E1157" s="255"/>
      <c r="F1157" s="255"/>
      <c r="G1157" s="253"/>
      <c r="H1157" s="256"/>
      <c r="I1157" s="255"/>
      <c r="J1157" s="255"/>
      <c r="K1157" s="254"/>
      <c r="L1157" s="253"/>
    </row>
    <row r="1158" spans="3:12" s="244" customFormat="1" x14ac:dyDescent="0.25">
      <c r="C1158" s="255"/>
      <c r="D1158" s="255"/>
      <c r="E1158" s="255"/>
      <c r="F1158" s="255"/>
      <c r="G1158" s="253"/>
      <c r="H1158" s="256"/>
      <c r="I1158" s="255"/>
      <c r="J1158" s="255"/>
      <c r="K1158" s="254"/>
      <c r="L1158" s="253"/>
    </row>
    <row r="1159" spans="3:12" s="244" customFormat="1" x14ac:dyDescent="0.25">
      <c r="C1159" s="255"/>
      <c r="D1159" s="255"/>
      <c r="E1159" s="255"/>
      <c r="F1159" s="255"/>
      <c r="G1159" s="253"/>
      <c r="H1159" s="256"/>
      <c r="I1159" s="255"/>
      <c r="J1159" s="255"/>
      <c r="K1159" s="254"/>
      <c r="L1159" s="253"/>
    </row>
    <row r="1160" spans="3:12" s="244" customFormat="1" x14ac:dyDescent="0.25">
      <c r="C1160" s="255"/>
      <c r="D1160" s="255"/>
      <c r="E1160" s="255"/>
      <c r="F1160" s="255"/>
      <c r="G1160" s="253"/>
      <c r="H1160" s="256"/>
      <c r="I1160" s="255"/>
      <c r="J1160" s="255"/>
      <c r="K1160" s="254"/>
      <c r="L1160" s="253"/>
    </row>
    <row r="1161" spans="3:12" s="244" customFormat="1" x14ac:dyDescent="0.25">
      <c r="C1161" s="255"/>
      <c r="D1161" s="255"/>
      <c r="E1161" s="255"/>
      <c r="F1161" s="255"/>
      <c r="G1161" s="253"/>
      <c r="H1161" s="256"/>
      <c r="I1161" s="255"/>
      <c r="J1161" s="255"/>
      <c r="K1161" s="254"/>
      <c r="L1161" s="253"/>
    </row>
    <row r="1162" spans="3:12" s="244" customFormat="1" x14ac:dyDescent="0.25">
      <c r="C1162" s="255"/>
      <c r="D1162" s="255"/>
      <c r="E1162" s="255"/>
      <c r="F1162" s="255"/>
      <c r="G1162" s="253"/>
      <c r="H1162" s="256"/>
      <c r="I1162" s="255"/>
      <c r="J1162" s="255"/>
      <c r="K1162" s="254"/>
      <c r="L1162" s="253"/>
    </row>
    <row r="1163" spans="3:12" s="244" customFormat="1" x14ac:dyDescent="0.25">
      <c r="C1163" s="255"/>
      <c r="D1163" s="255"/>
      <c r="E1163" s="255"/>
      <c r="F1163" s="255"/>
      <c r="G1163" s="253"/>
      <c r="H1163" s="256"/>
      <c r="I1163" s="255"/>
      <c r="J1163" s="255"/>
      <c r="K1163" s="254"/>
      <c r="L1163" s="253"/>
    </row>
    <row r="1164" spans="3:12" s="244" customFormat="1" x14ac:dyDescent="0.25">
      <c r="C1164" s="255"/>
      <c r="D1164" s="255"/>
      <c r="E1164" s="255"/>
      <c r="F1164" s="255"/>
      <c r="G1164" s="253"/>
      <c r="H1164" s="256"/>
      <c r="I1164" s="255"/>
      <c r="J1164" s="255"/>
      <c r="K1164" s="254"/>
      <c r="L1164" s="253"/>
    </row>
    <row r="1165" spans="3:12" s="244" customFormat="1" x14ac:dyDescent="0.25">
      <c r="C1165" s="255"/>
      <c r="D1165" s="255"/>
      <c r="E1165" s="255"/>
      <c r="F1165" s="255"/>
      <c r="G1165" s="253"/>
      <c r="H1165" s="256"/>
      <c r="I1165" s="255"/>
      <c r="J1165" s="255"/>
      <c r="K1165" s="254"/>
      <c r="L1165" s="253"/>
    </row>
    <row r="1166" spans="3:12" s="244" customFormat="1" x14ac:dyDescent="0.25">
      <c r="C1166" s="255"/>
      <c r="D1166" s="255"/>
      <c r="E1166" s="255"/>
      <c r="F1166" s="255"/>
      <c r="G1166" s="253"/>
      <c r="H1166" s="256"/>
      <c r="I1166" s="255"/>
      <c r="J1166" s="255"/>
      <c r="K1166" s="254"/>
      <c r="L1166" s="253"/>
    </row>
    <row r="1167" spans="3:12" s="244" customFormat="1" x14ac:dyDescent="0.25">
      <c r="C1167" s="255"/>
      <c r="D1167" s="255"/>
      <c r="E1167" s="255"/>
      <c r="F1167" s="255"/>
      <c r="G1167" s="253"/>
      <c r="H1167" s="256"/>
      <c r="I1167" s="255"/>
      <c r="J1167" s="255"/>
      <c r="K1167" s="254"/>
      <c r="L1167" s="253"/>
    </row>
    <row r="1168" spans="3:12" s="244" customFormat="1" x14ac:dyDescent="0.25">
      <c r="C1168" s="255"/>
      <c r="D1168" s="255"/>
      <c r="E1168" s="255"/>
      <c r="F1168" s="255"/>
      <c r="G1168" s="253"/>
      <c r="H1168" s="256"/>
      <c r="I1168" s="255"/>
      <c r="J1168" s="255"/>
      <c r="K1168" s="254"/>
      <c r="L1168" s="253"/>
    </row>
    <row r="1169" spans="3:12" s="244" customFormat="1" x14ac:dyDescent="0.25">
      <c r="C1169" s="255"/>
      <c r="D1169" s="255"/>
      <c r="E1169" s="255"/>
      <c r="F1169" s="255"/>
      <c r="G1169" s="253"/>
      <c r="H1169" s="256"/>
      <c r="I1169" s="255"/>
      <c r="J1169" s="255"/>
      <c r="K1169" s="254"/>
      <c r="L1169" s="253"/>
    </row>
    <row r="1170" spans="3:12" s="244" customFormat="1" x14ac:dyDescent="0.25">
      <c r="C1170" s="255"/>
      <c r="D1170" s="255"/>
      <c r="E1170" s="255"/>
      <c r="F1170" s="255"/>
      <c r="G1170" s="253"/>
      <c r="H1170" s="256"/>
      <c r="I1170" s="255"/>
      <c r="J1170" s="255"/>
      <c r="K1170" s="254"/>
      <c r="L1170" s="253"/>
    </row>
    <row r="1171" spans="3:12" s="244" customFormat="1" x14ac:dyDescent="0.25">
      <c r="C1171" s="255"/>
      <c r="D1171" s="255"/>
      <c r="E1171" s="255"/>
      <c r="F1171" s="255"/>
      <c r="G1171" s="253"/>
      <c r="H1171" s="256"/>
      <c r="I1171" s="255"/>
      <c r="J1171" s="255"/>
      <c r="K1171" s="254"/>
      <c r="L1171" s="253"/>
    </row>
    <row r="1172" spans="3:12" s="244" customFormat="1" x14ac:dyDescent="0.25">
      <c r="C1172" s="255"/>
      <c r="D1172" s="255"/>
      <c r="E1172" s="255"/>
      <c r="F1172" s="255"/>
      <c r="G1172" s="253"/>
      <c r="H1172" s="256"/>
      <c r="I1172" s="255"/>
      <c r="J1172" s="255"/>
      <c r="K1172" s="254"/>
      <c r="L1172" s="253"/>
    </row>
    <row r="1173" spans="3:12" s="244" customFormat="1" x14ac:dyDescent="0.25">
      <c r="C1173" s="255"/>
      <c r="D1173" s="255"/>
      <c r="E1173" s="255"/>
      <c r="F1173" s="255"/>
      <c r="G1173" s="253"/>
      <c r="H1173" s="256"/>
      <c r="I1173" s="255"/>
      <c r="J1173" s="255"/>
      <c r="K1173" s="254"/>
      <c r="L1173" s="253"/>
    </row>
    <row r="1174" spans="3:12" s="244" customFormat="1" x14ac:dyDescent="0.25">
      <c r="C1174" s="255"/>
      <c r="D1174" s="255"/>
      <c r="E1174" s="255"/>
      <c r="F1174" s="255"/>
      <c r="G1174" s="253"/>
      <c r="H1174" s="256"/>
      <c r="I1174" s="255"/>
      <c r="J1174" s="255"/>
      <c r="K1174" s="254"/>
      <c r="L1174" s="253"/>
    </row>
    <row r="1175" spans="3:12" s="244" customFormat="1" x14ac:dyDescent="0.25">
      <c r="C1175" s="255"/>
      <c r="D1175" s="255"/>
      <c r="E1175" s="255"/>
      <c r="F1175" s="255"/>
      <c r="G1175" s="253"/>
      <c r="H1175" s="256"/>
      <c r="I1175" s="255"/>
      <c r="J1175" s="255"/>
      <c r="K1175" s="254"/>
      <c r="L1175" s="253"/>
    </row>
    <row r="1176" spans="3:12" s="244" customFormat="1" x14ac:dyDescent="0.25">
      <c r="C1176" s="255"/>
      <c r="D1176" s="255"/>
      <c r="E1176" s="255"/>
      <c r="F1176" s="255"/>
      <c r="G1176" s="253"/>
      <c r="H1176" s="256"/>
      <c r="I1176" s="255"/>
      <c r="J1176" s="255"/>
      <c r="K1176" s="254"/>
      <c r="L1176" s="253"/>
    </row>
    <row r="1177" spans="3:12" s="244" customFormat="1" x14ac:dyDescent="0.25">
      <c r="C1177" s="255"/>
      <c r="D1177" s="255"/>
      <c r="E1177" s="255"/>
      <c r="F1177" s="255"/>
      <c r="G1177" s="253"/>
      <c r="H1177" s="256"/>
      <c r="I1177" s="255"/>
      <c r="J1177" s="255"/>
      <c r="K1177" s="254"/>
      <c r="L1177" s="253"/>
    </row>
    <row r="1178" spans="3:12" s="244" customFormat="1" x14ac:dyDescent="0.25">
      <c r="C1178" s="255"/>
      <c r="D1178" s="255"/>
      <c r="E1178" s="255"/>
      <c r="F1178" s="255"/>
      <c r="G1178" s="253"/>
      <c r="H1178" s="256"/>
      <c r="I1178" s="255"/>
      <c r="J1178" s="255"/>
      <c r="K1178" s="254"/>
      <c r="L1178" s="253"/>
    </row>
    <row r="1179" spans="3:12" s="244" customFormat="1" x14ac:dyDescent="0.25">
      <c r="C1179" s="255"/>
      <c r="D1179" s="255"/>
      <c r="E1179" s="255"/>
      <c r="F1179" s="255"/>
      <c r="G1179" s="253"/>
      <c r="H1179" s="256"/>
      <c r="I1179" s="255"/>
      <c r="J1179" s="255"/>
      <c r="K1179" s="254"/>
      <c r="L1179" s="253"/>
    </row>
    <row r="1180" spans="3:12" s="244" customFormat="1" x14ac:dyDescent="0.25">
      <c r="C1180" s="255"/>
      <c r="D1180" s="255"/>
      <c r="E1180" s="255"/>
      <c r="F1180" s="255"/>
      <c r="G1180" s="253"/>
      <c r="H1180" s="256"/>
      <c r="I1180" s="255"/>
      <c r="J1180" s="255"/>
      <c r="K1180" s="254"/>
      <c r="L1180" s="253"/>
    </row>
    <row r="1181" spans="3:12" s="244" customFormat="1" x14ac:dyDescent="0.25">
      <c r="C1181" s="255"/>
      <c r="D1181" s="255"/>
      <c r="E1181" s="255"/>
      <c r="F1181" s="255"/>
      <c r="G1181" s="253"/>
      <c r="H1181" s="256"/>
      <c r="I1181" s="255"/>
      <c r="J1181" s="255"/>
      <c r="K1181" s="254"/>
      <c r="L1181" s="253"/>
    </row>
    <row r="1182" spans="3:12" s="244" customFormat="1" x14ac:dyDescent="0.25">
      <c r="C1182" s="255"/>
      <c r="D1182" s="255"/>
      <c r="E1182" s="255"/>
      <c r="F1182" s="255"/>
      <c r="G1182" s="253"/>
      <c r="H1182" s="256"/>
      <c r="I1182" s="255"/>
      <c r="J1182" s="255"/>
      <c r="K1182" s="254"/>
      <c r="L1182" s="253"/>
    </row>
    <row r="1183" spans="3:12" s="244" customFormat="1" x14ac:dyDescent="0.25">
      <c r="C1183" s="255"/>
      <c r="D1183" s="255"/>
      <c r="E1183" s="255"/>
      <c r="F1183" s="255"/>
      <c r="G1183" s="253"/>
      <c r="H1183" s="256"/>
      <c r="I1183" s="255"/>
      <c r="J1183" s="255"/>
      <c r="K1183" s="254"/>
      <c r="L1183" s="253"/>
    </row>
    <row r="1184" spans="3:12" s="244" customFormat="1" x14ac:dyDescent="0.25">
      <c r="C1184" s="255"/>
      <c r="D1184" s="255"/>
      <c r="E1184" s="255"/>
      <c r="F1184" s="255"/>
      <c r="G1184" s="253"/>
      <c r="H1184" s="256"/>
      <c r="I1184" s="255"/>
      <c r="J1184" s="255"/>
      <c r="K1184" s="254"/>
      <c r="L1184" s="253"/>
    </row>
    <row r="1185" spans="3:12" s="244" customFormat="1" x14ac:dyDescent="0.25">
      <c r="C1185" s="255"/>
      <c r="D1185" s="255"/>
      <c r="E1185" s="255"/>
      <c r="F1185" s="255"/>
      <c r="G1185" s="253"/>
      <c r="H1185" s="256"/>
      <c r="I1185" s="255"/>
      <c r="J1185" s="255"/>
      <c r="K1185" s="254"/>
      <c r="L1185" s="253"/>
    </row>
    <row r="1186" spans="3:12" s="244" customFormat="1" x14ac:dyDescent="0.25">
      <c r="C1186" s="255"/>
      <c r="D1186" s="255"/>
      <c r="E1186" s="255"/>
      <c r="F1186" s="255"/>
      <c r="G1186" s="253"/>
      <c r="H1186" s="256"/>
      <c r="I1186" s="255"/>
      <c r="J1186" s="255"/>
      <c r="K1186" s="254"/>
      <c r="L1186" s="253"/>
    </row>
    <row r="1187" spans="3:12" s="244" customFormat="1" x14ac:dyDescent="0.25">
      <c r="C1187" s="255"/>
      <c r="D1187" s="255"/>
      <c r="E1187" s="255"/>
      <c r="F1187" s="255"/>
      <c r="G1187" s="253"/>
      <c r="H1187" s="256"/>
      <c r="I1187" s="255"/>
      <c r="J1187" s="255"/>
      <c r="K1187" s="254"/>
      <c r="L1187" s="253"/>
    </row>
    <row r="1188" spans="3:12" s="244" customFormat="1" x14ac:dyDescent="0.25">
      <c r="C1188" s="255"/>
      <c r="D1188" s="255"/>
      <c r="E1188" s="255"/>
      <c r="F1188" s="255"/>
      <c r="G1188" s="253"/>
      <c r="H1188" s="256"/>
      <c r="I1188" s="255"/>
      <c r="J1188" s="255"/>
      <c r="K1188" s="254"/>
      <c r="L1188" s="253"/>
    </row>
    <row r="1189" spans="3:12" s="244" customFormat="1" x14ac:dyDescent="0.25">
      <c r="C1189" s="255"/>
      <c r="D1189" s="255"/>
      <c r="E1189" s="255"/>
      <c r="F1189" s="255"/>
      <c r="G1189" s="253"/>
      <c r="H1189" s="256"/>
      <c r="I1189" s="255"/>
      <c r="J1189" s="255"/>
      <c r="K1189" s="254"/>
      <c r="L1189" s="253"/>
    </row>
    <row r="1190" spans="3:12" s="244" customFormat="1" x14ac:dyDescent="0.25">
      <c r="C1190" s="255"/>
      <c r="D1190" s="255"/>
      <c r="E1190" s="255"/>
      <c r="F1190" s="255"/>
      <c r="G1190" s="253"/>
      <c r="H1190" s="256"/>
      <c r="I1190" s="255"/>
      <c r="J1190" s="255"/>
      <c r="K1190" s="254"/>
      <c r="L1190" s="253"/>
    </row>
    <row r="1191" spans="3:12" s="244" customFormat="1" x14ac:dyDescent="0.25">
      <c r="C1191" s="255"/>
      <c r="D1191" s="255"/>
      <c r="E1191" s="255"/>
      <c r="F1191" s="255"/>
      <c r="G1191" s="253"/>
      <c r="H1191" s="256"/>
      <c r="I1191" s="255"/>
      <c r="J1191" s="255"/>
      <c r="K1191" s="254"/>
      <c r="L1191" s="253"/>
    </row>
    <row r="1192" spans="3:12" s="244" customFormat="1" x14ac:dyDescent="0.25">
      <c r="C1192" s="255"/>
      <c r="D1192" s="255"/>
      <c r="E1192" s="255"/>
      <c r="F1192" s="255"/>
      <c r="G1192" s="253"/>
      <c r="H1192" s="256"/>
      <c r="I1192" s="255"/>
      <c r="J1192" s="255"/>
      <c r="K1192" s="254"/>
      <c r="L1192" s="253"/>
    </row>
    <row r="1193" spans="3:12" s="244" customFormat="1" x14ac:dyDescent="0.25">
      <c r="C1193" s="255"/>
      <c r="D1193" s="255"/>
      <c r="E1193" s="255"/>
      <c r="F1193" s="255"/>
      <c r="G1193" s="253"/>
      <c r="H1193" s="256"/>
      <c r="I1193" s="255"/>
      <c r="J1193" s="255"/>
      <c r="K1193" s="254"/>
      <c r="L1193" s="253"/>
    </row>
    <row r="1194" spans="3:12" s="244" customFormat="1" x14ac:dyDescent="0.25">
      <c r="C1194" s="255"/>
      <c r="D1194" s="255"/>
      <c r="E1194" s="255"/>
      <c r="F1194" s="255"/>
      <c r="G1194" s="253"/>
      <c r="H1194" s="256"/>
      <c r="I1194" s="255"/>
      <c r="J1194" s="255"/>
      <c r="K1194" s="254"/>
      <c r="L1194" s="253"/>
    </row>
    <row r="1195" spans="3:12" s="244" customFormat="1" x14ac:dyDescent="0.25">
      <c r="C1195" s="255"/>
      <c r="D1195" s="255"/>
      <c r="E1195" s="255"/>
      <c r="F1195" s="255"/>
      <c r="G1195" s="253"/>
      <c r="H1195" s="256"/>
      <c r="I1195" s="255"/>
      <c r="J1195" s="255"/>
      <c r="K1195" s="254"/>
      <c r="L1195" s="253"/>
    </row>
    <row r="1196" spans="3:12" s="244" customFormat="1" x14ac:dyDescent="0.25">
      <c r="C1196" s="255"/>
      <c r="D1196" s="255"/>
      <c r="E1196" s="255"/>
      <c r="F1196" s="255"/>
      <c r="G1196" s="253"/>
      <c r="H1196" s="256"/>
      <c r="I1196" s="255"/>
      <c r="J1196" s="255"/>
      <c r="K1196" s="254"/>
      <c r="L1196" s="253"/>
    </row>
    <row r="1197" spans="3:12" s="244" customFormat="1" x14ac:dyDescent="0.25">
      <c r="C1197" s="255"/>
      <c r="D1197" s="255"/>
      <c r="E1197" s="255"/>
      <c r="F1197" s="255"/>
      <c r="G1197" s="253"/>
      <c r="H1197" s="256"/>
      <c r="I1197" s="255"/>
      <c r="J1197" s="255"/>
      <c r="K1197" s="254"/>
      <c r="L1197" s="253"/>
    </row>
    <row r="1198" spans="3:12" s="244" customFormat="1" x14ac:dyDescent="0.25">
      <c r="C1198" s="255"/>
      <c r="D1198" s="255"/>
      <c r="E1198" s="255"/>
      <c r="F1198" s="255"/>
      <c r="G1198" s="253"/>
      <c r="H1198" s="256"/>
      <c r="I1198" s="255"/>
      <c r="J1198" s="255"/>
      <c r="K1198" s="254"/>
      <c r="L1198" s="253"/>
    </row>
    <row r="1199" spans="3:12" s="244" customFormat="1" x14ac:dyDescent="0.25">
      <c r="C1199" s="255"/>
      <c r="D1199" s="255"/>
      <c r="E1199" s="255"/>
      <c r="F1199" s="255"/>
      <c r="G1199" s="253"/>
      <c r="H1199" s="256"/>
      <c r="I1199" s="255"/>
      <c r="J1199" s="255"/>
      <c r="K1199" s="254"/>
      <c r="L1199" s="253"/>
    </row>
    <row r="1200" spans="3:12" s="244" customFormat="1" x14ac:dyDescent="0.25">
      <c r="C1200" s="255"/>
      <c r="D1200" s="255"/>
      <c r="E1200" s="255"/>
      <c r="F1200" s="255"/>
      <c r="G1200" s="253"/>
      <c r="H1200" s="256"/>
      <c r="I1200" s="255"/>
      <c r="J1200" s="255"/>
      <c r="K1200" s="254"/>
      <c r="L1200" s="253"/>
    </row>
    <row r="1201" spans="3:12" s="244" customFormat="1" x14ac:dyDescent="0.25">
      <c r="C1201" s="255"/>
      <c r="D1201" s="255"/>
      <c r="E1201" s="255"/>
      <c r="F1201" s="255"/>
      <c r="G1201" s="253"/>
      <c r="H1201" s="256"/>
      <c r="I1201" s="255"/>
      <c r="J1201" s="255"/>
      <c r="K1201" s="254"/>
      <c r="L1201" s="253"/>
    </row>
    <row r="1202" spans="3:12" s="244" customFormat="1" x14ac:dyDescent="0.25">
      <c r="C1202" s="255"/>
      <c r="D1202" s="255"/>
      <c r="E1202" s="255"/>
      <c r="F1202" s="255"/>
      <c r="G1202" s="253"/>
      <c r="H1202" s="256"/>
      <c r="I1202" s="255"/>
      <c r="J1202" s="255"/>
      <c r="K1202" s="254"/>
      <c r="L1202" s="253"/>
    </row>
    <row r="1203" spans="3:12" s="244" customFormat="1" x14ac:dyDescent="0.25">
      <c r="C1203" s="255"/>
      <c r="D1203" s="255"/>
      <c r="E1203" s="255"/>
      <c r="F1203" s="255"/>
      <c r="G1203" s="253"/>
      <c r="H1203" s="256"/>
      <c r="I1203" s="255"/>
      <c r="J1203" s="255"/>
      <c r="K1203" s="254"/>
      <c r="L1203" s="253"/>
    </row>
    <row r="1204" spans="3:12" s="244" customFormat="1" x14ac:dyDescent="0.25">
      <c r="C1204" s="255"/>
      <c r="D1204" s="255"/>
      <c r="E1204" s="255"/>
      <c r="F1204" s="255"/>
      <c r="G1204" s="253"/>
      <c r="H1204" s="256"/>
      <c r="I1204" s="255"/>
      <c r="J1204" s="255"/>
      <c r="K1204" s="254"/>
      <c r="L1204" s="253"/>
    </row>
    <row r="1205" spans="3:12" s="244" customFormat="1" x14ac:dyDescent="0.25">
      <c r="C1205" s="255"/>
      <c r="D1205" s="255"/>
      <c r="E1205" s="255"/>
      <c r="F1205" s="255"/>
      <c r="G1205" s="253"/>
      <c r="H1205" s="256"/>
      <c r="I1205" s="255"/>
      <c r="J1205" s="255"/>
      <c r="K1205" s="254"/>
      <c r="L1205" s="253"/>
    </row>
    <row r="1206" spans="3:12" s="244" customFormat="1" x14ac:dyDescent="0.25">
      <c r="C1206" s="255"/>
      <c r="D1206" s="255"/>
      <c r="E1206" s="255"/>
      <c r="F1206" s="255"/>
      <c r="G1206" s="253"/>
      <c r="H1206" s="256"/>
      <c r="I1206" s="255"/>
      <c r="J1206" s="255"/>
      <c r="K1206" s="254"/>
      <c r="L1206" s="253"/>
    </row>
    <row r="1207" spans="3:12" s="244" customFormat="1" x14ac:dyDescent="0.25">
      <c r="C1207" s="255"/>
      <c r="D1207" s="255"/>
      <c r="E1207" s="255"/>
      <c r="F1207" s="255"/>
      <c r="G1207" s="253"/>
      <c r="H1207" s="256"/>
      <c r="I1207" s="255"/>
      <c r="J1207" s="255"/>
      <c r="K1207" s="254"/>
      <c r="L1207" s="253"/>
    </row>
    <row r="1208" spans="3:12" s="244" customFormat="1" x14ac:dyDescent="0.25">
      <c r="C1208" s="255"/>
      <c r="D1208" s="255"/>
      <c r="E1208" s="255"/>
      <c r="F1208" s="255"/>
      <c r="G1208" s="253"/>
      <c r="H1208" s="256"/>
      <c r="I1208" s="255"/>
      <c r="J1208" s="255"/>
      <c r="K1208" s="254"/>
      <c r="L1208" s="253"/>
    </row>
    <row r="1209" spans="3:12" s="244" customFormat="1" x14ac:dyDescent="0.25">
      <c r="C1209" s="255"/>
      <c r="D1209" s="255"/>
      <c r="E1209" s="255"/>
      <c r="F1209" s="255"/>
      <c r="G1209" s="253"/>
      <c r="H1209" s="256"/>
      <c r="I1209" s="255"/>
      <c r="J1209" s="255"/>
      <c r="K1209" s="254"/>
      <c r="L1209" s="253"/>
    </row>
    <row r="1210" spans="3:12" s="244" customFormat="1" x14ac:dyDescent="0.25">
      <c r="C1210" s="255"/>
      <c r="D1210" s="255"/>
      <c r="E1210" s="255"/>
      <c r="F1210" s="255"/>
      <c r="G1210" s="253"/>
      <c r="H1210" s="256"/>
      <c r="I1210" s="255"/>
      <c r="J1210" s="255"/>
      <c r="K1210" s="254"/>
      <c r="L1210" s="253"/>
    </row>
    <row r="1211" spans="3:12" s="244" customFormat="1" x14ac:dyDescent="0.25">
      <c r="C1211" s="255"/>
      <c r="D1211" s="255"/>
      <c r="E1211" s="255"/>
      <c r="F1211" s="255"/>
      <c r="G1211" s="253"/>
      <c r="H1211" s="256"/>
      <c r="I1211" s="255"/>
      <c r="J1211" s="255"/>
      <c r="K1211" s="254"/>
      <c r="L1211" s="253"/>
    </row>
    <row r="1212" spans="3:12" s="244" customFormat="1" x14ac:dyDescent="0.25">
      <c r="C1212" s="255"/>
      <c r="D1212" s="255"/>
      <c r="E1212" s="255"/>
      <c r="F1212" s="255"/>
      <c r="G1212" s="253"/>
      <c r="H1212" s="256"/>
      <c r="I1212" s="255"/>
      <c r="J1212" s="255"/>
      <c r="K1212" s="254"/>
      <c r="L1212" s="253"/>
    </row>
    <row r="1213" spans="3:12" s="244" customFormat="1" x14ac:dyDescent="0.25">
      <c r="C1213" s="255"/>
      <c r="D1213" s="255"/>
      <c r="E1213" s="255"/>
      <c r="F1213" s="255"/>
      <c r="G1213" s="253"/>
      <c r="H1213" s="256"/>
      <c r="I1213" s="255"/>
      <c r="J1213" s="255"/>
      <c r="K1213" s="254"/>
      <c r="L1213" s="253"/>
    </row>
    <row r="1214" spans="3:12" s="244" customFormat="1" x14ac:dyDescent="0.25">
      <c r="C1214" s="255"/>
      <c r="D1214" s="255"/>
      <c r="E1214" s="255"/>
      <c r="F1214" s="255"/>
      <c r="G1214" s="253"/>
      <c r="H1214" s="256"/>
      <c r="I1214" s="255"/>
      <c r="J1214" s="255"/>
      <c r="K1214" s="254"/>
      <c r="L1214" s="253"/>
    </row>
    <row r="1215" spans="3:12" s="244" customFormat="1" x14ac:dyDescent="0.25">
      <c r="C1215" s="255"/>
      <c r="D1215" s="255"/>
      <c r="E1215" s="255"/>
      <c r="F1215" s="255"/>
      <c r="G1215" s="253"/>
      <c r="H1215" s="256"/>
      <c r="I1215" s="255"/>
      <c r="J1215" s="255"/>
      <c r="K1215" s="254"/>
      <c r="L1215" s="253"/>
    </row>
    <row r="1216" spans="3:12" s="244" customFormat="1" x14ac:dyDescent="0.25">
      <c r="C1216" s="255"/>
      <c r="D1216" s="255"/>
      <c r="E1216" s="255"/>
      <c r="F1216" s="255"/>
      <c r="G1216" s="253"/>
      <c r="H1216" s="256"/>
      <c r="I1216" s="255"/>
      <c r="J1216" s="255"/>
      <c r="K1216" s="254"/>
      <c r="L1216" s="253"/>
    </row>
    <row r="1217" spans="3:12" s="244" customFormat="1" x14ac:dyDescent="0.25">
      <c r="C1217" s="255"/>
      <c r="D1217" s="255"/>
      <c r="E1217" s="255"/>
      <c r="F1217" s="255"/>
      <c r="G1217" s="253"/>
      <c r="H1217" s="256"/>
      <c r="I1217" s="255"/>
      <c r="J1217" s="255"/>
      <c r="K1217" s="254"/>
      <c r="L1217" s="253"/>
    </row>
    <row r="1218" spans="3:12" s="244" customFormat="1" x14ac:dyDescent="0.25">
      <c r="C1218" s="255"/>
      <c r="D1218" s="255"/>
      <c r="E1218" s="255"/>
      <c r="F1218" s="255"/>
      <c r="G1218" s="253"/>
      <c r="H1218" s="256"/>
      <c r="I1218" s="255"/>
      <c r="J1218" s="255"/>
      <c r="K1218" s="254"/>
      <c r="L1218" s="253"/>
    </row>
    <row r="1219" spans="3:12" s="244" customFormat="1" x14ac:dyDescent="0.25">
      <c r="C1219" s="255"/>
      <c r="D1219" s="255"/>
      <c r="E1219" s="255"/>
      <c r="F1219" s="255"/>
      <c r="G1219" s="253"/>
      <c r="H1219" s="256"/>
      <c r="I1219" s="255"/>
      <c r="J1219" s="255"/>
      <c r="K1219" s="254"/>
      <c r="L1219" s="253"/>
    </row>
    <row r="1220" spans="3:12" s="244" customFormat="1" x14ac:dyDescent="0.25">
      <c r="C1220" s="255"/>
      <c r="D1220" s="255"/>
      <c r="E1220" s="255"/>
      <c r="F1220" s="255"/>
      <c r="G1220" s="253"/>
      <c r="H1220" s="256"/>
      <c r="I1220" s="255"/>
      <c r="J1220" s="255"/>
      <c r="K1220" s="254"/>
      <c r="L1220" s="253"/>
    </row>
    <row r="1221" spans="3:12" s="244" customFormat="1" x14ac:dyDescent="0.25">
      <c r="C1221" s="255"/>
      <c r="D1221" s="255"/>
      <c r="E1221" s="255"/>
      <c r="F1221" s="255"/>
      <c r="G1221" s="253"/>
      <c r="H1221" s="256"/>
      <c r="I1221" s="255"/>
      <c r="J1221" s="255"/>
      <c r="K1221" s="254"/>
      <c r="L1221" s="253"/>
    </row>
    <row r="1222" spans="3:12" s="244" customFormat="1" x14ac:dyDescent="0.25">
      <c r="C1222" s="255"/>
      <c r="D1222" s="255"/>
      <c r="E1222" s="255"/>
      <c r="F1222" s="255"/>
      <c r="G1222" s="253"/>
      <c r="H1222" s="256"/>
      <c r="I1222" s="255"/>
      <c r="J1222" s="255"/>
      <c r="K1222" s="254"/>
      <c r="L1222" s="253"/>
    </row>
    <row r="1223" spans="3:12" s="244" customFormat="1" x14ac:dyDescent="0.25">
      <c r="C1223" s="255"/>
      <c r="D1223" s="255"/>
      <c r="E1223" s="255"/>
      <c r="F1223" s="255"/>
      <c r="G1223" s="253"/>
      <c r="H1223" s="256"/>
      <c r="I1223" s="255"/>
      <c r="J1223" s="255"/>
      <c r="K1223" s="254"/>
      <c r="L1223" s="253"/>
    </row>
    <row r="1224" spans="3:12" s="244" customFormat="1" x14ac:dyDescent="0.25">
      <c r="C1224" s="255"/>
      <c r="D1224" s="255"/>
      <c r="E1224" s="255"/>
      <c r="F1224" s="255"/>
      <c r="G1224" s="253"/>
      <c r="H1224" s="256"/>
      <c r="I1224" s="255"/>
      <c r="J1224" s="255"/>
      <c r="K1224" s="254"/>
      <c r="L1224" s="253"/>
    </row>
    <row r="1225" spans="3:12" s="244" customFormat="1" x14ac:dyDescent="0.25">
      <c r="C1225" s="255"/>
      <c r="D1225" s="255"/>
      <c r="E1225" s="255"/>
      <c r="F1225" s="255"/>
      <c r="G1225" s="253"/>
      <c r="H1225" s="256"/>
      <c r="I1225" s="255"/>
      <c r="J1225" s="255"/>
      <c r="K1225" s="254"/>
      <c r="L1225" s="253"/>
    </row>
    <row r="1226" spans="3:12" s="244" customFormat="1" x14ac:dyDescent="0.25">
      <c r="C1226" s="255"/>
      <c r="D1226" s="255"/>
      <c r="E1226" s="255"/>
      <c r="F1226" s="255"/>
      <c r="G1226" s="253"/>
      <c r="H1226" s="256"/>
      <c r="I1226" s="255"/>
      <c r="J1226" s="255"/>
      <c r="K1226" s="254"/>
      <c r="L1226" s="253"/>
    </row>
    <row r="1227" spans="3:12" s="244" customFormat="1" x14ac:dyDescent="0.25">
      <c r="C1227" s="255"/>
      <c r="D1227" s="255"/>
      <c r="E1227" s="255"/>
      <c r="F1227" s="255"/>
      <c r="G1227" s="253"/>
      <c r="H1227" s="256"/>
      <c r="I1227" s="255"/>
      <c r="J1227" s="255"/>
      <c r="K1227" s="254"/>
      <c r="L1227" s="253"/>
    </row>
    <row r="1228" spans="3:12" s="244" customFormat="1" x14ac:dyDescent="0.25">
      <c r="C1228" s="255"/>
      <c r="D1228" s="255"/>
      <c r="E1228" s="255"/>
      <c r="F1228" s="255"/>
      <c r="G1228" s="253"/>
      <c r="H1228" s="256"/>
      <c r="I1228" s="255"/>
      <c r="J1228" s="255"/>
      <c r="K1228" s="254"/>
      <c r="L1228" s="253"/>
    </row>
    <row r="1229" spans="3:12" s="244" customFormat="1" x14ac:dyDescent="0.25">
      <c r="C1229" s="255"/>
      <c r="D1229" s="255"/>
      <c r="E1229" s="255"/>
      <c r="F1229" s="255"/>
      <c r="G1229" s="253"/>
      <c r="H1229" s="256"/>
      <c r="I1229" s="255"/>
      <c r="J1229" s="255"/>
      <c r="K1229" s="254"/>
      <c r="L1229" s="253"/>
    </row>
    <row r="1230" spans="3:12" s="244" customFormat="1" x14ac:dyDescent="0.25">
      <c r="C1230" s="255"/>
      <c r="D1230" s="255"/>
      <c r="E1230" s="255"/>
      <c r="F1230" s="255"/>
      <c r="G1230" s="253"/>
      <c r="H1230" s="256"/>
      <c r="I1230" s="255"/>
      <c r="J1230" s="255"/>
      <c r="K1230" s="254"/>
      <c r="L1230" s="253"/>
    </row>
    <row r="1231" spans="3:12" s="244" customFormat="1" x14ac:dyDescent="0.25">
      <c r="C1231" s="255"/>
      <c r="D1231" s="255"/>
      <c r="E1231" s="255"/>
      <c r="F1231" s="255"/>
      <c r="G1231" s="253"/>
      <c r="H1231" s="256"/>
      <c r="I1231" s="255"/>
      <c r="J1231" s="255"/>
      <c r="K1231" s="254"/>
      <c r="L1231" s="253"/>
    </row>
    <row r="1232" spans="3:12" s="244" customFormat="1" x14ac:dyDescent="0.25">
      <c r="C1232" s="255"/>
      <c r="D1232" s="255"/>
      <c r="E1232" s="255"/>
      <c r="F1232" s="255"/>
      <c r="G1232" s="253"/>
      <c r="H1232" s="256"/>
      <c r="I1232" s="255"/>
      <c r="J1232" s="255"/>
      <c r="K1232" s="254"/>
      <c r="L1232" s="253"/>
    </row>
    <row r="1233" spans="3:12" s="244" customFormat="1" x14ac:dyDescent="0.25">
      <c r="C1233" s="255"/>
      <c r="D1233" s="255"/>
      <c r="E1233" s="255"/>
      <c r="F1233" s="255"/>
      <c r="G1233" s="253"/>
      <c r="H1233" s="256"/>
      <c r="I1233" s="255"/>
      <c r="J1233" s="255"/>
      <c r="K1233" s="254"/>
      <c r="L1233" s="253"/>
    </row>
    <row r="1234" spans="3:12" s="244" customFormat="1" x14ac:dyDescent="0.25">
      <c r="C1234" s="255"/>
      <c r="D1234" s="255"/>
      <c r="E1234" s="255"/>
      <c r="F1234" s="255"/>
      <c r="G1234" s="253"/>
      <c r="H1234" s="256"/>
      <c r="I1234" s="255"/>
      <c r="J1234" s="255"/>
      <c r="K1234" s="254"/>
      <c r="L1234" s="253"/>
    </row>
    <row r="1235" spans="3:12" s="244" customFormat="1" x14ac:dyDescent="0.25">
      <c r="C1235" s="255"/>
      <c r="D1235" s="255"/>
      <c r="E1235" s="255"/>
      <c r="F1235" s="255"/>
      <c r="G1235" s="253"/>
      <c r="H1235" s="256"/>
      <c r="I1235" s="255"/>
      <c r="J1235" s="255"/>
      <c r="K1235" s="254"/>
      <c r="L1235" s="253"/>
    </row>
    <row r="1236" spans="3:12" s="244" customFormat="1" x14ac:dyDescent="0.25">
      <c r="C1236" s="255"/>
      <c r="D1236" s="255"/>
      <c r="E1236" s="255"/>
      <c r="F1236" s="255"/>
      <c r="G1236" s="253"/>
      <c r="H1236" s="256"/>
      <c r="I1236" s="255"/>
      <c r="J1236" s="255"/>
      <c r="K1236" s="254"/>
      <c r="L1236" s="253"/>
    </row>
    <row r="1237" spans="3:12" s="244" customFormat="1" x14ac:dyDescent="0.25">
      <c r="C1237" s="255"/>
      <c r="D1237" s="255"/>
      <c r="E1237" s="255"/>
      <c r="F1237" s="255"/>
      <c r="G1237" s="253"/>
      <c r="H1237" s="256"/>
      <c r="I1237" s="255"/>
      <c r="J1237" s="255"/>
      <c r="K1237" s="254"/>
      <c r="L1237" s="253"/>
    </row>
    <row r="1238" spans="3:12" s="244" customFormat="1" x14ac:dyDescent="0.25">
      <c r="C1238" s="255"/>
      <c r="D1238" s="255"/>
      <c r="E1238" s="255"/>
      <c r="F1238" s="255"/>
      <c r="G1238" s="253"/>
      <c r="H1238" s="256"/>
      <c r="I1238" s="255"/>
      <c r="J1238" s="255"/>
      <c r="K1238" s="254"/>
      <c r="L1238" s="253"/>
    </row>
    <row r="1239" spans="3:12" s="244" customFormat="1" x14ac:dyDescent="0.25">
      <c r="C1239" s="255"/>
      <c r="D1239" s="255"/>
      <c r="E1239" s="255"/>
      <c r="F1239" s="255"/>
      <c r="G1239" s="253"/>
      <c r="H1239" s="256"/>
      <c r="I1239" s="255"/>
      <c r="J1239" s="255"/>
      <c r="K1239" s="254"/>
      <c r="L1239" s="253"/>
    </row>
    <row r="1240" spans="3:12" s="244" customFormat="1" x14ac:dyDescent="0.25">
      <c r="C1240" s="255"/>
      <c r="D1240" s="255"/>
      <c r="E1240" s="255"/>
      <c r="F1240" s="255"/>
      <c r="G1240" s="253"/>
      <c r="H1240" s="256"/>
      <c r="I1240" s="255"/>
      <c r="J1240" s="255"/>
      <c r="K1240" s="254"/>
      <c r="L1240" s="253"/>
    </row>
    <row r="1241" spans="3:12" s="244" customFormat="1" x14ac:dyDescent="0.25">
      <c r="C1241" s="255"/>
      <c r="D1241" s="255"/>
      <c r="E1241" s="255"/>
      <c r="F1241" s="255"/>
      <c r="G1241" s="253"/>
      <c r="H1241" s="256"/>
      <c r="I1241" s="255"/>
      <c r="J1241" s="255"/>
      <c r="K1241" s="254"/>
      <c r="L1241" s="253"/>
    </row>
    <row r="1242" spans="3:12" s="244" customFormat="1" x14ac:dyDescent="0.25">
      <c r="C1242" s="255"/>
      <c r="D1242" s="255"/>
      <c r="E1242" s="255"/>
      <c r="F1242" s="255"/>
      <c r="G1242" s="253"/>
      <c r="H1242" s="256"/>
      <c r="I1242" s="255"/>
      <c r="J1242" s="255"/>
      <c r="K1242" s="254"/>
      <c r="L1242" s="253"/>
    </row>
    <row r="1243" spans="3:12" s="244" customFormat="1" x14ac:dyDescent="0.25">
      <c r="C1243" s="255"/>
      <c r="D1243" s="255"/>
      <c r="E1243" s="255"/>
      <c r="F1243" s="255"/>
      <c r="G1243" s="253"/>
      <c r="H1243" s="256"/>
      <c r="I1243" s="255"/>
      <c r="J1243" s="255"/>
      <c r="K1243" s="254"/>
      <c r="L1243" s="253"/>
    </row>
    <row r="1244" spans="3:12" s="244" customFormat="1" x14ac:dyDescent="0.25">
      <c r="C1244" s="255"/>
      <c r="D1244" s="255"/>
      <c r="E1244" s="255"/>
      <c r="F1244" s="255"/>
      <c r="G1244" s="253"/>
      <c r="H1244" s="256"/>
      <c r="I1244" s="255"/>
      <c r="J1244" s="255"/>
      <c r="K1244" s="254"/>
      <c r="L1244" s="253"/>
    </row>
    <row r="1245" spans="3:12" s="244" customFormat="1" x14ac:dyDescent="0.25">
      <c r="C1245" s="255"/>
      <c r="D1245" s="255"/>
      <c r="E1245" s="255"/>
      <c r="F1245" s="255"/>
      <c r="G1245" s="253"/>
      <c r="H1245" s="256"/>
      <c r="I1245" s="255"/>
      <c r="J1245" s="255"/>
      <c r="K1245" s="254"/>
      <c r="L1245" s="253"/>
    </row>
    <row r="1246" spans="3:12" s="244" customFormat="1" x14ac:dyDescent="0.25">
      <c r="C1246" s="255"/>
      <c r="D1246" s="255"/>
      <c r="E1246" s="255"/>
      <c r="F1246" s="255"/>
      <c r="G1246" s="253"/>
      <c r="H1246" s="256"/>
      <c r="I1246" s="255"/>
      <c r="J1246" s="255"/>
      <c r="K1246" s="254"/>
      <c r="L1246" s="253"/>
    </row>
    <row r="1247" spans="3:12" s="244" customFormat="1" x14ac:dyDescent="0.25">
      <c r="C1247" s="255"/>
      <c r="D1247" s="255"/>
      <c r="E1247" s="255"/>
      <c r="F1247" s="255"/>
      <c r="G1247" s="253"/>
      <c r="H1247" s="256"/>
      <c r="I1247" s="255"/>
      <c r="J1247" s="255"/>
      <c r="K1247" s="254"/>
      <c r="L1247" s="253"/>
    </row>
    <row r="1248" spans="3:12" s="244" customFormat="1" x14ac:dyDescent="0.25">
      <c r="C1248" s="255"/>
      <c r="D1248" s="255"/>
      <c r="E1248" s="255"/>
      <c r="F1248" s="255"/>
      <c r="G1248" s="253"/>
      <c r="H1248" s="256"/>
      <c r="I1248" s="255"/>
      <c r="J1248" s="255"/>
      <c r="K1248" s="254"/>
      <c r="L1248" s="253"/>
    </row>
    <row r="1249" spans="3:12" s="244" customFormat="1" x14ac:dyDescent="0.25">
      <c r="C1249" s="255"/>
      <c r="D1249" s="255"/>
      <c r="E1249" s="255"/>
      <c r="F1249" s="255"/>
      <c r="G1249" s="253"/>
      <c r="H1249" s="256"/>
      <c r="I1249" s="255"/>
      <c r="J1249" s="255"/>
      <c r="K1249" s="254"/>
      <c r="L1249" s="253"/>
    </row>
    <row r="1250" spans="3:12" s="244" customFormat="1" x14ac:dyDescent="0.25">
      <c r="C1250" s="255"/>
      <c r="D1250" s="255"/>
      <c r="E1250" s="255"/>
      <c r="F1250" s="255"/>
      <c r="G1250" s="253"/>
      <c r="H1250" s="256"/>
      <c r="I1250" s="255"/>
      <c r="J1250" s="255"/>
      <c r="K1250" s="254"/>
      <c r="L1250" s="253"/>
    </row>
    <row r="1251" spans="3:12" s="244" customFormat="1" x14ac:dyDescent="0.25">
      <c r="C1251" s="255"/>
      <c r="D1251" s="255"/>
      <c r="E1251" s="255"/>
      <c r="F1251" s="255"/>
      <c r="G1251" s="253"/>
      <c r="H1251" s="256"/>
      <c r="I1251" s="255"/>
      <c r="J1251" s="255"/>
      <c r="K1251" s="254"/>
      <c r="L1251" s="253"/>
    </row>
    <row r="1252" spans="3:12" s="244" customFormat="1" x14ac:dyDescent="0.25">
      <c r="C1252" s="255"/>
      <c r="D1252" s="255"/>
      <c r="E1252" s="255"/>
      <c r="F1252" s="255"/>
      <c r="G1252" s="253"/>
      <c r="H1252" s="256"/>
      <c r="I1252" s="255"/>
      <c r="J1252" s="255"/>
      <c r="K1252" s="254"/>
      <c r="L1252" s="253"/>
    </row>
    <row r="1253" spans="3:12" s="244" customFormat="1" x14ac:dyDescent="0.25">
      <c r="C1253" s="255"/>
      <c r="D1253" s="255"/>
      <c r="E1253" s="255"/>
      <c r="F1253" s="255"/>
      <c r="G1253" s="253"/>
      <c r="H1253" s="256"/>
      <c r="I1253" s="255"/>
      <c r="J1253" s="255"/>
      <c r="K1253" s="254"/>
      <c r="L1253" s="253"/>
    </row>
    <row r="1254" spans="3:12" s="244" customFormat="1" x14ac:dyDescent="0.25">
      <c r="C1254" s="255"/>
      <c r="D1254" s="255"/>
      <c r="E1254" s="255"/>
      <c r="F1254" s="255"/>
      <c r="G1254" s="253"/>
      <c r="H1254" s="256"/>
      <c r="I1254" s="255"/>
      <c r="J1254" s="255"/>
      <c r="K1254" s="254"/>
      <c r="L1254" s="253"/>
    </row>
    <row r="1255" spans="3:12" s="244" customFormat="1" x14ac:dyDescent="0.25">
      <c r="C1255" s="255"/>
      <c r="D1255" s="255"/>
      <c r="E1255" s="255"/>
      <c r="F1255" s="255"/>
      <c r="G1255" s="253"/>
      <c r="H1255" s="256"/>
      <c r="I1255" s="255"/>
      <c r="J1255" s="255"/>
      <c r="K1255" s="254"/>
      <c r="L1255" s="253"/>
    </row>
    <row r="1256" spans="3:12" s="244" customFormat="1" x14ac:dyDescent="0.25">
      <c r="C1256" s="255"/>
      <c r="D1256" s="255"/>
      <c r="E1256" s="255"/>
      <c r="F1256" s="255"/>
      <c r="G1256" s="253"/>
      <c r="H1256" s="256"/>
      <c r="I1256" s="255"/>
      <c r="J1256" s="255"/>
      <c r="K1256" s="254"/>
      <c r="L1256" s="253"/>
    </row>
    <row r="1257" spans="3:12" s="244" customFormat="1" x14ac:dyDescent="0.25">
      <c r="C1257" s="255"/>
      <c r="D1257" s="255"/>
      <c r="E1257" s="255"/>
      <c r="F1257" s="255"/>
      <c r="G1257" s="253"/>
      <c r="H1257" s="256"/>
      <c r="I1257" s="255"/>
      <c r="J1257" s="255"/>
      <c r="K1257" s="254"/>
      <c r="L1257" s="253"/>
    </row>
    <row r="1258" spans="3:12" s="244" customFormat="1" x14ac:dyDescent="0.25">
      <c r="C1258" s="255"/>
      <c r="D1258" s="255"/>
      <c r="E1258" s="255"/>
      <c r="F1258" s="255"/>
      <c r="G1258" s="253"/>
      <c r="H1258" s="256"/>
      <c r="I1258" s="255"/>
      <c r="J1258" s="255"/>
      <c r="K1258" s="254"/>
      <c r="L1258" s="253"/>
    </row>
    <row r="1259" spans="3:12" s="244" customFormat="1" x14ac:dyDescent="0.25">
      <c r="C1259" s="255"/>
      <c r="D1259" s="255"/>
      <c r="E1259" s="255"/>
      <c r="F1259" s="255"/>
      <c r="G1259" s="253"/>
      <c r="H1259" s="256"/>
      <c r="I1259" s="255"/>
      <c r="J1259" s="255"/>
      <c r="K1259" s="254"/>
      <c r="L1259" s="253"/>
    </row>
    <row r="1260" spans="3:12" s="244" customFormat="1" x14ac:dyDescent="0.25">
      <c r="C1260" s="255"/>
      <c r="D1260" s="255"/>
      <c r="E1260" s="255"/>
      <c r="F1260" s="255"/>
      <c r="G1260" s="253"/>
      <c r="H1260" s="256"/>
      <c r="I1260" s="255"/>
      <c r="J1260" s="255"/>
      <c r="K1260" s="254"/>
      <c r="L1260" s="253"/>
    </row>
    <row r="1261" spans="3:12" s="244" customFormat="1" x14ac:dyDescent="0.25">
      <c r="C1261" s="255"/>
      <c r="D1261" s="255"/>
      <c r="E1261" s="255"/>
      <c r="F1261" s="255"/>
      <c r="G1261" s="253"/>
      <c r="H1261" s="256"/>
      <c r="I1261" s="255"/>
      <c r="J1261" s="255"/>
      <c r="K1261" s="254"/>
      <c r="L1261" s="253"/>
    </row>
    <row r="1262" spans="3:12" s="244" customFormat="1" x14ac:dyDescent="0.25">
      <c r="C1262" s="255"/>
      <c r="D1262" s="255"/>
      <c r="E1262" s="255"/>
      <c r="F1262" s="255"/>
      <c r="G1262" s="253"/>
      <c r="H1262" s="256"/>
      <c r="I1262" s="255"/>
      <c r="J1262" s="255"/>
      <c r="K1262" s="254"/>
      <c r="L1262" s="253"/>
    </row>
    <row r="1263" spans="3:12" s="244" customFormat="1" x14ac:dyDescent="0.25">
      <c r="C1263" s="255"/>
      <c r="D1263" s="255"/>
      <c r="E1263" s="255"/>
      <c r="F1263" s="255"/>
      <c r="G1263" s="253"/>
      <c r="H1263" s="256"/>
      <c r="I1263" s="255"/>
      <c r="J1263" s="255"/>
      <c r="K1263" s="254"/>
      <c r="L1263" s="253"/>
    </row>
    <row r="1264" spans="3:12" s="244" customFormat="1" x14ac:dyDescent="0.25">
      <c r="C1264" s="255"/>
      <c r="D1264" s="255"/>
      <c r="E1264" s="255"/>
      <c r="F1264" s="255"/>
      <c r="G1264" s="253"/>
      <c r="H1264" s="256"/>
      <c r="I1264" s="255"/>
      <c r="J1264" s="255"/>
      <c r="K1264" s="254"/>
      <c r="L1264" s="253"/>
    </row>
    <row r="1265" spans="3:12" s="244" customFormat="1" x14ac:dyDescent="0.25">
      <c r="C1265" s="255"/>
      <c r="D1265" s="255"/>
      <c r="E1265" s="255"/>
      <c r="F1265" s="255"/>
      <c r="G1265" s="253"/>
      <c r="H1265" s="256"/>
      <c r="I1265" s="255"/>
      <c r="J1265" s="255"/>
      <c r="K1265" s="254"/>
      <c r="L1265" s="253"/>
    </row>
    <row r="1266" spans="3:12" s="244" customFormat="1" x14ac:dyDescent="0.25">
      <c r="C1266" s="255"/>
      <c r="D1266" s="255"/>
      <c r="E1266" s="255"/>
      <c r="F1266" s="255"/>
      <c r="G1266" s="253"/>
      <c r="H1266" s="256"/>
      <c r="I1266" s="255"/>
      <c r="J1266" s="255"/>
      <c r="K1266" s="254"/>
      <c r="L1266" s="253"/>
    </row>
    <row r="1267" spans="3:12" s="244" customFormat="1" x14ac:dyDescent="0.25">
      <c r="C1267" s="255"/>
      <c r="D1267" s="255"/>
      <c r="E1267" s="255"/>
      <c r="F1267" s="255"/>
      <c r="G1267" s="253"/>
      <c r="H1267" s="256"/>
      <c r="I1267" s="255"/>
      <c r="J1267" s="255"/>
      <c r="K1267" s="254"/>
      <c r="L1267" s="253"/>
    </row>
    <row r="1268" spans="3:12" s="244" customFormat="1" x14ac:dyDescent="0.25">
      <c r="C1268" s="255"/>
      <c r="D1268" s="255"/>
      <c r="E1268" s="255"/>
      <c r="F1268" s="255"/>
      <c r="G1268" s="253"/>
      <c r="H1268" s="256"/>
      <c r="I1268" s="255"/>
      <c r="J1268" s="255"/>
      <c r="K1268" s="254"/>
      <c r="L1268" s="253"/>
    </row>
    <row r="1269" spans="3:12" s="244" customFormat="1" x14ac:dyDescent="0.25">
      <c r="C1269" s="255"/>
      <c r="D1269" s="255"/>
      <c r="E1269" s="255"/>
      <c r="F1269" s="255"/>
      <c r="G1269" s="253"/>
      <c r="H1269" s="256"/>
      <c r="I1269" s="255"/>
      <c r="J1269" s="255"/>
      <c r="K1269" s="254"/>
      <c r="L1269" s="253"/>
    </row>
    <row r="1270" spans="3:12" s="244" customFormat="1" x14ac:dyDescent="0.25">
      <c r="C1270" s="255"/>
      <c r="D1270" s="255"/>
      <c r="E1270" s="255"/>
      <c r="F1270" s="255"/>
      <c r="G1270" s="253"/>
      <c r="H1270" s="256"/>
      <c r="I1270" s="255"/>
      <c r="J1270" s="255"/>
      <c r="K1270" s="254"/>
      <c r="L1270" s="253"/>
    </row>
    <row r="1271" spans="3:12" s="244" customFormat="1" x14ac:dyDescent="0.25">
      <c r="C1271" s="255"/>
      <c r="D1271" s="255"/>
      <c r="E1271" s="255"/>
      <c r="F1271" s="255"/>
      <c r="G1271" s="253"/>
      <c r="H1271" s="256"/>
      <c r="I1271" s="255"/>
      <c r="J1271" s="255"/>
      <c r="K1271" s="254"/>
      <c r="L1271" s="253"/>
    </row>
    <row r="1272" spans="3:12" s="244" customFormat="1" x14ac:dyDescent="0.25">
      <c r="C1272" s="255"/>
      <c r="D1272" s="255"/>
      <c r="E1272" s="255"/>
      <c r="F1272" s="255"/>
      <c r="G1272" s="253"/>
      <c r="H1272" s="256"/>
      <c r="I1272" s="255"/>
      <c r="J1272" s="255"/>
      <c r="K1272" s="254"/>
      <c r="L1272" s="253"/>
    </row>
    <row r="1273" spans="3:12" s="244" customFormat="1" x14ac:dyDescent="0.25">
      <c r="C1273" s="255"/>
      <c r="D1273" s="255"/>
      <c r="E1273" s="255"/>
      <c r="F1273" s="255"/>
      <c r="G1273" s="253"/>
      <c r="H1273" s="256"/>
      <c r="I1273" s="255"/>
      <c r="J1273" s="255"/>
      <c r="K1273" s="254"/>
      <c r="L1273" s="253"/>
    </row>
    <row r="1274" spans="3:12" s="244" customFormat="1" x14ac:dyDescent="0.25">
      <c r="C1274" s="255"/>
      <c r="D1274" s="255"/>
      <c r="E1274" s="255"/>
      <c r="F1274" s="255"/>
      <c r="G1274" s="253"/>
      <c r="H1274" s="256"/>
      <c r="I1274" s="255"/>
      <c r="J1274" s="255"/>
      <c r="K1274" s="254"/>
      <c r="L1274" s="253"/>
    </row>
    <row r="1275" spans="3:12" s="244" customFormat="1" x14ac:dyDescent="0.25">
      <c r="C1275" s="255"/>
      <c r="D1275" s="255"/>
      <c r="E1275" s="255"/>
      <c r="F1275" s="255"/>
      <c r="G1275" s="253"/>
      <c r="H1275" s="256"/>
      <c r="I1275" s="255"/>
      <c r="J1275" s="255"/>
      <c r="K1275" s="254"/>
      <c r="L1275" s="253"/>
    </row>
    <row r="1276" spans="3:12" s="244" customFormat="1" x14ac:dyDescent="0.25">
      <c r="C1276" s="255"/>
      <c r="D1276" s="255"/>
      <c r="E1276" s="255"/>
      <c r="F1276" s="255"/>
      <c r="G1276" s="253"/>
      <c r="H1276" s="256"/>
      <c r="I1276" s="255"/>
      <c r="J1276" s="255"/>
      <c r="K1276" s="254"/>
      <c r="L1276" s="253"/>
    </row>
    <row r="1277" spans="3:12" s="244" customFormat="1" x14ac:dyDescent="0.25">
      <c r="C1277" s="255"/>
      <c r="D1277" s="255"/>
      <c r="E1277" s="255"/>
      <c r="F1277" s="255"/>
      <c r="G1277" s="253"/>
      <c r="H1277" s="256"/>
      <c r="I1277" s="255"/>
      <c r="J1277" s="255"/>
      <c r="K1277" s="254"/>
      <c r="L1277" s="253"/>
    </row>
    <row r="1278" spans="3:12" s="244" customFormat="1" x14ac:dyDescent="0.25">
      <c r="C1278" s="255"/>
      <c r="D1278" s="255"/>
      <c r="E1278" s="255"/>
      <c r="F1278" s="255"/>
      <c r="G1278" s="253"/>
      <c r="H1278" s="256"/>
      <c r="I1278" s="255"/>
      <c r="J1278" s="255"/>
      <c r="K1278" s="254"/>
      <c r="L1278" s="253"/>
    </row>
    <row r="1279" spans="3:12" s="244" customFormat="1" x14ac:dyDescent="0.25">
      <c r="C1279" s="255"/>
      <c r="D1279" s="255"/>
      <c r="E1279" s="255"/>
      <c r="F1279" s="255"/>
      <c r="G1279" s="253"/>
      <c r="H1279" s="256"/>
      <c r="I1279" s="255"/>
      <c r="J1279" s="255"/>
      <c r="K1279" s="254"/>
      <c r="L1279" s="253"/>
    </row>
    <row r="1280" spans="3:12" s="244" customFormat="1" x14ac:dyDescent="0.25">
      <c r="C1280" s="255"/>
      <c r="D1280" s="255"/>
      <c r="E1280" s="255"/>
      <c r="F1280" s="255"/>
      <c r="G1280" s="253"/>
      <c r="H1280" s="256"/>
      <c r="I1280" s="255"/>
      <c r="J1280" s="255"/>
      <c r="K1280" s="254"/>
      <c r="L1280" s="253"/>
    </row>
    <row r="1281" spans="3:12" s="244" customFormat="1" x14ac:dyDescent="0.25">
      <c r="C1281" s="255"/>
      <c r="D1281" s="255"/>
      <c r="E1281" s="255"/>
      <c r="F1281" s="255"/>
      <c r="G1281" s="253"/>
      <c r="H1281" s="256"/>
      <c r="I1281" s="255"/>
      <c r="J1281" s="255"/>
      <c r="K1281" s="254"/>
      <c r="L1281" s="253"/>
    </row>
    <row r="1282" spans="3:12" s="244" customFormat="1" x14ac:dyDescent="0.25">
      <c r="C1282" s="255"/>
      <c r="D1282" s="255"/>
      <c r="E1282" s="255"/>
      <c r="F1282" s="255"/>
      <c r="G1282" s="253"/>
      <c r="H1282" s="256"/>
      <c r="I1282" s="255"/>
      <c r="J1282" s="255"/>
      <c r="K1282" s="254"/>
      <c r="L1282" s="253"/>
    </row>
    <row r="1283" spans="3:12" s="244" customFormat="1" x14ac:dyDescent="0.25">
      <c r="C1283" s="255"/>
      <c r="D1283" s="255"/>
      <c r="E1283" s="255"/>
      <c r="F1283" s="255"/>
      <c r="G1283" s="253"/>
      <c r="H1283" s="256"/>
      <c r="I1283" s="255"/>
      <c r="J1283" s="255"/>
      <c r="K1283" s="254"/>
      <c r="L1283" s="253"/>
    </row>
    <row r="1284" spans="3:12" s="244" customFormat="1" x14ac:dyDescent="0.25">
      <c r="C1284" s="255"/>
      <c r="D1284" s="255"/>
      <c r="E1284" s="255"/>
      <c r="F1284" s="255"/>
      <c r="G1284" s="253"/>
      <c r="H1284" s="256"/>
      <c r="I1284" s="255"/>
      <c r="J1284" s="255"/>
      <c r="K1284" s="254"/>
      <c r="L1284" s="253"/>
    </row>
    <row r="1285" spans="3:12" s="244" customFormat="1" x14ac:dyDescent="0.25">
      <c r="C1285" s="255"/>
      <c r="D1285" s="255"/>
      <c r="E1285" s="255"/>
      <c r="F1285" s="255"/>
      <c r="G1285" s="253"/>
      <c r="H1285" s="256"/>
      <c r="I1285" s="255"/>
      <c r="J1285" s="255"/>
      <c r="K1285" s="254"/>
      <c r="L1285" s="253"/>
    </row>
    <row r="1286" spans="3:12" s="244" customFormat="1" x14ac:dyDescent="0.25">
      <c r="C1286" s="255"/>
      <c r="D1286" s="255"/>
      <c r="E1286" s="255"/>
      <c r="F1286" s="255"/>
      <c r="G1286" s="253"/>
      <c r="H1286" s="256"/>
      <c r="I1286" s="255"/>
      <c r="J1286" s="255"/>
      <c r="K1286" s="254"/>
      <c r="L1286" s="253"/>
    </row>
    <row r="1287" spans="3:12" s="244" customFormat="1" x14ac:dyDescent="0.25">
      <c r="C1287" s="255"/>
      <c r="D1287" s="255"/>
      <c r="E1287" s="255"/>
      <c r="F1287" s="255"/>
      <c r="G1287" s="253"/>
      <c r="H1287" s="256"/>
      <c r="I1287" s="255"/>
      <c r="J1287" s="255"/>
      <c r="K1287" s="254"/>
      <c r="L1287" s="253"/>
    </row>
    <row r="1288" spans="3:12" s="244" customFormat="1" x14ac:dyDescent="0.25">
      <c r="C1288" s="255"/>
      <c r="D1288" s="255"/>
      <c r="E1288" s="255"/>
      <c r="F1288" s="255"/>
      <c r="G1288" s="253"/>
      <c r="H1288" s="256"/>
      <c r="I1288" s="255"/>
      <c r="J1288" s="255"/>
      <c r="K1288" s="254"/>
      <c r="L1288" s="253"/>
    </row>
    <row r="1289" spans="3:12" s="244" customFormat="1" x14ac:dyDescent="0.25">
      <c r="C1289" s="255"/>
      <c r="D1289" s="255"/>
      <c r="E1289" s="255"/>
      <c r="F1289" s="255"/>
      <c r="G1289" s="253"/>
      <c r="H1289" s="256"/>
      <c r="I1289" s="255"/>
      <c r="J1289" s="255"/>
      <c r="K1289" s="254"/>
      <c r="L1289" s="253"/>
    </row>
    <row r="1290" spans="3:12" s="244" customFormat="1" x14ac:dyDescent="0.25">
      <c r="C1290" s="255"/>
      <c r="D1290" s="255"/>
      <c r="E1290" s="255"/>
      <c r="F1290" s="255"/>
      <c r="G1290" s="253"/>
      <c r="H1290" s="256"/>
      <c r="I1290" s="255"/>
      <c r="J1290" s="255"/>
      <c r="K1290" s="254"/>
      <c r="L1290" s="253"/>
    </row>
    <row r="1291" spans="3:12" s="244" customFormat="1" x14ac:dyDescent="0.25">
      <c r="C1291" s="255"/>
      <c r="D1291" s="255"/>
      <c r="E1291" s="255"/>
      <c r="F1291" s="255"/>
      <c r="G1291" s="253"/>
      <c r="H1291" s="256"/>
      <c r="I1291" s="255"/>
      <c r="J1291" s="255"/>
      <c r="K1291" s="254"/>
      <c r="L1291" s="253"/>
    </row>
    <row r="1292" spans="3:12" s="244" customFormat="1" x14ac:dyDescent="0.25">
      <c r="C1292" s="255"/>
      <c r="D1292" s="255"/>
      <c r="E1292" s="255"/>
      <c r="F1292" s="255"/>
      <c r="G1292" s="253"/>
      <c r="H1292" s="256"/>
      <c r="I1292" s="255"/>
      <c r="J1292" s="255"/>
      <c r="K1292" s="254"/>
      <c r="L1292" s="253"/>
    </row>
    <row r="1293" spans="3:12" s="244" customFormat="1" x14ac:dyDescent="0.25">
      <c r="C1293" s="255"/>
      <c r="D1293" s="255"/>
      <c r="E1293" s="255"/>
      <c r="F1293" s="255"/>
      <c r="G1293" s="253"/>
      <c r="H1293" s="256"/>
      <c r="I1293" s="255"/>
      <c r="J1293" s="255"/>
      <c r="K1293" s="254"/>
      <c r="L1293" s="253"/>
    </row>
    <row r="1294" spans="3:12" s="244" customFormat="1" x14ac:dyDescent="0.25">
      <c r="C1294" s="255"/>
      <c r="D1294" s="255"/>
      <c r="E1294" s="255"/>
      <c r="F1294" s="255"/>
      <c r="G1294" s="253"/>
      <c r="H1294" s="256"/>
      <c r="I1294" s="255"/>
      <c r="J1294" s="255"/>
      <c r="K1294" s="254"/>
      <c r="L1294" s="253"/>
    </row>
    <row r="1295" spans="3:12" s="244" customFormat="1" x14ac:dyDescent="0.25">
      <c r="C1295" s="255"/>
      <c r="D1295" s="255"/>
      <c r="E1295" s="255"/>
      <c r="F1295" s="255"/>
      <c r="G1295" s="253"/>
      <c r="H1295" s="256"/>
      <c r="I1295" s="255"/>
      <c r="J1295" s="255"/>
      <c r="K1295" s="254"/>
      <c r="L1295" s="253"/>
    </row>
    <row r="1296" spans="3:12" s="244" customFormat="1" x14ac:dyDescent="0.25">
      <c r="C1296" s="255"/>
      <c r="D1296" s="255"/>
      <c r="E1296" s="255"/>
      <c r="F1296" s="255"/>
      <c r="G1296" s="253"/>
      <c r="H1296" s="256"/>
      <c r="I1296" s="255"/>
      <c r="J1296" s="255"/>
      <c r="K1296" s="254"/>
      <c r="L1296" s="253"/>
    </row>
    <row r="1297" spans="3:12" s="244" customFormat="1" x14ac:dyDescent="0.25">
      <c r="C1297" s="255"/>
      <c r="D1297" s="255"/>
      <c r="E1297" s="255"/>
      <c r="F1297" s="255"/>
      <c r="G1297" s="253"/>
      <c r="H1297" s="256"/>
      <c r="I1297" s="255"/>
      <c r="J1297" s="255"/>
      <c r="K1297" s="254"/>
      <c r="L1297" s="253"/>
    </row>
    <row r="1298" spans="3:12" s="244" customFormat="1" x14ac:dyDescent="0.25">
      <c r="C1298" s="255"/>
      <c r="D1298" s="255"/>
      <c r="E1298" s="255"/>
      <c r="F1298" s="255"/>
      <c r="G1298" s="253"/>
      <c r="H1298" s="256"/>
      <c r="I1298" s="255"/>
      <c r="J1298" s="255"/>
      <c r="K1298" s="254"/>
      <c r="L1298" s="253"/>
    </row>
    <row r="1299" spans="3:12" s="244" customFormat="1" x14ac:dyDescent="0.25">
      <c r="C1299" s="255"/>
      <c r="D1299" s="255"/>
      <c r="E1299" s="255"/>
      <c r="F1299" s="255"/>
      <c r="G1299" s="253"/>
      <c r="H1299" s="256"/>
      <c r="I1299" s="255"/>
      <c r="J1299" s="255"/>
      <c r="K1299" s="254"/>
      <c r="L1299" s="253"/>
    </row>
    <row r="1300" spans="3:12" s="244" customFormat="1" x14ac:dyDescent="0.25">
      <c r="C1300" s="255"/>
      <c r="D1300" s="255"/>
      <c r="E1300" s="255"/>
      <c r="F1300" s="255"/>
      <c r="G1300" s="253"/>
      <c r="H1300" s="256"/>
      <c r="I1300" s="255"/>
      <c r="J1300" s="255"/>
      <c r="K1300" s="254"/>
      <c r="L1300" s="253"/>
    </row>
    <row r="1301" spans="3:12" s="244" customFormat="1" x14ac:dyDescent="0.25">
      <c r="C1301" s="255"/>
      <c r="D1301" s="255"/>
      <c r="E1301" s="255"/>
      <c r="F1301" s="255"/>
      <c r="G1301" s="253"/>
      <c r="H1301" s="256"/>
      <c r="I1301" s="255"/>
      <c r="J1301" s="255"/>
      <c r="K1301" s="254"/>
      <c r="L1301" s="253"/>
    </row>
    <row r="1302" spans="3:12" s="244" customFormat="1" x14ac:dyDescent="0.25">
      <c r="C1302" s="255"/>
      <c r="D1302" s="255"/>
      <c r="E1302" s="255"/>
      <c r="F1302" s="255"/>
      <c r="G1302" s="253"/>
      <c r="H1302" s="256"/>
      <c r="I1302" s="255"/>
      <c r="J1302" s="255"/>
      <c r="K1302" s="254"/>
      <c r="L1302" s="253"/>
    </row>
    <row r="1303" spans="3:12" s="244" customFormat="1" x14ac:dyDescent="0.25">
      <c r="C1303" s="255"/>
      <c r="D1303" s="255"/>
      <c r="E1303" s="255"/>
      <c r="F1303" s="255"/>
      <c r="G1303" s="253"/>
      <c r="H1303" s="256"/>
      <c r="I1303" s="255"/>
      <c r="J1303" s="255"/>
      <c r="K1303" s="254"/>
      <c r="L1303" s="253"/>
    </row>
    <row r="1304" spans="3:12" s="244" customFormat="1" x14ac:dyDescent="0.25">
      <c r="C1304" s="255"/>
      <c r="D1304" s="255"/>
      <c r="E1304" s="255"/>
      <c r="F1304" s="255"/>
      <c r="G1304" s="253"/>
      <c r="H1304" s="256"/>
      <c r="I1304" s="255"/>
      <c r="J1304" s="255"/>
      <c r="K1304" s="254"/>
      <c r="L1304" s="253"/>
    </row>
    <row r="1305" spans="3:12" s="244" customFormat="1" x14ac:dyDescent="0.25">
      <c r="C1305" s="255"/>
      <c r="D1305" s="255"/>
      <c r="E1305" s="255"/>
      <c r="F1305" s="255"/>
      <c r="G1305" s="253"/>
      <c r="H1305" s="256"/>
      <c r="I1305" s="255"/>
      <c r="J1305" s="255"/>
      <c r="K1305" s="254"/>
      <c r="L1305" s="253"/>
    </row>
    <row r="1306" spans="3:12" s="244" customFormat="1" x14ac:dyDescent="0.25">
      <c r="C1306" s="255"/>
      <c r="D1306" s="255"/>
      <c r="E1306" s="255"/>
      <c r="F1306" s="255"/>
      <c r="G1306" s="253"/>
      <c r="H1306" s="256"/>
      <c r="I1306" s="255"/>
      <c r="J1306" s="255"/>
      <c r="K1306" s="254"/>
      <c r="L1306" s="253"/>
    </row>
    <row r="1307" spans="3:12" s="244" customFormat="1" x14ac:dyDescent="0.25">
      <c r="C1307" s="255"/>
      <c r="D1307" s="255"/>
      <c r="E1307" s="255"/>
      <c r="F1307" s="255"/>
      <c r="G1307" s="253"/>
      <c r="H1307" s="256"/>
      <c r="I1307" s="255"/>
      <c r="J1307" s="255"/>
      <c r="K1307" s="254"/>
      <c r="L1307" s="253"/>
    </row>
    <row r="1308" spans="3:12" s="244" customFormat="1" x14ac:dyDescent="0.25">
      <c r="C1308" s="255"/>
      <c r="D1308" s="255"/>
      <c r="E1308" s="255"/>
      <c r="F1308" s="255"/>
      <c r="G1308" s="253"/>
      <c r="H1308" s="256"/>
      <c r="I1308" s="255"/>
      <c r="J1308" s="255"/>
      <c r="K1308" s="254"/>
      <c r="L1308" s="253"/>
    </row>
    <row r="1309" spans="3:12" s="244" customFormat="1" x14ac:dyDescent="0.25">
      <c r="C1309" s="255"/>
      <c r="D1309" s="255"/>
      <c r="E1309" s="255"/>
      <c r="F1309" s="255"/>
      <c r="G1309" s="253"/>
      <c r="H1309" s="256"/>
      <c r="I1309" s="255"/>
      <c r="J1309" s="255"/>
      <c r="K1309" s="254"/>
      <c r="L1309" s="253"/>
    </row>
    <row r="1310" spans="3:12" s="244" customFormat="1" x14ac:dyDescent="0.25">
      <c r="C1310" s="255"/>
      <c r="D1310" s="255"/>
      <c r="E1310" s="255"/>
      <c r="F1310" s="255"/>
      <c r="G1310" s="253"/>
      <c r="H1310" s="256"/>
      <c r="I1310" s="255"/>
      <c r="J1310" s="255"/>
      <c r="K1310" s="254"/>
      <c r="L1310" s="253"/>
    </row>
    <row r="1311" spans="3:12" s="244" customFormat="1" x14ac:dyDescent="0.25">
      <c r="C1311" s="255"/>
      <c r="D1311" s="255"/>
      <c r="E1311" s="255"/>
      <c r="F1311" s="255"/>
      <c r="G1311" s="253"/>
      <c r="H1311" s="256"/>
      <c r="I1311" s="255"/>
      <c r="J1311" s="255"/>
      <c r="K1311" s="254"/>
      <c r="L1311" s="253"/>
    </row>
    <row r="1312" spans="3:12" s="244" customFormat="1" x14ac:dyDescent="0.25">
      <c r="C1312" s="255"/>
      <c r="D1312" s="255"/>
      <c r="E1312" s="255"/>
      <c r="F1312" s="255"/>
      <c r="G1312" s="253"/>
      <c r="H1312" s="256"/>
      <c r="I1312" s="255"/>
      <c r="J1312" s="255"/>
      <c r="K1312" s="254"/>
      <c r="L1312" s="253"/>
    </row>
    <row r="1313" spans="3:12" s="244" customFormat="1" x14ac:dyDescent="0.25">
      <c r="C1313" s="255"/>
      <c r="D1313" s="255"/>
      <c r="E1313" s="255"/>
      <c r="F1313" s="255"/>
      <c r="G1313" s="253"/>
      <c r="H1313" s="256"/>
      <c r="I1313" s="255"/>
      <c r="J1313" s="255"/>
      <c r="K1313" s="254"/>
      <c r="L1313" s="253"/>
    </row>
    <row r="1314" spans="3:12" s="244" customFormat="1" x14ac:dyDescent="0.25">
      <c r="C1314" s="255"/>
      <c r="D1314" s="255"/>
      <c r="E1314" s="255"/>
      <c r="F1314" s="255"/>
      <c r="G1314" s="253"/>
      <c r="H1314" s="256"/>
      <c r="I1314" s="255"/>
      <c r="J1314" s="255"/>
      <c r="K1314" s="254"/>
      <c r="L1314" s="253"/>
    </row>
    <row r="1315" spans="3:12" s="244" customFormat="1" x14ac:dyDescent="0.25">
      <c r="C1315" s="255"/>
      <c r="D1315" s="255"/>
      <c r="E1315" s="255"/>
      <c r="F1315" s="255"/>
      <c r="G1315" s="253"/>
      <c r="H1315" s="256"/>
      <c r="I1315" s="255"/>
      <c r="J1315" s="255"/>
      <c r="K1315" s="254"/>
      <c r="L1315" s="253"/>
    </row>
    <row r="1316" spans="3:12" s="244" customFormat="1" x14ac:dyDescent="0.25">
      <c r="C1316" s="255"/>
      <c r="D1316" s="255"/>
      <c r="E1316" s="255"/>
      <c r="F1316" s="255"/>
      <c r="G1316" s="253"/>
      <c r="H1316" s="256"/>
      <c r="I1316" s="255"/>
      <c r="J1316" s="255"/>
      <c r="K1316" s="254"/>
      <c r="L1316" s="253"/>
    </row>
    <row r="1317" spans="3:12" s="244" customFormat="1" x14ac:dyDescent="0.25">
      <c r="C1317" s="255"/>
      <c r="D1317" s="255"/>
      <c r="E1317" s="255"/>
      <c r="F1317" s="255"/>
      <c r="G1317" s="253"/>
      <c r="H1317" s="256"/>
      <c r="I1317" s="255"/>
      <c r="J1317" s="255"/>
      <c r="K1317" s="254"/>
      <c r="L1317" s="253"/>
    </row>
    <row r="1318" spans="3:12" s="244" customFormat="1" x14ac:dyDescent="0.25">
      <c r="C1318" s="255"/>
      <c r="D1318" s="255"/>
      <c r="E1318" s="255"/>
      <c r="F1318" s="255"/>
      <c r="G1318" s="253"/>
      <c r="H1318" s="256"/>
      <c r="I1318" s="255"/>
      <c r="J1318" s="255"/>
      <c r="K1318" s="254"/>
      <c r="L1318" s="253"/>
    </row>
    <row r="1319" spans="3:12" s="244" customFormat="1" x14ac:dyDescent="0.25">
      <c r="C1319" s="255"/>
      <c r="D1319" s="255"/>
      <c r="E1319" s="255"/>
      <c r="F1319" s="255"/>
      <c r="G1319" s="253"/>
      <c r="H1319" s="256"/>
      <c r="I1319" s="255"/>
      <c r="J1319" s="255"/>
      <c r="K1319" s="254"/>
      <c r="L1319" s="253"/>
    </row>
    <row r="1320" spans="3:12" s="244" customFormat="1" x14ac:dyDescent="0.25">
      <c r="C1320" s="255"/>
      <c r="D1320" s="255"/>
      <c r="E1320" s="255"/>
      <c r="F1320" s="255"/>
      <c r="G1320" s="253"/>
      <c r="H1320" s="256"/>
      <c r="I1320" s="255"/>
      <c r="J1320" s="255"/>
      <c r="K1320" s="254"/>
      <c r="L1320" s="253"/>
    </row>
    <row r="1321" spans="3:12" s="244" customFormat="1" x14ac:dyDescent="0.25">
      <c r="C1321" s="255"/>
      <c r="D1321" s="255"/>
      <c r="E1321" s="255"/>
      <c r="F1321" s="255"/>
      <c r="G1321" s="253"/>
      <c r="H1321" s="256"/>
      <c r="I1321" s="255"/>
      <c r="J1321" s="255"/>
      <c r="K1321" s="254"/>
      <c r="L1321" s="253"/>
    </row>
    <row r="1322" spans="3:12" s="244" customFormat="1" x14ac:dyDescent="0.25">
      <c r="C1322" s="255"/>
      <c r="D1322" s="255"/>
      <c r="E1322" s="255"/>
      <c r="F1322" s="255"/>
      <c r="G1322" s="253"/>
      <c r="H1322" s="256"/>
      <c r="I1322" s="255"/>
      <c r="J1322" s="255"/>
      <c r="K1322" s="254"/>
      <c r="L1322" s="253"/>
    </row>
    <row r="1323" spans="3:12" s="244" customFormat="1" x14ac:dyDescent="0.25">
      <c r="C1323" s="255"/>
      <c r="D1323" s="255"/>
      <c r="E1323" s="255"/>
      <c r="F1323" s="255"/>
      <c r="G1323" s="253"/>
      <c r="H1323" s="256"/>
      <c r="I1323" s="255"/>
      <c r="J1323" s="255"/>
      <c r="K1323" s="254"/>
      <c r="L1323" s="253"/>
    </row>
    <row r="1324" spans="3:12" s="244" customFormat="1" x14ac:dyDescent="0.25">
      <c r="C1324" s="255"/>
      <c r="D1324" s="255"/>
      <c r="E1324" s="255"/>
      <c r="F1324" s="255"/>
      <c r="G1324" s="253"/>
      <c r="H1324" s="256"/>
      <c r="I1324" s="255"/>
      <c r="J1324" s="255"/>
      <c r="K1324" s="254"/>
      <c r="L1324" s="253"/>
    </row>
    <row r="1325" spans="3:12" s="244" customFormat="1" x14ac:dyDescent="0.25">
      <c r="C1325" s="255"/>
      <c r="D1325" s="255"/>
      <c r="E1325" s="255"/>
      <c r="F1325" s="255"/>
      <c r="G1325" s="253"/>
      <c r="H1325" s="256"/>
      <c r="I1325" s="255"/>
      <c r="J1325" s="255"/>
      <c r="K1325" s="254"/>
      <c r="L1325" s="253"/>
    </row>
    <row r="1326" spans="3:12" s="244" customFormat="1" x14ac:dyDescent="0.25">
      <c r="C1326" s="255"/>
      <c r="D1326" s="255"/>
      <c r="E1326" s="255"/>
      <c r="F1326" s="255"/>
      <c r="G1326" s="253"/>
      <c r="H1326" s="256"/>
      <c r="I1326" s="255"/>
      <c r="J1326" s="255"/>
      <c r="K1326" s="254"/>
      <c r="L1326" s="253"/>
    </row>
    <row r="1327" spans="3:12" s="244" customFormat="1" x14ac:dyDescent="0.25">
      <c r="C1327" s="255"/>
      <c r="D1327" s="255"/>
      <c r="E1327" s="255"/>
      <c r="F1327" s="255"/>
      <c r="G1327" s="253"/>
      <c r="H1327" s="256"/>
      <c r="I1327" s="255"/>
      <c r="J1327" s="255"/>
      <c r="K1327" s="254"/>
      <c r="L1327" s="253"/>
    </row>
    <row r="1328" spans="3:12" s="244" customFormat="1" x14ac:dyDescent="0.25">
      <c r="C1328" s="255"/>
      <c r="D1328" s="255"/>
      <c r="E1328" s="255"/>
      <c r="F1328" s="255"/>
      <c r="G1328" s="253"/>
      <c r="H1328" s="256"/>
      <c r="I1328" s="255"/>
      <c r="J1328" s="255"/>
      <c r="K1328" s="254"/>
      <c r="L1328" s="253"/>
    </row>
    <row r="1329" spans="3:12" s="244" customFormat="1" x14ac:dyDescent="0.25">
      <c r="C1329" s="255"/>
      <c r="D1329" s="255"/>
      <c r="E1329" s="255"/>
      <c r="F1329" s="255"/>
      <c r="G1329" s="253"/>
      <c r="H1329" s="256"/>
      <c r="I1329" s="255"/>
      <c r="J1329" s="255"/>
      <c r="K1329" s="254"/>
      <c r="L1329" s="253"/>
    </row>
    <row r="1330" spans="3:12" s="244" customFormat="1" x14ac:dyDescent="0.25">
      <c r="C1330" s="255"/>
      <c r="D1330" s="255"/>
      <c r="E1330" s="255"/>
      <c r="F1330" s="255"/>
      <c r="G1330" s="253"/>
      <c r="H1330" s="256"/>
      <c r="I1330" s="255"/>
      <c r="J1330" s="255"/>
      <c r="K1330" s="254"/>
      <c r="L1330" s="253"/>
    </row>
    <row r="1331" spans="3:12" s="244" customFormat="1" x14ac:dyDescent="0.25">
      <c r="C1331" s="255"/>
      <c r="D1331" s="255"/>
      <c r="E1331" s="255"/>
      <c r="F1331" s="255"/>
      <c r="G1331" s="253"/>
      <c r="H1331" s="256"/>
      <c r="I1331" s="255"/>
      <c r="J1331" s="255"/>
      <c r="K1331" s="254"/>
      <c r="L1331" s="253"/>
    </row>
    <row r="1332" spans="3:12" s="244" customFormat="1" x14ac:dyDescent="0.25">
      <c r="C1332" s="255"/>
      <c r="D1332" s="255"/>
      <c r="E1332" s="255"/>
      <c r="F1332" s="255"/>
      <c r="G1332" s="253"/>
      <c r="H1332" s="256"/>
      <c r="I1332" s="255"/>
      <c r="J1332" s="255"/>
      <c r="K1332" s="254"/>
      <c r="L1332" s="253"/>
    </row>
    <row r="1333" spans="3:12" s="244" customFormat="1" x14ac:dyDescent="0.25">
      <c r="C1333" s="255"/>
      <c r="D1333" s="255"/>
      <c r="E1333" s="255"/>
      <c r="F1333" s="255"/>
      <c r="G1333" s="253"/>
      <c r="H1333" s="256"/>
      <c r="I1333" s="255"/>
      <c r="J1333" s="255"/>
      <c r="K1333" s="254"/>
      <c r="L1333" s="253"/>
    </row>
    <row r="1334" spans="3:12" s="244" customFormat="1" x14ac:dyDescent="0.25">
      <c r="C1334" s="255"/>
      <c r="D1334" s="255"/>
      <c r="E1334" s="255"/>
      <c r="F1334" s="255"/>
      <c r="G1334" s="253"/>
      <c r="H1334" s="256"/>
      <c r="I1334" s="255"/>
      <c r="J1334" s="255"/>
      <c r="K1334" s="254"/>
      <c r="L1334" s="253"/>
    </row>
    <row r="1335" spans="3:12" s="244" customFormat="1" x14ac:dyDescent="0.25">
      <c r="C1335" s="255"/>
      <c r="D1335" s="255"/>
      <c r="E1335" s="255"/>
      <c r="F1335" s="255"/>
      <c r="G1335" s="253"/>
      <c r="H1335" s="256"/>
      <c r="I1335" s="255"/>
      <c r="J1335" s="255"/>
      <c r="K1335" s="254"/>
      <c r="L1335" s="253"/>
    </row>
    <row r="1336" spans="3:12" s="244" customFormat="1" x14ac:dyDescent="0.25">
      <c r="C1336" s="255"/>
      <c r="D1336" s="255"/>
      <c r="E1336" s="255"/>
      <c r="F1336" s="255"/>
      <c r="G1336" s="253"/>
      <c r="H1336" s="256"/>
      <c r="I1336" s="255"/>
      <c r="J1336" s="255"/>
      <c r="K1336" s="254"/>
      <c r="L1336" s="253"/>
    </row>
    <row r="1337" spans="3:12" s="244" customFormat="1" x14ac:dyDescent="0.25">
      <c r="C1337" s="255"/>
      <c r="D1337" s="255"/>
      <c r="E1337" s="255"/>
      <c r="F1337" s="255"/>
      <c r="G1337" s="253"/>
      <c r="H1337" s="256"/>
      <c r="I1337" s="255"/>
      <c r="J1337" s="255"/>
      <c r="K1337" s="254"/>
      <c r="L1337" s="253"/>
    </row>
    <row r="1338" spans="3:12" s="244" customFormat="1" x14ac:dyDescent="0.25">
      <c r="C1338" s="255"/>
      <c r="D1338" s="255"/>
      <c r="E1338" s="255"/>
      <c r="F1338" s="255"/>
      <c r="G1338" s="253"/>
      <c r="H1338" s="256"/>
      <c r="I1338" s="255"/>
      <c r="J1338" s="255"/>
      <c r="K1338" s="254"/>
      <c r="L1338" s="253"/>
    </row>
    <row r="1339" spans="3:12" s="244" customFormat="1" x14ac:dyDescent="0.25">
      <c r="C1339" s="255"/>
      <c r="D1339" s="255"/>
      <c r="E1339" s="255"/>
      <c r="F1339" s="255"/>
      <c r="G1339" s="253"/>
      <c r="H1339" s="256"/>
      <c r="I1339" s="255"/>
      <c r="J1339" s="255"/>
      <c r="K1339" s="254"/>
      <c r="L1339" s="253"/>
    </row>
    <row r="1340" spans="3:12" s="244" customFormat="1" x14ac:dyDescent="0.25">
      <c r="C1340" s="255"/>
      <c r="D1340" s="255"/>
      <c r="E1340" s="255"/>
      <c r="F1340" s="255"/>
      <c r="G1340" s="253"/>
      <c r="H1340" s="256"/>
      <c r="I1340" s="255"/>
      <c r="J1340" s="255"/>
      <c r="K1340" s="254"/>
      <c r="L1340" s="253"/>
    </row>
    <row r="1341" spans="3:12" s="244" customFormat="1" x14ac:dyDescent="0.25">
      <c r="C1341" s="255"/>
      <c r="D1341" s="255"/>
      <c r="E1341" s="255"/>
      <c r="F1341" s="255"/>
      <c r="G1341" s="253"/>
      <c r="H1341" s="256"/>
      <c r="I1341" s="255"/>
      <c r="J1341" s="255"/>
      <c r="K1341" s="254"/>
      <c r="L1341" s="253"/>
    </row>
    <row r="1342" spans="3:12" s="244" customFormat="1" x14ac:dyDescent="0.25">
      <c r="C1342" s="255"/>
      <c r="D1342" s="255"/>
      <c r="E1342" s="255"/>
      <c r="F1342" s="255"/>
      <c r="G1342" s="253"/>
      <c r="H1342" s="256"/>
      <c r="I1342" s="255"/>
      <c r="J1342" s="255"/>
      <c r="K1342" s="254"/>
      <c r="L1342" s="253"/>
    </row>
    <row r="1343" spans="3:12" s="244" customFormat="1" x14ac:dyDescent="0.25">
      <c r="C1343" s="255"/>
      <c r="D1343" s="255"/>
      <c r="E1343" s="255"/>
      <c r="F1343" s="255"/>
      <c r="G1343" s="253"/>
      <c r="H1343" s="256"/>
      <c r="I1343" s="255"/>
      <c r="J1343" s="255"/>
      <c r="K1343" s="254"/>
      <c r="L1343" s="253"/>
    </row>
    <row r="1344" spans="3:12" s="244" customFormat="1" x14ac:dyDescent="0.25">
      <c r="C1344" s="255"/>
      <c r="D1344" s="255"/>
      <c r="E1344" s="255"/>
      <c r="F1344" s="255"/>
      <c r="G1344" s="253"/>
      <c r="H1344" s="256"/>
      <c r="I1344" s="255"/>
      <c r="J1344" s="255"/>
      <c r="K1344" s="254"/>
      <c r="L1344" s="253"/>
    </row>
    <row r="1345" spans="3:12" s="244" customFormat="1" x14ac:dyDescent="0.25">
      <c r="C1345" s="255"/>
      <c r="D1345" s="255"/>
      <c r="E1345" s="255"/>
      <c r="F1345" s="255"/>
      <c r="G1345" s="253"/>
      <c r="H1345" s="256"/>
      <c r="I1345" s="255"/>
      <c r="J1345" s="255"/>
      <c r="K1345" s="254"/>
      <c r="L1345" s="253"/>
    </row>
    <row r="1346" spans="3:12" s="244" customFormat="1" x14ac:dyDescent="0.25">
      <c r="C1346" s="255"/>
      <c r="D1346" s="255"/>
      <c r="E1346" s="255"/>
      <c r="F1346" s="255"/>
      <c r="G1346" s="253"/>
      <c r="H1346" s="256"/>
      <c r="I1346" s="255"/>
      <c r="J1346" s="255"/>
      <c r="K1346" s="254"/>
      <c r="L1346" s="253"/>
    </row>
    <row r="1347" spans="3:12" s="244" customFormat="1" x14ac:dyDescent="0.25">
      <c r="C1347" s="255"/>
      <c r="D1347" s="255"/>
      <c r="E1347" s="255"/>
      <c r="F1347" s="255"/>
      <c r="G1347" s="253"/>
      <c r="H1347" s="256"/>
      <c r="I1347" s="255"/>
      <c r="J1347" s="255"/>
      <c r="K1347" s="254"/>
      <c r="L1347" s="253"/>
    </row>
    <row r="1348" spans="3:12" s="244" customFormat="1" x14ac:dyDescent="0.25">
      <c r="C1348" s="255"/>
      <c r="D1348" s="255"/>
      <c r="E1348" s="255"/>
      <c r="F1348" s="255"/>
      <c r="G1348" s="253"/>
      <c r="H1348" s="256"/>
      <c r="I1348" s="255"/>
      <c r="J1348" s="255"/>
      <c r="K1348" s="254"/>
      <c r="L1348" s="253"/>
    </row>
    <row r="1349" spans="3:12" s="244" customFormat="1" x14ac:dyDescent="0.25">
      <c r="C1349" s="255"/>
      <c r="D1349" s="255"/>
      <c r="E1349" s="255"/>
      <c r="F1349" s="255"/>
      <c r="G1349" s="253"/>
      <c r="H1349" s="256"/>
      <c r="I1349" s="255"/>
      <c r="J1349" s="255"/>
      <c r="K1349" s="254"/>
      <c r="L1349" s="253"/>
    </row>
    <row r="1350" spans="3:12" s="244" customFormat="1" x14ac:dyDescent="0.25">
      <c r="C1350" s="255"/>
      <c r="D1350" s="255"/>
      <c r="E1350" s="255"/>
      <c r="F1350" s="255"/>
      <c r="G1350" s="253"/>
      <c r="H1350" s="256"/>
      <c r="I1350" s="255"/>
      <c r="J1350" s="255"/>
      <c r="K1350" s="254"/>
      <c r="L1350" s="253"/>
    </row>
    <row r="1351" spans="3:12" s="244" customFormat="1" x14ac:dyDescent="0.25">
      <c r="C1351" s="255"/>
      <c r="D1351" s="255"/>
      <c r="E1351" s="255"/>
      <c r="F1351" s="255"/>
      <c r="G1351" s="253"/>
      <c r="H1351" s="256"/>
      <c r="I1351" s="255"/>
      <c r="J1351" s="255"/>
      <c r="K1351" s="254"/>
      <c r="L1351" s="253"/>
    </row>
    <row r="1352" spans="3:12" s="244" customFormat="1" x14ac:dyDescent="0.25">
      <c r="C1352" s="255"/>
      <c r="D1352" s="255"/>
      <c r="E1352" s="255"/>
      <c r="F1352" s="255"/>
      <c r="G1352" s="253"/>
      <c r="H1352" s="256"/>
      <c r="I1352" s="255"/>
      <c r="J1352" s="255"/>
      <c r="K1352" s="254"/>
      <c r="L1352" s="253"/>
    </row>
    <row r="1353" spans="3:12" s="244" customFormat="1" x14ac:dyDescent="0.25">
      <c r="C1353" s="255"/>
      <c r="D1353" s="255"/>
      <c r="E1353" s="255"/>
      <c r="F1353" s="255"/>
      <c r="G1353" s="253"/>
      <c r="H1353" s="256"/>
      <c r="I1353" s="255"/>
      <c r="J1353" s="255"/>
      <c r="K1353" s="254"/>
      <c r="L1353" s="253"/>
    </row>
    <row r="1354" spans="3:12" s="244" customFormat="1" x14ac:dyDescent="0.25">
      <c r="C1354" s="255"/>
      <c r="D1354" s="255"/>
      <c r="E1354" s="255"/>
      <c r="F1354" s="255"/>
      <c r="G1354" s="253"/>
      <c r="H1354" s="256"/>
      <c r="I1354" s="255"/>
      <c r="J1354" s="255"/>
      <c r="K1354" s="254"/>
      <c r="L1354" s="253"/>
    </row>
    <row r="1355" spans="3:12" s="244" customFormat="1" x14ac:dyDescent="0.25">
      <c r="C1355" s="255"/>
      <c r="D1355" s="255"/>
      <c r="E1355" s="255"/>
      <c r="F1355" s="255"/>
      <c r="G1355" s="253"/>
      <c r="H1355" s="256"/>
      <c r="I1355" s="255"/>
      <c r="J1355" s="255"/>
      <c r="K1355" s="254"/>
      <c r="L1355" s="253"/>
    </row>
    <row r="1356" spans="3:12" s="244" customFormat="1" x14ac:dyDescent="0.25">
      <c r="C1356" s="255"/>
      <c r="D1356" s="255"/>
      <c r="E1356" s="255"/>
      <c r="F1356" s="255"/>
      <c r="G1356" s="253"/>
      <c r="H1356" s="256"/>
      <c r="I1356" s="255"/>
      <c r="J1356" s="255"/>
      <c r="K1356" s="254"/>
      <c r="L1356" s="253"/>
    </row>
    <row r="1357" spans="3:12" s="244" customFormat="1" x14ac:dyDescent="0.25">
      <c r="C1357" s="255"/>
      <c r="D1357" s="255"/>
      <c r="E1357" s="255"/>
      <c r="F1357" s="255"/>
      <c r="G1357" s="253"/>
      <c r="H1357" s="256"/>
      <c r="I1357" s="255"/>
      <c r="J1357" s="255"/>
      <c r="K1357" s="254"/>
      <c r="L1357" s="253"/>
    </row>
    <row r="1358" spans="3:12" s="244" customFormat="1" x14ac:dyDescent="0.25">
      <c r="C1358" s="255"/>
      <c r="D1358" s="255"/>
      <c r="E1358" s="255"/>
      <c r="F1358" s="255"/>
      <c r="G1358" s="253"/>
      <c r="H1358" s="256"/>
      <c r="I1358" s="255"/>
      <c r="J1358" s="255"/>
      <c r="K1358" s="254"/>
      <c r="L1358" s="253"/>
    </row>
    <row r="1359" spans="3:12" s="244" customFormat="1" x14ac:dyDescent="0.25">
      <c r="C1359" s="255"/>
      <c r="D1359" s="255"/>
      <c r="E1359" s="255"/>
      <c r="F1359" s="255"/>
      <c r="G1359" s="253"/>
      <c r="H1359" s="256"/>
      <c r="I1359" s="255"/>
      <c r="J1359" s="255"/>
      <c r="K1359" s="254"/>
      <c r="L1359" s="253"/>
    </row>
    <row r="1360" spans="3:12" s="244" customFormat="1" x14ac:dyDescent="0.25">
      <c r="C1360" s="255"/>
      <c r="D1360" s="255"/>
      <c r="E1360" s="255"/>
      <c r="F1360" s="255"/>
      <c r="G1360" s="253"/>
      <c r="H1360" s="256"/>
      <c r="I1360" s="255"/>
      <c r="J1360" s="255"/>
      <c r="K1360" s="254"/>
      <c r="L1360" s="253"/>
    </row>
    <row r="1361" spans="3:12" s="244" customFormat="1" x14ac:dyDescent="0.25">
      <c r="C1361" s="255"/>
      <c r="D1361" s="255"/>
      <c r="E1361" s="255"/>
      <c r="F1361" s="255"/>
      <c r="G1361" s="253"/>
      <c r="H1361" s="256"/>
      <c r="I1361" s="255"/>
      <c r="J1361" s="255"/>
      <c r="K1361" s="254"/>
      <c r="L1361" s="253"/>
    </row>
    <row r="1362" spans="3:12" s="244" customFormat="1" x14ac:dyDescent="0.25">
      <c r="C1362" s="255"/>
      <c r="D1362" s="255"/>
      <c r="E1362" s="255"/>
      <c r="F1362" s="255"/>
      <c r="G1362" s="253"/>
      <c r="H1362" s="256"/>
      <c r="I1362" s="255"/>
      <c r="J1362" s="255"/>
      <c r="K1362" s="254"/>
      <c r="L1362" s="253"/>
    </row>
    <row r="1363" spans="3:12" s="244" customFormat="1" x14ac:dyDescent="0.25">
      <c r="C1363" s="255"/>
      <c r="D1363" s="255"/>
      <c r="E1363" s="255"/>
      <c r="F1363" s="255"/>
      <c r="G1363" s="253"/>
      <c r="H1363" s="256"/>
      <c r="I1363" s="255"/>
      <c r="J1363" s="255"/>
      <c r="K1363" s="254"/>
      <c r="L1363" s="253"/>
    </row>
    <row r="1364" spans="3:12" s="244" customFormat="1" x14ac:dyDescent="0.25">
      <c r="C1364" s="255"/>
      <c r="D1364" s="255"/>
      <c r="E1364" s="255"/>
      <c r="F1364" s="255"/>
      <c r="G1364" s="253"/>
      <c r="H1364" s="256"/>
      <c r="I1364" s="255"/>
      <c r="J1364" s="255"/>
      <c r="K1364" s="254"/>
      <c r="L1364" s="253"/>
    </row>
    <row r="1365" spans="3:12" s="244" customFormat="1" x14ac:dyDescent="0.25">
      <c r="C1365" s="255"/>
      <c r="D1365" s="255"/>
      <c r="E1365" s="255"/>
      <c r="F1365" s="255"/>
      <c r="G1365" s="253"/>
      <c r="H1365" s="256"/>
      <c r="I1365" s="255"/>
      <c r="J1365" s="255"/>
      <c r="K1365" s="254"/>
      <c r="L1365" s="253"/>
    </row>
    <row r="1366" spans="3:12" s="244" customFormat="1" x14ac:dyDescent="0.25">
      <c r="C1366" s="255"/>
      <c r="D1366" s="255"/>
      <c r="E1366" s="255"/>
      <c r="F1366" s="255"/>
      <c r="G1366" s="253"/>
      <c r="H1366" s="256"/>
      <c r="I1366" s="255"/>
      <c r="J1366" s="255"/>
      <c r="K1366" s="254"/>
      <c r="L1366" s="253"/>
    </row>
    <row r="1367" spans="3:12" s="244" customFormat="1" x14ac:dyDescent="0.25">
      <c r="C1367" s="255"/>
      <c r="D1367" s="255"/>
      <c r="E1367" s="255"/>
      <c r="F1367" s="255"/>
      <c r="G1367" s="253"/>
      <c r="H1367" s="256"/>
      <c r="I1367" s="255"/>
      <c r="J1367" s="255"/>
      <c r="K1367" s="254"/>
      <c r="L1367" s="253"/>
    </row>
    <row r="1368" spans="3:12" s="244" customFormat="1" x14ac:dyDescent="0.25">
      <c r="C1368" s="255"/>
      <c r="D1368" s="255"/>
      <c r="E1368" s="255"/>
      <c r="F1368" s="255"/>
      <c r="G1368" s="253"/>
      <c r="H1368" s="256"/>
      <c r="I1368" s="255"/>
      <c r="J1368" s="255"/>
      <c r="K1368" s="254"/>
      <c r="L1368" s="253"/>
    </row>
    <row r="1369" spans="3:12" s="244" customFormat="1" x14ac:dyDescent="0.25">
      <c r="C1369" s="255"/>
      <c r="D1369" s="255"/>
      <c r="E1369" s="255"/>
      <c r="F1369" s="255"/>
      <c r="G1369" s="253"/>
      <c r="H1369" s="256"/>
      <c r="I1369" s="255"/>
      <c r="J1369" s="255"/>
      <c r="K1369" s="254"/>
      <c r="L1369" s="253"/>
    </row>
    <row r="1370" spans="3:12" s="244" customFormat="1" x14ac:dyDescent="0.25">
      <c r="C1370" s="255"/>
      <c r="D1370" s="255"/>
      <c r="E1370" s="255"/>
      <c r="F1370" s="255"/>
      <c r="G1370" s="253"/>
      <c r="H1370" s="256"/>
      <c r="I1370" s="255"/>
      <c r="J1370" s="255"/>
      <c r="K1370" s="254"/>
      <c r="L1370" s="253"/>
    </row>
    <row r="1371" spans="3:12" s="244" customFormat="1" x14ac:dyDescent="0.25">
      <c r="C1371" s="255"/>
      <c r="D1371" s="255"/>
      <c r="E1371" s="255"/>
      <c r="F1371" s="255"/>
      <c r="G1371" s="253"/>
      <c r="H1371" s="256"/>
      <c r="I1371" s="255"/>
      <c r="J1371" s="255"/>
      <c r="K1371" s="254"/>
      <c r="L1371" s="253"/>
    </row>
    <row r="1372" spans="3:12" s="244" customFormat="1" x14ac:dyDescent="0.25">
      <c r="C1372" s="255"/>
      <c r="D1372" s="255"/>
      <c r="E1372" s="255"/>
      <c r="F1372" s="255"/>
      <c r="G1372" s="253"/>
      <c r="H1372" s="256"/>
      <c r="I1372" s="255"/>
      <c r="J1372" s="255"/>
      <c r="K1372" s="254"/>
      <c r="L1372" s="253"/>
    </row>
    <row r="1373" spans="3:12" s="244" customFormat="1" x14ac:dyDescent="0.25">
      <c r="C1373" s="255"/>
      <c r="D1373" s="255"/>
      <c r="E1373" s="255"/>
      <c r="F1373" s="255"/>
      <c r="G1373" s="253"/>
      <c r="H1373" s="256"/>
      <c r="I1373" s="255"/>
      <c r="J1373" s="255"/>
      <c r="K1373" s="254"/>
      <c r="L1373" s="253"/>
    </row>
    <row r="1374" spans="3:12" s="244" customFormat="1" x14ac:dyDescent="0.25">
      <c r="C1374" s="255"/>
      <c r="D1374" s="255"/>
      <c r="E1374" s="255"/>
      <c r="F1374" s="255"/>
      <c r="G1374" s="253"/>
      <c r="H1374" s="256"/>
      <c r="I1374" s="255"/>
      <c r="J1374" s="255"/>
      <c r="K1374" s="254"/>
      <c r="L1374" s="253"/>
    </row>
    <row r="1375" spans="3:12" s="244" customFormat="1" x14ac:dyDescent="0.25">
      <c r="C1375" s="255"/>
      <c r="D1375" s="255"/>
      <c r="E1375" s="255"/>
      <c r="F1375" s="255"/>
      <c r="G1375" s="253"/>
      <c r="H1375" s="256"/>
      <c r="I1375" s="255"/>
      <c r="J1375" s="255"/>
      <c r="K1375" s="254"/>
      <c r="L1375" s="253"/>
    </row>
    <row r="1376" spans="3:12" s="244" customFormat="1" x14ac:dyDescent="0.25">
      <c r="C1376" s="255"/>
      <c r="D1376" s="255"/>
      <c r="E1376" s="255"/>
      <c r="F1376" s="255"/>
      <c r="G1376" s="253"/>
      <c r="H1376" s="256"/>
      <c r="I1376" s="255"/>
      <c r="J1376" s="255"/>
      <c r="K1376" s="254"/>
      <c r="L1376" s="253"/>
    </row>
    <row r="1377" spans="3:12" s="244" customFormat="1" x14ac:dyDescent="0.25">
      <c r="C1377" s="255"/>
      <c r="D1377" s="255"/>
      <c r="E1377" s="255"/>
      <c r="F1377" s="255"/>
      <c r="G1377" s="253"/>
      <c r="H1377" s="256"/>
      <c r="I1377" s="255"/>
      <c r="J1377" s="255"/>
      <c r="K1377" s="254"/>
      <c r="L1377" s="253"/>
    </row>
    <row r="1378" spans="3:12" s="244" customFormat="1" x14ac:dyDescent="0.25">
      <c r="C1378" s="255"/>
      <c r="D1378" s="255"/>
      <c r="E1378" s="255"/>
      <c r="F1378" s="255"/>
      <c r="G1378" s="253"/>
      <c r="H1378" s="256"/>
      <c r="I1378" s="255"/>
      <c r="J1378" s="255"/>
      <c r="K1378" s="254"/>
      <c r="L1378" s="253"/>
    </row>
    <row r="1379" spans="3:12" s="244" customFormat="1" x14ac:dyDescent="0.25">
      <c r="C1379" s="255"/>
      <c r="D1379" s="255"/>
      <c r="E1379" s="255"/>
      <c r="F1379" s="255"/>
      <c r="G1379" s="253"/>
      <c r="H1379" s="256"/>
      <c r="I1379" s="255"/>
      <c r="J1379" s="255"/>
      <c r="K1379" s="254"/>
      <c r="L1379" s="253"/>
    </row>
    <row r="1380" spans="3:12" s="244" customFormat="1" x14ac:dyDescent="0.25">
      <c r="C1380" s="255"/>
      <c r="D1380" s="255"/>
      <c r="E1380" s="255"/>
      <c r="F1380" s="255"/>
      <c r="G1380" s="253"/>
      <c r="H1380" s="256"/>
      <c r="I1380" s="255"/>
      <c r="J1380" s="255"/>
      <c r="K1380" s="254"/>
      <c r="L1380" s="253"/>
    </row>
    <row r="1381" spans="3:12" s="244" customFormat="1" x14ac:dyDescent="0.25">
      <c r="C1381" s="255"/>
      <c r="D1381" s="255"/>
      <c r="E1381" s="255"/>
      <c r="F1381" s="255"/>
      <c r="G1381" s="253"/>
      <c r="H1381" s="256"/>
      <c r="I1381" s="255"/>
      <c r="J1381" s="255"/>
      <c r="K1381" s="254"/>
      <c r="L1381" s="253"/>
    </row>
    <row r="1382" spans="3:12" s="244" customFormat="1" x14ac:dyDescent="0.25">
      <c r="C1382" s="255"/>
      <c r="D1382" s="255"/>
      <c r="E1382" s="255"/>
      <c r="F1382" s="255"/>
      <c r="G1382" s="253"/>
      <c r="H1382" s="256"/>
      <c r="I1382" s="255"/>
      <c r="J1382" s="255"/>
      <c r="K1382" s="254"/>
      <c r="L1382" s="253"/>
    </row>
    <row r="1383" spans="3:12" s="244" customFormat="1" x14ac:dyDescent="0.25">
      <c r="C1383" s="255"/>
      <c r="D1383" s="255"/>
      <c r="E1383" s="255"/>
      <c r="F1383" s="255"/>
      <c r="G1383" s="253"/>
      <c r="H1383" s="256"/>
      <c r="I1383" s="255"/>
      <c r="J1383" s="255"/>
      <c r="K1383" s="254"/>
      <c r="L1383" s="253"/>
    </row>
    <row r="1384" spans="3:12" s="244" customFormat="1" x14ac:dyDescent="0.25">
      <c r="C1384" s="255"/>
      <c r="D1384" s="255"/>
      <c r="E1384" s="255"/>
      <c r="F1384" s="255"/>
      <c r="G1384" s="253"/>
      <c r="H1384" s="256"/>
      <c r="I1384" s="255"/>
      <c r="J1384" s="255"/>
      <c r="K1384" s="254"/>
      <c r="L1384" s="253"/>
    </row>
    <row r="1385" spans="3:12" s="244" customFormat="1" x14ac:dyDescent="0.25">
      <c r="C1385" s="255"/>
      <c r="D1385" s="255"/>
      <c r="E1385" s="255"/>
      <c r="F1385" s="255"/>
      <c r="G1385" s="253"/>
      <c r="H1385" s="256"/>
      <c r="I1385" s="255"/>
      <c r="J1385" s="255"/>
      <c r="K1385" s="254"/>
      <c r="L1385" s="253"/>
    </row>
    <row r="1386" spans="3:12" s="244" customFormat="1" x14ac:dyDescent="0.25">
      <c r="C1386" s="255"/>
      <c r="D1386" s="255"/>
      <c r="E1386" s="255"/>
      <c r="F1386" s="255"/>
      <c r="G1386" s="253"/>
      <c r="H1386" s="256"/>
      <c r="I1386" s="255"/>
      <c r="J1386" s="255"/>
      <c r="K1386" s="254"/>
      <c r="L1386" s="253"/>
    </row>
    <row r="1387" spans="3:12" s="244" customFormat="1" x14ac:dyDescent="0.25">
      <c r="C1387" s="255"/>
      <c r="D1387" s="255"/>
      <c r="E1387" s="255"/>
      <c r="F1387" s="255"/>
      <c r="G1387" s="253"/>
      <c r="H1387" s="256"/>
      <c r="I1387" s="255"/>
      <c r="J1387" s="255"/>
      <c r="K1387" s="254"/>
      <c r="L1387" s="253"/>
    </row>
    <row r="1388" spans="3:12" s="244" customFormat="1" x14ac:dyDescent="0.25">
      <c r="C1388" s="255"/>
      <c r="D1388" s="255"/>
      <c r="E1388" s="255"/>
      <c r="F1388" s="255"/>
      <c r="G1388" s="253"/>
      <c r="H1388" s="256"/>
      <c r="I1388" s="255"/>
      <c r="J1388" s="255"/>
      <c r="K1388" s="254"/>
      <c r="L1388" s="253"/>
    </row>
    <row r="1389" spans="3:12" s="244" customFormat="1" x14ac:dyDescent="0.25">
      <c r="C1389" s="255"/>
      <c r="D1389" s="255"/>
      <c r="E1389" s="255"/>
      <c r="F1389" s="255"/>
      <c r="G1389" s="253"/>
      <c r="H1389" s="256"/>
      <c r="I1389" s="255"/>
      <c r="J1389" s="255"/>
      <c r="K1389" s="254"/>
      <c r="L1389" s="253"/>
    </row>
    <row r="1390" spans="3:12" s="244" customFormat="1" x14ac:dyDescent="0.25">
      <c r="C1390" s="255"/>
      <c r="D1390" s="255"/>
      <c r="E1390" s="255"/>
      <c r="F1390" s="255"/>
      <c r="G1390" s="253"/>
      <c r="H1390" s="256"/>
      <c r="I1390" s="255"/>
      <c r="J1390" s="255"/>
      <c r="K1390" s="254"/>
      <c r="L1390" s="253"/>
    </row>
    <row r="1391" spans="3:12" s="244" customFormat="1" x14ac:dyDescent="0.25">
      <c r="C1391" s="255"/>
      <c r="D1391" s="255"/>
      <c r="E1391" s="255"/>
      <c r="F1391" s="255"/>
      <c r="G1391" s="253"/>
      <c r="H1391" s="256"/>
      <c r="I1391" s="255"/>
      <c r="J1391" s="255"/>
      <c r="K1391" s="254"/>
      <c r="L1391" s="253"/>
    </row>
    <row r="1392" spans="3:12" s="244" customFormat="1" x14ac:dyDescent="0.25">
      <c r="C1392" s="255"/>
      <c r="D1392" s="255"/>
      <c r="E1392" s="255"/>
      <c r="F1392" s="255"/>
      <c r="G1392" s="253"/>
      <c r="H1392" s="256"/>
      <c r="I1392" s="255"/>
      <c r="J1392" s="255"/>
      <c r="K1392" s="254"/>
      <c r="L1392" s="253"/>
    </row>
    <row r="1393" spans="3:12" s="244" customFormat="1" x14ac:dyDescent="0.25">
      <c r="C1393" s="255"/>
      <c r="D1393" s="255"/>
      <c r="E1393" s="255"/>
      <c r="F1393" s="255"/>
      <c r="G1393" s="253"/>
      <c r="H1393" s="256"/>
      <c r="I1393" s="255"/>
      <c r="J1393" s="255"/>
      <c r="K1393" s="254"/>
      <c r="L1393" s="253"/>
    </row>
    <row r="1394" spans="3:12" s="244" customFormat="1" x14ac:dyDescent="0.25">
      <c r="C1394" s="255"/>
      <c r="D1394" s="255"/>
      <c r="E1394" s="255"/>
      <c r="F1394" s="255"/>
      <c r="G1394" s="253"/>
      <c r="H1394" s="256"/>
      <c r="I1394" s="255"/>
      <c r="J1394" s="255"/>
      <c r="K1394" s="254"/>
      <c r="L1394" s="253"/>
    </row>
    <row r="1395" spans="3:12" s="244" customFormat="1" x14ac:dyDescent="0.25">
      <c r="C1395" s="255"/>
      <c r="D1395" s="255"/>
      <c r="E1395" s="255"/>
      <c r="F1395" s="255"/>
      <c r="G1395" s="253"/>
      <c r="H1395" s="256"/>
      <c r="I1395" s="255"/>
      <c r="J1395" s="255"/>
      <c r="K1395" s="254"/>
      <c r="L1395" s="253"/>
    </row>
    <row r="1396" spans="3:12" s="244" customFormat="1" x14ac:dyDescent="0.25">
      <c r="C1396" s="255"/>
      <c r="D1396" s="255"/>
      <c r="E1396" s="255"/>
      <c r="F1396" s="255"/>
      <c r="G1396" s="253"/>
      <c r="H1396" s="256"/>
      <c r="I1396" s="255"/>
      <c r="J1396" s="255"/>
      <c r="K1396" s="254"/>
      <c r="L1396" s="253"/>
    </row>
    <row r="1397" spans="3:12" s="244" customFormat="1" x14ac:dyDescent="0.25">
      <c r="C1397" s="255"/>
      <c r="D1397" s="255"/>
      <c r="E1397" s="255"/>
      <c r="F1397" s="255"/>
      <c r="G1397" s="253"/>
      <c r="H1397" s="256"/>
      <c r="I1397" s="255"/>
      <c r="J1397" s="255"/>
      <c r="K1397" s="254"/>
      <c r="L1397" s="253"/>
    </row>
    <row r="1398" spans="3:12" s="244" customFormat="1" x14ac:dyDescent="0.25">
      <c r="C1398" s="255"/>
      <c r="D1398" s="255"/>
      <c r="E1398" s="255"/>
      <c r="F1398" s="255"/>
      <c r="G1398" s="253"/>
      <c r="H1398" s="256"/>
      <c r="I1398" s="255"/>
      <c r="J1398" s="255"/>
      <c r="K1398" s="254"/>
      <c r="L1398" s="253"/>
    </row>
    <row r="1399" spans="3:12" s="244" customFormat="1" x14ac:dyDescent="0.25">
      <c r="C1399" s="255"/>
      <c r="D1399" s="255"/>
      <c r="E1399" s="255"/>
      <c r="F1399" s="255"/>
      <c r="G1399" s="253"/>
      <c r="H1399" s="256"/>
      <c r="I1399" s="255"/>
      <c r="J1399" s="255"/>
      <c r="K1399" s="254"/>
      <c r="L1399" s="253"/>
    </row>
    <row r="1400" spans="3:12" s="244" customFormat="1" x14ac:dyDescent="0.25">
      <c r="C1400" s="255"/>
      <c r="D1400" s="255"/>
      <c r="E1400" s="255"/>
      <c r="F1400" s="255"/>
      <c r="G1400" s="253"/>
      <c r="H1400" s="256"/>
      <c r="I1400" s="255"/>
      <c r="J1400" s="255"/>
      <c r="K1400" s="254"/>
      <c r="L1400" s="253"/>
    </row>
    <row r="1401" spans="3:12" s="244" customFormat="1" x14ac:dyDescent="0.25">
      <c r="C1401" s="255"/>
      <c r="D1401" s="255"/>
      <c r="E1401" s="255"/>
      <c r="F1401" s="255"/>
      <c r="G1401" s="253"/>
      <c r="H1401" s="256"/>
      <c r="I1401" s="255"/>
      <c r="J1401" s="255"/>
      <c r="K1401" s="254"/>
      <c r="L1401" s="253"/>
    </row>
    <row r="1402" spans="3:12" s="244" customFormat="1" x14ac:dyDescent="0.25">
      <c r="C1402" s="255"/>
      <c r="D1402" s="255"/>
      <c r="E1402" s="255"/>
      <c r="F1402" s="255"/>
      <c r="G1402" s="253"/>
      <c r="H1402" s="256"/>
      <c r="I1402" s="255"/>
      <c r="J1402" s="255"/>
      <c r="K1402" s="254"/>
      <c r="L1402" s="253"/>
    </row>
    <row r="1403" spans="3:12" s="244" customFormat="1" x14ac:dyDescent="0.25">
      <c r="C1403" s="255"/>
      <c r="D1403" s="255"/>
      <c r="E1403" s="255"/>
      <c r="F1403" s="255"/>
      <c r="G1403" s="253"/>
      <c r="H1403" s="256"/>
      <c r="I1403" s="255"/>
      <c r="J1403" s="255"/>
      <c r="K1403" s="254"/>
      <c r="L1403" s="253"/>
    </row>
    <row r="1404" spans="3:12" s="244" customFormat="1" x14ac:dyDescent="0.25">
      <c r="C1404" s="255"/>
      <c r="D1404" s="255"/>
      <c r="E1404" s="255"/>
      <c r="F1404" s="255"/>
      <c r="G1404" s="253"/>
      <c r="H1404" s="256"/>
      <c r="I1404" s="255"/>
      <c r="J1404" s="255"/>
      <c r="K1404" s="254"/>
      <c r="L1404" s="253"/>
    </row>
    <row r="1405" spans="3:12" s="244" customFormat="1" x14ac:dyDescent="0.25">
      <c r="C1405" s="255"/>
      <c r="D1405" s="255"/>
      <c r="E1405" s="255"/>
      <c r="F1405" s="255"/>
      <c r="G1405" s="253"/>
      <c r="H1405" s="256"/>
      <c r="I1405" s="255"/>
      <c r="J1405" s="255"/>
      <c r="K1405" s="254"/>
      <c r="L1405" s="253"/>
    </row>
    <row r="1406" spans="3:12" s="244" customFormat="1" x14ac:dyDescent="0.25">
      <c r="C1406" s="255"/>
      <c r="D1406" s="255"/>
      <c r="E1406" s="255"/>
      <c r="F1406" s="255"/>
      <c r="G1406" s="253"/>
      <c r="H1406" s="256"/>
      <c r="I1406" s="255"/>
      <c r="J1406" s="255"/>
      <c r="K1406" s="254"/>
      <c r="L1406" s="253"/>
    </row>
    <row r="1407" spans="3:12" s="244" customFormat="1" x14ac:dyDescent="0.25">
      <c r="C1407" s="255"/>
      <c r="D1407" s="255"/>
      <c r="E1407" s="255"/>
      <c r="F1407" s="255"/>
      <c r="G1407" s="253"/>
      <c r="H1407" s="256"/>
      <c r="I1407" s="255"/>
      <c r="J1407" s="255"/>
      <c r="K1407" s="254"/>
      <c r="L1407" s="253"/>
    </row>
    <row r="1408" spans="3:12" s="244" customFormat="1" x14ac:dyDescent="0.25">
      <c r="C1408" s="255"/>
      <c r="D1408" s="255"/>
      <c r="E1408" s="255"/>
      <c r="F1408" s="255"/>
      <c r="G1408" s="253"/>
      <c r="H1408" s="256"/>
      <c r="I1408" s="255"/>
      <c r="J1408" s="255"/>
      <c r="K1408" s="254"/>
      <c r="L1408" s="253"/>
    </row>
    <row r="1409" spans="3:12" s="244" customFormat="1" x14ac:dyDescent="0.25">
      <c r="C1409" s="255"/>
      <c r="D1409" s="255"/>
      <c r="E1409" s="255"/>
      <c r="F1409" s="255"/>
      <c r="G1409" s="253"/>
      <c r="H1409" s="256"/>
      <c r="I1409" s="255"/>
      <c r="J1409" s="255"/>
      <c r="K1409" s="254"/>
      <c r="L1409" s="253"/>
    </row>
    <row r="1410" spans="3:12" s="244" customFormat="1" x14ac:dyDescent="0.25">
      <c r="C1410" s="255"/>
      <c r="D1410" s="255"/>
      <c r="E1410" s="255"/>
      <c r="F1410" s="255"/>
      <c r="G1410" s="253"/>
      <c r="H1410" s="256"/>
      <c r="I1410" s="255"/>
      <c r="J1410" s="255"/>
      <c r="K1410" s="254"/>
      <c r="L1410" s="253"/>
    </row>
    <row r="1411" spans="3:12" s="244" customFormat="1" x14ac:dyDescent="0.25">
      <c r="C1411" s="255"/>
      <c r="D1411" s="255"/>
      <c r="E1411" s="255"/>
      <c r="F1411" s="255"/>
      <c r="G1411" s="253"/>
      <c r="H1411" s="256"/>
      <c r="I1411" s="255"/>
      <c r="J1411" s="255"/>
      <c r="K1411" s="254"/>
      <c r="L1411" s="253"/>
    </row>
    <row r="1412" spans="3:12" s="244" customFormat="1" x14ac:dyDescent="0.25">
      <c r="C1412" s="255"/>
      <c r="D1412" s="255"/>
      <c r="E1412" s="255"/>
      <c r="F1412" s="255"/>
      <c r="G1412" s="253"/>
      <c r="H1412" s="256"/>
      <c r="I1412" s="255"/>
      <c r="J1412" s="255"/>
      <c r="K1412" s="254"/>
      <c r="L1412" s="253"/>
    </row>
    <row r="1413" spans="3:12" s="244" customFormat="1" x14ac:dyDescent="0.25">
      <c r="C1413" s="255"/>
      <c r="D1413" s="255"/>
      <c r="E1413" s="255"/>
      <c r="F1413" s="255"/>
      <c r="G1413" s="253"/>
      <c r="H1413" s="256"/>
      <c r="I1413" s="255"/>
      <c r="J1413" s="255"/>
      <c r="K1413" s="254"/>
      <c r="L1413" s="253"/>
    </row>
    <row r="1414" spans="3:12" s="244" customFormat="1" x14ac:dyDescent="0.25">
      <c r="C1414" s="255"/>
      <c r="D1414" s="255"/>
      <c r="E1414" s="255"/>
      <c r="F1414" s="255"/>
      <c r="G1414" s="253"/>
      <c r="H1414" s="256"/>
      <c r="I1414" s="255"/>
      <c r="J1414" s="255"/>
      <c r="K1414" s="254"/>
      <c r="L1414" s="253"/>
    </row>
    <row r="1415" spans="3:12" s="244" customFormat="1" x14ac:dyDescent="0.25">
      <c r="C1415" s="255"/>
      <c r="D1415" s="255"/>
      <c r="E1415" s="255"/>
      <c r="F1415" s="255"/>
      <c r="G1415" s="253"/>
      <c r="H1415" s="256"/>
      <c r="I1415" s="255"/>
      <c r="J1415" s="255"/>
      <c r="K1415" s="254"/>
      <c r="L1415" s="253"/>
    </row>
    <row r="1416" spans="3:12" s="244" customFormat="1" x14ac:dyDescent="0.25">
      <c r="C1416" s="255"/>
      <c r="D1416" s="255"/>
      <c r="E1416" s="255"/>
      <c r="F1416" s="255"/>
      <c r="G1416" s="253"/>
      <c r="H1416" s="256"/>
      <c r="I1416" s="255"/>
      <c r="J1416" s="255"/>
      <c r="K1416" s="254"/>
      <c r="L1416" s="253"/>
    </row>
    <row r="1417" spans="3:12" s="244" customFormat="1" x14ac:dyDescent="0.25">
      <c r="C1417" s="255"/>
      <c r="D1417" s="255"/>
      <c r="E1417" s="255"/>
      <c r="F1417" s="255"/>
      <c r="G1417" s="253"/>
      <c r="H1417" s="256"/>
      <c r="I1417" s="255"/>
      <c r="J1417" s="255"/>
      <c r="K1417" s="254"/>
      <c r="L1417" s="253"/>
    </row>
    <row r="1418" spans="3:12" s="244" customFormat="1" x14ac:dyDescent="0.25">
      <c r="C1418" s="255"/>
      <c r="D1418" s="255"/>
      <c r="E1418" s="255"/>
      <c r="F1418" s="255"/>
      <c r="G1418" s="253"/>
      <c r="H1418" s="256"/>
      <c r="I1418" s="255"/>
      <c r="J1418" s="255"/>
      <c r="K1418" s="254"/>
      <c r="L1418" s="253"/>
    </row>
    <row r="1419" spans="3:12" s="244" customFormat="1" x14ac:dyDescent="0.25">
      <c r="C1419" s="255"/>
      <c r="D1419" s="255"/>
      <c r="E1419" s="255"/>
      <c r="F1419" s="255"/>
      <c r="G1419" s="253"/>
      <c r="H1419" s="256"/>
      <c r="I1419" s="255"/>
      <c r="J1419" s="255"/>
      <c r="K1419" s="254"/>
      <c r="L1419" s="253"/>
    </row>
    <row r="1420" spans="3:12" s="244" customFormat="1" x14ac:dyDescent="0.25">
      <c r="C1420" s="255"/>
      <c r="D1420" s="255"/>
      <c r="E1420" s="255"/>
      <c r="F1420" s="255"/>
      <c r="G1420" s="253"/>
      <c r="H1420" s="256"/>
      <c r="I1420" s="255"/>
      <c r="J1420" s="255"/>
      <c r="K1420" s="254"/>
      <c r="L1420" s="253"/>
    </row>
    <row r="1421" spans="3:12" s="244" customFormat="1" x14ac:dyDescent="0.25">
      <c r="C1421" s="255"/>
      <c r="D1421" s="255"/>
      <c r="E1421" s="255"/>
      <c r="F1421" s="255"/>
      <c r="G1421" s="253"/>
      <c r="H1421" s="256"/>
      <c r="I1421" s="255"/>
      <c r="J1421" s="255"/>
      <c r="K1421" s="254"/>
      <c r="L1421" s="253"/>
    </row>
    <row r="1422" spans="3:12" s="244" customFormat="1" x14ac:dyDescent="0.25">
      <c r="C1422" s="255"/>
      <c r="D1422" s="255"/>
      <c r="E1422" s="255"/>
      <c r="F1422" s="255"/>
      <c r="G1422" s="253"/>
      <c r="H1422" s="256"/>
      <c r="I1422" s="255"/>
      <c r="J1422" s="255"/>
      <c r="K1422" s="254"/>
      <c r="L1422" s="253"/>
    </row>
    <row r="1423" spans="3:12" s="244" customFormat="1" x14ac:dyDescent="0.25">
      <c r="C1423" s="255"/>
      <c r="D1423" s="255"/>
      <c r="E1423" s="255"/>
      <c r="F1423" s="255"/>
      <c r="G1423" s="253"/>
      <c r="H1423" s="256"/>
      <c r="I1423" s="255"/>
      <c r="J1423" s="255"/>
      <c r="K1423" s="254"/>
      <c r="L1423" s="253"/>
    </row>
    <row r="1424" spans="3:12" s="244" customFormat="1" x14ac:dyDescent="0.25">
      <c r="C1424" s="255"/>
      <c r="D1424" s="255"/>
      <c r="E1424" s="255"/>
      <c r="F1424" s="255"/>
      <c r="G1424" s="253"/>
      <c r="H1424" s="256"/>
      <c r="I1424" s="255"/>
      <c r="J1424" s="255"/>
      <c r="K1424" s="254"/>
      <c r="L1424" s="253"/>
    </row>
    <row r="1425" spans="3:12" s="244" customFormat="1" x14ac:dyDescent="0.25">
      <c r="C1425" s="255"/>
      <c r="D1425" s="255"/>
      <c r="E1425" s="255"/>
      <c r="F1425" s="255"/>
      <c r="G1425" s="253"/>
      <c r="H1425" s="256"/>
      <c r="I1425" s="255"/>
      <c r="J1425" s="255"/>
      <c r="K1425" s="254"/>
      <c r="L1425" s="253"/>
    </row>
    <row r="1426" spans="3:12" s="244" customFormat="1" x14ac:dyDescent="0.25">
      <c r="C1426" s="255"/>
      <c r="D1426" s="255"/>
      <c r="E1426" s="255"/>
      <c r="F1426" s="255"/>
      <c r="G1426" s="253"/>
      <c r="H1426" s="256"/>
      <c r="I1426" s="255"/>
      <c r="J1426" s="255"/>
      <c r="K1426" s="254"/>
      <c r="L1426" s="253"/>
    </row>
    <row r="1427" spans="3:12" s="244" customFormat="1" x14ac:dyDescent="0.25">
      <c r="C1427" s="255"/>
      <c r="D1427" s="255"/>
      <c r="E1427" s="255"/>
      <c r="F1427" s="255"/>
      <c r="G1427" s="253"/>
      <c r="H1427" s="256"/>
      <c r="I1427" s="255"/>
      <c r="J1427" s="255"/>
      <c r="K1427" s="254"/>
      <c r="L1427" s="253"/>
    </row>
    <row r="1428" spans="3:12" s="244" customFormat="1" x14ac:dyDescent="0.25">
      <c r="C1428" s="255"/>
      <c r="D1428" s="255"/>
      <c r="E1428" s="255"/>
      <c r="F1428" s="255"/>
      <c r="G1428" s="253"/>
      <c r="H1428" s="256"/>
      <c r="I1428" s="255"/>
      <c r="J1428" s="255"/>
      <c r="K1428" s="254"/>
      <c r="L1428" s="253"/>
    </row>
    <row r="1429" spans="3:12" s="244" customFormat="1" x14ac:dyDescent="0.25">
      <c r="C1429" s="255"/>
      <c r="D1429" s="255"/>
      <c r="E1429" s="255"/>
      <c r="F1429" s="255"/>
      <c r="G1429" s="253"/>
      <c r="H1429" s="256"/>
      <c r="I1429" s="255"/>
      <c r="J1429" s="255"/>
      <c r="K1429" s="254"/>
      <c r="L1429" s="253"/>
    </row>
    <row r="1430" spans="3:12" s="244" customFormat="1" x14ac:dyDescent="0.25">
      <c r="C1430" s="255"/>
      <c r="D1430" s="255"/>
      <c r="E1430" s="255"/>
      <c r="F1430" s="255"/>
      <c r="G1430" s="253"/>
      <c r="H1430" s="256"/>
      <c r="I1430" s="255"/>
      <c r="J1430" s="255"/>
      <c r="K1430" s="254"/>
      <c r="L1430" s="253"/>
    </row>
    <row r="1431" spans="3:12" s="244" customFormat="1" x14ac:dyDescent="0.25">
      <c r="C1431" s="255"/>
      <c r="D1431" s="255"/>
      <c r="E1431" s="255"/>
      <c r="F1431" s="255"/>
      <c r="G1431" s="253"/>
      <c r="H1431" s="256"/>
      <c r="I1431" s="255"/>
      <c r="J1431" s="255"/>
      <c r="K1431" s="254"/>
      <c r="L1431" s="253"/>
    </row>
    <row r="1432" spans="3:12" s="244" customFormat="1" x14ac:dyDescent="0.25">
      <c r="C1432" s="255"/>
      <c r="D1432" s="255"/>
      <c r="E1432" s="255"/>
      <c r="F1432" s="255"/>
      <c r="G1432" s="253"/>
      <c r="H1432" s="256"/>
      <c r="I1432" s="255"/>
      <c r="J1432" s="255"/>
      <c r="K1432" s="254"/>
      <c r="L1432" s="253"/>
    </row>
    <row r="1433" spans="3:12" s="244" customFormat="1" x14ac:dyDescent="0.25">
      <c r="C1433" s="255"/>
      <c r="D1433" s="255"/>
      <c r="E1433" s="255"/>
      <c r="F1433" s="255"/>
      <c r="G1433" s="253"/>
      <c r="H1433" s="256"/>
      <c r="I1433" s="255"/>
      <c r="J1433" s="255"/>
      <c r="K1433" s="254"/>
      <c r="L1433" s="253"/>
    </row>
    <row r="1434" spans="3:12" s="244" customFormat="1" x14ac:dyDescent="0.25">
      <c r="C1434" s="255"/>
      <c r="D1434" s="255"/>
      <c r="E1434" s="255"/>
      <c r="F1434" s="255"/>
      <c r="G1434" s="253"/>
      <c r="H1434" s="256"/>
      <c r="I1434" s="255"/>
      <c r="J1434" s="255"/>
      <c r="K1434" s="254"/>
      <c r="L1434" s="253"/>
    </row>
    <row r="1435" spans="3:12" s="244" customFormat="1" x14ac:dyDescent="0.25">
      <c r="C1435" s="255"/>
      <c r="D1435" s="255"/>
      <c r="E1435" s="255"/>
      <c r="F1435" s="255"/>
      <c r="G1435" s="253"/>
      <c r="H1435" s="256"/>
      <c r="I1435" s="255"/>
      <c r="J1435" s="255"/>
      <c r="K1435" s="254"/>
      <c r="L1435" s="253"/>
    </row>
    <row r="1436" spans="3:12" s="244" customFormat="1" x14ac:dyDescent="0.25">
      <c r="C1436" s="255"/>
      <c r="D1436" s="255"/>
      <c r="E1436" s="255"/>
      <c r="F1436" s="255"/>
      <c r="G1436" s="253"/>
      <c r="H1436" s="256"/>
      <c r="I1436" s="255"/>
      <c r="J1436" s="255"/>
      <c r="K1436" s="254"/>
      <c r="L1436" s="253"/>
    </row>
    <row r="1437" spans="3:12" s="244" customFormat="1" x14ac:dyDescent="0.25">
      <c r="C1437" s="255"/>
      <c r="D1437" s="255"/>
      <c r="E1437" s="255"/>
      <c r="F1437" s="255"/>
      <c r="G1437" s="253"/>
      <c r="H1437" s="256"/>
      <c r="I1437" s="255"/>
      <c r="J1437" s="255"/>
      <c r="K1437" s="254"/>
      <c r="L1437" s="253"/>
    </row>
    <row r="1438" spans="3:12" s="244" customFormat="1" x14ac:dyDescent="0.25">
      <c r="C1438" s="255"/>
      <c r="D1438" s="255"/>
      <c r="E1438" s="255"/>
      <c r="F1438" s="255"/>
      <c r="G1438" s="253"/>
      <c r="H1438" s="256"/>
      <c r="I1438" s="255"/>
      <c r="J1438" s="255"/>
      <c r="K1438" s="254"/>
      <c r="L1438" s="253"/>
    </row>
    <row r="1439" spans="3:12" s="244" customFormat="1" x14ac:dyDescent="0.25">
      <c r="C1439" s="255"/>
      <c r="D1439" s="255"/>
      <c r="E1439" s="255"/>
      <c r="F1439" s="255"/>
      <c r="G1439" s="253"/>
      <c r="H1439" s="256"/>
      <c r="I1439" s="255"/>
      <c r="J1439" s="255"/>
      <c r="K1439" s="254"/>
      <c r="L1439" s="253"/>
    </row>
    <row r="1440" spans="3:12" s="244" customFormat="1" x14ac:dyDescent="0.25">
      <c r="C1440" s="255"/>
      <c r="D1440" s="255"/>
      <c r="E1440" s="255"/>
      <c r="F1440" s="255"/>
      <c r="G1440" s="253"/>
      <c r="H1440" s="256"/>
      <c r="I1440" s="255"/>
      <c r="J1440" s="255"/>
      <c r="K1440" s="254"/>
      <c r="L1440" s="253"/>
    </row>
    <row r="1441" spans="3:12" s="244" customFormat="1" x14ac:dyDescent="0.25">
      <c r="C1441" s="255"/>
      <c r="D1441" s="255"/>
      <c r="E1441" s="255"/>
      <c r="F1441" s="255"/>
      <c r="G1441" s="253"/>
      <c r="H1441" s="256"/>
      <c r="I1441" s="255"/>
      <c r="J1441" s="255"/>
      <c r="K1441" s="254"/>
      <c r="L1441" s="253"/>
    </row>
    <row r="1442" spans="3:12" s="244" customFormat="1" x14ac:dyDescent="0.25">
      <c r="C1442" s="255"/>
      <c r="D1442" s="255"/>
      <c r="E1442" s="255"/>
      <c r="F1442" s="255"/>
      <c r="G1442" s="253"/>
      <c r="H1442" s="256"/>
      <c r="I1442" s="255"/>
      <c r="J1442" s="255"/>
      <c r="K1442" s="254"/>
      <c r="L1442" s="253"/>
    </row>
    <row r="1443" spans="3:12" s="244" customFormat="1" x14ac:dyDescent="0.25">
      <c r="C1443" s="255"/>
      <c r="D1443" s="255"/>
      <c r="E1443" s="255"/>
      <c r="F1443" s="255"/>
      <c r="G1443" s="253"/>
      <c r="H1443" s="256"/>
      <c r="I1443" s="255"/>
      <c r="J1443" s="255"/>
      <c r="K1443" s="254"/>
      <c r="L1443" s="253"/>
    </row>
    <row r="1444" spans="3:12" s="244" customFormat="1" x14ac:dyDescent="0.25">
      <c r="C1444" s="255"/>
      <c r="D1444" s="255"/>
      <c r="E1444" s="255"/>
      <c r="F1444" s="255"/>
      <c r="G1444" s="253"/>
      <c r="H1444" s="256"/>
      <c r="I1444" s="255"/>
      <c r="J1444" s="255"/>
      <c r="K1444" s="254"/>
      <c r="L1444" s="253"/>
    </row>
    <row r="1445" spans="3:12" s="244" customFormat="1" x14ac:dyDescent="0.25">
      <c r="C1445" s="255"/>
      <c r="D1445" s="255"/>
      <c r="E1445" s="255"/>
      <c r="F1445" s="255"/>
      <c r="G1445" s="253"/>
      <c r="H1445" s="256"/>
      <c r="I1445" s="255"/>
      <c r="J1445" s="255"/>
      <c r="K1445" s="254"/>
      <c r="L1445" s="253"/>
    </row>
    <row r="1446" spans="3:12" s="244" customFormat="1" x14ac:dyDescent="0.25">
      <c r="C1446" s="255"/>
      <c r="D1446" s="255"/>
      <c r="E1446" s="255"/>
      <c r="F1446" s="255"/>
      <c r="G1446" s="253"/>
      <c r="H1446" s="256"/>
      <c r="I1446" s="255"/>
      <c r="J1446" s="255"/>
      <c r="K1446" s="254"/>
      <c r="L1446" s="253"/>
    </row>
    <row r="1447" spans="3:12" s="244" customFormat="1" x14ac:dyDescent="0.25">
      <c r="C1447" s="255"/>
      <c r="D1447" s="255"/>
      <c r="E1447" s="255"/>
      <c r="F1447" s="255"/>
      <c r="G1447" s="253"/>
      <c r="H1447" s="256"/>
      <c r="I1447" s="255"/>
      <c r="J1447" s="255"/>
      <c r="K1447" s="254"/>
      <c r="L1447" s="253"/>
    </row>
    <row r="1448" spans="3:12" s="244" customFormat="1" x14ac:dyDescent="0.25">
      <c r="C1448" s="255"/>
      <c r="D1448" s="255"/>
      <c r="E1448" s="255"/>
      <c r="F1448" s="255"/>
      <c r="G1448" s="253"/>
      <c r="H1448" s="256"/>
      <c r="I1448" s="255"/>
      <c r="J1448" s="255"/>
      <c r="K1448" s="254"/>
      <c r="L1448" s="253"/>
    </row>
    <row r="1449" spans="3:12" s="244" customFormat="1" x14ac:dyDescent="0.25">
      <c r="C1449" s="255"/>
      <c r="D1449" s="255"/>
      <c r="E1449" s="255"/>
      <c r="F1449" s="255"/>
      <c r="G1449" s="253"/>
      <c r="H1449" s="256"/>
      <c r="I1449" s="255"/>
      <c r="J1449" s="255"/>
      <c r="K1449" s="254"/>
      <c r="L1449" s="253"/>
    </row>
    <row r="1450" spans="3:12" s="244" customFormat="1" x14ac:dyDescent="0.25">
      <c r="C1450" s="255"/>
      <c r="D1450" s="255"/>
      <c r="E1450" s="255"/>
      <c r="F1450" s="255"/>
      <c r="G1450" s="253"/>
      <c r="H1450" s="256"/>
      <c r="I1450" s="255"/>
      <c r="J1450" s="255"/>
      <c r="K1450" s="254"/>
      <c r="L1450" s="253"/>
    </row>
    <row r="1451" spans="3:12" s="244" customFormat="1" x14ac:dyDescent="0.25">
      <c r="C1451" s="255"/>
      <c r="D1451" s="255"/>
      <c r="E1451" s="255"/>
      <c r="F1451" s="255"/>
      <c r="G1451" s="253"/>
      <c r="H1451" s="256"/>
      <c r="I1451" s="255"/>
      <c r="J1451" s="255"/>
      <c r="K1451" s="254"/>
      <c r="L1451" s="253"/>
    </row>
    <row r="1452" spans="3:12" s="244" customFormat="1" x14ac:dyDescent="0.25">
      <c r="C1452" s="255"/>
      <c r="D1452" s="255"/>
      <c r="E1452" s="255"/>
      <c r="F1452" s="255"/>
      <c r="G1452" s="253"/>
      <c r="H1452" s="256"/>
      <c r="I1452" s="255"/>
      <c r="J1452" s="255"/>
      <c r="K1452" s="254"/>
      <c r="L1452" s="253"/>
    </row>
    <row r="1453" spans="3:12" s="244" customFormat="1" x14ac:dyDescent="0.25">
      <c r="C1453" s="255"/>
      <c r="D1453" s="255"/>
      <c r="E1453" s="255"/>
      <c r="F1453" s="255"/>
      <c r="G1453" s="253"/>
      <c r="H1453" s="256"/>
      <c r="I1453" s="255"/>
      <c r="J1453" s="255"/>
      <c r="K1453" s="254"/>
      <c r="L1453" s="253"/>
    </row>
    <row r="1454" spans="3:12" s="244" customFormat="1" x14ac:dyDescent="0.25">
      <c r="C1454" s="255"/>
      <c r="D1454" s="255"/>
      <c r="E1454" s="255"/>
      <c r="F1454" s="255"/>
      <c r="G1454" s="253"/>
      <c r="H1454" s="256"/>
      <c r="I1454" s="255"/>
      <c r="J1454" s="255"/>
      <c r="K1454" s="254"/>
      <c r="L1454" s="253"/>
    </row>
    <row r="1455" spans="3:12" s="244" customFormat="1" x14ac:dyDescent="0.25">
      <c r="C1455" s="255"/>
      <c r="D1455" s="255"/>
      <c r="E1455" s="255"/>
      <c r="F1455" s="255"/>
      <c r="G1455" s="253"/>
      <c r="H1455" s="256"/>
      <c r="I1455" s="255"/>
      <c r="J1455" s="255"/>
      <c r="K1455" s="254"/>
      <c r="L1455" s="253"/>
    </row>
    <row r="1456" spans="3:12" s="244" customFormat="1" x14ac:dyDescent="0.25">
      <c r="C1456" s="255"/>
      <c r="D1456" s="255"/>
      <c r="E1456" s="255"/>
      <c r="F1456" s="255"/>
      <c r="G1456" s="253"/>
      <c r="H1456" s="256"/>
      <c r="I1456" s="255"/>
      <c r="J1456" s="255"/>
      <c r="K1456" s="254"/>
      <c r="L1456" s="253"/>
    </row>
    <row r="1457" spans="3:12" s="244" customFormat="1" x14ac:dyDescent="0.25">
      <c r="C1457" s="255"/>
      <c r="D1457" s="255"/>
      <c r="E1457" s="255"/>
      <c r="F1457" s="255"/>
      <c r="G1457" s="253"/>
      <c r="H1457" s="256"/>
      <c r="I1457" s="255"/>
      <c r="J1457" s="255"/>
      <c r="K1457" s="254"/>
      <c r="L1457" s="253"/>
    </row>
    <row r="1458" spans="3:12" s="244" customFormat="1" x14ac:dyDescent="0.25">
      <c r="C1458" s="255"/>
      <c r="D1458" s="255"/>
      <c r="E1458" s="255"/>
      <c r="F1458" s="255"/>
      <c r="G1458" s="253"/>
      <c r="H1458" s="256"/>
      <c r="I1458" s="255"/>
      <c r="J1458" s="255"/>
      <c r="K1458" s="254"/>
      <c r="L1458" s="253"/>
    </row>
    <row r="1459" spans="3:12" s="244" customFormat="1" x14ac:dyDescent="0.25">
      <c r="C1459" s="255"/>
      <c r="D1459" s="255"/>
      <c r="E1459" s="255"/>
      <c r="F1459" s="255"/>
      <c r="G1459" s="253"/>
      <c r="H1459" s="256"/>
      <c r="I1459" s="255"/>
      <c r="J1459" s="255"/>
      <c r="K1459" s="254"/>
      <c r="L1459" s="253"/>
    </row>
    <row r="1460" spans="3:12" s="244" customFormat="1" x14ac:dyDescent="0.25">
      <c r="C1460" s="255"/>
      <c r="D1460" s="255"/>
      <c r="E1460" s="255"/>
      <c r="F1460" s="255"/>
      <c r="G1460" s="253"/>
      <c r="H1460" s="256"/>
      <c r="I1460" s="255"/>
      <c r="J1460" s="255"/>
      <c r="K1460" s="254"/>
      <c r="L1460" s="253"/>
    </row>
    <row r="1461" spans="3:12" s="244" customFormat="1" x14ac:dyDescent="0.25">
      <c r="C1461" s="255"/>
      <c r="D1461" s="255"/>
      <c r="E1461" s="255"/>
      <c r="F1461" s="255"/>
      <c r="G1461" s="253"/>
      <c r="H1461" s="256"/>
      <c r="I1461" s="255"/>
      <c r="J1461" s="255"/>
      <c r="K1461" s="254"/>
      <c r="L1461" s="253"/>
    </row>
    <row r="1462" spans="3:12" s="244" customFormat="1" x14ac:dyDescent="0.25">
      <c r="C1462" s="255"/>
      <c r="D1462" s="255"/>
      <c r="E1462" s="255"/>
      <c r="F1462" s="255"/>
      <c r="G1462" s="253"/>
      <c r="H1462" s="256"/>
      <c r="I1462" s="255"/>
      <c r="J1462" s="255"/>
      <c r="K1462" s="254"/>
      <c r="L1462" s="253"/>
    </row>
    <row r="1463" spans="3:12" s="244" customFormat="1" x14ac:dyDescent="0.25">
      <c r="C1463" s="255"/>
      <c r="D1463" s="255"/>
      <c r="E1463" s="255"/>
      <c r="F1463" s="255"/>
      <c r="G1463" s="253"/>
      <c r="H1463" s="256"/>
      <c r="I1463" s="255"/>
      <c r="J1463" s="255"/>
      <c r="K1463" s="254"/>
      <c r="L1463" s="253"/>
    </row>
    <row r="1464" spans="3:12" s="244" customFormat="1" x14ac:dyDescent="0.25">
      <c r="C1464" s="255"/>
      <c r="D1464" s="255"/>
      <c r="E1464" s="255"/>
      <c r="F1464" s="255"/>
      <c r="G1464" s="253"/>
      <c r="H1464" s="256"/>
      <c r="I1464" s="255"/>
      <c r="J1464" s="255"/>
      <c r="K1464" s="254"/>
      <c r="L1464" s="253"/>
    </row>
    <row r="1465" spans="3:12" s="244" customFormat="1" x14ac:dyDescent="0.25">
      <c r="C1465" s="255"/>
      <c r="D1465" s="255"/>
      <c r="E1465" s="255"/>
      <c r="F1465" s="255"/>
      <c r="G1465" s="253"/>
      <c r="H1465" s="256"/>
      <c r="I1465" s="255"/>
      <c r="J1465" s="255"/>
      <c r="K1465" s="254"/>
      <c r="L1465" s="253"/>
    </row>
    <row r="1466" spans="3:12" s="244" customFormat="1" x14ac:dyDescent="0.25">
      <c r="C1466" s="255"/>
      <c r="D1466" s="255"/>
      <c r="E1466" s="255"/>
      <c r="F1466" s="255"/>
      <c r="G1466" s="253"/>
      <c r="H1466" s="256"/>
      <c r="I1466" s="255"/>
      <c r="J1466" s="255"/>
      <c r="K1466" s="254"/>
      <c r="L1466" s="253"/>
    </row>
    <row r="1467" spans="3:12" s="244" customFormat="1" x14ac:dyDescent="0.25">
      <c r="C1467" s="255"/>
      <c r="D1467" s="255"/>
      <c r="E1467" s="255"/>
      <c r="F1467" s="255"/>
      <c r="G1467" s="253"/>
      <c r="H1467" s="256"/>
      <c r="I1467" s="255"/>
      <c r="J1467" s="255"/>
      <c r="K1467" s="254"/>
      <c r="L1467" s="253"/>
    </row>
    <row r="1468" spans="3:12" s="244" customFormat="1" x14ac:dyDescent="0.25">
      <c r="C1468" s="255"/>
      <c r="D1468" s="255"/>
      <c r="E1468" s="255"/>
      <c r="F1468" s="255"/>
      <c r="G1468" s="253"/>
      <c r="H1468" s="256"/>
      <c r="I1468" s="255"/>
      <c r="J1468" s="255"/>
      <c r="K1468" s="254"/>
      <c r="L1468" s="253"/>
    </row>
    <row r="1469" spans="3:12" s="244" customFormat="1" x14ac:dyDescent="0.25">
      <c r="C1469" s="255"/>
      <c r="D1469" s="255"/>
      <c r="E1469" s="255"/>
      <c r="F1469" s="255"/>
      <c r="G1469" s="253"/>
      <c r="H1469" s="256"/>
      <c r="I1469" s="255"/>
      <c r="J1469" s="255"/>
      <c r="K1469" s="254"/>
      <c r="L1469" s="253"/>
    </row>
    <row r="1470" spans="3:12" s="244" customFormat="1" x14ac:dyDescent="0.25">
      <c r="C1470" s="255"/>
      <c r="D1470" s="255"/>
      <c r="E1470" s="255"/>
      <c r="F1470" s="255"/>
      <c r="G1470" s="253"/>
      <c r="H1470" s="256"/>
      <c r="I1470" s="255"/>
      <c r="J1470" s="255"/>
      <c r="K1470" s="254"/>
      <c r="L1470" s="253"/>
    </row>
    <row r="1471" spans="3:12" s="244" customFormat="1" x14ac:dyDescent="0.25">
      <c r="C1471" s="255"/>
      <c r="D1471" s="255"/>
      <c r="E1471" s="255"/>
      <c r="F1471" s="255"/>
      <c r="G1471" s="253"/>
      <c r="H1471" s="256"/>
      <c r="I1471" s="255"/>
      <c r="J1471" s="255"/>
      <c r="K1471" s="254"/>
      <c r="L1471" s="253"/>
    </row>
    <row r="1472" spans="3:12" s="244" customFormat="1" x14ac:dyDescent="0.25">
      <c r="C1472" s="255"/>
      <c r="D1472" s="255"/>
      <c r="E1472" s="255"/>
      <c r="F1472" s="255"/>
      <c r="G1472" s="253"/>
      <c r="H1472" s="256"/>
      <c r="I1472" s="255"/>
      <c r="J1472" s="255"/>
      <c r="K1472" s="254"/>
      <c r="L1472" s="253"/>
    </row>
    <row r="1473" spans="3:12" s="244" customFormat="1" x14ac:dyDescent="0.25">
      <c r="C1473" s="255"/>
      <c r="D1473" s="255"/>
      <c r="E1473" s="255"/>
      <c r="F1473" s="255"/>
      <c r="G1473" s="253"/>
      <c r="H1473" s="256"/>
      <c r="I1473" s="255"/>
      <c r="J1473" s="255"/>
      <c r="K1473" s="254"/>
      <c r="L1473" s="253"/>
    </row>
    <row r="1474" spans="3:12" s="244" customFormat="1" x14ac:dyDescent="0.25">
      <c r="C1474" s="255"/>
      <c r="D1474" s="255"/>
      <c r="E1474" s="255"/>
      <c r="F1474" s="255"/>
      <c r="G1474" s="253"/>
      <c r="H1474" s="256"/>
      <c r="I1474" s="255"/>
      <c r="J1474" s="255"/>
      <c r="K1474" s="254"/>
      <c r="L1474" s="253"/>
    </row>
    <row r="1475" spans="3:12" s="244" customFormat="1" x14ac:dyDescent="0.25">
      <c r="C1475" s="255"/>
      <c r="D1475" s="255"/>
      <c r="E1475" s="255"/>
      <c r="F1475" s="255"/>
      <c r="G1475" s="253"/>
      <c r="H1475" s="256"/>
      <c r="I1475" s="255"/>
      <c r="J1475" s="255"/>
      <c r="K1475" s="254"/>
      <c r="L1475" s="253"/>
    </row>
    <row r="1476" spans="3:12" s="244" customFormat="1" x14ac:dyDescent="0.25">
      <c r="C1476" s="255"/>
      <c r="D1476" s="255"/>
      <c r="E1476" s="255"/>
      <c r="F1476" s="255"/>
      <c r="G1476" s="253"/>
      <c r="H1476" s="256"/>
      <c r="I1476" s="255"/>
      <c r="J1476" s="255"/>
      <c r="K1476" s="254"/>
      <c r="L1476" s="253"/>
    </row>
    <row r="1477" spans="3:12" s="244" customFormat="1" x14ac:dyDescent="0.25">
      <c r="C1477" s="255"/>
      <c r="D1477" s="255"/>
      <c r="E1477" s="255"/>
      <c r="F1477" s="255"/>
      <c r="G1477" s="253"/>
      <c r="H1477" s="256"/>
      <c r="I1477" s="255"/>
      <c r="J1477" s="255"/>
      <c r="K1477" s="254"/>
      <c r="L1477" s="253"/>
    </row>
    <row r="1478" spans="3:12" s="244" customFormat="1" x14ac:dyDescent="0.25">
      <c r="C1478" s="255"/>
      <c r="D1478" s="255"/>
      <c r="E1478" s="255"/>
      <c r="F1478" s="255"/>
      <c r="G1478" s="253"/>
      <c r="H1478" s="256"/>
      <c r="I1478" s="255"/>
      <c r="J1478" s="255"/>
      <c r="K1478" s="254"/>
      <c r="L1478" s="253"/>
    </row>
    <row r="1479" spans="3:12" s="244" customFormat="1" x14ac:dyDescent="0.25">
      <c r="C1479" s="255"/>
      <c r="D1479" s="255"/>
      <c r="E1479" s="255"/>
      <c r="F1479" s="255"/>
      <c r="G1479" s="253"/>
      <c r="H1479" s="256"/>
      <c r="I1479" s="255"/>
      <c r="J1479" s="255"/>
      <c r="K1479" s="254"/>
      <c r="L1479" s="253"/>
    </row>
    <row r="1480" spans="3:12" s="244" customFormat="1" x14ac:dyDescent="0.25">
      <c r="C1480" s="255"/>
      <c r="D1480" s="255"/>
      <c r="E1480" s="255"/>
      <c r="F1480" s="255"/>
      <c r="G1480" s="253"/>
      <c r="H1480" s="256"/>
      <c r="I1480" s="255"/>
      <c r="J1480" s="255"/>
      <c r="K1480" s="254"/>
      <c r="L1480" s="253"/>
    </row>
    <row r="1481" spans="3:12" s="244" customFormat="1" x14ac:dyDescent="0.25">
      <c r="C1481" s="255"/>
      <c r="D1481" s="255"/>
      <c r="E1481" s="255"/>
      <c r="F1481" s="255"/>
      <c r="G1481" s="253"/>
      <c r="H1481" s="256"/>
      <c r="I1481" s="255"/>
      <c r="J1481" s="255"/>
      <c r="K1481" s="254"/>
      <c r="L1481" s="253"/>
    </row>
    <row r="1482" spans="3:12" s="244" customFormat="1" x14ac:dyDescent="0.25">
      <c r="C1482" s="255"/>
      <c r="D1482" s="255"/>
      <c r="E1482" s="255"/>
      <c r="F1482" s="255"/>
      <c r="G1482" s="253"/>
      <c r="H1482" s="256"/>
      <c r="I1482" s="255"/>
      <c r="J1482" s="255"/>
      <c r="K1482" s="254"/>
      <c r="L1482" s="253"/>
    </row>
    <row r="1483" spans="3:12" s="244" customFormat="1" x14ac:dyDescent="0.25">
      <c r="C1483" s="255"/>
      <c r="D1483" s="255"/>
      <c r="E1483" s="255"/>
      <c r="F1483" s="255"/>
      <c r="G1483" s="253"/>
      <c r="H1483" s="256"/>
      <c r="I1483" s="255"/>
      <c r="J1483" s="255"/>
      <c r="K1483" s="254"/>
      <c r="L1483" s="253"/>
    </row>
    <row r="1484" spans="3:12" s="244" customFormat="1" x14ac:dyDescent="0.25">
      <c r="C1484" s="255"/>
      <c r="D1484" s="255"/>
      <c r="E1484" s="255"/>
      <c r="F1484" s="255"/>
      <c r="G1484" s="253"/>
      <c r="H1484" s="256"/>
      <c r="I1484" s="255"/>
      <c r="J1484" s="255"/>
      <c r="K1484" s="254"/>
      <c r="L1484" s="253"/>
    </row>
    <row r="1485" spans="3:12" s="244" customFormat="1" x14ac:dyDescent="0.25">
      <c r="C1485" s="255"/>
      <c r="D1485" s="255"/>
      <c r="E1485" s="255"/>
      <c r="F1485" s="255"/>
      <c r="G1485" s="253"/>
      <c r="H1485" s="256"/>
      <c r="I1485" s="255"/>
      <c r="J1485" s="255"/>
      <c r="K1485" s="254"/>
      <c r="L1485" s="253"/>
    </row>
    <row r="1486" spans="3:12" s="244" customFormat="1" x14ac:dyDescent="0.25">
      <c r="C1486" s="255"/>
      <c r="D1486" s="255"/>
      <c r="E1486" s="255"/>
      <c r="F1486" s="255"/>
      <c r="G1486" s="253"/>
      <c r="H1486" s="256"/>
      <c r="I1486" s="255"/>
      <c r="J1486" s="255"/>
      <c r="K1486" s="254"/>
      <c r="L1486" s="253"/>
    </row>
    <row r="1487" spans="3:12" s="244" customFormat="1" x14ac:dyDescent="0.25">
      <c r="C1487" s="255"/>
      <c r="D1487" s="255"/>
      <c r="E1487" s="255"/>
      <c r="F1487" s="255"/>
      <c r="G1487" s="253"/>
      <c r="H1487" s="256"/>
      <c r="I1487" s="255"/>
      <c r="J1487" s="255"/>
      <c r="K1487" s="254"/>
      <c r="L1487" s="253"/>
    </row>
    <row r="1488" spans="3:12" s="244" customFormat="1" x14ac:dyDescent="0.25">
      <c r="C1488" s="255"/>
      <c r="D1488" s="255"/>
      <c r="E1488" s="255"/>
      <c r="F1488" s="255"/>
      <c r="G1488" s="253"/>
      <c r="H1488" s="256"/>
      <c r="I1488" s="255"/>
      <c r="J1488" s="255"/>
      <c r="K1488" s="254"/>
      <c r="L1488" s="253"/>
    </row>
    <row r="1489" spans="3:12" s="244" customFormat="1" x14ac:dyDescent="0.25">
      <c r="C1489" s="255"/>
      <c r="D1489" s="255"/>
      <c r="E1489" s="255"/>
      <c r="F1489" s="255"/>
      <c r="G1489" s="253"/>
      <c r="H1489" s="256"/>
      <c r="I1489" s="255"/>
      <c r="J1489" s="255"/>
      <c r="K1489" s="254"/>
      <c r="L1489" s="253"/>
    </row>
    <row r="1490" spans="3:12" s="244" customFormat="1" x14ac:dyDescent="0.25">
      <c r="C1490" s="255"/>
      <c r="D1490" s="255"/>
      <c r="E1490" s="255"/>
      <c r="F1490" s="255"/>
      <c r="G1490" s="253"/>
      <c r="H1490" s="256"/>
      <c r="I1490" s="255"/>
      <c r="J1490" s="255"/>
      <c r="K1490" s="254"/>
      <c r="L1490" s="253"/>
    </row>
    <row r="1491" spans="3:12" s="244" customFormat="1" x14ac:dyDescent="0.25">
      <c r="C1491" s="255"/>
      <c r="D1491" s="255"/>
      <c r="E1491" s="255"/>
      <c r="F1491" s="255"/>
      <c r="G1491" s="253"/>
      <c r="H1491" s="256"/>
      <c r="I1491" s="255"/>
      <c r="J1491" s="255"/>
      <c r="K1491" s="254"/>
      <c r="L1491" s="253"/>
    </row>
    <row r="1492" spans="3:12" s="244" customFormat="1" x14ac:dyDescent="0.25">
      <c r="C1492" s="255"/>
      <c r="D1492" s="255"/>
      <c r="E1492" s="255"/>
      <c r="F1492" s="255"/>
      <c r="G1492" s="253"/>
      <c r="H1492" s="256"/>
      <c r="I1492" s="255"/>
      <c r="J1492" s="255"/>
      <c r="K1492" s="254"/>
      <c r="L1492" s="253"/>
    </row>
    <row r="1493" spans="3:12" s="244" customFormat="1" x14ac:dyDescent="0.25">
      <c r="C1493" s="255"/>
      <c r="D1493" s="255"/>
      <c r="E1493" s="255"/>
      <c r="F1493" s="255"/>
      <c r="G1493" s="253"/>
      <c r="H1493" s="256"/>
      <c r="I1493" s="255"/>
      <c r="J1493" s="255"/>
      <c r="K1493" s="254"/>
      <c r="L1493" s="253"/>
    </row>
    <row r="1494" spans="3:12" s="244" customFormat="1" x14ac:dyDescent="0.25">
      <c r="C1494" s="255"/>
      <c r="D1494" s="255"/>
      <c r="E1494" s="255"/>
      <c r="F1494" s="255"/>
      <c r="G1494" s="253"/>
      <c r="H1494" s="256"/>
      <c r="I1494" s="255"/>
      <c r="J1494" s="255"/>
      <c r="K1494" s="254"/>
      <c r="L1494" s="253"/>
    </row>
    <row r="1495" spans="3:12" s="244" customFormat="1" x14ac:dyDescent="0.25">
      <c r="C1495" s="255"/>
      <c r="D1495" s="255"/>
      <c r="E1495" s="255"/>
      <c r="F1495" s="255"/>
      <c r="G1495" s="253"/>
      <c r="H1495" s="256"/>
      <c r="I1495" s="255"/>
      <c r="J1495" s="255"/>
      <c r="K1495" s="254"/>
      <c r="L1495" s="253"/>
    </row>
    <row r="1496" spans="3:12" s="244" customFormat="1" x14ac:dyDescent="0.25">
      <c r="C1496" s="255"/>
      <c r="D1496" s="255"/>
      <c r="E1496" s="255"/>
      <c r="F1496" s="255"/>
      <c r="G1496" s="253"/>
      <c r="H1496" s="256"/>
      <c r="I1496" s="255"/>
      <c r="J1496" s="255"/>
      <c r="K1496" s="254"/>
      <c r="L1496" s="253"/>
    </row>
    <row r="1497" spans="3:12" s="244" customFormat="1" x14ac:dyDescent="0.25">
      <c r="C1497" s="255"/>
      <c r="D1497" s="255"/>
      <c r="E1497" s="255"/>
      <c r="F1497" s="255"/>
      <c r="G1497" s="253"/>
      <c r="H1497" s="256"/>
      <c r="I1497" s="255"/>
      <c r="J1497" s="255"/>
      <c r="K1497" s="254"/>
      <c r="L1497" s="253"/>
    </row>
    <row r="1498" spans="3:12" s="244" customFormat="1" x14ac:dyDescent="0.25">
      <c r="C1498" s="255"/>
      <c r="D1498" s="255"/>
      <c r="E1498" s="255"/>
      <c r="F1498" s="255"/>
      <c r="G1498" s="253"/>
      <c r="H1498" s="256"/>
      <c r="I1498" s="255"/>
      <c r="J1498" s="255"/>
      <c r="K1498" s="254"/>
      <c r="L1498" s="253"/>
    </row>
    <row r="1499" spans="3:12" s="244" customFormat="1" x14ac:dyDescent="0.25">
      <c r="C1499" s="255"/>
      <c r="D1499" s="255"/>
      <c r="E1499" s="255"/>
      <c r="F1499" s="255"/>
      <c r="G1499" s="253"/>
      <c r="H1499" s="256"/>
      <c r="I1499" s="255"/>
      <c r="J1499" s="255"/>
      <c r="K1499" s="254"/>
      <c r="L1499" s="253"/>
    </row>
    <row r="1500" spans="3:12" s="244" customFormat="1" x14ac:dyDescent="0.25">
      <c r="C1500" s="255"/>
      <c r="D1500" s="255"/>
      <c r="E1500" s="255"/>
      <c r="F1500" s="255"/>
      <c r="G1500" s="253"/>
      <c r="H1500" s="256"/>
      <c r="I1500" s="255"/>
      <c r="J1500" s="255"/>
      <c r="K1500" s="254"/>
      <c r="L1500" s="253"/>
    </row>
    <row r="1501" spans="3:12" s="244" customFormat="1" x14ac:dyDescent="0.25">
      <c r="C1501" s="255"/>
      <c r="D1501" s="255"/>
      <c r="E1501" s="255"/>
      <c r="F1501" s="255"/>
      <c r="G1501" s="253"/>
      <c r="H1501" s="256"/>
      <c r="I1501" s="255"/>
      <c r="J1501" s="255"/>
      <c r="K1501" s="254"/>
      <c r="L1501" s="253"/>
    </row>
    <row r="1502" spans="3:12" s="244" customFormat="1" x14ac:dyDescent="0.25">
      <c r="C1502" s="255"/>
      <c r="D1502" s="255"/>
      <c r="E1502" s="255"/>
      <c r="F1502" s="255"/>
      <c r="G1502" s="253"/>
      <c r="H1502" s="256"/>
      <c r="I1502" s="255"/>
      <c r="J1502" s="255"/>
      <c r="K1502" s="254"/>
      <c r="L1502" s="253"/>
    </row>
    <row r="1503" spans="3:12" s="244" customFormat="1" x14ac:dyDescent="0.25">
      <c r="C1503" s="255"/>
      <c r="D1503" s="255"/>
      <c r="E1503" s="255"/>
      <c r="F1503" s="255"/>
      <c r="G1503" s="253"/>
      <c r="H1503" s="256"/>
      <c r="I1503" s="255"/>
      <c r="J1503" s="255"/>
      <c r="K1503" s="254"/>
      <c r="L1503" s="253"/>
    </row>
    <row r="1504" spans="3:12" s="244" customFormat="1" x14ac:dyDescent="0.25">
      <c r="C1504" s="255"/>
      <c r="D1504" s="255"/>
      <c r="E1504" s="255"/>
      <c r="F1504" s="255"/>
      <c r="G1504" s="253"/>
      <c r="H1504" s="256"/>
      <c r="I1504" s="255"/>
      <c r="J1504" s="255"/>
      <c r="K1504" s="254"/>
      <c r="L1504" s="253"/>
    </row>
    <row r="1505" spans="3:12" s="244" customFormat="1" x14ac:dyDescent="0.25">
      <c r="C1505" s="255"/>
      <c r="D1505" s="255"/>
      <c r="E1505" s="255"/>
      <c r="F1505" s="255"/>
      <c r="G1505" s="253"/>
      <c r="H1505" s="256"/>
      <c r="I1505" s="255"/>
      <c r="J1505" s="255"/>
      <c r="K1505" s="254"/>
      <c r="L1505" s="253"/>
    </row>
    <row r="1506" spans="3:12" s="244" customFormat="1" x14ac:dyDescent="0.25">
      <c r="C1506" s="255"/>
      <c r="D1506" s="255"/>
      <c r="E1506" s="255"/>
      <c r="F1506" s="255"/>
      <c r="G1506" s="253"/>
      <c r="H1506" s="256"/>
      <c r="I1506" s="255"/>
      <c r="J1506" s="255"/>
      <c r="K1506" s="254"/>
      <c r="L1506" s="253"/>
    </row>
    <row r="1507" spans="3:12" s="244" customFormat="1" x14ac:dyDescent="0.25">
      <c r="C1507" s="255"/>
      <c r="D1507" s="255"/>
      <c r="E1507" s="255"/>
      <c r="F1507" s="255"/>
      <c r="G1507" s="253"/>
      <c r="H1507" s="256"/>
      <c r="I1507" s="255"/>
      <c r="J1507" s="255"/>
      <c r="K1507" s="254"/>
      <c r="L1507" s="253"/>
    </row>
    <row r="1508" spans="3:12" s="244" customFormat="1" x14ac:dyDescent="0.25">
      <c r="C1508" s="255"/>
      <c r="D1508" s="255"/>
      <c r="E1508" s="255"/>
      <c r="F1508" s="255"/>
      <c r="G1508" s="253"/>
      <c r="H1508" s="256"/>
      <c r="I1508" s="255"/>
      <c r="J1508" s="255"/>
      <c r="K1508" s="254"/>
      <c r="L1508" s="253"/>
    </row>
    <row r="1509" spans="3:12" s="244" customFormat="1" x14ac:dyDescent="0.25">
      <c r="C1509" s="255"/>
      <c r="D1509" s="255"/>
      <c r="E1509" s="255"/>
      <c r="F1509" s="255"/>
      <c r="G1509" s="253"/>
      <c r="H1509" s="256"/>
      <c r="I1509" s="255"/>
      <c r="J1509" s="255"/>
      <c r="K1509" s="254"/>
      <c r="L1509" s="253"/>
    </row>
    <row r="1510" spans="3:12" s="244" customFormat="1" x14ac:dyDescent="0.25">
      <c r="C1510" s="255"/>
      <c r="D1510" s="255"/>
      <c r="E1510" s="255"/>
      <c r="F1510" s="255"/>
      <c r="G1510" s="253"/>
      <c r="H1510" s="256"/>
      <c r="I1510" s="255"/>
      <c r="J1510" s="255"/>
      <c r="K1510" s="254"/>
      <c r="L1510" s="253"/>
    </row>
    <row r="1511" spans="3:12" s="244" customFormat="1" x14ac:dyDescent="0.25">
      <c r="C1511" s="255"/>
      <c r="D1511" s="255"/>
      <c r="E1511" s="255"/>
      <c r="F1511" s="255"/>
      <c r="G1511" s="253"/>
      <c r="H1511" s="256"/>
      <c r="I1511" s="255"/>
      <c r="J1511" s="255"/>
      <c r="K1511" s="254"/>
      <c r="L1511" s="253"/>
    </row>
    <row r="1512" spans="3:12" s="244" customFormat="1" x14ac:dyDescent="0.25">
      <c r="C1512" s="255"/>
      <c r="D1512" s="255"/>
      <c r="E1512" s="255"/>
      <c r="F1512" s="255"/>
      <c r="G1512" s="253"/>
      <c r="H1512" s="256"/>
      <c r="I1512" s="255"/>
      <c r="J1512" s="255"/>
      <c r="K1512" s="254"/>
      <c r="L1512" s="253"/>
    </row>
    <row r="1513" spans="3:12" s="244" customFormat="1" x14ac:dyDescent="0.25">
      <c r="C1513" s="255"/>
      <c r="D1513" s="255"/>
      <c r="E1513" s="255"/>
      <c r="F1513" s="255"/>
      <c r="G1513" s="253"/>
      <c r="H1513" s="256"/>
      <c r="I1513" s="255"/>
      <c r="J1513" s="255"/>
      <c r="K1513" s="254"/>
      <c r="L1513" s="253"/>
    </row>
    <row r="1514" spans="3:12" s="244" customFormat="1" x14ac:dyDescent="0.25">
      <c r="C1514" s="255"/>
      <c r="D1514" s="255"/>
      <c r="E1514" s="255"/>
      <c r="F1514" s="255"/>
      <c r="G1514" s="253"/>
      <c r="H1514" s="256"/>
      <c r="I1514" s="255"/>
      <c r="J1514" s="255"/>
      <c r="K1514" s="254"/>
      <c r="L1514" s="253"/>
    </row>
    <row r="1515" spans="3:12" s="244" customFormat="1" x14ac:dyDescent="0.25">
      <c r="C1515" s="255"/>
      <c r="D1515" s="255"/>
      <c r="E1515" s="255"/>
      <c r="F1515" s="255"/>
      <c r="G1515" s="253"/>
      <c r="H1515" s="256"/>
      <c r="I1515" s="255"/>
      <c r="J1515" s="255"/>
      <c r="K1515" s="254"/>
      <c r="L1515" s="253"/>
    </row>
    <row r="1516" spans="3:12" s="244" customFormat="1" x14ac:dyDescent="0.25">
      <c r="C1516" s="255"/>
      <c r="D1516" s="255"/>
      <c r="E1516" s="255"/>
      <c r="F1516" s="255"/>
      <c r="G1516" s="253"/>
      <c r="H1516" s="256"/>
      <c r="I1516" s="255"/>
      <c r="J1516" s="255"/>
      <c r="K1516" s="254"/>
      <c r="L1516" s="253"/>
    </row>
    <row r="1517" spans="3:12" s="244" customFormat="1" x14ac:dyDescent="0.25">
      <c r="C1517" s="255"/>
      <c r="D1517" s="255"/>
      <c r="E1517" s="255"/>
      <c r="F1517" s="255"/>
      <c r="G1517" s="253"/>
      <c r="H1517" s="256"/>
      <c r="I1517" s="255"/>
      <c r="J1517" s="255"/>
      <c r="K1517" s="254"/>
      <c r="L1517" s="253"/>
    </row>
    <row r="1518" spans="3:12" s="244" customFormat="1" x14ac:dyDescent="0.25">
      <c r="C1518" s="255"/>
      <c r="D1518" s="255"/>
      <c r="E1518" s="255"/>
      <c r="F1518" s="255"/>
      <c r="G1518" s="253"/>
      <c r="H1518" s="256"/>
      <c r="I1518" s="255"/>
      <c r="J1518" s="255"/>
      <c r="K1518" s="254"/>
      <c r="L1518" s="253"/>
    </row>
    <row r="1519" spans="3:12" s="244" customFormat="1" x14ac:dyDescent="0.25">
      <c r="C1519" s="255"/>
      <c r="D1519" s="255"/>
      <c r="E1519" s="255"/>
      <c r="F1519" s="255"/>
      <c r="G1519" s="253"/>
      <c r="H1519" s="256"/>
      <c r="I1519" s="255"/>
      <c r="J1519" s="255"/>
      <c r="K1519" s="254"/>
      <c r="L1519" s="253"/>
    </row>
    <row r="1520" spans="3:12" s="244" customFormat="1" x14ac:dyDescent="0.25">
      <c r="C1520" s="255"/>
      <c r="D1520" s="255"/>
      <c r="E1520" s="255"/>
      <c r="F1520" s="255"/>
      <c r="G1520" s="253"/>
      <c r="H1520" s="256"/>
      <c r="I1520" s="255"/>
      <c r="J1520" s="255"/>
      <c r="K1520" s="254"/>
      <c r="L1520" s="253"/>
    </row>
    <row r="1521" spans="3:12" s="244" customFormat="1" x14ac:dyDescent="0.25">
      <c r="C1521" s="255"/>
      <c r="D1521" s="255"/>
      <c r="E1521" s="255"/>
      <c r="F1521" s="255"/>
      <c r="G1521" s="253"/>
      <c r="H1521" s="256"/>
      <c r="I1521" s="255"/>
      <c r="J1521" s="255"/>
      <c r="K1521" s="254"/>
      <c r="L1521" s="253"/>
    </row>
    <row r="1522" spans="3:12" s="244" customFormat="1" x14ac:dyDescent="0.25">
      <c r="C1522" s="255"/>
      <c r="D1522" s="255"/>
      <c r="E1522" s="255"/>
      <c r="F1522" s="255"/>
      <c r="G1522" s="253"/>
      <c r="H1522" s="256"/>
      <c r="I1522" s="255"/>
      <c r="J1522" s="255"/>
      <c r="K1522" s="254"/>
      <c r="L1522" s="253"/>
    </row>
    <row r="1523" spans="3:12" s="244" customFormat="1" x14ac:dyDescent="0.25">
      <c r="C1523" s="255"/>
      <c r="D1523" s="255"/>
      <c r="E1523" s="255"/>
      <c r="F1523" s="255"/>
      <c r="G1523" s="253"/>
      <c r="H1523" s="256"/>
      <c r="I1523" s="255"/>
      <c r="J1523" s="255"/>
      <c r="K1523" s="254"/>
      <c r="L1523" s="253"/>
    </row>
    <row r="1524" spans="3:12" s="244" customFormat="1" x14ac:dyDescent="0.25">
      <c r="C1524" s="255"/>
      <c r="D1524" s="255"/>
      <c r="E1524" s="255"/>
      <c r="F1524" s="255"/>
      <c r="G1524" s="253"/>
      <c r="H1524" s="256"/>
      <c r="I1524" s="255"/>
      <c r="J1524" s="255"/>
      <c r="K1524" s="254"/>
      <c r="L1524" s="253"/>
    </row>
    <row r="1525" spans="3:12" s="244" customFormat="1" x14ac:dyDescent="0.25">
      <c r="C1525" s="255"/>
      <c r="D1525" s="255"/>
      <c r="E1525" s="255"/>
      <c r="F1525" s="255"/>
      <c r="G1525" s="253"/>
      <c r="H1525" s="256"/>
      <c r="I1525" s="255"/>
      <c r="J1525" s="255"/>
      <c r="K1525" s="254"/>
      <c r="L1525" s="253"/>
    </row>
    <row r="1526" spans="3:12" s="244" customFormat="1" x14ac:dyDescent="0.25">
      <c r="C1526" s="255"/>
      <c r="D1526" s="255"/>
      <c r="E1526" s="255"/>
      <c r="F1526" s="255"/>
      <c r="G1526" s="253"/>
      <c r="H1526" s="256"/>
      <c r="I1526" s="255"/>
      <c r="J1526" s="255"/>
      <c r="K1526" s="254"/>
      <c r="L1526" s="253"/>
    </row>
    <row r="1527" spans="3:12" s="244" customFormat="1" x14ac:dyDescent="0.25">
      <c r="C1527" s="255"/>
      <c r="D1527" s="255"/>
      <c r="E1527" s="255"/>
      <c r="F1527" s="255"/>
      <c r="G1527" s="253"/>
      <c r="H1527" s="256"/>
      <c r="I1527" s="255"/>
      <c r="J1527" s="255"/>
      <c r="K1527" s="254"/>
      <c r="L1527" s="253"/>
    </row>
    <row r="1528" spans="3:12" s="244" customFormat="1" x14ac:dyDescent="0.25">
      <c r="C1528" s="255"/>
      <c r="D1528" s="255"/>
      <c r="E1528" s="255"/>
      <c r="F1528" s="255"/>
      <c r="G1528" s="253"/>
      <c r="H1528" s="256"/>
      <c r="I1528" s="255"/>
      <c r="J1528" s="255"/>
      <c r="K1528" s="254"/>
      <c r="L1528" s="253"/>
    </row>
    <row r="1529" spans="3:12" s="244" customFormat="1" x14ac:dyDescent="0.25">
      <c r="C1529" s="255"/>
      <c r="D1529" s="255"/>
      <c r="E1529" s="255"/>
      <c r="F1529" s="255"/>
      <c r="G1529" s="253"/>
      <c r="H1529" s="256"/>
      <c r="I1529" s="255"/>
      <c r="J1529" s="255"/>
      <c r="K1529" s="254"/>
      <c r="L1529" s="253"/>
    </row>
    <row r="1530" spans="3:12" s="244" customFormat="1" x14ac:dyDescent="0.25">
      <c r="C1530" s="255"/>
      <c r="D1530" s="255"/>
      <c r="E1530" s="255"/>
      <c r="F1530" s="255"/>
      <c r="G1530" s="253"/>
      <c r="H1530" s="256"/>
      <c r="I1530" s="255"/>
      <c r="J1530" s="255"/>
      <c r="K1530" s="254"/>
      <c r="L1530" s="253"/>
    </row>
    <row r="1531" spans="3:12" s="244" customFormat="1" x14ac:dyDescent="0.25">
      <c r="C1531" s="255"/>
      <c r="D1531" s="255"/>
      <c r="E1531" s="255"/>
      <c r="F1531" s="255"/>
      <c r="G1531" s="253"/>
      <c r="H1531" s="256"/>
      <c r="I1531" s="255"/>
      <c r="J1531" s="255"/>
      <c r="K1531" s="254"/>
      <c r="L1531" s="253"/>
    </row>
    <row r="1532" spans="3:12" s="244" customFormat="1" x14ac:dyDescent="0.25">
      <c r="C1532" s="255"/>
      <c r="D1532" s="255"/>
      <c r="E1532" s="255"/>
      <c r="F1532" s="255"/>
      <c r="G1532" s="253"/>
      <c r="H1532" s="256"/>
      <c r="I1532" s="255"/>
      <c r="J1532" s="255"/>
      <c r="K1532" s="254"/>
      <c r="L1532" s="253"/>
    </row>
    <row r="1533" spans="3:12" s="244" customFormat="1" x14ac:dyDescent="0.25">
      <c r="C1533" s="255"/>
      <c r="D1533" s="255"/>
      <c r="E1533" s="255"/>
      <c r="F1533" s="255"/>
      <c r="G1533" s="253"/>
      <c r="H1533" s="256"/>
      <c r="I1533" s="255"/>
      <c r="J1533" s="255"/>
      <c r="K1533" s="254"/>
      <c r="L1533" s="253"/>
    </row>
    <row r="1534" spans="3:12" s="244" customFormat="1" x14ac:dyDescent="0.25">
      <c r="C1534" s="255"/>
      <c r="D1534" s="255"/>
      <c r="E1534" s="255"/>
      <c r="F1534" s="255"/>
      <c r="G1534" s="253"/>
      <c r="H1534" s="256"/>
      <c r="I1534" s="255"/>
      <c r="J1534" s="255"/>
      <c r="K1534" s="254"/>
      <c r="L1534" s="253"/>
    </row>
    <row r="1535" spans="3:12" s="244" customFormat="1" x14ac:dyDescent="0.25">
      <c r="C1535" s="255"/>
      <c r="D1535" s="255"/>
      <c r="E1535" s="255"/>
      <c r="F1535" s="255"/>
      <c r="G1535" s="253"/>
      <c r="H1535" s="256"/>
      <c r="I1535" s="255"/>
      <c r="J1535" s="255"/>
      <c r="K1535" s="254"/>
      <c r="L1535" s="253"/>
    </row>
    <row r="1536" spans="3:12" s="244" customFormat="1" x14ac:dyDescent="0.25">
      <c r="C1536" s="255"/>
      <c r="D1536" s="255"/>
      <c r="E1536" s="255"/>
      <c r="F1536" s="255"/>
      <c r="G1536" s="253"/>
      <c r="H1536" s="256"/>
      <c r="I1536" s="255"/>
      <c r="J1536" s="255"/>
      <c r="K1536" s="254"/>
      <c r="L1536" s="253"/>
    </row>
    <row r="1537" spans="3:12" s="244" customFormat="1" x14ac:dyDescent="0.25">
      <c r="C1537" s="255"/>
      <c r="D1537" s="255"/>
      <c r="E1537" s="255"/>
      <c r="F1537" s="255"/>
      <c r="G1537" s="253"/>
      <c r="H1537" s="256"/>
      <c r="I1537" s="255"/>
      <c r="J1537" s="255"/>
      <c r="K1537" s="254"/>
      <c r="L1537" s="253"/>
    </row>
    <row r="1538" spans="3:12" s="244" customFormat="1" x14ac:dyDescent="0.25">
      <c r="C1538" s="255"/>
      <c r="D1538" s="255"/>
      <c r="E1538" s="255"/>
      <c r="F1538" s="255"/>
      <c r="G1538" s="253"/>
      <c r="H1538" s="256"/>
      <c r="I1538" s="255"/>
      <c r="J1538" s="255"/>
      <c r="K1538" s="254"/>
      <c r="L1538" s="253"/>
    </row>
    <row r="1539" spans="3:12" s="244" customFormat="1" x14ac:dyDescent="0.25">
      <c r="C1539" s="255"/>
      <c r="D1539" s="255"/>
      <c r="E1539" s="255"/>
      <c r="F1539" s="255"/>
      <c r="G1539" s="253"/>
      <c r="H1539" s="256"/>
      <c r="I1539" s="255"/>
      <c r="J1539" s="255"/>
      <c r="K1539" s="254"/>
      <c r="L1539" s="253"/>
    </row>
    <row r="1540" spans="3:12" s="244" customFormat="1" x14ac:dyDescent="0.25">
      <c r="C1540" s="255"/>
      <c r="D1540" s="255"/>
      <c r="E1540" s="255"/>
      <c r="F1540" s="255"/>
      <c r="G1540" s="253"/>
      <c r="H1540" s="256"/>
      <c r="I1540" s="255"/>
      <c r="J1540" s="255"/>
      <c r="K1540" s="254"/>
      <c r="L1540" s="253"/>
    </row>
    <row r="1541" spans="3:12" s="244" customFormat="1" x14ac:dyDescent="0.25">
      <c r="C1541" s="255"/>
      <c r="D1541" s="255"/>
      <c r="E1541" s="255"/>
      <c r="F1541" s="255"/>
      <c r="G1541" s="253"/>
      <c r="H1541" s="256"/>
      <c r="I1541" s="255"/>
      <c r="J1541" s="255"/>
      <c r="K1541" s="254"/>
      <c r="L1541" s="253"/>
    </row>
    <row r="1542" spans="3:12" s="244" customFormat="1" x14ac:dyDescent="0.25">
      <c r="C1542" s="255"/>
      <c r="D1542" s="255"/>
      <c r="E1542" s="255"/>
      <c r="F1542" s="255"/>
      <c r="G1542" s="253"/>
      <c r="H1542" s="256"/>
      <c r="I1542" s="255"/>
      <c r="J1542" s="255"/>
      <c r="K1542" s="254"/>
      <c r="L1542" s="253"/>
    </row>
    <row r="1543" spans="3:12" s="244" customFormat="1" x14ac:dyDescent="0.25">
      <c r="C1543" s="255"/>
      <c r="D1543" s="255"/>
      <c r="E1543" s="255"/>
      <c r="F1543" s="255"/>
      <c r="G1543" s="253"/>
      <c r="H1543" s="256"/>
      <c r="I1543" s="255"/>
      <c r="J1543" s="255"/>
      <c r="K1543" s="254"/>
      <c r="L1543" s="253"/>
    </row>
    <row r="1544" spans="3:12" s="244" customFormat="1" x14ac:dyDescent="0.25">
      <c r="C1544" s="255"/>
      <c r="D1544" s="255"/>
      <c r="E1544" s="255"/>
      <c r="F1544" s="255"/>
      <c r="G1544" s="253"/>
      <c r="H1544" s="256"/>
      <c r="I1544" s="255"/>
      <c r="J1544" s="255"/>
      <c r="K1544" s="254"/>
      <c r="L1544" s="253"/>
    </row>
    <row r="1545" spans="3:12" s="244" customFormat="1" x14ac:dyDescent="0.25">
      <c r="C1545" s="255"/>
      <c r="D1545" s="255"/>
      <c r="E1545" s="255"/>
      <c r="F1545" s="255"/>
      <c r="G1545" s="253"/>
      <c r="H1545" s="256"/>
      <c r="I1545" s="255"/>
      <c r="J1545" s="255"/>
      <c r="K1545" s="254"/>
      <c r="L1545" s="253"/>
    </row>
    <row r="1546" spans="3:12" s="244" customFormat="1" x14ac:dyDescent="0.25">
      <c r="C1546" s="255"/>
      <c r="D1546" s="255"/>
      <c r="E1546" s="255"/>
      <c r="F1546" s="255"/>
      <c r="G1546" s="253"/>
      <c r="H1546" s="256"/>
      <c r="I1546" s="255"/>
      <c r="J1546" s="255"/>
      <c r="K1546" s="254"/>
      <c r="L1546" s="253"/>
    </row>
    <row r="1547" spans="3:12" s="244" customFormat="1" x14ac:dyDescent="0.25">
      <c r="C1547" s="255"/>
      <c r="D1547" s="255"/>
      <c r="E1547" s="255"/>
      <c r="F1547" s="255"/>
      <c r="G1547" s="253"/>
      <c r="H1547" s="256"/>
      <c r="I1547" s="255"/>
      <c r="J1547" s="255"/>
      <c r="K1547" s="254"/>
      <c r="L1547" s="253"/>
    </row>
    <row r="1548" spans="3:12" s="244" customFormat="1" x14ac:dyDescent="0.25">
      <c r="C1548" s="255"/>
      <c r="D1548" s="255"/>
      <c r="E1548" s="255"/>
      <c r="F1548" s="255"/>
      <c r="G1548" s="253"/>
      <c r="H1548" s="256"/>
      <c r="I1548" s="255"/>
      <c r="J1548" s="255"/>
      <c r="K1548" s="254"/>
      <c r="L1548" s="253"/>
    </row>
    <row r="1549" spans="3:12" s="244" customFormat="1" x14ac:dyDescent="0.25">
      <c r="C1549" s="255"/>
      <c r="D1549" s="255"/>
      <c r="E1549" s="255"/>
      <c r="F1549" s="255"/>
      <c r="G1549" s="253"/>
      <c r="H1549" s="256"/>
      <c r="I1549" s="255"/>
      <c r="J1549" s="255"/>
      <c r="K1549" s="254"/>
      <c r="L1549" s="253"/>
    </row>
    <row r="1550" spans="3:12" s="244" customFormat="1" x14ac:dyDescent="0.25">
      <c r="C1550" s="255"/>
      <c r="D1550" s="255"/>
      <c r="E1550" s="255"/>
      <c r="F1550" s="255"/>
      <c r="G1550" s="253"/>
      <c r="H1550" s="256"/>
      <c r="I1550" s="255"/>
      <c r="J1550" s="255"/>
      <c r="K1550" s="254"/>
      <c r="L1550" s="253"/>
    </row>
    <row r="1551" spans="3:12" s="244" customFormat="1" x14ac:dyDescent="0.25">
      <c r="C1551" s="255"/>
      <c r="D1551" s="255"/>
      <c r="E1551" s="255"/>
      <c r="F1551" s="255"/>
      <c r="G1551" s="253"/>
      <c r="H1551" s="256"/>
      <c r="I1551" s="255"/>
      <c r="J1551" s="255"/>
      <c r="K1551" s="254"/>
      <c r="L1551" s="253"/>
    </row>
    <row r="1552" spans="3:12" s="244" customFormat="1" x14ac:dyDescent="0.25">
      <c r="C1552" s="255"/>
      <c r="D1552" s="255"/>
      <c r="E1552" s="255"/>
      <c r="F1552" s="255"/>
      <c r="G1552" s="253"/>
      <c r="H1552" s="256"/>
      <c r="I1552" s="255"/>
      <c r="J1552" s="255"/>
      <c r="K1552" s="254"/>
      <c r="L1552" s="253"/>
    </row>
    <row r="1553" spans="3:12" s="244" customFormat="1" x14ac:dyDescent="0.25">
      <c r="C1553" s="255"/>
      <c r="D1553" s="255"/>
      <c r="E1553" s="255"/>
      <c r="F1553" s="255"/>
      <c r="G1553" s="253"/>
      <c r="H1553" s="256"/>
      <c r="I1553" s="255"/>
      <c r="J1553" s="255"/>
      <c r="K1553" s="254"/>
      <c r="L1553" s="253"/>
    </row>
    <row r="1554" spans="3:12" s="244" customFormat="1" x14ac:dyDescent="0.25">
      <c r="C1554" s="255"/>
      <c r="D1554" s="255"/>
      <c r="E1554" s="255"/>
      <c r="F1554" s="255"/>
      <c r="G1554" s="253"/>
      <c r="H1554" s="256"/>
      <c r="I1554" s="255"/>
      <c r="J1554" s="255"/>
      <c r="K1554" s="254"/>
      <c r="L1554" s="253"/>
    </row>
    <row r="1555" spans="3:12" s="244" customFormat="1" x14ac:dyDescent="0.25">
      <c r="C1555" s="255"/>
      <c r="D1555" s="255"/>
      <c r="E1555" s="255"/>
      <c r="F1555" s="255"/>
      <c r="G1555" s="253"/>
      <c r="H1555" s="256"/>
      <c r="I1555" s="255"/>
      <c r="J1555" s="255"/>
      <c r="K1555" s="254"/>
      <c r="L1555" s="253"/>
    </row>
    <row r="1556" spans="3:12" s="244" customFormat="1" x14ac:dyDescent="0.25">
      <c r="C1556" s="255"/>
      <c r="D1556" s="255"/>
      <c r="E1556" s="255"/>
      <c r="F1556" s="255"/>
      <c r="G1556" s="253"/>
      <c r="H1556" s="256"/>
      <c r="I1556" s="255"/>
      <c r="J1556" s="255"/>
      <c r="K1556" s="254"/>
      <c r="L1556" s="253"/>
    </row>
    <row r="1557" spans="3:12" s="244" customFormat="1" x14ac:dyDescent="0.25">
      <c r="C1557" s="255"/>
      <c r="D1557" s="255"/>
      <c r="E1557" s="255"/>
      <c r="F1557" s="255"/>
      <c r="G1557" s="253"/>
      <c r="H1557" s="256"/>
      <c r="I1557" s="255"/>
      <c r="J1557" s="255"/>
      <c r="K1557" s="254"/>
      <c r="L1557" s="253"/>
    </row>
    <row r="1558" spans="3:12" s="244" customFormat="1" x14ac:dyDescent="0.25">
      <c r="C1558" s="255"/>
      <c r="D1558" s="255"/>
      <c r="E1558" s="255"/>
      <c r="F1558" s="255"/>
      <c r="G1558" s="253"/>
      <c r="H1558" s="256"/>
      <c r="I1558" s="255"/>
      <c r="J1558" s="255"/>
      <c r="K1558" s="254"/>
      <c r="L1558" s="253"/>
    </row>
    <row r="1559" spans="3:12" s="244" customFormat="1" x14ac:dyDescent="0.25">
      <c r="C1559" s="255"/>
      <c r="D1559" s="255"/>
      <c r="E1559" s="255"/>
      <c r="F1559" s="255"/>
      <c r="G1559" s="253"/>
      <c r="H1559" s="256"/>
      <c r="I1559" s="255"/>
      <c r="J1559" s="255"/>
      <c r="K1559" s="254"/>
      <c r="L1559" s="253"/>
    </row>
    <row r="1560" spans="3:12" s="244" customFormat="1" x14ac:dyDescent="0.25">
      <c r="C1560" s="255"/>
      <c r="D1560" s="255"/>
      <c r="E1560" s="255"/>
      <c r="F1560" s="255"/>
      <c r="G1560" s="253"/>
      <c r="H1560" s="256"/>
      <c r="I1560" s="255"/>
      <c r="J1560" s="255"/>
      <c r="K1560" s="254"/>
      <c r="L1560" s="253"/>
    </row>
    <row r="1561" spans="3:12" s="244" customFormat="1" x14ac:dyDescent="0.25">
      <c r="C1561" s="255"/>
      <c r="D1561" s="255"/>
      <c r="E1561" s="255"/>
      <c r="F1561" s="255"/>
      <c r="G1561" s="253"/>
      <c r="H1561" s="256"/>
      <c r="I1561" s="255"/>
      <c r="J1561" s="255"/>
      <c r="K1561" s="254"/>
      <c r="L1561" s="253"/>
    </row>
    <row r="1562" spans="3:12" s="244" customFormat="1" x14ac:dyDescent="0.25">
      <c r="C1562" s="255"/>
      <c r="D1562" s="255"/>
      <c r="E1562" s="255"/>
      <c r="F1562" s="255"/>
      <c r="G1562" s="253"/>
      <c r="H1562" s="256"/>
      <c r="I1562" s="255"/>
      <c r="J1562" s="255"/>
      <c r="K1562" s="254"/>
      <c r="L1562" s="253"/>
    </row>
    <row r="1563" spans="3:12" s="244" customFormat="1" x14ac:dyDescent="0.25">
      <c r="C1563" s="255"/>
      <c r="D1563" s="255"/>
      <c r="E1563" s="255"/>
      <c r="F1563" s="255"/>
      <c r="G1563" s="253"/>
      <c r="H1563" s="256"/>
      <c r="I1563" s="255"/>
      <c r="J1563" s="255"/>
      <c r="K1563" s="254"/>
      <c r="L1563" s="253"/>
    </row>
    <row r="1564" spans="3:12" s="244" customFormat="1" x14ac:dyDescent="0.25">
      <c r="C1564" s="255"/>
      <c r="D1564" s="255"/>
      <c r="E1564" s="255"/>
      <c r="F1564" s="255"/>
      <c r="G1564" s="253"/>
      <c r="H1564" s="256"/>
      <c r="I1564" s="255"/>
      <c r="J1564" s="255"/>
      <c r="K1564" s="254"/>
      <c r="L1564" s="253"/>
    </row>
    <row r="1565" spans="3:12" s="244" customFormat="1" x14ac:dyDescent="0.25">
      <c r="C1565" s="255"/>
      <c r="D1565" s="255"/>
      <c r="E1565" s="255"/>
      <c r="F1565" s="255"/>
      <c r="G1565" s="253"/>
      <c r="H1565" s="256"/>
      <c r="I1565" s="255"/>
      <c r="J1565" s="255"/>
      <c r="K1565" s="254"/>
      <c r="L1565" s="253"/>
    </row>
    <row r="1566" spans="3:12" s="244" customFormat="1" x14ac:dyDescent="0.25">
      <c r="C1566" s="255"/>
      <c r="D1566" s="255"/>
      <c r="E1566" s="255"/>
      <c r="F1566" s="255"/>
      <c r="G1566" s="253"/>
      <c r="H1566" s="256"/>
      <c r="I1566" s="255"/>
      <c r="J1566" s="255"/>
      <c r="K1566" s="254"/>
      <c r="L1566" s="253"/>
    </row>
    <row r="1567" spans="3:12" s="244" customFormat="1" x14ac:dyDescent="0.25">
      <c r="C1567" s="255"/>
      <c r="D1567" s="255"/>
      <c r="E1567" s="255"/>
      <c r="F1567" s="255"/>
      <c r="G1567" s="253"/>
      <c r="H1567" s="256"/>
      <c r="I1567" s="255"/>
      <c r="J1567" s="255"/>
      <c r="K1567" s="254"/>
      <c r="L1567" s="253"/>
    </row>
    <row r="1568" spans="3:12" s="244" customFormat="1" x14ac:dyDescent="0.25">
      <c r="C1568" s="255"/>
      <c r="D1568" s="255"/>
      <c r="E1568" s="255"/>
      <c r="F1568" s="255"/>
      <c r="G1568" s="253"/>
      <c r="H1568" s="256"/>
      <c r="I1568" s="255"/>
      <c r="J1568" s="255"/>
      <c r="K1568" s="254"/>
      <c r="L1568" s="253"/>
    </row>
    <row r="1569" spans="3:12" s="244" customFormat="1" x14ac:dyDescent="0.25">
      <c r="C1569" s="255"/>
      <c r="D1569" s="255"/>
      <c r="E1569" s="255"/>
      <c r="F1569" s="255"/>
      <c r="G1569" s="253"/>
      <c r="H1569" s="256"/>
      <c r="I1569" s="255"/>
      <c r="J1569" s="255"/>
      <c r="K1569" s="254"/>
      <c r="L1569" s="253"/>
    </row>
    <row r="1570" spans="3:12" s="244" customFormat="1" x14ac:dyDescent="0.25">
      <c r="C1570" s="255"/>
      <c r="D1570" s="255"/>
      <c r="E1570" s="255"/>
      <c r="F1570" s="255"/>
      <c r="G1570" s="253"/>
      <c r="H1570" s="256"/>
      <c r="I1570" s="255"/>
      <c r="J1570" s="255"/>
      <c r="K1570" s="254"/>
      <c r="L1570" s="253"/>
    </row>
    <row r="1571" spans="3:12" s="244" customFormat="1" x14ac:dyDescent="0.25">
      <c r="C1571" s="255"/>
      <c r="D1571" s="255"/>
      <c r="E1571" s="255"/>
      <c r="F1571" s="255"/>
      <c r="G1571" s="253"/>
      <c r="H1571" s="256"/>
      <c r="I1571" s="255"/>
      <c r="J1571" s="255"/>
      <c r="K1571" s="254"/>
      <c r="L1571" s="253"/>
    </row>
    <row r="1572" spans="3:12" s="244" customFormat="1" x14ac:dyDescent="0.25">
      <c r="C1572" s="255"/>
      <c r="D1572" s="255"/>
      <c r="E1572" s="255"/>
      <c r="F1572" s="255"/>
      <c r="G1572" s="253"/>
      <c r="H1572" s="256"/>
      <c r="I1572" s="255"/>
      <c r="J1572" s="255"/>
      <c r="K1572" s="254"/>
      <c r="L1572" s="253"/>
    </row>
    <row r="1573" spans="3:12" s="244" customFormat="1" x14ac:dyDescent="0.25">
      <c r="C1573" s="255"/>
      <c r="D1573" s="255"/>
      <c r="E1573" s="255"/>
      <c r="F1573" s="255"/>
      <c r="G1573" s="253"/>
      <c r="H1573" s="256"/>
      <c r="I1573" s="255"/>
      <c r="J1573" s="255"/>
      <c r="K1573" s="254"/>
      <c r="L1573" s="253"/>
    </row>
    <row r="1574" spans="3:12" s="244" customFormat="1" x14ac:dyDescent="0.25">
      <c r="C1574" s="255"/>
      <c r="D1574" s="255"/>
      <c r="E1574" s="255"/>
      <c r="F1574" s="255"/>
      <c r="G1574" s="253"/>
      <c r="H1574" s="256"/>
      <c r="I1574" s="255"/>
      <c r="J1574" s="255"/>
      <c r="K1574" s="254"/>
      <c r="L1574" s="253"/>
    </row>
    <row r="1575" spans="3:12" s="244" customFormat="1" x14ac:dyDescent="0.25">
      <c r="C1575" s="255"/>
      <c r="D1575" s="255"/>
      <c r="E1575" s="255"/>
      <c r="F1575" s="255"/>
      <c r="G1575" s="253"/>
      <c r="H1575" s="256"/>
      <c r="I1575" s="255"/>
      <c r="J1575" s="255"/>
      <c r="K1575" s="254"/>
      <c r="L1575" s="253"/>
    </row>
    <row r="1576" spans="3:12" s="244" customFormat="1" x14ac:dyDescent="0.25">
      <c r="C1576" s="255"/>
      <c r="D1576" s="255"/>
      <c r="E1576" s="255"/>
      <c r="F1576" s="255"/>
      <c r="G1576" s="253"/>
      <c r="H1576" s="256"/>
      <c r="I1576" s="255"/>
      <c r="J1576" s="255"/>
      <c r="K1576" s="254"/>
      <c r="L1576" s="253"/>
    </row>
    <row r="1577" spans="3:12" s="244" customFormat="1" x14ac:dyDescent="0.25">
      <c r="C1577" s="255"/>
      <c r="D1577" s="255"/>
      <c r="E1577" s="255"/>
      <c r="F1577" s="255"/>
      <c r="G1577" s="253"/>
      <c r="H1577" s="256"/>
      <c r="I1577" s="255"/>
      <c r="J1577" s="255"/>
      <c r="K1577" s="254"/>
      <c r="L1577" s="253"/>
    </row>
    <row r="1578" spans="3:12" s="244" customFormat="1" x14ac:dyDescent="0.25">
      <c r="C1578" s="255"/>
      <c r="D1578" s="255"/>
      <c r="E1578" s="255"/>
      <c r="F1578" s="255"/>
      <c r="G1578" s="253"/>
      <c r="H1578" s="256"/>
      <c r="I1578" s="255"/>
      <c r="J1578" s="255"/>
      <c r="K1578" s="254"/>
      <c r="L1578" s="253"/>
    </row>
    <row r="1579" spans="3:12" s="244" customFormat="1" x14ac:dyDescent="0.25">
      <c r="C1579" s="255"/>
      <c r="D1579" s="255"/>
      <c r="E1579" s="255"/>
      <c r="F1579" s="255"/>
      <c r="G1579" s="253"/>
      <c r="H1579" s="256"/>
      <c r="I1579" s="255"/>
      <c r="J1579" s="255"/>
      <c r="K1579" s="254"/>
      <c r="L1579" s="253"/>
    </row>
    <row r="1580" spans="3:12" s="244" customFormat="1" x14ac:dyDescent="0.25">
      <c r="C1580" s="255"/>
      <c r="D1580" s="255"/>
      <c r="E1580" s="255"/>
      <c r="F1580" s="255"/>
      <c r="G1580" s="253"/>
      <c r="H1580" s="256"/>
      <c r="I1580" s="255"/>
      <c r="J1580" s="255"/>
      <c r="K1580" s="254"/>
      <c r="L1580" s="253"/>
    </row>
    <row r="1581" spans="3:12" s="244" customFormat="1" x14ac:dyDescent="0.25">
      <c r="C1581" s="255"/>
      <c r="D1581" s="255"/>
      <c r="E1581" s="255"/>
      <c r="F1581" s="255"/>
      <c r="G1581" s="253"/>
      <c r="H1581" s="256"/>
      <c r="I1581" s="255"/>
      <c r="J1581" s="255"/>
      <c r="K1581" s="254"/>
      <c r="L1581" s="253"/>
    </row>
    <row r="1582" spans="3:12" s="244" customFormat="1" x14ac:dyDescent="0.25">
      <c r="C1582" s="255"/>
      <c r="D1582" s="255"/>
      <c r="E1582" s="255"/>
      <c r="F1582" s="255"/>
      <c r="G1582" s="253"/>
      <c r="H1582" s="256"/>
      <c r="I1582" s="255"/>
      <c r="J1582" s="255"/>
      <c r="K1582" s="254"/>
      <c r="L1582" s="253"/>
    </row>
    <row r="1583" spans="3:12" s="244" customFormat="1" x14ac:dyDescent="0.25">
      <c r="C1583" s="255"/>
      <c r="D1583" s="255"/>
      <c r="E1583" s="255"/>
      <c r="F1583" s="255"/>
      <c r="G1583" s="253"/>
      <c r="H1583" s="256"/>
      <c r="I1583" s="255"/>
      <c r="J1583" s="255"/>
      <c r="K1583" s="254"/>
      <c r="L1583" s="253"/>
    </row>
    <row r="1584" spans="3:12" s="244" customFormat="1" x14ac:dyDescent="0.25">
      <c r="C1584" s="255"/>
      <c r="D1584" s="255"/>
      <c r="E1584" s="255"/>
      <c r="F1584" s="255"/>
      <c r="G1584" s="253"/>
      <c r="H1584" s="256"/>
      <c r="I1584" s="255"/>
      <c r="J1584" s="255"/>
      <c r="K1584" s="254"/>
      <c r="L1584" s="253"/>
    </row>
    <row r="1585" spans="3:12" s="244" customFormat="1" x14ac:dyDescent="0.25">
      <c r="C1585" s="255"/>
      <c r="D1585" s="255"/>
      <c r="E1585" s="255"/>
      <c r="F1585" s="255"/>
      <c r="G1585" s="253"/>
      <c r="H1585" s="256"/>
      <c r="I1585" s="255"/>
      <c r="J1585" s="255"/>
      <c r="K1585" s="254"/>
      <c r="L1585" s="253"/>
    </row>
    <row r="1586" spans="3:12" s="244" customFormat="1" x14ac:dyDescent="0.25">
      <c r="C1586" s="255"/>
      <c r="D1586" s="255"/>
      <c r="E1586" s="255"/>
      <c r="F1586" s="255"/>
      <c r="G1586" s="253"/>
      <c r="H1586" s="256"/>
      <c r="I1586" s="255"/>
      <c r="J1586" s="255"/>
      <c r="K1586" s="254"/>
      <c r="L1586" s="253"/>
    </row>
    <row r="1587" spans="3:12" s="244" customFormat="1" x14ac:dyDescent="0.25">
      <c r="C1587" s="255"/>
      <c r="D1587" s="255"/>
      <c r="E1587" s="255"/>
      <c r="F1587" s="255"/>
      <c r="G1587" s="253"/>
      <c r="H1587" s="256"/>
      <c r="I1587" s="255"/>
      <c r="J1587" s="255"/>
      <c r="K1587" s="254"/>
      <c r="L1587" s="253"/>
    </row>
    <row r="1588" spans="3:12" s="244" customFormat="1" x14ac:dyDescent="0.25">
      <c r="C1588" s="255"/>
      <c r="D1588" s="255"/>
      <c r="E1588" s="255"/>
      <c r="F1588" s="255"/>
      <c r="G1588" s="253"/>
      <c r="H1588" s="256"/>
      <c r="I1588" s="255"/>
      <c r="J1588" s="255"/>
      <c r="K1588" s="254"/>
      <c r="L1588" s="253"/>
    </row>
    <row r="1589" spans="3:12" s="244" customFormat="1" x14ac:dyDescent="0.25">
      <c r="C1589" s="255"/>
      <c r="D1589" s="255"/>
      <c r="E1589" s="255"/>
      <c r="F1589" s="255"/>
      <c r="G1589" s="253"/>
      <c r="H1589" s="256"/>
      <c r="I1589" s="255"/>
      <c r="J1589" s="255"/>
      <c r="K1589" s="254"/>
      <c r="L1589" s="253"/>
    </row>
    <row r="1590" spans="3:12" s="244" customFormat="1" x14ac:dyDescent="0.25">
      <c r="C1590" s="255"/>
      <c r="D1590" s="255"/>
      <c r="E1590" s="255"/>
      <c r="F1590" s="255"/>
      <c r="G1590" s="253"/>
      <c r="H1590" s="256"/>
      <c r="I1590" s="255"/>
      <c r="J1590" s="255"/>
      <c r="K1590" s="254"/>
      <c r="L1590" s="253"/>
    </row>
    <row r="1591" spans="3:12" s="244" customFormat="1" x14ac:dyDescent="0.25">
      <c r="C1591" s="255"/>
      <c r="D1591" s="255"/>
      <c r="E1591" s="255"/>
      <c r="F1591" s="255"/>
      <c r="G1591" s="253"/>
      <c r="H1591" s="256"/>
      <c r="I1591" s="255"/>
      <c r="J1591" s="255"/>
      <c r="K1591" s="254"/>
      <c r="L1591" s="253"/>
    </row>
    <row r="1592" spans="3:12" s="244" customFormat="1" x14ac:dyDescent="0.25">
      <c r="C1592" s="255"/>
      <c r="D1592" s="255"/>
      <c r="E1592" s="255"/>
      <c r="F1592" s="255"/>
      <c r="G1592" s="253"/>
      <c r="H1592" s="256"/>
      <c r="I1592" s="255"/>
      <c r="J1592" s="255"/>
      <c r="K1592" s="254"/>
      <c r="L1592" s="253"/>
    </row>
    <row r="1593" spans="3:12" s="244" customFormat="1" x14ac:dyDescent="0.25">
      <c r="C1593" s="255"/>
      <c r="D1593" s="255"/>
      <c r="E1593" s="255"/>
      <c r="F1593" s="255"/>
      <c r="G1593" s="253"/>
      <c r="H1593" s="256"/>
      <c r="I1593" s="255"/>
      <c r="J1593" s="255"/>
      <c r="K1593" s="254"/>
      <c r="L1593" s="253"/>
    </row>
    <row r="1594" spans="3:12" s="244" customFormat="1" x14ac:dyDescent="0.25">
      <c r="C1594" s="255"/>
      <c r="D1594" s="255"/>
      <c r="E1594" s="255"/>
      <c r="F1594" s="255"/>
      <c r="G1594" s="253"/>
      <c r="H1594" s="256"/>
      <c r="I1594" s="255"/>
      <c r="J1594" s="255"/>
      <c r="K1594" s="254"/>
      <c r="L1594" s="253"/>
    </row>
    <row r="1595" spans="3:12" s="244" customFormat="1" x14ac:dyDescent="0.25">
      <c r="C1595" s="255"/>
      <c r="D1595" s="255"/>
      <c r="E1595" s="255"/>
      <c r="F1595" s="255"/>
      <c r="G1595" s="253"/>
      <c r="H1595" s="256"/>
      <c r="I1595" s="255"/>
      <c r="J1595" s="255"/>
      <c r="K1595" s="254"/>
      <c r="L1595" s="253"/>
    </row>
    <row r="1596" spans="3:12" s="244" customFormat="1" x14ac:dyDescent="0.25">
      <c r="C1596" s="255"/>
      <c r="D1596" s="255"/>
      <c r="E1596" s="255"/>
      <c r="F1596" s="255"/>
      <c r="G1596" s="253"/>
      <c r="H1596" s="256"/>
      <c r="I1596" s="255"/>
      <c r="J1596" s="255"/>
      <c r="K1596" s="254"/>
      <c r="L1596" s="253"/>
    </row>
    <row r="1597" spans="3:12" s="244" customFormat="1" x14ac:dyDescent="0.25">
      <c r="C1597" s="255"/>
      <c r="D1597" s="255"/>
      <c r="E1597" s="255"/>
      <c r="F1597" s="255"/>
      <c r="G1597" s="253"/>
      <c r="H1597" s="256"/>
      <c r="I1597" s="255"/>
      <c r="J1597" s="255"/>
      <c r="K1597" s="254"/>
      <c r="L1597" s="253"/>
    </row>
    <row r="1598" spans="3:12" s="244" customFormat="1" x14ac:dyDescent="0.25">
      <c r="C1598" s="255"/>
      <c r="D1598" s="255"/>
      <c r="E1598" s="255"/>
      <c r="F1598" s="255"/>
      <c r="G1598" s="253"/>
      <c r="H1598" s="256"/>
      <c r="I1598" s="255"/>
      <c r="J1598" s="255"/>
      <c r="K1598" s="254"/>
      <c r="L1598" s="253"/>
    </row>
    <row r="1599" spans="3:12" s="244" customFormat="1" x14ac:dyDescent="0.25">
      <c r="C1599" s="255"/>
      <c r="D1599" s="255"/>
      <c r="E1599" s="255"/>
      <c r="F1599" s="255"/>
      <c r="G1599" s="253"/>
      <c r="H1599" s="256"/>
      <c r="I1599" s="255"/>
      <c r="J1599" s="255"/>
      <c r="K1599" s="254"/>
      <c r="L1599" s="253"/>
    </row>
    <row r="1600" spans="3:12" s="244" customFormat="1" x14ac:dyDescent="0.25">
      <c r="C1600" s="255"/>
      <c r="D1600" s="255"/>
      <c r="E1600" s="255"/>
      <c r="F1600" s="255"/>
      <c r="G1600" s="253"/>
      <c r="H1600" s="256"/>
      <c r="I1600" s="255"/>
      <c r="J1600" s="255"/>
      <c r="K1600" s="254"/>
      <c r="L1600" s="253"/>
    </row>
    <row r="1601" spans="3:12" s="244" customFormat="1" x14ac:dyDescent="0.25">
      <c r="C1601" s="255"/>
      <c r="D1601" s="255"/>
      <c r="E1601" s="255"/>
      <c r="F1601" s="255"/>
      <c r="G1601" s="253"/>
      <c r="H1601" s="256"/>
      <c r="I1601" s="255"/>
      <c r="J1601" s="255"/>
      <c r="K1601" s="254"/>
      <c r="L1601" s="253"/>
    </row>
    <row r="1602" spans="3:12" s="244" customFormat="1" x14ac:dyDescent="0.25">
      <c r="C1602" s="255"/>
      <c r="D1602" s="255"/>
      <c r="E1602" s="255"/>
      <c r="F1602" s="255"/>
      <c r="G1602" s="253"/>
      <c r="H1602" s="256"/>
      <c r="I1602" s="255"/>
      <c r="J1602" s="255"/>
      <c r="K1602" s="254"/>
      <c r="L1602" s="253"/>
    </row>
    <row r="1603" spans="3:12" s="244" customFormat="1" x14ac:dyDescent="0.25">
      <c r="C1603" s="255"/>
      <c r="D1603" s="255"/>
      <c r="E1603" s="255"/>
      <c r="F1603" s="255"/>
      <c r="G1603" s="253"/>
      <c r="H1603" s="256"/>
      <c r="I1603" s="255"/>
      <c r="J1603" s="255"/>
      <c r="K1603" s="254"/>
      <c r="L1603" s="253"/>
    </row>
    <row r="1604" spans="3:12" s="244" customFormat="1" x14ac:dyDescent="0.25">
      <c r="C1604" s="255"/>
      <c r="D1604" s="255"/>
      <c r="E1604" s="255"/>
      <c r="F1604" s="255"/>
      <c r="G1604" s="253"/>
      <c r="H1604" s="256"/>
      <c r="I1604" s="255"/>
      <c r="J1604" s="255"/>
      <c r="K1604" s="254"/>
      <c r="L1604" s="253"/>
    </row>
    <row r="1605" spans="3:12" s="244" customFormat="1" x14ac:dyDescent="0.25">
      <c r="C1605" s="255"/>
      <c r="D1605" s="255"/>
      <c r="E1605" s="255"/>
      <c r="F1605" s="255"/>
      <c r="G1605" s="253"/>
      <c r="H1605" s="256"/>
      <c r="I1605" s="255"/>
      <c r="J1605" s="255"/>
      <c r="K1605" s="254"/>
      <c r="L1605" s="253"/>
    </row>
    <row r="1606" spans="3:12" s="244" customFormat="1" x14ac:dyDescent="0.25">
      <c r="C1606" s="255"/>
      <c r="D1606" s="255"/>
      <c r="E1606" s="255"/>
      <c r="F1606" s="255"/>
      <c r="G1606" s="253"/>
      <c r="H1606" s="256"/>
      <c r="I1606" s="255"/>
      <c r="J1606" s="255"/>
      <c r="K1606" s="254"/>
      <c r="L1606" s="253"/>
    </row>
    <row r="1607" spans="3:12" s="244" customFormat="1" x14ac:dyDescent="0.25">
      <c r="C1607" s="255"/>
      <c r="D1607" s="255"/>
      <c r="E1607" s="255"/>
      <c r="F1607" s="255"/>
      <c r="G1607" s="253"/>
      <c r="H1607" s="256"/>
      <c r="I1607" s="255"/>
      <c r="J1607" s="255"/>
      <c r="K1607" s="254"/>
      <c r="L1607" s="253"/>
    </row>
    <row r="1608" spans="3:12" s="244" customFormat="1" x14ac:dyDescent="0.25">
      <c r="C1608" s="255"/>
      <c r="D1608" s="255"/>
      <c r="E1608" s="255"/>
      <c r="F1608" s="255"/>
      <c r="G1608" s="253"/>
      <c r="H1608" s="256"/>
      <c r="I1608" s="255"/>
      <c r="J1608" s="255"/>
      <c r="K1608" s="254"/>
      <c r="L1608" s="253"/>
    </row>
    <row r="1609" spans="3:12" s="244" customFormat="1" x14ac:dyDescent="0.25">
      <c r="C1609" s="255"/>
      <c r="D1609" s="255"/>
      <c r="E1609" s="255"/>
      <c r="F1609" s="255"/>
      <c r="G1609" s="253"/>
      <c r="H1609" s="256"/>
      <c r="I1609" s="255"/>
      <c r="J1609" s="255"/>
      <c r="K1609" s="254"/>
      <c r="L1609" s="253"/>
    </row>
    <row r="1610" spans="3:12" s="244" customFormat="1" x14ac:dyDescent="0.25">
      <c r="C1610" s="255"/>
      <c r="D1610" s="255"/>
      <c r="E1610" s="255"/>
      <c r="F1610" s="255"/>
      <c r="G1610" s="253"/>
      <c r="H1610" s="256"/>
      <c r="I1610" s="255"/>
      <c r="J1610" s="255"/>
      <c r="K1610" s="254"/>
      <c r="L1610" s="253"/>
    </row>
    <row r="1611" spans="3:12" s="244" customFormat="1" x14ac:dyDescent="0.25">
      <c r="C1611" s="255"/>
      <c r="D1611" s="255"/>
      <c r="E1611" s="255"/>
      <c r="F1611" s="255"/>
      <c r="G1611" s="253"/>
      <c r="H1611" s="256"/>
      <c r="I1611" s="255"/>
      <c r="J1611" s="255"/>
      <c r="K1611" s="254"/>
      <c r="L1611" s="253"/>
    </row>
    <row r="1612" spans="3:12" s="244" customFormat="1" x14ac:dyDescent="0.25">
      <c r="C1612" s="255"/>
      <c r="D1612" s="255"/>
      <c r="E1612" s="255"/>
      <c r="F1612" s="255"/>
      <c r="G1612" s="253"/>
      <c r="H1612" s="256"/>
      <c r="I1612" s="255"/>
      <c r="J1612" s="255"/>
      <c r="K1612" s="254"/>
      <c r="L1612" s="253"/>
    </row>
    <row r="1613" spans="3:12" s="244" customFormat="1" x14ac:dyDescent="0.25">
      <c r="C1613" s="255"/>
      <c r="D1613" s="255"/>
      <c r="E1613" s="255"/>
      <c r="F1613" s="255"/>
      <c r="G1613" s="253"/>
      <c r="H1613" s="256"/>
      <c r="I1613" s="255"/>
      <c r="J1613" s="255"/>
      <c r="K1613" s="254"/>
      <c r="L1613" s="253"/>
    </row>
    <row r="1614" spans="3:12" s="244" customFormat="1" x14ac:dyDescent="0.25">
      <c r="C1614" s="255"/>
      <c r="D1614" s="255"/>
      <c r="E1614" s="255"/>
      <c r="F1614" s="255"/>
      <c r="G1614" s="253"/>
      <c r="H1614" s="256"/>
      <c r="I1614" s="255"/>
      <c r="J1614" s="255"/>
      <c r="K1614" s="254"/>
      <c r="L1614" s="253"/>
    </row>
    <row r="1615" spans="3:12" s="244" customFormat="1" x14ac:dyDescent="0.25">
      <c r="C1615" s="255"/>
      <c r="D1615" s="255"/>
      <c r="E1615" s="255"/>
      <c r="F1615" s="255"/>
      <c r="G1615" s="253"/>
      <c r="H1615" s="256"/>
      <c r="I1615" s="255"/>
      <c r="J1615" s="255"/>
      <c r="K1615" s="254"/>
      <c r="L1615" s="253"/>
    </row>
    <row r="1616" spans="3:12" s="244" customFormat="1" x14ac:dyDescent="0.25">
      <c r="C1616" s="255"/>
      <c r="D1616" s="255"/>
      <c r="E1616" s="255"/>
      <c r="F1616" s="255"/>
      <c r="G1616" s="253"/>
      <c r="H1616" s="256"/>
      <c r="I1616" s="255"/>
      <c r="J1616" s="255"/>
      <c r="K1616" s="254"/>
      <c r="L1616" s="253"/>
    </row>
    <row r="1617" spans="3:12" s="244" customFormat="1" x14ac:dyDescent="0.25">
      <c r="C1617" s="255"/>
      <c r="D1617" s="255"/>
      <c r="E1617" s="255"/>
      <c r="F1617" s="255"/>
      <c r="G1617" s="253"/>
      <c r="H1617" s="256"/>
      <c r="I1617" s="255"/>
      <c r="J1617" s="255"/>
      <c r="K1617" s="254"/>
      <c r="L1617" s="253"/>
    </row>
    <row r="1618" spans="3:12" s="244" customFormat="1" x14ac:dyDescent="0.25">
      <c r="C1618" s="255"/>
      <c r="D1618" s="255"/>
      <c r="E1618" s="255"/>
      <c r="F1618" s="255"/>
      <c r="G1618" s="253"/>
      <c r="H1618" s="256"/>
      <c r="I1618" s="255"/>
      <c r="J1618" s="255"/>
      <c r="K1618" s="254"/>
      <c r="L1618" s="253"/>
    </row>
    <row r="1619" spans="3:12" s="244" customFormat="1" x14ac:dyDescent="0.25">
      <c r="C1619" s="255"/>
      <c r="D1619" s="255"/>
      <c r="E1619" s="255"/>
      <c r="F1619" s="255"/>
      <c r="G1619" s="253"/>
      <c r="H1619" s="256"/>
      <c r="I1619" s="255"/>
      <c r="J1619" s="255"/>
      <c r="K1619" s="254"/>
      <c r="L1619" s="253"/>
    </row>
    <row r="1620" spans="3:12" s="244" customFormat="1" x14ac:dyDescent="0.25">
      <c r="C1620" s="255"/>
      <c r="D1620" s="255"/>
      <c r="E1620" s="255"/>
      <c r="F1620" s="255"/>
      <c r="G1620" s="253"/>
      <c r="H1620" s="256"/>
      <c r="I1620" s="255"/>
      <c r="J1620" s="255"/>
      <c r="K1620" s="254"/>
      <c r="L1620" s="253"/>
    </row>
    <row r="1621" spans="3:12" s="244" customFormat="1" x14ac:dyDescent="0.25">
      <c r="C1621" s="255"/>
      <c r="D1621" s="255"/>
      <c r="E1621" s="255"/>
      <c r="F1621" s="255"/>
      <c r="G1621" s="253"/>
      <c r="H1621" s="256"/>
      <c r="I1621" s="255"/>
      <c r="J1621" s="255"/>
      <c r="K1621" s="254"/>
      <c r="L1621" s="253"/>
    </row>
    <row r="1622" spans="3:12" s="244" customFormat="1" x14ac:dyDescent="0.25">
      <c r="C1622" s="255"/>
      <c r="D1622" s="255"/>
      <c r="E1622" s="255"/>
      <c r="F1622" s="255"/>
      <c r="G1622" s="253"/>
      <c r="H1622" s="256"/>
      <c r="I1622" s="255"/>
      <c r="J1622" s="255"/>
      <c r="K1622" s="254"/>
      <c r="L1622" s="253"/>
    </row>
    <row r="1623" spans="3:12" s="244" customFormat="1" x14ac:dyDescent="0.25">
      <c r="C1623" s="255"/>
      <c r="D1623" s="255"/>
      <c r="E1623" s="255"/>
      <c r="F1623" s="255"/>
      <c r="G1623" s="253"/>
      <c r="H1623" s="256"/>
      <c r="I1623" s="255"/>
      <c r="J1623" s="255"/>
      <c r="K1623" s="254"/>
      <c r="L1623" s="253"/>
    </row>
    <row r="1624" spans="3:12" s="244" customFormat="1" x14ac:dyDescent="0.25">
      <c r="C1624" s="255"/>
      <c r="D1624" s="255"/>
      <c r="E1624" s="255"/>
      <c r="F1624" s="255"/>
      <c r="G1624" s="253"/>
      <c r="H1624" s="256"/>
      <c r="I1624" s="255"/>
      <c r="J1624" s="255"/>
      <c r="K1624" s="254"/>
      <c r="L1624" s="253"/>
    </row>
    <row r="1625" spans="3:12" s="244" customFormat="1" x14ac:dyDescent="0.25">
      <c r="C1625" s="255"/>
      <c r="D1625" s="255"/>
      <c r="E1625" s="255"/>
      <c r="F1625" s="255"/>
      <c r="G1625" s="253"/>
      <c r="H1625" s="256"/>
      <c r="I1625" s="255"/>
      <c r="J1625" s="255"/>
      <c r="K1625" s="254"/>
      <c r="L1625" s="253"/>
    </row>
    <row r="1626" spans="3:12" s="244" customFormat="1" x14ac:dyDescent="0.25">
      <c r="C1626" s="255"/>
      <c r="D1626" s="255"/>
      <c r="E1626" s="255"/>
      <c r="F1626" s="255"/>
      <c r="G1626" s="253"/>
      <c r="H1626" s="256"/>
      <c r="I1626" s="255"/>
      <c r="J1626" s="255"/>
      <c r="K1626" s="254"/>
      <c r="L1626" s="253"/>
    </row>
    <row r="1627" spans="3:12" s="244" customFormat="1" x14ac:dyDescent="0.25">
      <c r="C1627" s="255"/>
      <c r="D1627" s="255"/>
      <c r="E1627" s="255"/>
      <c r="F1627" s="255"/>
      <c r="G1627" s="253"/>
      <c r="H1627" s="256"/>
      <c r="I1627" s="255"/>
      <c r="J1627" s="255"/>
      <c r="K1627" s="254"/>
      <c r="L1627" s="253"/>
    </row>
    <row r="1628" spans="3:12" s="244" customFormat="1" x14ac:dyDescent="0.25">
      <c r="C1628" s="255"/>
      <c r="D1628" s="255"/>
      <c r="E1628" s="255"/>
      <c r="F1628" s="255"/>
      <c r="G1628" s="253"/>
      <c r="H1628" s="256"/>
      <c r="I1628" s="255"/>
      <c r="J1628" s="255"/>
      <c r="K1628" s="254"/>
      <c r="L1628" s="253"/>
    </row>
    <row r="1629" spans="3:12" s="244" customFormat="1" x14ac:dyDescent="0.25">
      <c r="C1629" s="255"/>
      <c r="D1629" s="255"/>
      <c r="E1629" s="255"/>
      <c r="F1629" s="255"/>
      <c r="G1629" s="253"/>
      <c r="H1629" s="256"/>
      <c r="I1629" s="255"/>
      <c r="J1629" s="255"/>
      <c r="K1629" s="254"/>
      <c r="L1629" s="253"/>
    </row>
    <row r="1630" spans="3:12" s="244" customFormat="1" x14ac:dyDescent="0.25">
      <c r="C1630" s="255"/>
      <c r="D1630" s="255"/>
      <c r="E1630" s="255"/>
      <c r="F1630" s="255"/>
      <c r="G1630" s="253"/>
      <c r="H1630" s="256"/>
      <c r="I1630" s="255"/>
      <c r="J1630" s="255"/>
      <c r="K1630" s="254"/>
      <c r="L1630" s="253"/>
    </row>
    <row r="1631" spans="3:12" s="244" customFormat="1" x14ac:dyDescent="0.25">
      <c r="C1631" s="255"/>
      <c r="D1631" s="255"/>
      <c r="E1631" s="255"/>
      <c r="F1631" s="255"/>
      <c r="G1631" s="253"/>
      <c r="H1631" s="256"/>
      <c r="I1631" s="255"/>
      <c r="J1631" s="255"/>
      <c r="K1631" s="254"/>
      <c r="L1631" s="253"/>
    </row>
    <row r="1632" spans="3:12" s="244" customFormat="1" x14ac:dyDescent="0.25">
      <c r="C1632" s="255"/>
      <c r="D1632" s="255"/>
      <c r="E1632" s="255"/>
      <c r="F1632" s="255"/>
      <c r="G1632" s="253"/>
      <c r="H1632" s="256"/>
      <c r="I1632" s="255"/>
      <c r="J1632" s="255"/>
      <c r="K1632" s="254"/>
      <c r="L1632" s="253"/>
    </row>
    <row r="1633" spans="3:12" s="244" customFormat="1" x14ac:dyDescent="0.25">
      <c r="C1633" s="255"/>
      <c r="D1633" s="255"/>
      <c r="E1633" s="255"/>
      <c r="F1633" s="255"/>
      <c r="G1633" s="253"/>
      <c r="H1633" s="256"/>
      <c r="I1633" s="255"/>
      <c r="J1633" s="255"/>
      <c r="K1633" s="254"/>
      <c r="L1633" s="253"/>
    </row>
    <row r="1634" spans="3:12" s="244" customFormat="1" x14ac:dyDescent="0.25">
      <c r="C1634" s="255"/>
      <c r="D1634" s="255"/>
      <c r="E1634" s="255"/>
      <c r="F1634" s="255"/>
      <c r="G1634" s="253"/>
      <c r="H1634" s="256"/>
      <c r="I1634" s="255"/>
      <c r="J1634" s="255"/>
      <c r="K1634" s="254"/>
      <c r="L1634" s="253"/>
    </row>
    <row r="1635" spans="3:12" s="244" customFormat="1" x14ac:dyDescent="0.25">
      <c r="C1635" s="255"/>
      <c r="D1635" s="255"/>
      <c r="E1635" s="255"/>
      <c r="F1635" s="255"/>
      <c r="G1635" s="253"/>
      <c r="H1635" s="256"/>
      <c r="I1635" s="255"/>
      <c r="J1635" s="255"/>
      <c r="K1635" s="254"/>
      <c r="L1635" s="253"/>
    </row>
    <row r="1636" spans="3:12" s="244" customFormat="1" x14ac:dyDescent="0.25">
      <c r="C1636" s="255"/>
      <c r="D1636" s="255"/>
      <c r="E1636" s="255"/>
      <c r="F1636" s="255"/>
      <c r="G1636" s="253"/>
      <c r="H1636" s="256"/>
      <c r="I1636" s="255"/>
      <c r="J1636" s="255"/>
      <c r="K1636" s="254"/>
      <c r="L1636" s="253"/>
    </row>
    <row r="1637" spans="3:12" s="244" customFormat="1" x14ac:dyDescent="0.25">
      <c r="C1637" s="255"/>
      <c r="D1637" s="255"/>
      <c r="E1637" s="255"/>
      <c r="F1637" s="255"/>
      <c r="G1637" s="253"/>
      <c r="H1637" s="256"/>
      <c r="I1637" s="255"/>
      <c r="J1637" s="255"/>
      <c r="K1637" s="254"/>
      <c r="L1637" s="253"/>
    </row>
    <row r="1638" spans="3:12" s="244" customFormat="1" x14ac:dyDescent="0.25">
      <c r="C1638" s="255"/>
      <c r="D1638" s="255"/>
      <c r="E1638" s="255"/>
      <c r="F1638" s="255"/>
      <c r="G1638" s="253"/>
      <c r="H1638" s="256"/>
      <c r="I1638" s="255"/>
      <c r="J1638" s="255"/>
      <c r="K1638" s="254"/>
      <c r="L1638" s="253"/>
    </row>
    <row r="1639" spans="3:12" s="244" customFormat="1" x14ac:dyDescent="0.25">
      <c r="C1639" s="255"/>
      <c r="D1639" s="255"/>
      <c r="E1639" s="255"/>
      <c r="F1639" s="255"/>
      <c r="G1639" s="253"/>
      <c r="H1639" s="256"/>
      <c r="I1639" s="255"/>
      <c r="J1639" s="255"/>
      <c r="K1639" s="254"/>
      <c r="L1639" s="253"/>
    </row>
    <row r="1640" spans="3:12" s="244" customFormat="1" x14ac:dyDescent="0.25">
      <c r="C1640" s="255"/>
      <c r="D1640" s="255"/>
      <c r="E1640" s="255"/>
      <c r="F1640" s="255"/>
      <c r="G1640" s="253"/>
      <c r="H1640" s="256"/>
      <c r="I1640" s="255"/>
      <c r="J1640" s="255"/>
      <c r="K1640" s="254"/>
      <c r="L1640" s="253"/>
    </row>
    <row r="1641" spans="3:12" s="244" customFormat="1" x14ac:dyDescent="0.25">
      <c r="C1641" s="255"/>
      <c r="D1641" s="255"/>
      <c r="E1641" s="255"/>
      <c r="F1641" s="255"/>
      <c r="G1641" s="253"/>
      <c r="H1641" s="256"/>
      <c r="I1641" s="255"/>
      <c r="J1641" s="255"/>
      <c r="K1641" s="254"/>
      <c r="L1641" s="253"/>
    </row>
    <row r="1642" spans="3:12" s="244" customFormat="1" x14ac:dyDescent="0.25">
      <c r="C1642" s="255"/>
      <c r="D1642" s="255"/>
      <c r="E1642" s="255"/>
      <c r="F1642" s="255"/>
      <c r="G1642" s="253"/>
      <c r="H1642" s="256"/>
      <c r="I1642" s="255"/>
      <c r="J1642" s="255"/>
      <c r="K1642" s="254"/>
      <c r="L1642" s="253"/>
    </row>
    <row r="1643" spans="3:12" s="244" customFormat="1" x14ac:dyDescent="0.25">
      <c r="C1643" s="255"/>
      <c r="D1643" s="255"/>
      <c r="E1643" s="255"/>
      <c r="F1643" s="255"/>
      <c r="G1643" s="253"/>
      <c r="H1643" s="256"/>
      <c r="I1643" s="255"/>
      <c r="J1643" s="255"/>
      <c r="K1643" s="254"/>
      <c r="L1643" s="253"/>
    </row>
    <row r="1644" spans="3:12" s="244" customFormat="1" x14ac:dyDescent="0.25">
      <c r="C1644" s="255"/>
      <c r="D1644" s="255"/>
      <c r="E1644" s="255"/>
      <c r="F1644" s="255"/>
      <c r="G1644" s="253"/>
      <c r="H1644" s="256"/>
      <c r="I1644" s="255"/>
      <c r="J1644" s="255"/>
      <c r="K1644" s="254"/>
      <c r="L1644" s="253"/>
    </row>
    <row r="1645" spans="3:12" s="244" customFormat="1" x14ac:dyDescent="0.25">
      <c r="C1645" s="255"/>
      <c r="D1645" s="255"/>
      <c r="E1645" s="255"/>
      <c r="F1645" s="255"/>
      <c r="G1645" s="253"/>
      <c r="H1645" s="256"/>
      <c r="I1645" s="255"/>
      <c r="J1645" s="255"/>
      <c r="K1645" s="254"/>
      <c r="L1645" s="253"/>
    </row>
    <row r="1646" spans="3:12" s="244" customFormat="1" x14ac:dyDescent="0.25">
      <c r="C1646" s="255"/>
      <c r="D1646" s="255"/>
      <c r="E1646" s="255"/>
      <c r="F1646" s="255"/>
      <c r="G1646" s="253"/>
      <c r="H1646" s="256"/>
      <c r="I1646" s="255"/>
      <c r="J1646" s="255"/>
      <c r="K1646" s="254"/>
      <c r="L1646" s="253"/>
    </row>
    <row r="1647" spans="3:12" s="244" customFormat="1" x14ac:dyDescent="0.25">
      <c r="C1647" s="255"/>
      <c r="D1647" s="255"/>
      <c r="E1647" s="255"/>
      <c r="F1647" s="255"/>
      <c r="G1647" s="253"/>
      <c r="H1647" s="256"/>
      <c r="I1647" s="255"/>
      <c r="J1647" s="255"/>
      <c r="K1647" s="254"/>
      <c r="L1647" s="253"/>
    </row>
    <row r="1648" spans="3:12" s="244" customFormat="1" x14ac:dyDescent="0.25">
      <c r="C1648" s="255"/>
      <c r="D1648" s="255"/>
      <c r="E1648" s="255"/>
      <c r="F1648" s="255"/>
      <c r="G1648" s="253"/>
      <c r="H1648" s="256"/>
      <c r="I1648" s="255"/>
      <c r="J1648" s="255"/>
      <c r="K1648" s="254"/>
      <c r="L1648" s="253"/>
    </row>
    <row r="1649" spans="3:12" s="244" customFormat="1" x14ac:dyDescent="0.25">
      <c r="C1649" s="255"/>
      <c r="D1649" s="255"/>
      <c r="E1649" s="255"/>
      <c r="F1649" s="255"/>
      <c r="G1649" s="253"/>
      <c r="H1649" s="256"/>
      <c r="I1649" s="255"/>
      <c r="J1649" s="255"/>
      <c r="K1649" s="254"/>
      <c r="L1649" s="253"/>
    </row>
    <row r="1650" spans="3:12" s="244" customFormat="1" x14ac:dyDescent="0.25">
      <c r="C1650" s="255"/>
      <c r="D1650" s="255"/>
      <c r="E1650" s="255"/>
      <c r="F1650" s="255"/>
      <c r="G1650" s="253"/>
      <c r="H1650" s="256"/>
      <c r="I1650" s="255"/>
      <c r="J1650" s="255"/>
      <c r="K1650" s="254"/>
      <c r="L1650" s="253"/>
    </row>
    <row r="1651" spans="3:12" s="244" customFormat="1" x14ac:dyDescent="0.25">
      <c r="C1651" s="255"/>
      <c r="D1651" s="255"/>
      <c r="E1651" s="255"/>
      <c r="F1651" s="255"/>
      <c r="G1651" s="253"/>
      <c r="H1651" s="256"/>
      <c r="I1651" s="255"/>
      <c r="J1651" s="255"/>
      <c r="K1651" s="254"/>
      <c r="L1651" s="253"/>
    </row>
    <row r="1652" spans="3:12" s="244" customFormat="1" x14ac:dyDescent="0.25">
      <c r="C1652" s="255"/>
      <c r="D1652" s="255"/>
      <c r="E1652" s="255"/>
      <c r="F1652" s="255"/>
      <c r="G1652" s="253"/>
      <c r="H1652" s="256"/>
      <c r="I1652" s="255"/>
      <c r="J1652" s="255"/>
      <c r="K1652" s="254"/>
      <c r="L1652" s="253"/>
    </row>
    <row r="1653" spans="3:12" s="244" customFormat="1" x14ac:dyDescent="0.25">
      <c r="C1653" s="255"/>
      <c r="D1653" s="255"/>
      <c r="E1653" s="255"/>
      <c r="F1653" s="255"/>
      <c r="G1653" s="253"/>
      <c r="H1653" s="256"/>
      <c r="I1653" s="255"/>
      <c r="J1653" s="255"/>
      <c r="K1653" s="254"/>
      <c r="L1653" s="253"/>
    </row>
    <row r="1654" spans="3:12" s="244" customFormat="1" x14ac:dyDescent="0.25">
      <c r="C1654" s="255"/>
      <c r="D1654" s="255"/>
      <c r="E1654" s="255"/>
      <c r="F1654" s="255"/>
      <c r="G1654" s="253"/>
      <c r="H1654" s="256"/>
      <c r="I1654" s="255"/>
      <c r="J1654" s="255"/>
      <c r="K1654" s="254"/>
      <c r="L1654" s="253"/>
    </row>
    <row r="1655" spans="3:12" s="244" customFormat="1" x14ac:dyDescent="0.25">
      <c r="C1655" s="255"/>
      <c r="D1655" s="255"/>
      <c r="E1655" s="255"/>
      <c r="F1655" s="255"/>
      <c r="G1655" s="253"/>
      <c r="H1655" s="256"/>
      <c r="I1655" s="255"/>
      <c r="J1655" s="255"/>
      <c r="K1655" s="254"/>
      <c r="L1655" s="253"/>
    </row>
    <row r="1656" spans="3:12" s="244" customFormat="1" x14ac:dyDescent="0.25">
      <c r="C1656" s="255"/>
      <c r="D1656" s="255"/>
      <c r="E1656" s="255"/>
      <c r="F1656" s="255"/>
      <c r="G1656" s="253"/>
      <c r="H1656" s="256"/>
      <c r="I1656" s="255"/>
      <c r="J1656" s="255"/>
      <c r="K1656" s="254"/>
      <c r="L1656" s="253"/>
    </row>
    <row r="1657" spans="3:12" s="244" customFormat="1" x14ac:dyDescent="0.25">
      <c r="C1657" s="255"/>
      <c r="D1657" s="255"/>
      <c r="E1657" s="255"/>
      <c r="F1657" s="255"/>
      <c r="G1657" s="253"/>
      <c r="H1657" s="256"/>
      <c r="I1657" s="255"/>
      <c r="J1657" s="255"/>
      <c r="K1657" s="254"/>
      <c r="L1657" s="253"/>
    </row>
    <row r="1658" spans="3:12" s="244" customFormat="1" x14ac:dyDescent="0.25">
      <c r="C1658" s="255"/>
      <c r="D1658" s="255"/>
      <c r="E1658" s="255"/>
      <c r="F1658" s="255"/>
      <c r="G1658" s="253"/>
      <c r="H1658" s="256"/>
      <c r="I1658" s="255"/>
      <c r="J1658" s="255"/>
      <c r="K1658" s="254"/>
      <c r="L1658" s="253"/>
    </row>
    <row r="1659" spans="3:12" s="244" customFormat="1" x14ac:dyDescent="0.25">
      <c r="C1659" s="255"/>
      <c r="D1659" s="255"/>
      <c r="E1659" s="255"/>
      <c r="F1659" s="255"/>
      <c r="G1659" s="253"/>
      <c r="H1659" s="256"/>
      <c r="I1659" s="255"/>
      <c r="J1659" s="255"/>
      <c r="K1659" s="254"/>
      <c r="L1659" s="253"/>
    </row>
    <row r="1660" spans="3:12" s="244" customFormat="1" x14ac:dyDescent="0.25">
      <c r="C1660" s="255"/>
      <c r="D1660" s="255"/>
      <c r="E1660" s="255"/>
      <c r="F1660" s="255"/>
      <c r="G1660" s="253"/>
      <c r="H1660" s="256"/>
      <c r="I1660" s="255"/>
      <c r="J1660" s="255"/>
      <c r="K1660" s="254"/>
      <c r="L1660" s="253"/>
    </row>
    <row r="1661" spans="3:12" s="244" customFormat="1" x14ac:dyDescent="0.25">
      <c r="C1661" s="255"/>
      <c r="D1661" s="255"/>
      <c r="E1661" s="255"/>
      <c r="F1661" s="255"/>
      <c r="G1661" s="253"/>
      <c r="H1661" s="256"/>
      <c r="I1661" s="255"/>
      <c r="J1661" s="255"/>
      <c r="K1661" s="254"/>
      <c r="L1661" s="253"/>
    </row>
    <row r="1662" spans="3:12" s="244" customFormat="1" x14ac:dyDescent="0.25">
      <c r="C1662" s="255"/>
      <c r="D1662" s="255"/>
      <c r="E1662" s="255"/>
      <c r="F1662" s="255"/>
      <c r="G1662" s="253"/>
      <c r="H1662" s="256"/>
      <c r="I1662" s="255"/>
      <c r="J1662" s="255"/>
      <c r="K1662" s="254"/>
      <c r="L1662" s="253"/>
    </row>
    <row r="1663" spans="3:12" s="244" customFormat="1" x14ac:dyDescent="0.25">
      <c r="C1663" s="255"/>
      <c r="D1663" s="255"/>
      <c r="E1663" s="255"/>
      <c r="F1663" s="255"/>
      <c r="G1663" s="253"/>
      <c r="H1663" s="256"/>
      <c r="I1663" s="255"/>
      <c r="J1663" s="255"/>
      <c r="K1663" s="254"/>
      <c r="L1663" s="253"/>
    </row>
    <row r="1664" spans="3:12" s="244" customFormat="1" x14ac:dyDescent="0.25">
      <c r="C1664" s="255"/>
      <c r="D1664" s="255"/>
      <c r="E1664" s="255"/>
      <c r="F1664" s="255"/>
      <c r="G1664" s="253"/>
      <c r="H1664" s="256"/>
      <c r="I1664" s="255"/>
      <c r="J1664" s="255"/>
      <c r="K1664" s="254"/>
      <c r="L1664" s="253"/>
    </row>
    <row r="1665" spans="3:12" s="244" customFormat="1" x14ac:dyDescent="0.25">
      <c r="C1665" s="255"/>
      <c r="D1665" s="255"/>
      <c r="E1665" s="255"/>
      <c r="F1665" s="255"/>
      <c r="G1665" s="253"/>
      <c r="H1665" s="256"/>
      <c r="I1665" s="255"/>
      <c r="J1665" s="255"/>
      <c r="K1665" s="254"/>
      <c r="L1665" s="253"/>
    </row>
    <row r="1666" spans="3:12" s="244" customFormat="1" x14ac:dyDescent="0.25">
      <c r="C1666" s="255"/>
      <c r="D1666" s="255"/>
      <c r="E1666" s="255"/>
      <c r="F1666" s="255"/>
      <c r="G1666" s="253"/>
      <c r="H1666" s="256"/>
      <c r="I1666" s="255"/>
      <c r="J1666" s="255"/>
      <c r="K1666" s="254"/>
      <c r="L1666" s="253"/>
    </row>
    <row r="1667" spans="3:12" s="244" customFormat="1" x14ac:dyDescent="0.25">
      <c r="C1667" s="255"/>
      <c r="D1667" s="255"/>
      <c r="E1667" s="255"/>
      <c r="F1667" s="255"/>
      <c r="G1667" s="253"/>
      <c r="H1667" s="256"/>
      <c r="I1667" s="255"/>
      <c r="J1667" s="255"/>
      <c r="K1667" s="254"/>
      <c r="L1667" s="253"/>
    </row>
    <row r="1668" spans="3:12" s="244" customFormat="1" x14ac:dyDescent="0.25">
      <c r="C1668" s="255"/>
      <c r="D1668" s="255"/>
      <c r="E1668" s="255"/>
      <c r="F1668" s="255"/>
      <c r="G1668" s="253"/>
      <c r="H1668" s="256"/>
      <c r="I1668" s="255"/>
      <c r="J1668" s="255"/>
      <c r="K1668" s="254"/>
      <c r="L1668" s="253"/>
    </row>
    <row r="1669" spans="3:12" s="244" customFormat="1" x14ac:dyDescent="0.25">
      <c r="C1669" s="255"/>
      <c r="D1669" s="255"/>
      <c r="E1669" s="255"/>
      <c r="F1669" s="255"/>
      <c r="G1669" s="253"/>
      <c r="H1669" s="256"/>
      <c r="I1669" s="255"/>
      <c r="J1669" s="255"/>
      <c r="K1669" s="254"/>
      <c r="L1669" s="253"/>
    </row>
    <row r="1670" spans="3:12" s="244" customFormat="1" x14ac:dyDescent="0.25">
      <c r="C1670" s="255"/>
      <c r="D1670" s="255"/>
      <c r="E1670" s="255"/>
      <c r="F1670" s="255"/>
      <c r="G1670" s="253"/>
      <c r="H1670" s="256"/>
      <c r="I1670" s="255"/>
      <c r="J1670" s="255"/>
      <c r="K1670" s="254"/>
      <c r="L1670" s="253"/>
    </row>
    <row r="1671" spans="3:12" s="244" customFormat="1" x14ac:dyDescent="0.25">
      <c r="C1671" s="255"/>
      <c r="D1671" s="255"/>
      <c r="E1671" s="255"/>
      <c r="F1671" s="255"/>
      <c r="G1671" s="253"/>
      <c r="H1671" s="256"/>
      <c r="I1671" s="255"/>
      <c r="J1671" s="255"/>
      <c r="K1671" s="254"/>
      <c r="L1671" s="253"/>
    </row>
    <row r="1672" spans="3:12" s="244" customFormat="1" x14ac:dyDescent="0.25">
      <c r="C1672" s="255"/>
      <c r="D1672" s="255"/>
      <c r="E1672" s="255"/>
      <c r="F1672" s="255"/>
      <c r="G1672" s="253"/>
      <c r="H1672" s="256"/>
      <c r="I1672" s="255"/>
      <c r="J1672" s="255"/>
      <c r="K1672" s="254"/>
      <c r="L1672" s="253"/>
    </row>
    <row r="1673" spans="3:12" s="244" customFormat="1" x14ac:dyDescent="0.25">
      <c r="C1673" s="255"/>
      <c r="D1673" s="255"/>
      <c r="E1673" s="255"/>
      <c r="F1673" s="255"/>
      <c r="G1673" s="253"/>
      <c r="H1673" s="256"/>
      <c r="I1673" s="255"/>
      <c r="J1673" s="255"/>
      <c r="K1673" s="254"/>
      <c r="L1673" s="253"/>
    </row>
    <row r="1674" spans="3:12" s="244" customFormat="1" x14ac:dyDescent="0.25">
      <c r="C1674" s="255"/>
      <c r="D1674" s="255"/>
      <c r="E1674" s="255"/>
      <c r="F1674" s="255"/>
      <c r="G1674" s="253"/>
      <c r="H1674" s="256"/>
      <c r="I1674" s="255"/>
      <c r="J1674" s="255"/>
      <c r="K1674" s="254"/>
      <c r="L1674" s="253"/>
    </row>
    <row r="1675" spans="3:12" s="244" customFormat="1" x14ac:dyDescent="0.25">
      <c r="C1675" s="255"/>
      <c r="D1675" s="255"/>
      <c r="E1675" s="255"/>
      <c r="F1675" s="255"/>
      <c r="G1675" s="253"/>
      <c r="H1675" s="256"/>
      <c r="I1675" s="255"/>
      <c r="J1675" s="255"/>
      <c r="K1675" s="254"/>
      <c r="L1675" s="253"/>
    </row>
    <row r="1676" spans="3:12" s="244" customFormat="1" x14ac:dyDescent="0.25">
      <c r="C1676" s="255"/>
      <c r="D1676" s="255"/>
      <c r="E1676" s="255"/>
      <c r="F1676" s="255"/>
      <c r="G1676" s="253"/>
      <c r="H1676" s="256"/>
      <c r="I1676" s="255"/>
      <c r="J1676" s="255"/>
      <c r="K1676" s="254"/>
      <c r="L1676" s="253"/>
    </row>
    <row r="1677" spans="3:12" s="244" customFormat="1" x14ac:dyDescent="0.25">
      <c r="C1677" s="255"/>
      <c r="D1677" s="255"/>
      <c r="E1677" s="255"/>
      <c r="F1677" s="255"/>
      <c r="G1677" s="253"/>
      <c r="H1677" s="256"/>
      <c r="I1677" s="255"/>
      <c r="J1677" s="255"/>
      <c r="K1677" s="254"/>
      <c r="L1677" s="253"/>
    </row>
    <row r="1678" spans="3:12" s="244" customFormat="1" x14ac:dyDescent="0.25">
      <c r="C1678" s="255"/>
      <c r="D1678" s="255"/>
      <c r="E1678" s="255"/>
      <c r="F1678" s="255"/>
      <c r="G1678" s="253"/>
      <c r="H1678" s="256"/>
      <c r="I1678" s="255"/>
      <c r="J1678" s="255"/>
      <c r="K1678" s="254"/>
      <c r="L1678" s="253"/>
    </row>
    <row r="1679" spans="3:12" s="244" customFormat="1" x14ac:dyDescent="0.25">
      <c r="C1679" s="255"/>
      <c r="D1679" s="255"/>
      <c r="E1679" s="255"/>
      <c r="F1679" s="255"/>
      <c r="G1679" s="253"/>
      <c r="H1679" s="256"/>
      <c r="I1679" s="255"/>
      <c r="J1679" s="255"/>
      <c r="K1679" s="254"/>
      <c r="L1679" s="253"/>
    </row>
    <row r="1680" spans="3:12" s="244" customFormat="1" x14ac:dyDescent="0.25">
      <c r="C1680" s="255"/>
      <c r="D1680" s="255"/>
      <c r="E1680" s="255"/>
      <c r="F1680" s="255"/>
      <c r="G1680" s="253"/>
      <c r="H1680" s="256"/>
      <c r="I1680" s="255"/>
      <c r="J1680" s="255"/>
      <c r="K1680" s="254"/>
      <c r="L1680" s="253"/>
    </row>
    <row r="1681" spans="3:12" s="244" customFormat="1" x14ac:dyDescent="0.25">
      <c r="C1681" s="255"/>
      <c r="D1681" s="255"/>
      <c r="E1681" s="255"/>
      <c r="F1681" s="255"/>
      <c r="G1681" s="253"/>
      <c r="H1681" s="256"/>
      <c r="I1681" s="255"/>
      <c r="J1681" s="255"/>
      <c r="K1681" s="254"/>
      <c r="L1681" s="253"/>
    </row>
    <row r="1682" spans="3:12" s="244" customFormat="1" x14ac:dyDescent="0.25">
      <c r="C1682" s="255"/>
      <c r="D1682" s="255"/>
      <c r="E1682" s="255"/>
      <c r="F1682" s="255"/>
      <c r="G1682" s="253"/>
      <c r="H1682" s="256"/>
      <c r="I1682" s="255"/>
      <c r="J1682" s="255"/>
      <c r="K1682" s="254"/>
      <c r="L1682" s="253"/>
    </row>
    <row r="1683" spans="3:12" s="244" customFormat="1" x14ac:dyDescent="0.25">
      <c r="C1683" s="255"/>
      <c r="D1683" s="255"/>
      <c r="E1683" s="255"/>
      <c r="F1683" s="255"/>
      <c r="G1683" s="253"/>
      <c r="H1683" s="256"/>
      <c r="I1683" s="255"/>
      <c r="J1683" s="255"/>
      <c r="K1683" s="254"/>
      <c r="L1683" s="253"/>
    </row>
    <row r="1684" spans="3:12" s="244" customFormat="1" x14ac:dyDescent="0.25">
      <c r="C1684" s="255"/>
      <c r="D1684" s="255"/>
      <c r="E1684" s="255"/>
      <c r="F1684" s="255"/>
      <c r="G1684" s="253"/>
      <c r="H1684" s="256"/>
      <c r="I1684" s="255"/>
      <c r="J1684" s="255"/>
      <c r="K1684" s="254"/>
      <c r="L1684" s="253"/>
    </row>
    <row r="1685" spans="3:12" s="244" customFormat="1" x14ac:dyDescent="0.25">
      <c r="C1685" s="255"/>
      <c r="D1685" s="255"/>
      <c r="E1685" s="255"/>
      <c r="F1685" s="255"/>
      <c r="G1685" s="253"/>
      <c r="H1685" s="256"/>
      <c r="I1685" s="255"/>
      <c r="J1685" s="255"/>
      <c r="K1685" s="254"/>
      <c r="L1685" s="253"/>
    </row>
    <row r="1686" spans="3:12" s="244" customFormat="1" x14ac:dyDescent="0.25">
      <c r="C1686" s="255"/>
      <c r="D1686" s="255"/>
      <c r="E1686" s="255"/>
      <c r="F1686" s="255"/>
      <c r="G1686" s="253"/>
      <c r="H1686" s="256"/>
      <c r="I1686" s="255"/>
      <c r="J1686" s="255"/>
      <c r="K1686" s="254"/>
      <c r="L1686" s="253"/>
    </row>
    <row r="1687" spans="3:12" s="244" customFormat="1" x14ac:dyDescent="0.25">
      <c r="C1687" s="255"/>
      <c r="D1687" s="255"/>
      <c r="E1687" s="255"/>
      <c r="F1687" s="255"/>
      <c r="G1687" s="253"/>
      <c r="H1687" s="256"/>
      <c r="I1687" s="255"/>
      <c r="J1687" s="255"/>
      <c r="K1687" s="254"/>
      <c r="L1687" s="253"/>
    </row>
    <row r="1688" spans="3:12" s="244" customFormat="1" x14ac:dyDescent="0.25">
      <c r="C1688" s="255"/>
      <c r="D1688" s="255"/>
      <c r="E1688" s="255"/>
      <c r="F1688" s="255"/>
      <c r="G1688" s="253"/>
      <c r="H1688" s="256"/>
      <c r="I1688" s="255"/>
      <c r="J1688" s="255"/>
      <c r="K1688" s="254"/>
      <c r="L1688" s="253"/>
    </row>
    <row r="1689" spans="3:12" s="244" customFormat="1" x14ac:dyDescent="0.25">
      <c r="C1689" s="255"/>
      <c r="D1689" s="255"/>
      <c r="E1689" s="255"/>
      <c r="F1689" s="255"/>
      <c r="G1689" s="253"/>
      <c r="H1689" s="256"/>
      <c r="I1689" s="255"/>
      <c r="J1689" s="255"/>
      <c r="K1689" s="254"/>
      <c r="L1689" s="253"/>
    </row>
    <row r="1690" spans="3:12" s="244" customFormat="1" x14ac:dyDescent="0.25">
      <c r="C1690" s="255"/>
      <c r="D1690" s="255"/>
      <c r="E1690" s="255"/>
      <c r="F1690" s="255"/>
      <c r="G1690" s="253"/>
      <c r="H1690" s="256"/>
      <c r="I1690" s="255"/>
      <c r="J1690" s="255"/>
      <c r="K1690" s="254"/>
      <c r="L1690" s="253"/>
    </row>
    <row r="1691" spans="3:12" s="244" customFormat="1" x14ac:dyDescent="0.25">
      <c r="C1691" s="255"/>
      <c r="D1691" s="255"/>
      <c r="E1691" s="255"/>
      <c r="F1691" s="255"/>
      <c r="G1691" s="253"/>
      <c r="H1691" s="256"/>
      <c r="I1691" s="255"/>
      <c r="J1691" s="255"/>
      <c r="K1691" s="254"/>
      <c r="L1691" s="253"/>
    </row>
    <row r="1692" spans="3:12" s="244" customFormat="1" x14ac:dyDescent="0.25">
      <c r="C1692" s="255"/>
      <c r="D1692" s="255"/>
      <c r="E1692" s="255"/>
      <c r="F1692" s="255"/>
      <c r="G1692" s="253"/>
      <c r="H1692" s="256"/>
      <c r="I1692" s="255"/>
      <c r="J1692" s="255"/>
      <c r="K1692" s="254"/>
      <c r="L1692" s="253"/>
    </row>
    <row r="1693" spans="3:12" s="244" customFormat="1" x14ac:dyDescent="0.25">
      <c r="C1693" s="255"/>
      <c r="D1693" s="255"/>
      <c r="E1693" s="255"/>
      <c r="F1693" s="255"/>
      <c r="G1693" s="253"/>
      <c r="H1693" s="256"/>
      <c r="I1693" s="255"/>
      <c r="J1693" s="255"/>
      <c r="K1693" s="254"/>
      <c r="L1693" s="253"/>
    </row>
    <row r="1694" spans="3:12" s="244" customFormat="1" x14ac:dyDescent="0.25">
      <c r="C1694" s="255"/>
      <c r="D1694" s="255"/>
      <c r="E1694" s="255"/>
      <c r="F1694" s="255"/>
      <c r="G1694" s="253"/>
      <c r="H1694" s="256"/>
      <c r="I1694" s="255"/>
      <c r="J1694" s="255"/>
      <c r="K1694" s="254"/>
      <c r="L1694" s="253"/>
    </row>
    <row r="1695" spans="3:12" s="244" customFormat="1" x14ac:dyDescent="0.25">
      <c r="C1695" s="255"/>
      <c r="D1695" s="255"/>
      <c r="E1695" s="255"/>
      <c r="F1695" s="255"/>
      <c r="G1695" s="253"/>
      <c r="H1695" s="256"/>
      <c r="I1695" s="255"/>
      <c r="J1695" s="255"/>
      <c r="K1695" s="254"/>
      <c r="L1695" s="253"/>
    </row>
    <row r="1696" spans="3:12" s="244" customFormat="1" x14ac:dyDescent="0.25">
      <c r="C1696" s="255"/>
      <c r="D1696" s="255"/>
      <c r="E1696" s="255"/>
      <c r="F1696" s="255"/>
      <c r="G1696" s="253"/>
      <c r="H1696" s="256"/>
      <c r="I1696" s="255"/>
      <c r="J1696" s="255"/>
      <c r="K1696" s="254"/>
      <c r="L1696" s="253"/>
    </row>
    <row r="1697" spans="3:12" s="244" customFormat="1" x14ac:dyDescent="0.25">
      <c r="C1697" s="255"/>
      <c r="D1697" s="255"/>
      <c r="E1697" s="255"/>
      <c r="F1697" s="255"/>
      <c r="G1697" s="253"/>
      <c r="H1697" s="256"/>
      <c r="I1697" s="255"/>
      <c r="J1697" s="255"/>
      <c r="K1697" s="254"/>
      <c r="L1697" s="253"/>
    </row>
    <row r="1698" spans="3:12" s="244" customFormat="1" x14ac:dyDescent="0.25">
      <c r="C1698" s="255"/>
      <c r="D1698" s="255"/>
      <c r="E1698" s="255"/>
      <c r="F1698" s="255"/>
      <c r="G1698" s="253"/>
      <c r="H1698" s="256"/>
      <c r="I1698" s="255"/>
      <c r="J1698" s="255"/>
      <c r="K1698" s="254"/>
      <c r="L1698" s="253"/>
    </row>
    <row r="1699" spans="3:12" s="244" customFormat="1" x14ac:dyDescent="0.25">
      <c r="C1699" s="255"/>
      <c r="D1699" s="255"/>
      <c r="E1699" s="255"/>
      <c r="F1699" s="255"/>
      <c r="G1699" s="253"/>
      <c r="H1699" s="256"/>
      <c r="I1699" s="255"/>
      <c r="J1699" s="255"/>
      <c r="K1699" s="254"/>
      <c r="L1699" s="253"/>
    </row>
    <row r="1700" spans="3:12" s="244" customFormat="1" x14ac:dyDescent="0.25">
      <c r="C1700" s="255"/>
      <c r="D1700" s="255"/>
      <c r="E1700" s="255"/>
      <c r="F1700" s="255"/>
      <c r="G1700" s="253"/>
      <c r="H1700" s="256"/>
      <c r="I1700" s="255"/>
      <c r="J1700" s="255"/>
      <c r="K1700" s="254"/>
      <c r="L1700" s="253"/>
    </row>
    <row r="1701" spans="3:12" s="244" customFormat="1" x14ac:dyDescent="0.25">
      <c r="C1701" s="255"/>
      <c r="D1701" s="255"/>
      <c r="E1701" s="255"/>
      <c r="F1701" s="255"/>
      <c r="G1701" s="253"/>
      <c r="H1701" s="256"/>
      <c r="I1701" s="255"/>
      <c r="J1701" s="255"/>
      <c r="K1701" s="254"/>
      <c r="L1701" s="253"/>
    </row>
    <row r="1702" spans="3:12" s="244" customFormat="1" x14ac:dyDescent="0.25">
      <c r="C1702" s="255"/>
      <c r="D1702" s="255"/>
      <c r="E1702" s="255"/>
      <c r="F1702" s="255"/>
      <c r="G1702" s="253"/>
      <c r="H1702" s="256"/>
      <c r="I1702" s="255"/>
      <c r="J1702" s="255"/>
      <c r="K1702" s="254"/>
      <c r="L1702" s="253"/>
    </row>
    <row r="1703" spans="3:12" s="244" customFormat="1" x14ac:dyDescent="0.25">
      <c r="C1703" s="255"/>
      <c r="D1703" s="255"/>
      <c r="E1703" s="255"/>
      <c r="F1703" s="255"/>
      <c r="G1703" s="253"/>
      <c r="H1703" s="256"/>
      <c r="I1703" s="255"/>
      <c r="J1703" s="255"/>
      <c r="K1703" s="254"/>
      <c r="L1703" s="253"/>
    </row>
    <row r="1704" spans="3:12" s="244" customFormat="1" x14ac:dyDescent="0.25">
      <c r="C1704" s="255"/>
      <c r="D1704" s="255"/>
      <c r="E1704" s="255"/>
      <c r="F1704" s="255"/>
      <c r="G1704" s="253"/>
      <c r="H1704" s="256"/>
      <c r="I1704" s="255"/>
      <c r="J1704" s="255"/>
      <c r="K1704" s="254"/>
      <c r="L1704" s="253"/>
    </row>
    <row r="1705" spans="3:12" s="244" customFormat="1" x14ac:dyDescent="0.25">
      <c r="C1705" s="255"/>
      <c r="D1705" s="255"/>
      <c r="E1705" s="255"/>
      <c r="F1705" s="255"/>
      <c r="G1705" s="253"/>
      <c r="H1705" s="256"/>
      <c r="I1705" s="255"/>
      <c r="J1705" s="255"/>
      <c r="K1705" s="254"/>
      <c r="L1705" s="253"/>
    </row>
    <row r="1706" spans="3:12" s="244" customFormat="1" x14ac:dyDescent="0.25">
      <c r="C1706" s="255"/>
      <c r="D1706" s="255"/>
      <c r="E1706" s="255"/>
      <c r="F1706" s="255"/>
      <c r="G1706" s="253"/>
      <c r="H1706" s="256"/>
      <c r="I1706" s="255"/>
      <c r="J1706" s="255"/>
      <c r="K1706" s="254"/>
      <c r="L1706" s="253"/>
    </row>
    <row r="1707" spans="3:12" s="244" customFormat="1" x14ac:dyDescent="0.25">
      <c r="C1707" s="255"/>
      <c r="D1707" s="255"/>
      <c r="E1707" s="255"/>
      <c r="F1707" s="255"/>
      <c r="G1707" s="253"/>
      <c r="H1707" s="256"/>
      <c r="I1707" s="255"/>
      <c r="J1707" s="255"/>
      <c r="K1707" s="254"/>
      <c r="L1707" s="253"/>
    </row>
    <row r="1708" spans="3:12" s="244" customFormat="1" x14ac:dyDescent="0.25">
      <c r="C1708" s="255"/>
      <c r="D1708" s="255"/>
      <c r="E1708" s="255"/>
      <c r="F1708" s="255"/>
      <c r="G1708" s="253"/>
      <c r="H1708" s="256"/>
      <c r="I1708" s="255"/>
      <c r="J1708" s="255"/>
      <c r="K1708" s="254"/>
      <c r="L1708" s="253"/>
    </row>
    <row r="1709" spans="3:12" s="244" customFormat="1" x14ac:dyDescent="0.25">
      <c r="C1709" s="255"/>
      <c r="D1709" s="255"/>
      <c r="E1709" s="255"/>
      <c r="F1709" s="255"/>
      <c r="G1709" s="253"/>
      <c r="H1709" s="256"/>
      <c r="I1709" s="255"/>
      <c r="J1709" s="255"/>
      <c r="K1709" s="254"/>
      <c r="L1709" s="253"/>
    </row>
    <row r="1710" spans="3:12" s="244" customFormat="1" x14ac:dyDescent="0.25">
      <c r="C1710" s="255"/>
      <c r="D1710" s="255"/>
      <c r="E1710" s="255"/>
      <c r="F1710" s="255"/>
      <c r="G1710" s="253"/>
      <c r="H1710" s="256"/>
      <c r="I1710" s="255"/>
      <c r="J1710" s="255"/>
      <c r="K1710" s="254"/>
      <c r="L1710" s="253"/>
    </row>
    <row r="1711" spans="3:12" s="244" customFormat="1" x14ac:dyDescent="0.25">
      <c r="C1711" s="255"/>
      <c r="D1711" s="255"/>
      <c r="E1711" s="255"/>
      <c r="F1711" s="255"/>
      <c r="G1711" s="253"/>
      <c r="H1711" s="256"/>
      <c r="I1711" s="255"/>
      <c r="J1711" s="255"/>
      <c r="K1711" s="254"/>
      <c r="L1711" s="253"/>
    </row>
    <row r="1712" spans="3:12" s="244" customFormat="1" x14ac:dyDescent="0.25">
      <c r="C1712" s="255"/>
      <c r="D1712" s="255"/>
      <c r="E1712" s="255"/>
      <c r="F1712" s="255"/>
      <c r="G1712" s="253"/>
      <c r="H1712" s="256"/>
      <c r="I1712" s="255"/>
      <c r="J1712" s="255"/>
      <c r="K1712" s="254"/>
      <c r="L1712" s="253"/>
    </row>
    <row r="1713" spans="3:12" s="244" customFormat="1" x14ac:dyDescent="0.25">
      <c r="C1713" s="255"/>
      <c r="D1713" s="255"/>
      <c r="E1713" s="255"/>
      <c r="F1713" s="255"/>
      <c r="G1713" s="253"/>
      <c r="H1713" s="256"/>
      <c r="I1713" s="255"/>
      <c r="J1713" s="255"/>
      <c r="K1713" s="254"/>
      <c r="L1713" s="253"/>
    </row>
    <row r="1714" spans="3:12" s="244" customFormat="1" x14ac:dyDescent="0.25">
      <c r="C1714" s="255"/>
      <c r="D1714" s="255"/>
      <c r="E1714" s="255"/>
      <c r="F1714" s="255"/>
      <c r="G1714" s="253"/>
      <c r="H1714" s="256"/>
      <c r="I1714" s="255"/>
      <c r="J1714" s="255"/>
      <c r="K1714" s="254"/>
      <c r="L1714" s="253"/>
    </row>
    <row r="1715" spans="3:12" s="244" customFormat="1" x14ac:dyDescent="0.25">
      <c r="C1715" s="255"/>
      <c r="D1715" s="255"/>
      <c r="E1715" s="255"/>
      <c r="F1715" s="255"/>
      <c r="G1715" s="253"/>
      <c r="H1715" s="256"/>
      <c r="I1715" s="255"/>
      <c r="J1715" s="255"/>
      <c r="K1715" s="254"/>
      <c r="L1715" s="253"/>
    </row>
    <row r="1716" spans="3:12" s="244" customFormat="1" x14ac:dyDescent="0.25">
      <c r="C1716" s="255"/>
      <c r="D1716" s="255"/>
      <c r="E1716" s="255"/>
      <c r="F1716" s="255"/>
      <c r="G1716" s="253"/>
      <c r="H1716" s="256"/>
      <c r="I1716" s="255"/>
      <c r="J1716" s="255"/>
      <c r="K1716" s="254"/>
      <c r="L1716" s="253"/>
    </row>
    <row r="1717" spans="3:12" s="244" customFormat="1" x14ac:dyDescent="0.25">
      <c r="C1717" s="255"/>
      <c r="D1717" s="255"/>
      <c r="E1717" s="255"/>
      <c r="F1717" s="255"/>
      <c r="G1717" s="253"/>
      <c r="H1717" s="256"/>
      <c r="I1717" s="255"/>
      <c r="J1717" s="255"/>
      <c r="K1717" s="254"/>
      <c r="L1717" s="253"/>
    </row>
    <row r="1718" spans="3:12" s="244" customFormat="1" x14ac:dyDescent="0.25">
      <c r="C1718" s="255"/>
      <c r="D1718" s="255"/>
      <c r="E1718" s="255"/>
      <c r="F1718" s="255"/>
      <c r="G1718" s="253"/>
      <c r="H1718" s="256"/>
      <c r="I1718" s="255"/>
      <c r="J1718" s="255"/>
      <c r="K1718" s="254"/>
      <c r="L1718" s="253"/>
    </row>
    <row r="1719" spans="3:12" s="244" customFormat="1" x14ac:dyDescent="0.25">
      <c r="C1719" s="255"/>
      <c r="D1719" s="255"/>
      <c r="E1719" s="255"/>
      <c r="F1719" s="255"/>
      <c r="G1719" s="253"/>
      <c r="H1719" s="256"/>
      <c r="I1719" s="255"/>
      <c r="J1719" s="255"/>
      <c r="K1719" s="254"/>
      <c r="L1719" s="253"/>
    </row>
    <row r="1720" spans="3:12" s="244" customFormat="1" x14ac:dyDescent="0.25">
      <c r="C1720" s="255"/>
      <c r="D1720" s="255"/>
      <c r="E1720" s="255"/>
      <c r="F1720" s="255"/>
      <c r="G1720" s="253"/>
      <c r="H1720" s="256"/>
      <c r="I1720" s="255"/>
      <c r="J1720" s="255"/>
      <c r="K1720" s="254"/>
      <c r="L1720" s="253"/>
    </row>
    <row r="1721" spans="3:12" s="244" customFormat="1" x14ac:dyDescent="0.25">
      <c r="C1721" s="255"/>
      <c r="D1721" s="255"/>
      <c r="E1721" s="255"/>
      <c r="F1721" s="255"/>
      <c r="G1721" s="253"/>
      <c r="H1721" s="256"/>
      <c r="I1721" s="255"/>
      <c r="J1721" s="255"/>
      <c r="K1721" s="254"/>
      <c r="L1721" s="253"/>
    </row>
    <row r="1722" spans="3:12" s="244" customFormat="1" x14ac:dyDescent="0.25">
      <c r="C1722" s="255"/>
      <c r="D1722" s="255"/>
      <c r="E1722" s="255"/>
      <c r="F1722" s="255"/>
      <c r="G1722" s="253"/>
      <c r="H1722" s="256"/>
      <c r="I1722" s="255"/>
      <c r="J1722" s="255"/>
      <c r="K1722" s="254"/>
      <c r="L1722" s="253"/>
    </row>
    <row r="1723" spans="3:12" s="244" customFormat="1" x14ac:dyDescent="0.25">
      <c r="C1723" s="255"/>
      <c r="D1723" s="255"/>
      <c r="E1723" s="255"/>
      <c r="F1723" s="255"/>
      <c r="G1723" s="253"/>
      <c r="H1723" s="256"/>
      <c r="I1723" s="255"/>
      <c r="J1723" s="255"/>
      <c r="K1723" s="254"/>
      <c r="L1723" s="253"/>
    </row>
    <row r="1724" spans="3:12" s="244" customFormat="1" x14ac:dyDescent="0.25">
      <c r="C1724" s="255"/>
      <c r="D1724" s="255"/>
      <c r="E1724" s="255"/>
      <c r="F1724" s="255"/>
      <c r="G1724" s="253"/>
      <c r="H1724" s="256"/>
      <c r="I1724" s="255"/>
      <c r="J1724" s="255"/>
      <c r="K1724" s="254"/>
      <c r="L1724" s="253"/>
    </row>
    <row r="1725" spans="3:12" s="244" customFormat="1" x14ac:dyDescent="0.25">
      <c r="C1725" s="255"/>
      <c r="D1725" s="255"/>
      <c r="E1725" s="255"/>
      <c r="F1725" s="255"/>
      <c r="G1725" s="253"/>
      <c r="H1725" s="256"/>
      <c r="I1725" s="255"/>
      <c r="J1725" s="255"/>
      <c r="K1725" s="254"/>
      <c r="L1725" s="253"/>
    </row>
    <row r="1726" spans="3:12" s="244" customFormat="1" x14ac:dyDescent="0.25">
      <c r="C1726" s="255"/>
      <c r="D1726" s="255"/>
      <c r="E1726" s="255"/>
      <c r="F1726" s="255"/>
      <c r="G1726" s="253"/>
      <c r="H1726" s="256"/>
      <c r="I1726" s="255"/>
      <c r="J1726" s="255"/>
      <c r="K1726" s="254"/>
      <c r="L1726" s="253"/>
    </row>
    <row r="1727" spans="3:12" s="244" customFormat="1" x14ac:dyDescent="0.25">
      <c r="C1727" s="255"/>
      <c r="D1727" s="255"/>
      <c r="E1727" s="255"/>
      <c r="F1727" s="255"/>
      <c r="G1727" s="253"/>
      <c r="H1727" s="256"/>
      <c r="I1727" s="255"/>
      <c r="J1727" s="255"/>
      <c r="K1727" s="254"/>
      <c r="L1727" s="253"/>
    </row>
    <row r="1728" spans="3:12" s="244" customFormat="1" x14ac:dyDescent="0.25">
      <c r="C1728" s="255"/>
      <c r="D1728" s="255"/>
      <c r="E1728" s="255"/>
      <c r="F1728" s="255"/>
      <c r="G1728" s="253"/>
      <c r="H1728" s="256"/>
      <c r="I1728" s="255"/>
      <c r="J1728" s="255"/>
      <c r="K1728" s="254"/>
      <c r="L1728" s="253"/>
    </row>
    <row r="1729" spans="3:12" s="244" customFormat="1" x14ac:dyDescent="0.25">
      <c r="C1729" s="255"/>
      <c r="D1729" s="255"/>
      <c r="E1729" s="255"/>
      <c r="F1729" s="255"/>
      <c r="G1729" s="253"/>
      <c r="H1729" s="256"/>
      <c r="I1729" s="255"/>
      <c r="J1729" s="255"/>
      <c r="K1729" s="254"/>
      <c r="L1729" s="253"/>
    </row>
    <row r="1730" spans="3:12" s="244" customFormat="1" x14ac:dyDescent="0.25">
      <c r="C1730" s="255"/>
      <c r="D1730" s="255"/>
      <c r="E1730" s="255"/>
      <c r="F1730" s="255"/>
      <c r="G1730" s="253"/>
      <c r="H1730" s="256"/>
      <c r="I1730" s="255"/>
      <c r="J1730" s="255"/>
      <c r="K1730" s="254"/>
      <c r="L1730" s="253"/>
    </row>
    <row r="1731" spans="3:12" s="244" customFormat="1" x14ac:dyDescent="0.25">
      <c r="C1731" s="255"/>
      <c r="D1731" s="255"/>
      <c r="E1731" s="255"/>
      <c r="F1731" s="255"/>
      <c r="G1731" s="253"/>
      <c r="H1731" s="256"/>
      <c r="I1731" s="255"/>
      <c r="J1731" s="255"/>
      <c r="K1731" s="254"/>
      <c r="L1731" s="253"/>
    </row>
    <row r="1732" spans="3:12" s="244" customFormat="1" x14ac:dyDescent="0.25">
      <c r="C1732" s="255"/>
      <c r="D1732" s="255"/>
      <c r="E1732" s="255"/>
      <c r="F1732" s="255"/>
      <c r="G1732" s="253"/>
      <c r="H1732" s="256"/>
      <c r="I1732" s="255"/>
      <c r="J1732" s="255"/>
      <c r="K1732" s="254"/>
      <c r="L1732" s="253"/>
    </row>
    <row r="1733" spans="3:12" s="244" customFormat="1" x14ac:dyDescent="0.25">
      <c r="C1733" s="255"/>
      <c r="D1733" s="255"/>
      <c r="E1733" s="255"/>
      <c r="F1733" s="255"/>
      <c r="G1733" s="253"/>
      <c r="H1733" s="256"/>
      <c r="I1733" s="255"/>
      <c r="J1733" s="255"/>
      <c r="K1733" s="254"/>
      <c r="L1733" s="253"/>
    </row>
    <row r="1734" spans="3:12" s="244" customFormat="1" x14ac:dyDescent="0.25">
      <c r="C1734" s="255"/>
      <c r="D1734" s="255"/>
      <c r="E1734" s="255"/>
      <c r="F1734" s="255"/>
      <c r="G1734" s="253"/>
      <c r="H1734" s="256"/>
      <c r="I1734" s="255"/>
      <c r="J1734" s="255"/>
      <c r="K1734" s="254"/>
      <c r="L1734" s="253"/>
    </row>
    <row r="1735" spans="3:12" s="244" customFormat="1" x14ac:dyDescent="0.25">
      <c r="C1735" s="255"/>
      <c r="D1735" s="255"/>
      <c r="E1735" s="255"/>
      <c r="F1735" s="255"/>
      <c r="G1735" s="253"/>
      <c r="H1735" s="256"/>
      <c r="I1735" s="255"/>
      <c r="J1735" s="255"/>
      <c r="K1735" s="254"/>
      <c r="L1735" s="253"/>
    </row>
    <row r="1736" spans="3:12" s="244" customFormat="1" x14ac:dyDescent="0.25">
      <c r="C1736" s="255"/>
      <c r="D1736" s="255"/>
      <c r="E1736" s="255"/>
      <c r="F1736" s="255"/>
      <c r="G1736" s="253"/>
      <c r="H1736" s="256"/>
      <c r="I1736" s="255"/>
      <c r="J1736" s="255"/>
      <c r="K1736" s="254"/>
      <c r="L1736" s="253"/>
    </row>
    <row r="1737" spans="3:12" s="244" customFormat="1" x14ac:dyDescent="0.25">
      <c r="C1737" s="255"/>
      <c r="D1737" s="255"/>
      <c r="E1737" s="255"/>
      <c r="F1737" s="255"/>
      <c r="G1737" s="253"/>
      <c r="H1737" s="256"/>
      <c r="I1737" s="255"/>
      <c r="J1737" s="255"/>
      <c r="K1737" s="254"/>
      <c r="L1737" s="253"/>
    </row>
    <row r="1738" spans="3:12" s="244" customFormat="1" x14ac:dyDescent="0.25">
      <c r="C1738" s="255"/>
      <c r="D1738" s="255"/>
      <c r="E1738" s="255"/>
      <c r="F1738" s="255"/>
      <c r="G1738" s="253"/>
      <c r="H1738" s="256"/>
      <c r="I1738" s="255"/>
      <c r="J1738" s="255"/>
      <c r="K1738" s="254"/>
      <c r="L1738" s="253"/>
    </row>
    <row r="1739" spans="3:12" s="244" customFormat="1" x14ac:dyDescent="0.25">
      <c r="C1739" s="255"/>
      <c r="D1739" s="255"/>
      <c r="E1739" s="255"/>
      <c r="F1739" s="255"/>
      <c r="G1739" s="253"/>
      <c r="H1739" s="256"/>
      <c r="I1739" s="255"/>
      <c r="J1739" s="255"/>
      <c r="K1739" s="254"/>
      <c r="L1739" s="253"/>
    </row>
    <row r="1740" spans="3:12" s="244" customFormat="1" x14ac:dyDescent="0.25">
      <c r="C1740" s="255"/>
      <c r="D1740" s="255"/>
      <c r="E1740" s="255"/>
      <c r="F1740" s="255"/>
      <c r="G1740" s="253"/>
      <c r="H1740" s="256"/>
      <c r="I1740" s="255"/>
      <c r="J1740" s="255"/>
      <c r="K1740" s="254"/>
      <c r="L1740" s="253"/>
    </row>
    <row r="1741" spans="3:12" s="244" customFormat="1" x14ac:dyDescent="0.25">
      <c r="C1741" s="255"/>
      <c r="D1741" s="255"/>
      <c r="E1741" s="255"/>
      <c r="F1741" s="255"/>
      <c r="G1741" s="253"/>
      <c r="H1741" s="256"/>
      <c r="I1741" s="255"/>
      <c r="J1741" s="255"/>
      <c r="K1741" s="254"/>
      <c r="L1741" s="253"/>
    </row>
    <row r="1742" spans="3:12" s="244" customFormat="1" x14ac:dyDescent="0.25">
      <c r="C1742" s="255"/>
      <c r="D1742" s="255"/>
      <c r="E1742" s="255"/>
      <c r="F1742" s="255"/>
      <c r="G1742" s="253"/>
      <c r="H1742" s="256"/>
      <c r="I1742" s="255"/>
      <c r="J1742" s="255"/>
      <c r="K1742" s="254"/>
      <c r="L1742" s="253"/>
    </row>
    <row r="1743" spans="3:12" s="244" customFormat="1" x14ac:dyDescent="0.25">
      <c r="C1743" s="255"/>
      <c r="D1743" s="255"/>
      <c r="E1743" s="255"/>
      <c r="F1743" s="255"/>
      <c r="G1743" s="253"/>
      <c r="H1743" s="256"/>
      <c r="I1743" s="255"/>
      <c r="J1743" s="255"/>
      <c r="K1743" s="254"/>
      <c r="L1743" s="253"/>
    </row>
    <row r="1744" spans="3:12" s="244" customFormat="1" x14ac:dyDescent="0.25">
      <c r="C1744" s="255"/>
      <c r="D1744" s="255"/>
      <c r="E1744" s="255"/>
      <c r="F1744" s="255"/>
      <c r="G1744" s="253"/>
      <c r="H1744" s="256"/>
      <c r="I1744" s="255"/>
      <c r="J1744" s="255"/>
      <c r="K1744" s="254"/>
      <c r="L1744" s="253"/>
    </row>
    <row r="1745" spans="3:12" s="244" customFormat="1" x14ac:dyDescent="0.25">
      <c r="C1745" s="255"/>
      <c r="D1745" s="255"/>
      <c r="E1745" s="255"/>
      <c r="F1745" s="255"/>
      <c r="G1745" s="253"/>
      <c r="H1745" s="256"/>
      <c r="I1745" s="255"/>
      <c r="J1745" s="255"/>
      <c r="K1745" s="254"/>
      <c r="L1745" s="253"/>
    </row>
    <row r="1746" spans="3:12" s="244" customFormat="1" x14ac:dyDescent="0.25">
      <c r="C1746" s="255"/>
      <c r="D1746" s="255"/>
      <c r="E1746" s="255"/>
      <c r="F1746" s="255"/>
      <c r="G1746" s="253"/>
      <c r="H1746" s="256"/>
      <c r="I1746" s="255"/>
      <c r="J1746" s="255"/>
      <c r="K1746" s="254"/>
      <c r="L1746" s="253"/>
    </row>
    <row r="1747" spans="3:12" s="244" customFormat="1" x14ac:dyDescent="0.25">
      <c r="C1747" s="255"/>
      <c r="D1747" s="255"/>
      <c r="E1747" s="255"/>
      <c r="F1747" s="255"/>
      <c r="G1747" s="253"/>
      <c r="H1747" s="256"/>
      <c r="I1747" s="255"/>
      <c r="J1747" s="255"/>
      <c r="K1747" s="254"/>
      <c r="L1747" s="253"/>
    </row>
    <row r="1748" spans="3:12" s="244" customFormat="1" x14ac:dyDescent="0.25">
      <c r="C1748" s="255"/>
      <c r="D1748" s="255"/>
      <c r="E1748" s="255"/>
      <c r="F1748" s="255"/>
      <c r="G1748" s="253"/>
      <c r="H1748" s="256"/>
      <c r="I1748" s="255"/>
      <c r="J1748" s="255"/>
      <c r="K1748" s="254"/>
      <c r="L1748" s="253"/>
    </row>
    <row r="1749" spans="3:12" s="244" customFormat="1" x14ac:dyDescent="0.25">
      <c r="C1749" s="255"/>
      <c r="D1749" s="255"/>
      <c r="E1749" s="255"/>
      <c r="F1749" s="255"/>
      <c r="G1749" s="253"/>
      <c r="H1749" s="256"/>
      <c r="I1749" s="255"/>
      <c r="J1749" s="255"/>
      <c r="K1749" s="254"/>
      <c r="L1749" s="253"/>
    </row>
    <row r="1750" spans="3:12" s="244" customFormat="1" x14ac:dyDescent="0.25">
      <c r="C1750" s="255"/>
      <c r="D1750" s="255"/>
      <c r="E1750" s="255"/>
      <c r="F1750" s="255"/>
      <c r="G1750" s="253"/>
      <c r="H1750" s="256"/>
      <c r="I1750" s="255"/>
      <c r="J1750" s="255"/>
      <c r="K1750" s="254"/>
      <c r="L1750" s="253"/>
    </row>
    <row r="1751" spans="3:12" s="244" customFormat="1" x14ac:dyDescent="0.25">
      <c r="C1751" s="255"/>
      <c r="D1751" s="255"/>
      <c r="E1751" s="255"/>
      <c r="F1751" s="255"/>
      <c r="G1751" s="253"/>
      <c r="H1751" s="256"/>
      <c r="I1751" s="255"/>
      <c r="J1751" s="255"/>
      <c r="K1751" s="254"/>
      <c r="L1751" s="253"/>
    </row>
    <row r="1752" spans="3:12" s="244" customFormat="1" x14ac:dyDescent="0.25">
      <c r="C1752" s="255"/>
      <c r="D1752" s="255"/>
      <c r="E1752" s="255"/>
      <c r="F1752" s="255"/>
      <c r="G1752" s="253"/>
      <c r="H1752" s="256"/>
      <c r="I1752" s="255"/>
      <c r="J1752" s="255"/>
      <c r="K1752" s="254"/>
      <c r="L1752" s="253"/>
    </row>
    <row r="1753" spans="3:12" s="244" customFormat="1" x14ac:dyDescent="0.25">
      <c r="C1753" s="255"/>
      <c r="D1753" s="255"/>
      <c r="E1753" s="255"/>
      <c r="F1753" s="255"/>
      <c r="G1753" s="253"/>
      <c r="H1753" s="256"/>
      <c r="I1753" s="255"/>
      <c r="J1753" s="255"/>
      <c r="K1753" s="254"/>
      <c r="L1753" s="253"/>
    </row>
    <row r="1754" spans="3:12" s="244" customFormat="1" x14ac:dyDescent="0.25">
      <c r="C1754" s="255"/>
      <c r="D1754" s="255"/>
      <c r="E1754" s="255"/>
      <c r="F1754" s="255"/>
      <c r="G1754" s="253"/>
      <c r="H1754" s="256"/>
      <c r="I1754" s="255"/>
      <c r="J1754" s="255"/>
      <c r="K1754" s="254"/>
      <c r="L1754" s="253"/>
    </row>
    <row r="1755" spans="3:12" s="244" customFormat="1" x14ac:dyDescent="0.25">
      <c r="C1755" s="255"/>
      <c r="D1755" s="255"/>
      <c r="E1755" s="255"/>
      <c r="F1755" s="255"/>
      <c r="G1755" s="253"/>
      <c r="H1755" s="256"/>
      <c r="I1755" s="255"/>
      <c r="J1755" s="255"/>
      <c r="K1755" s="254"/>
      <c r="L1755" s="253"/>
    </row>
    <row r="1756" spans="3:12" s="244" customFormat="1" x14ac:dyDescent="0.25">
      <c r="C1756" s="255"/>
      <c r="D1756" s="255"/>
      <c r="E1756" s="255"/>
      <c r="F1756" s="255"/>
      <c r="G1756" s="253"/>
      <c r="H1756" s="256"/>
      <c r="I1756" s="255"/>
      <c r="J1756" s="255"/>
      <c r="K1756" s="254"/>
      <c r="L1756" s="253"/>
    </row>
    <row r="1757" spans="3:12" s="244" customFormat="1" x14ac:dyDescent="0.25">
      <c r="C1757" s="255"/>
      <c r="D1757" s="255"/>
      <c r="E1757" s="255"/>
      <c r="F1757" s="255"/>
      <c r="G1757" s="253"/>
      <c r="H1757" s="256"/>
      <c r="I1757" s="255"/>
      <c r="J1757" s="255"/>
      <c r="K1757" s="254"/>
      <c r="L1757" s="253"/>
    </row>
    <row r="1758" spans="3:12" s="244" customFormat="1" x14ac:dyDescent="0.25">
      <c r="C1758" s="255"/>
      <c r="D1758" s="255"/>
      <c r="E1758" s="255"/>
      <c r="F1758" s="255"/>
      <c r="G1758" s="253"/>
      <c r="H1758" s="256"/>
      <c r="I1758" s="255"/>
      <c r="J1758" s="255"/>
      <c r="K1758" s="254"/>
      <c r="L1758" s="253"/>
    </row>
    <row r="1759" spans="3:12" s="244" customFormat="1" x14ac:dyDescent="0.25">
      <c r="C1759" s="255"/>
      <c r="D1759" s="255"/>
      <c r="E1759" s="255"/>
      <c r="F1759" s="255"/>
      <c r="G1759" s="253"/>
      <c r="H1759" s="256"/>
      <c r="I1759" s="255"/>
      <c r="J1759" s="255"/>
      <c r="K1759" s="254"/>
      <c r="L1759" s="253"/>
    </row>
    <row r="1760" spans="3:12" s="244" customFormat="1" x14ac:dyDescent="0.25">
      <c r="C1760" s="255"/>
      <c r="D1760" s="255"/>
      <c r="E1760" s="255"/>
      <c r="F1760" s="255"/>
      <c r="G1760" s="253"/>
      <c r="H1760" s="256"/>
      <c r="I1760" s="255"/>
      <c r="J1760" s="255"/>
      <c r="K1760" s="254"/>
      <c r="L1760" s="253"/>
    </row>
    <row r="1761" spans="3:12" s="244" customFormat="1" x14ac:dyDescent="0.25">
      <c r="C1761" s="255"/>
      <c r="D1761" s="255"/>
      <c r="E1761" s="255"/>
      <c r="F1761" s="255"/>
      <c r="G1761" s="253"/>
      <c r="H1761" s="256"/>
      <c r="I1761" s="255"/>
      <c r="J1761" s="255"/>
      <c r="K1761" s="254"/>
      <c r="L1761" s="253"/>
    </row>
    <row r="1762" spans="3:12" s="244" customFormat="1" x14ac:dyDescent="0.25">
      <c r="C1762" s="255"/>
      <c r="D1762" s="255"/>
      <c r="E1762" s="255"/>
      <c r="F1762" s="255"/>
      <c r="G1762" s="253"/>
      <c r="H1762" s="256"/>
      <c r="I1762" s="255"/>
      <c r="J1762" s="255"/>
      <c r="K1762" s="254"/>
      <c r="L1762" s="253"/>
    </row>
    <row r="1763" spans="3:12" s="244" customFormat="1" x14ac:dyDescent="0.25">
      <c r="C1763" s="255"/>
      <c r="D1763" s="255"/>
      <c r="E1763" s="255"/>
      <c r="F1763" s="255"/>
      <c r="G1763" s="253"/>
      <c r="H1763" s="256"/>
      <c r="I1763" s="255"/>
      <c r="J1763" s="255"/>
      <c r="K1763" s="254"/>
      <c r="L1763" s="253"/>
    </row>
    <row r="1764" spans="3:12" s="244" customFormat="1" x14ac:dyDescent="0.25">
      <c r="C1764" s="255"/>
      <c r="D1764" s="255"/>
      <c r="E1764" s="255"/>
      <c r="F1764" s="255"/>
      <c r="G1764" s="253"/>
      <c r="H1764" s="256"/>
      <c r="I1764" s="255"/>
      <c r="J1764" s="255"/>
      <c r="K1764" s="254"/>
      <c r="L1764" s="253"/>
    </row>
    <row r="1765" spans="3:12" s="244" customFormat="1" x14ac:dyDescent="0.25">
      <c r="C1765" s="255"/>
      <c r="D1765" s="255"/>
      <c r="E1765" s="255"/>
      <c r="F1765" s="255"/>
      <c r="G1765" s="253"/>
      <c r="H1765" s="256"/>
      <c r="I1765" s="255"/>
      <c r="J1765" s="255"/>
      <c r="K1765" s="254"/>
      <c r="L1765" s="253"/>
    </row>
    <row r="1766" spans="3:12" s="244" customFormat="1" x14ac:dyDescent="0.25">
      <c r="C1766" s="255"/>
      <c r="D1766" s="255"/>
      <c r="E1766" s="255"/>
      <c r="F1766" s="255"/>
      <c r="G1766" s="253"/>
      <c r="H1766" s="256"/>
      <c r="I1766" s="255"/>
      <c r="J1766" s="255"/>
      <c r="K1766" s="254"/>
      <c r="L1766" s="253"/>
    </row>
    <row r="1767" spans="3:12" s="244" customFormat="1" x14ac:dyDescent="0.25">
      <c r="C1767" s="255"/>
      <c r="D1767" s="255"/>
      <c r="E1767" s="255"/>
      <c r="F1767" s="255"/>
      <c r="G1767" s="253"/>
      <c r="H1767" s="256"/>
      <c r="I1767" s="255"/>
      <c r="J1767" s="255"/>
      <c r="K1767" s="254"/>
      <c r="L1767" s="253"/>
    </row>
    <row r="1768" spans="3:12" s="244" customFormat="1" x14ac:dyDescent="0.25">
      <c r="C1768" s="255"/>
      <c r="D1768" s="255"/>
      <c r="E1768" s="255"/>
      <c r="F1768" s="255"/>
      <c r="G1768" s="253"/>
      <c r="H1768" s="256"/>
      <c r="I1768" s="255"/>
      <c r="J1768" s="255"/>
      <c r="K1768" s="254"/>
      <c r="L1768" s="253"/>
    </row>
    <row r="1769" spans="3:12" s="244" customFormat="1" x14ac:dyDescent="0.25">
      <c r="C1769" s="255"/>
      <c r="D1769" s="255"/>
      <c r="E1769" s="255"/>
      <c r="F1769" s="255"/>
      <c r="G1769" s="253"/>
      <c r="H1769" s="256"/>
      <c r="I1769" s="255"/>
      <c r="J1769" s="255"/>
      <c r="K1769" s="254"/>
      <c r="L1769" s="253"/>
    </row>
    <row r="1770" spans="3:12" s="244" customFormat="1" x14ac:dyDescent="0.25">
      <c r="C1770" s="255"/>
      <c r="D1770" s="255"/>
      <c r="E1770" s="255"/>
      <c r="F1770" s="255"/>
      <c r="G1770" s="253"/>
      <c r="H1770" s="256"/>
      <c r="I1770" s="255"/>
      <c r="J1770" s="255"/>
      <c r="K1770" s="254"/>
      <c r="L1770" s="253"/>
    </row>
    <row r="1771" spans="3:12" s="244" customFormat="1" x14ac:dyDescent="0.25">
      <c r="C1771" s="255"/>
      <c r="D1771" s="255"/>
      <c r="E1771" s="255"/>
      <c r="F1771" s="255"/>
      <c r="G1771" s="253"/>
      <c r="H1771" s="256"/>
      <c r="I1771" s="255"/>
      <c r="J1771" s="255"/>
      <c r="K1771" s="254"/>
      <c r="L1771" s="253"/>
    </row>
    <row r="1772" spans="3:12" s="244" customFormat="1" x14ac:dyDescent="0.25">
      <c r="C1772" s="255"/>
      <c r="D1772" s="255"/>
      <c r="E1772" s="255"/>
      <c r="F1772" s="255"/>
      <c r="G1772" s="253"/>
      <c r="H1772" s="256"/>
      <c r="I1772" s="255"/>
      <c r="J1772" s="255"/>
      <c r="K1772" s="254"/>
      <c r="L1772" s="253"/>
    </row>
    <row r="1773" spans="3:12" s="244" customFormat="1" x14ac:dyDescent="0.25">
      <c r="C1773" s="255"/>
      <c r="D1773" s="255"/>
      <c r="E1773" s="255"/>
      <c r="F1773" s="255"/>
      <c r="G1773" s="253"/>
      <c r="H1773" s="256"/>
      <c r="I1773" s="255"/>
      <c r="J1773" s="255"/>
      <c r="K1773" s="254"/>
      <c r="L1773" s="253"/>
    </row>
    <row r="1774" spans="3:12" s="244" customFormat="1" x14ac:dyDescent="0.25">
      <c r="C1774" s="255"/>
      <c r="D1774" s="255"/>
      <c r="E1774" s="255"/>
      <c r="F1774" s="255"/>
      <c r="G1774" s="253"/>
      <c r="H1774" s="256"/>
      <c r="I1774" s="255"/>
      <c r="J1774" s="255"/>
      <c r="K1774" s="254"/>
      <c r="L1774" s="253"/>
    </row>
    <row r="1775" spans="3:12" s="244" customFormat="1" x14ac:dyDescent="0.25">
      <c r="C1775" s="255"/>
      <c r="D1775" s="255"/>
      <c r="E1775" s="255"/>
      <c r="F1775" s="255"/>
      <c r="G1775" s="253"/>
      <c r="H1775" s="256"/>
      <c r="I1775" s="255"/>
      <c r="J1775" s="255"/>
      <c r="K1775" s="254"/>
      <c r="L1775" s="253"/>
    </row>
    <row r="1776" spans="3:12" s="244" customFormat="1" x14ac:dyDescent="0.25">
      <c r="C1776" s="255"/>
      <c r="D1776" s="255"/>
      <c r="E1776" s="255"/>
      <c r="F1776" s="255"/>
      <c r="G1776" s="253"/>
      <c r="H1776" s="256"/>
      <c r="I1776" s="255"/>
      <c r="J1776" s="255"/>
      <c r="K1776" s="254"/>
      <c r="L1776" s="253"/>
    </row>
    <row r="1777" spans="3:12" s="244" customFormat="1" x14ac:dyDescent="0.25">
      <c r="C1777" s="255"/>
      <c r="D1777" s="255"/>
      <c r="E1777" s="255"/>
      <c r="F1777" s="255"/>
      <c r="G1777" s="253"/>
      <c r="H1777" s="256"/>
      <c r="I1777" s="255"/>
      <c r="J1777" s="255"/>
      <c r="K1777" s="254"/>
      <c r="L1777" s="253"/>
    </row>
    <row r="1778" spans="3:12" s="244" customFormat="1" x14ac:dyDescent="0.25">
      <c r="C1778" s="255"/>
      <c r="D1778" s="255"/>
      <c r="E1778" s="255"/>
      <c r="F1778" s="255"/>
      <c r="G1778" s="253"/>
      <c r="H1778" s="256"/>
      <c r="I1778" s="255"/>
      <c r="J1778" s="255"/>
      <c r="K1778" s="254"/>
      <c r="L1778" s="253"/>
    </row>
    <row r="1779" spans="3:12" s="244" customFormat="1" x14ac:dyDescent="0.25">
      <c r="C1779" s="255"/>
      <c r="D1779" s="255"/>
      <c r="E1779" s="255"/>
      <c r="F1779" s="255"/>
      <c r="G1779" s="253"/>
      <c r="H1779" s="256"/>
      <c r="I1779" s="255"/>
      <c r="J1779" s="255"/>
      <c r="K1779" s="254"/>
      <c r="L1779" s="253"/>
    </row>
    <row r="1780" spans="3:12" s="244" customFormat="1" x14ac:dyDescent="0.25">
      <c r="C1780" s="255"/>
      <c r="D1780" s="255"/>
      <c r="E1780" s="255"/>
      <c r="F1780" s="255"/>
      <c r="G1780" s="253"/>
      <c r="H1780" s="256"/>
      <c r="I1780" s="255"/>
      <c r="J1780" s="255"/>
      <c r="K1780" s="254"/>
      <c r="L1780" s="253"/>
    </row>
    <row r="1781" spans="3:12" s="244" customFormat="1" x14ac:dyDescent="0.25">
      <c r="C1781" s="255"/>
      <c r="D1781" s="255"/>
      <c r="E1781" s="255"/>
      <c r="F1781" s="255"/>
      <c r="G1781" s="253"/>
      <c r="H1781" s="256"/>
      <c r="I1781" s="255"/>
      <c r="J1781" s="255"/>
      <c r="K1781" s="254"/>
      <c r="L1781" s="253"/>
    </row>
    <row r="1782" spans="3:12" s="244" customFormat="1" x14ac:dyDescent="0.25">
      <c r="C1782" s="255"/>
      <c r="D1782" s="255"/>
      <c r="E1782" s="255"/>
      <c r="F1782" s="255"/>
      <c r="G1782" s="253"/>
      <c r="H1782" s="256"/>
      <c r="I1782" s="255"/>
      <c r="J1782" s="255"/>
      <c r="K1782" s="254"/>
      <c r="L1782" s="253"/>
    </row>
    <row r="1783" spans="3:12" s="244" customFormat="1" x14ac:dyDescent="0.25">
      <c r="C1783" s="255"/>
      <c r="D1783" s="255"/>
      <c r="E1783" s="255"/>
      <c r="F1783" s="255"/>
      <c r="G1783" s="253"/>
      <c r="H1783" s="256"/>
      <c r="I1783" s="255"/>
      <c r="J1783" s="255"/>
      <c r="K1783" s="254"/>
      <c r="L1783" s="253"/>
    </row>
    <row r="1784" spans="3:12" s="244" customFormat="1" x14ac:dyDescent="0.25">
      <c r="C1784" s="255"/>
      <c r="D1784" s="255"/>
      <c r="E1784" s="255"/>
      <c r="F1784" s="255"/>
      <c r="G1784" s="253"/>
      <c r="H1784" s="256"/>
      <c r="I1784" s="255"/>
      <c r="J1784" s="255"/>
      <c r="K1784" s="254"/>
      <c r="L1784" s="253"/>
    </row>
    <row r="1785" spans="3:12" s="244" customFormat="1" x14ac:dyDescent="0.25">
      <c r="C1785" s="255"/>
      <c r="D1785" s="255"/>
      <c r="E1785" s="255"/>
      <c r="F1785" s="255"/>
      <c r="G1785" s="253"/>
      <c r="H1785" s="256"/>
      <c r="I1785" s="255"/>
      <c r="J1785" s="255"/>
      <c r="K1785" s="254"/>
      <c r="L1785" s="253"/>
    </row>
    <row r="1786" spans="3:12" s="244" customFormat="1" x14ac:dyDescent="0.25">
      <c r="C1786" s="255"/>
      <c r="D1786" s="255"/>
      <c r="E1786" s="255"/>
      <c r="F1786" s="255"/>
      <c r="G1786" s="253"/>
      <c r="H1786" s="256"/>
      <c r="I1786" s="255"/>
      <c r="J1786" s="255"/>
      <c r="K1786" s="254"/>
      <c r="L1786" s="253"/>
    </row>
    <row r="1787" spans="3:12" s="244" customFormat="1" x14ac:dyDescent="0.25">
      <c r="C1787" s="255"/>
      <c r="D1787" s="255"/>
      <c r="E1787" s="255"/>
      <c r="F1787" s="255"/>
      <c r="G1787" s="253"/>
      <c r="H1787" s="256"/>
      <c r="I1787" s="255"/>
      <c r="J1787" s="255"/>
      <c r="K1787" s="254"/>
      <c r="L1787" s="253"/>
    </row>
    <row r="1788" spans="3:12" s="244" customFormat="1" x14ac:dyDescent="0.25">
      <c r="C1788" s="255"/>
      <c r="D1788" s="255"/>
      <c r="E1788" s="255"/>
      <c r="F1788" s="255"/>
      <c r="G1788" s="253"/>
      <c r="H1788" s="256"/>
      <c r="I1788" s="255"/>
      <c r="J1788" s="255"/>
      <c r="K1788" s="254"/>
      <c r="L1788" s="253"/>
    </row>
    <row r="1789" spans="3:12" s="244" customFormat="1" x14ac:dyDescent="0.25">
      <c r="C1789" s="255"/>
      <c r="D1789" s="255"/>
      <c r="E1789" s="255"/>
      <c r="F1789" s="255"/>
      <c r="G1789" s="253"/>
      <c r="H1789" s="256"/>
      <c r="I1789" s="255"/>
      <c r="J1789" s="255"/>
      <c r="K1789" s="254"/>
      <c r="L1789" s="253"/>
    </row>
    <row r="1790" spans="3:12" s="244" customFormat="1" x14ac:dyDescent="0.25">
      <c r="C1790" s="255"/>
      <c r="D1790" s="255"/>
      <c r="E1790" s="255"/>
      <c r="F1790" s="255"/>
      <c r="G1790" s="253"/>
      <c r="H1790" s="256"/>
      <c r="I1790" s="255"/>
      <c r="J1790" s="255"/>
      <c r="K1790" s="254"/>
      <c r="L1790" s="253"/>
    </row>
    <row r="1791" spans="3:12" s="244" customFormat="1" x14ac:dyDescent="0.25">
      <c r="C1791" s="255"/>
      <c r="D1791" s="255"/>
      <c r="E1791" s="255"/>
      <c r="F1791" s="255"/>
      <c r="G1791" s="253"/>
      <c r="H1791" s="256"/>
      <c r="I1791" s="255"/>
      <c r="J1791" s="255"/>
      <c r="K1791" s="254"/>
      <c r="L1791" s="253"/>
    </row>
    <row r="1792" spans="3:12" s="244" customFormat="1" x14ac:dyDescent="0.25">
      <c r="C1792" s="255"/>
      <c r="D1792" s="255"/>
      <c r="E1792" s="255"/>
      <c r="F1792" s="255"/>
      <c r="G1792" s="253"/>
      <c r="H1792" s="256"/>
      <c r="I1792" s="255"/>
      <c r="J1792" s="255"/>
      <c r="K1792" s="254"/>
      <c r="L1792" s="253"/>
    </row>
    <row r="1793" spans="3:12" s="244" customFormat="1" x14ac:dyDescent="0.25">
      <c r="C1793" s="255"/>
      <c r="D1793" s="255"/>
      <c r="E1793" s="255"/>
      <c r="F1793" s="255"/>
      <c r="G1793" s="253"/>
      <c r="H1793" s="256"/>
      <c r="I1793" s="255"/>
      <c r="J1793" s="255"/>
      <c r="K1793" s="254"/>
      <c r="L1793" s="253"/>
    </row>
    <row r="1794" spans="3:12" s="244" customFormat="1" x14ac:dyDescent="0.25">
      <c r="C1794" s="255"/>
      <c r="D1794" s="255"/>
      <c r="E1794" s="255"/>
      <c r="F1794" s="255"/>
      <c r="G1794" s="253"/>
      <c r="H1794" s="256"/>
      <c r="I1794" s="255"/>
      <c r="J1794" s="255"/>
      <c r="K1794" s="254"/>
      <c r="L1794" s="253"/>
    </row>
    <row r="1795" spans="3:12" s="244" customFormat="1" x14ac:dyDescent="0.25">
      <c r="C1795" s="255"/>
      <c r="D1795" s="255"/>
      <c r="E1795" s="255"/>
      <c r="F1795" s="255"/>
      <c r="G1795" s="253"/>
      <c r="H1795" s="256"/>
      <c r="I1795" s="255"/>
      <c r="J1795" s="255"/>
      <c r="K1795" s="254"/>
      <c r="L1795" s="253"/>
    </row>
    <row r="1796" spans="3:12" s="244" customFormat="1" x14ac:dyDescent="0.25">
      <c r="C1796" s="255"/>
      <c r="D1796" s="255"/>
      <c r="E1796" s="255"/>
      <c r="F1796" s="255"/>
      <c r="G1796" s="253"/>
      <c r="H1796" s="256"/>
      <c r="I1796" s="255"/>
      <c r="J1796" s="255"/>
      <c r="K1796" s="254"/>
      <c r="L1796" s="253"/>
    </row>
    <row r="1797" spans="3:12" s="244" customFormat="1" x14ac:dyDescent="0.25">
      <c r="C1797" s="255"/>
      <c r="D1797" s="255"/>
      <c r="E1797" s="255"/>
      <c r="F1797" s="255"/>
      <c r="G1797" s="253"/>
      <c r="H1797" s="256"/>
      <c r="I1797" s="255"/>
      <c r="J1797" s="255"/>
      <c r="K1797" s="254"/>
      <c r="L1797" s="253"/>
    </row>
    <row r="1798" spans="3:12" s="244" customFormat="1" x14ac:dyDescent="0.25">
      <c r="C1798" s="255"/>
      <c r="D1798" s="255"/>
      <c r="E1798" s="255"/>
      <c r="F1798" s="255"/>
      <c r="G1798" s="253"/>
      <c r="H1798" s="256"/>
      <c r="I1798" s="255"/>
      <c r="J1798" s="255"/>
      <c r="K1798" s="254"/>
      <c r="L1798" s="253"/>
    </row>
    <row r="1799" spans="3:12" s="244" customFormat="1" x14ac:dyDescent="0.25">
      <c r="C1799" s="255"/>
      <c r="D1799" s="255"/>
      <c r="E1799" s="255"/>
      <c r="F1799" s="255"/>
      <c r="G1799" s="253"/>
      <c r="H1799" s="256"/>
      <c r="I1799" s="255"/>
      <c r="J1799" s="255"/>
      <c r="K1799" s="254"/>
      <c r="L1799" s="253"/>
    </row>
    <row r="1800" spans="3:12" s="244" customFormat="1" x14ac:dyDescent="0.25">
      <c r="C1800" s="255"/>
      <c r="D1800" s="255"/>
      <c r="E1800" s="255"/>
      <c r="F1800" s="255"/>
      <c r="G1800" s="253"/>
      <c r="H1800" s="256"/>
      <c r="I1800" s="255"/>
      <c r="J1800" s="255"/>
      <c r="K1800" s="254"/>
      <c r="L1800" s="253"/>
    </row>
    <row r="1801" spans="3:12" s="244" customFormat="1" x14ac:dyDescent="0.25">
      <c r="C1801" s="255"/>
      <c r="D1801" s="255"/>
      <c r="E1801" s="255"/>
      <c r="F1801" s="255"/>
      <c r="G1801" s="253"/>
      <c r="H1801" s="256"/>
      <c r="I1801" s="255"/>
      <c r="J1801" s="255"/>
      <c r="K1801" s="254"/>
      <c r="L1801" s="253"/>
    </row>
    <row r="1802" spans="3:12" s="244" customFormat="1" x14ac:dyDescent="0.25">
      <c r="C1802" s="255"/>
      <c r="D1802" s="255"/>
      <c r="E1802" s="255"/>
      <c r="F1802" s="255"/>
      <c r="G1802" s="253"/>
      <c r="H1802" s="256"/>
      <c r="I1802" s="255"/>
      <c r="J1802" s="255"/>
      <c r="K1802" s="254"/>
      <c r="L1802" s="253"/>
    </row>
    <row r="1803" spans="3:12" s="244" customFormat="1" x14ac:dyDescent="0.25">
      <c r="C1803" s="255"/>
      <c r="D1803" s="255"/>
      <c r="E1803" s="255"/>
      <c r="F1803" s="255"/>
      <c r="G1803" s="253"/>
      <c r="H1803" s="256"/>
      <c r="I1803" s="255"/>
      <c r="J1803" s="255"/>
      <c r="K1803" s="254"/>
      <c r="L1803" s="253"/>
    </row>
    <row r="1804" spans="3:12" s="244" customFormat="1" x14ac:dyDescent="0.25">
      <c r="C1804" s="255"/>
      <c r="D1804" s="255"/>
      <c r="E1804" s="255"/>
      <c r="F1804" s="255"/>
      <c r="G1804" s="253"/>
      <c r="H1804" s="256"/>
      <c r="I1804" s="255"/>
      <c r="J1804" s="255"/>
      <c r="K1804" s="254"/>
      <c r="L1804" s="253"/>
    </row>
    <row r="1805" spans="3:12" s="244" customFormat="1" x14ac:dyDescent="0.25">
      <c r="C1805" s="255"/>
      <c r="D1805" s="255"/>
      <c r="E1805" s="255"/>
      <c r="F1805" s="255"/>
      <c r="G1805" s="253"/>
      <c r="H1805" s="256"/>
      <c r="I1805" s="255"/>
      <c r="J1805" s="255"/>
      <c r="K1805" s="254"/>
      <c r="L1805" s="253"/>
    </row>
    <row r="1806" spans="3:12" s="244" customFormat="1" x14ac:dyDescent="0.25">
      <c r="C1806" s="255"/>
      <c r="D1806" s="255"/>
      <c r="E1806" s="255"/>
      <c r="F1806" s="255"/>
      <c r="G1806" s="253"/>
      <c r="H1806" s="256"/>
      <c r="I1806" s="255"/>
      <c r="J1806" s="255"/>
      <c r="K1806" s="254"/>
      <c r="L1806" s="253"/>
    </row>
    <row r="1807" spans="3:12" s="244" customFormat="1" x14ac:dyDescent="0.25">
      <c r="C1807" s="255"/>
      <c r="D1807" s="255"/>
      <c r="E1807" s="255"/>
      <c r="F1807" s="255"/>
      <c r="G1807" s="253"/>
      <c r="H1807" s="256"/>
      <c r="I1807" s="255"/>
      <c r="J1807" s="255"/>
      <c r="K1807" s="254"/>
      <c r="L1807" s="253"/>
    </row>
    <row r="1808" spans="3:12" s="244" customFormat="1" x14ac:dyDescent="0.25">
      <c r="C1808" s="255"/>
      <c r="D1808" s="255"/>
      <c r="E1808" s="255"/>
      <c r="F1808" s="255"/>
      <c r="G1808" s="253"/>
      <c r="H1808" s="256"/>
      <c r="I1808" s="255"/>
      <c r="J1808" s="255"/>
      <c r="K1808" s="254"/>
      <c r="L1808" s="253"/>
    </row>
    <row r="1809" spans="3:12" s="244" customFormat="1" x14ac:dyDescent="0.25">
      <c r="C1809" s="255"/>
      <c r="D1809" s="255"/>
      <c r="E1809" s="255"/>
      <c r="F1809" s="255"/>
      <c r="G1809" s="253"/>
      <c r="H1809" s="256"/>
      <c r="I1809" s="255"/>
      <c r="J1809" s="255"/>
      <c r="K1809" s="254"/>
      <c r="L1809" s="253"/>
    </row>
    <row r="1810" spans="3:12" s="244" customFormat="1" x14ac:dyDescent="0.25">
      <c r="C1810" s="255"/>
      <c r="D1810" s="255"/>
      <c r="E1810" s="255"/>
      <c r="F1810" s="255"/>
      <c r="G1810" s="253"/>
      <c r="H1810" s="256"/>
      <c r="I1810" s="255"/>
      <c r="J1810" s="255"/>
      <c r="K1810" s="254"/>
      <c r="L1810" s="253"/>
    </row>
    <row r="1811" spans="3:12" s="244" customFormat="1" x14ac:dyDescent="0.25">
      <c r="C1811" s="255"/>
      <c r="D1811" s="255"/>
      <c r="E1811" s="255"/>
      <c r="F1811" s="255"/>
      <c r="G1811" s="253"/>
      <c r="H1811" s="256"/>
      <c r="I1811" s="255"/>
      <c r="J1811" s="255"/>
      <c r="K1811" s="254"/>
      <c r="L1811" s="253"/>
    </row>
    <row r="1812" spans="3:12" s="244" customFormat="1" x14ac:dyDescent="0.25">
      <c r="C1812" s="255"/>
      <c r="D1812" s="255"/>
      <c r="E1812" s="255"/>
      <c r="F1812" s="255"/>
      <c r="G1812" s="253"/>
      <c r="H1812" s="256"/>
      <c r="I1812" s="255"/>
      <c r="J1812" s="255"/>
      <c r="K1812" s="254"/>
      <c r="L1812" s="253"/>
    </row>
    <row r="1813" spans="3:12" s="244" customFormat="1" x14ac:dyDescent="0.25">
      <c r="C1813" s="255"/>
      <c r="D1813" s="255"/>
      <c r="E1813" s="255"/>
      <c r="F1813" s="255"/>
      <c r="G1813" s="253"/>
      <c r="H1813" s="256"/>
      <c r="I1813" s="255"/>
      <c r="J1813" s="255"/>
      <c r="K1813" s="254"/>
      <c r="L1813" s="253"/>
    </row>
    <row r="1814" spans="3:12" s="244" customFormat="1" x14ac:dyDescent="0.25">
      <c r="C1814" s="255"/>
      <c r="D1814" s="255"/>
      <c r="E1814" s="255"/>
      <c r="F1814" s="255"/>
      <c r="G1814" s="253"/>
      <c r="H1814" s="256"/>
      <c r="I1814" s="255"/>
      <c r="J1814" s="255"/>
      <c r="K1814" s="254"/>
      <c r="L1814" s="253"/>
    </row>
    <row r="1815" spans="3:12" s="244" customFormat="1" x14ac:dyDescent="0.25">
      <c r="C1815" s="255"/>
      <c r="D1815" s="255"/>
      <c r="E1815" s="255"/>
      <c r="F1815" s="255"/>
      <c r="G1815" s="253"/>
      <c r="H1815" s="256"/>
      <c r="I1815" s="255"/>
      <c r="J1815" s="255"/>
      <c r="K1815" s="254"/>
      <c r="L1815" s="253"/>
    </row>
    <row r="1816" spans="3:12" s="244" customFormat="1" x14ac:dyDescent="0.25">
      <c r="C1816" s="255"/>
      <c r="D1816" s="255"/>
      <c r="E1816" s="255"/>
      <c r="F1816" s="255"/>
      <c r="G1816" s="253"/>
      <c r="H1816" s="256"/>
      <c r="I1816" s="255"/>
      <c r="J1816" s="255"/>
      <c r="K1816" s="254"/>
      <c r="L1816" s="253"/>
    </row>
    <row r="1817" spans="3:12" s="244" customFormat="1" x14ac:dyDescent="0.25">
      <c r="C1817" s="255"/>
      <c r="D1817" s="255"/>
      <c r="E1817" s="255"/>
      <c r="F1817" s="255"/>
      <c r="G1817" s="253"/>
      <c r="H1817" s="256"/>
      <c r="I1817" s="255"/>
      <c r="J1817" s="255"/>
      <c r="K1817" s="254"/>
      <c r="L1817" s="253"/>
    </row>
    <row r="1818" spans="3:12" s="244" customFormat="1" x14ac:dyDescent="0.25">
      <c r="C1818" s="255"/>
      <c r="D1818" s="255"/>
      <c r="E1818" s="255"/>
      <c r="F1818" s="255"/>
      <c r="G1818" s="253"/>
      <c r="H1818" s="256"/>
      <c r="I1818" s="255"/>
      <c r="J1818" s="255"/>
      <c r="K1818" s="254"/>
      <c r="L1818" s="253"/>
    </row>
    <row r="1819" spans="3:12" s="244" customFormat="1" x14ac:dyDescent="0.25">
      <c r="C1819" s="255"/>
      <c r="D1819" s="255"/>
      <c r="E1819" s="255"/>
      <c r="F1819" s="255"/>
      <c r="G1819" s="253"/>
      <c r="H1819" s="256"/>
      <c r="I1819" s="255"/>
      <c r="J1819" s="255"/>
      <c r="K1819" s="254"/>
      <c r="L1819" s="253"/>
    </row>
    <row r="1820" spans="3:12" s="244" customFormat="1" x14ac:dyDescent="0.25">
      <c r="C1820" s="255"/>
      <c r="D1820" s="255"/>
      <c r="E1820" s="255"/>
      <c r="F1820" s="255"/>
      <c r="G1820" s="253"/>
      <c r="H1820" s="256"/>
      <c r="I1820" s="255"/>
      <c r="J1820" s="255"/>
      <c r="K1820" s="254"/>
      <c r="L1820" s="253"/>
    </row>
    <row r="1821" spans="3:12" s="244" customFormat="1" x14ac:dyDescent="0.25">
      <c r="C1821" s="255"/>
      <c r="D1821" s="255"/>
      <c r="E1821" s="255"/>
      <c r="F1821" s="255"/>
      <c r="G1821" s="253"/>
      <c r="H1821" s="256"/>
      <c r="I1821" s="255"/>
      <c r="J1821" s="255"/>
      <c r="K1821" s="254"/>
      <c r="L1821" s="253"/>
    </row>
    <row r="1822" spans="3:12" s="244" customFormat="1" x14ac:dyDescent="0.25">
      <c r="C1822" s="255"/>
      <c r="D1822" s="255"/>
      <c r="E1822" s="255"/>
      <c r="F1822" s="255"/>
      <c r="G1822" s="253"/>
      <c r="H1822" s="256"/>
      <c r="I1822" s="255"/>
      <c r="J1822" s="255"/>
      <c r="K1822" s="254"/>
      <c r="L1822" s="253"/>
    </row>
    <row r="1823" spans="3:12" s="244" customFormat="1" x14ac:dyDescent="0.25">
      <c r="C1823" s="255"/>
      <c r="D1823" s="255"/>
      <c r="E1823" s="255"/>
      <c r="F1823" s="255"/>
      <c r="G1823" s="253"/>
      <c r="H1823" s="256"/>
      <c r="I1823" s="255"/>
      <c r="J1823" s="255"/>
      <c r="K1823" s="254"/>
      <c r="L1823" s="253"/>
    </row>
    <row r="1824" spans="3:12" s="244" customFormat="1" x14ac:dyDescent="0.25">
      <c r="C1824" s="255"/>
      <c r="D1824" s="255"/>
      <c r="E1824" s="255"/>
      <c r="F1824" s="255"/>
      <c r="G1824" s="253"/>
      <c r="H1824" s="256"/>
      <c r="I1824" s="255"/>
      <c r="J1824" s="255"/>
      <c r="K1824" s="254"/>
      <c r="L1824" s="253"/>
    </row>
    <row r="1825" spans="3:12" s="244" customFormat="1" x14ac:dyDescent="0.25">
      <c r="C1825" s="255"/>
      <c r="D1825" s="255"/>
      <c r="E1825" s="255"/>
      <c r="F1825" s="255"/>
      <c r="G1825" s="253"/>
      <c r="H1825" s="256"/>
      <c r="I1825" s="255"/>
      <c r="J1825" s="255"/>
      <c r="K1825" s="254"/>
      <c r="L1825" s="253"/>
    </row>
    <row r="1826" spans="3:12" s="244" customFormat="1" x14ac:dyDescent="0.25">
      <c r="C1826" s="255"/>
      <c r="D1826" s="255"/>
      <c r="E1826" s="255"/>
      <c r="F1826" s="255"/>
      <c r="G1826" s="253"/>
      <c r="H1826" s="256"/>
      <c r="I1826" s="255"/>
      <c r="J1826" s="255"/>
      <c r="K1826" s="254"/>
      <c r="L1826" s="253"/>
    </row>
    <row r="1827" spans="3:12" s="244" customFormat="1" x14ac:dyDescent="0.25">
      <c r="C1827" s="255"/>
      <c r="D1827" s="255"/>
      <c r="E1827" s="255"/>
      <c r="F1827" s="255"/>
      <c r="G1827" s="253"/>
      <c r="H1827" s="256"/>
      <c r="I1827" s="255"/>
      <c r="J1827" s="255"/>
      <c r="K1827" s="254"/>
      <c r="L1827" s="253"/>
    </row>
    <row r="1828" spans="3:12" s="244" customFormat="1" x14ac:dyDescent="0.25">
      <c r="C1828" s="255"/>
      <c r="D1828" s="255"/>
      <c r="E1828" s="255"/>
      <c r="F1828" s="255"/>
      <c r="G1828" s="253"/>
      <c r="H1828" s="256"/>
      <c r="I1828" s="255"/>
      <c r="J1828" s="255"/>
      <c r="K1828" s="254"/>
      <c r="L1828" s="253"/>
    </row>
    <row r="1829" spans="3:12" s="244" customFormat="1" x14ac:dyDescent="0.25">
      <c r="C1829" s="255"/>
      <c r="D1829" s="255"/>
      <c r="E1829" s="255"/>
      <c r="F1829" s="255"/>
      <c r="G1829" s="253"/>
      <c r="H1829" s="256"/>
      <c r="I1829" s="255"/>
      <c r="J1829" s="255"/>
      <c r="K1829" s="254"/>
      <c r="L1829" s="253"/>
    </row>
    <row r="1830" spans="3:12" s="244" customFormat="1" x14ac:dyDescent="0.25">
      <c r="C1830" s="255"/>
      <c r="D1830" s="255"/>
      <c r="E1830" s="255"/>
      <c r="F1830" s="255"/>
      <c r="G1830" s="253"/>
      <c r="H1830" s="256"/>
      <c r="I1830" s="255"/>
      <c r="J1830" s="255"/>
      <c r="K1830" s="254"/>
      <c r="L1830" s="253"/>
    </row>
    <row r="1831" spans="3:12" s="244" customFormat="1" x14ac:dyDescent="0.25">
      <c r="C1831" s="255"/>
      <c r="D1831" s="255"/>
      <c r="E1831" s="255"/>
      <c r="F1831" s="255"/>
      <c r="G1831" s="253"/>
      <c r="H1831" s="256"/>
      <c r="I1831" s="255"/>
      <c r="J1831" s="255"/>
      <c r="K1831" s="254"/>
      <c r="L1831" s="253"/>
    </row>
    <row r="1832" spans="3:12" s="244" customFormat="1" x14ac:dyDescent="0.25">
      <c r="C1832" s="255"/>
      <c r="D1832" s="255"/>
      <c r="E1832" s="255"/>
      <c r="F1832" s="255"/>
      <c r="G1832" s="253"/>
      <c r="H1832" s="256"/>
      <c r="I1832" s="255"/>
      <c r="J1832" s="255"/>
      <c r="K1832" s="254"/>
      <c r="L1832" s="253"/>
    </row>
    <row r="1833" spans="3:12" s="244" customFormat="1" x14ac:dyDescent="0.25">
      <c r="C1833" s="255"/>
      <c r="D1833" s="255"/>
      <c r="E1833" s="255"/>
      <c r="F1833" s="255"/>
      <c r="G1833" s="253"/>
      <c r="H1833" s="256"/>
      <c r="I1833" s="255"/>
      <c r="J1833" s="255"/>
      <c r="K1833" s="254"/>
      <c r="L1833" s="253"/>
    </row>
    <row r="1834" spans="3:12" s="244" customFormat="1" x14ac:dyDescent="0.25">
      <c r="C1834" s="255"/>
      <c r="D1834" s="255"/>
      <c r="E1834" s="255"/>
      <c r="F1834" s="255"/>
      <c r="G1834" s="253"/>
      <c r="H1834" s="256"/>
      <c r="I1834" s="255"/>
      <c r="J1834" s="255"/>
      <c r="K1834" s="254"/>
      <c r="L1834" s="253"/>
    </row>
    <row r="1835" spans="3:12" s="244" customFormat="1" x14ac:dyDescent="0.25">
      <c r="C1835" s="255"/>
      <c r="D1835" s="255"/>
      <c r="E1835" s="255"/>
      <c r="F1835" s="255"/>
      <c r="G1835" s="253"/>
      <c r="H1835" s="256"/>
      <c r="I1835" s="255"/>
      <c r="J1835" s="255"/>
      <c r="K1835" s="254"/>
      <c r="L1835" s="253"/>
    </row>
    <row r="1836" spans="3:12" s="244" customFormat="1" x14ac:dyDescent="0.25">
      <c r="C1836" s="255"/>
      <c r="D1836" s="255"/>
      <c r="E1836" s="255"/>
      <c r="F1836" s="255"/>
      <c r="G1836" s="253"/>
      <c r="H1836" s="256"/>
      <c r="I1836" s="255"/>
      <c r="J1836" s="255"/>
      <c r="K1836" s="254"/>
      <c r="L1836" s="253"/>
    </row>
    <row r="1837" spans="3:12" s="244" customFormat="1" x14ac:dyDescent="0.25">
      <c r="C1837" s="255"/>
      <c r="D1837" s="255"/>
      <c r="E1837" s="255"/>
      <c r="F1837" s="255"/>
      <c r="G1837" s="253"/>
      <c r="H1837" s="256"/>
      <c r="I1837" s="255"/>
      <c r="J1837" s="255"/>
      <c r="K1837" s="254"/>
      <c r="L1837" s="253"/>
    </row>
    <row r="1838" spans="3:12" s="244" customFormat="1" x14ac:dyDescent="0.25">
      <c r="C1838" s="255"/>
      <c r="D1838" s="255"/>
      <c r="E1838" s="255"/>
      <c r="F1838" s="255"/>
      <c r="G1838" s="253"/>
      <c r="H1838" s="256"/>
      <c r="I1838" s="255"/>
      <c r="J1838" s="255"/>
      <c r="K1838" s="254"/>
      <c r="L1838" s="253"/>
    </row>
    <row r="1839" spans="3:12" s="244" customFormat="1" x14ac:dyDescent="0.25">
      <c r="C1839" s="255"/>
      <c r="D1839" s="255"/>
      <c r="E1839" s="255"/>
      <c r="F1839" s="255"/>
      <c r="G1839" s="253"/>
      <c r="H1839" s="256"/>
      <c r="I1839" s="255"/>
      <c r="J1839" s="255"/>
      <c r="K1839" s="254"/>
      <c r="L1839" s="253"/>
    </row>
    <row r="1840" spans="3:12" s="244" customFormat="1" x14ac:dyDescent="0.25">
      <c r="C1840" s="255"/>
      <c r="D1840" s="255"/>
      <c r="E1840" s="255"/>
      <c r="F1840" s="255"/>
      <c r="G1840" s="253"/>
      <c r="H1840" s="256"/>
      <c r="I1840" s="255"/>
      <c r="J1840" s="255"/>
      <c r="K1840" s="254"/>
      <c r="L1840" s="253"/>
    </row>
    <row r="1841" spans="3:12" s="244" customFormat="1" x14ac:dyDescent="0.25">
      <c r="C1841" s="255"/>
      <c r="D1841" s="255"/>
      <c r="E1841" s="255"/>
      <c r="F1841" s="255"/>
      <c r="G1841" s="253"/>
      <c r="H1841" s="256"/>
      <c r="I1841" s="255"/>
      <c r="J1841" s="255"/>
      <c r="K1841" s="254"/>
      <c r="L1841" s="253"/>
    </row>
    <row r="1842" spans="3:12" s="244" customFormat="1" x14ac:dyDescent="0.25">
      <c r="C1842" s="255"/>
      <c r="D1842" s="255"/>
      <c r="E1842" s="255"/>
      <c r="F1842" s="255"/>
      <c r="G1842" s="253"/>
      <c r="H1842" s="256"/>
      <c r="I1842" s="255"/>
      <c r="J1842" s="255"/>
      <c r="K1842" s="254"/>
      <c r="L1842" s="253"/>
    </row>
    <row r="1843" spans="3:12" s="244" customFormat="1" x14ac:dyDescent="0.25">
      <c r="C1843" s="255"/>
      <c r="D1843" s="255"/>
      <c r="E1843" s="255"/>
      <c r="F1843" s="255"/>
      <c r="G1843" s="253"/>
      <c r="H1843" s="256"/>
      <c r="I1843" s="255"/>
      <c r="J1843" s="255"/>
      <c r="K1843" s="254"/>
      <c r="L1843" s="253"/>
    </row>
    <row r="1844" spans="3:12" s="244" customFormat="1" x14ac:dyDescent="0.25">
      <c r="C1844" s="255"/>
      <c r="D1844" s="255"/>
      <c r="E1844" s="255"/>
      <c r="F1844" s="255"/>
      <c r="G1844" s="253"/>
      <c r="H1844" s="256"/>
      <c r="I1844" s="255"/>
      <c r="J1844" s="255"/>
      <c r="K1844" s="254"/>
      <c r="L1844" s="253"/>
    </row>
    <row r="1845" spans="3:12" s="244" customFormat="1" x14ac:dyDescent="0.25">
      <c r="C1845" s="255"/>
      <c r="D1845" s="255"/>
      <c r="E1845" s="255"/>
      <c r="F1845" s="255"/>
      <c r="G1845" s="253"/>
      <c r="H1845" s="256"/>
      <c r="I1845" s="255"/>
      <c r="J1845" s="255"/>
      <c r="K1845" s="254"/>
      <c r="L1845" s="253"/>
    </row>
    <row r="1846" spans="3:12" s="244" customFormat="1" x14ac:dyDescent="0.25">
      <c r="C1846" s="255"/>
      <c r="D1846" s="255"/>
      <c r="E1846" s="255"/>
      <c r="F1846" s="255"/>
      <c r="G1846" s="253"/>
      <c r="H1846" s="256"/>
      <c r="I1846" s="255"/>
      <c r="J1846" s="255"/>
      <c r="K1846" s="254"/>
      <c r="L1846" s="253"/>
    </row>
    <row r="1847" spans="3:12" s="244" customFormat="1" x14ac:dyDescent="0.25">
      <c r="C1847" s="255"/>
      <c r="D1847" s="255"/>
      <c r="E1847" s="255"/>
      <c r="F1847" s="255"/>
      <c r="G1847" s="253"/>
      <c r="H1847" s="256"/>
      <c r="I1847" s="255"/>
      <c r="J1847" s="255"/>
      <c r="K1847" s="254"/>
      <c r="L1847" s="253"/>
    </row>
    <row r="1848" spans="3:12" s="244" customFormat="1" x14ac:dyDescent="0.25">
      <c r="C1848" s="255"/>
      <c r="D1848" s="255"/>
      <c r="E1848" s="255"/>
      <c r="F1848" s="255"/>
      <c r="G1848" s="253"/>
      <c r="H1848" s="256"/>
      <c r="I1848" s="255"/>
      <c r="J1848" s="255"/>
      <c r="K1848" s="254"/>
      <c r="L1848" s="253"/>
    </row>
    <row r="1849" spans="3:12" s="244" customFormat="1" x14ac:dyDescent="0.25">
      <c r="C1849" s="255"/>
      <c r="D1849" s="255"/>
      <c r="E1849" s="255"/>
      <c r="F1849" s="255"/>
      <c r="G1849" s="253"/>
      <c r="H1849" s="256"/>
      <c r="I1849" s="255"/>
      <c r="J1849" s="255"/>
      <c r="K1849" s="254"/>
      <c r="L1849" s="253"/>
    </row>
    <row r="1850" spans="3:12" s="244" customFormat="1" x14ac:dyDescent="0.25">
      <c r="C1850" s="255"/>
      <c r="D1850" s="255"/>
      <c r="E1850" s="255"/>
      <c r="F1850" s="255"/>
      <c r="G1850" s="253"/>
      <c r="H1850" s="256"/>
      <c r="I1850" s="255"/>
      <c r="J1850" s="255"/>
      <c r="K1850" s="254"/>
      <c r="L1850" s="253"/>
    </row>
    <row r="1851" spans="3:12" s="244" customFormat="1" x14ac:dyDescent="0.25">
      <c r="C1851" s="255"/>
      <c r="D1851" s="255"/>
      <c r="E1851" s="255"/>
      <c r="F1851" s="255"/>
      <c r="G1851" s="253"/>
      <c r="H1851" s="256"/>
      <c r="I1851" s="255"/>
      <c r="J1851" s="255"/>
      <c r="K1851" s="254"/>
      <c r="L1851" s="253"/>
    </row>
    <row r="1852" spans="3:12" s="244" customFormat="1" x14ac:dyDescent="0.25">
      <c r="C1852" s="255"/>
      <c r="D1852" s="255"/>
      <c r="E1852" s="255"/>
      <c r="F1852" s="255"/>
      <c r="G1852" s="253"/>
      <c r="H1852" s="256"/>
      <c r="I1852" s="255"/>
      <c r="J1852" s="255"/>
      <c r="K1852" s="254"/>
      <c r="L1852" s="253"/>
    </row>
    <row r="1853" spans="3:12" s="244" customFormat="1" x14ac:dyDescent="0.25">
      <c r="C1853" s="255"/>
      <c r="D1853" s="255"/>
      <c r="E1853" s="255"/>
      <c r="F1853" s="255"/>
      <c r="G1853" s="253"/>
      <c r="H1853" s="256"/>
      <c r="I1853" s="255"/>
      <c r="J1853" s="255"/>
      <c r="K1853" s="254"/>
      <c r="L1853" s="253"/>
    </row>
    <row r="1854" spans="3:12" s="244" customFormat="1" x14ac:dyDescent="0.25">
      <c r="C1854" s="255"/>
      <c r="D1854" s="255"/>
      <c r="E1854" s="255"/>
      <c r="F1854" s="255"/>
      <c r="G1854" s="253"/>
      <c r="H1854" s="256"/>
      <c r="I1854" s="255"/>
      <c r="J1854" s="255"/>
      <c r="K1854" s="254"/>
      <c r="L1854" s="253"/>
    </row>
    <row r="1855" spans="3:12" s="244" customFormat="1" x14ac:dyDescent="0.25">
      <c r="C1855" s="255"/>
      <c r="D1855" s="255"/>
      <c r="E1855" s="255"/>
      <c r="F1855" s="255"/>
      <c r="G1855" s="253"/>
      <c r="H1855" s="256"/>
      <c r="I1855" s="255"/>
      <c r="J1855" s="255"/>
      <c r="K1855" s="254"/>
      <c r="L1855" s="253"/>
    </row>
    <row r="1856" spans="3:12" s="244" customFormat="1" x14ac:dyDescent="0.25">
      <c r="C1856" s="255"/>
      <c r="D1856" s="255"/>
      <c r="E1856" s="255"/>
      <c r="F1856" s="255"/>
      <c r="G1856" s="253"/>
      <c r="H1856" s="256"/>
      <c r="I1856" s="255"/>
      <c r="J1856" s="255"/>
      <c r="K1856" s="254"/>
      <c r="L1856" s="253"/>
    </row>
    <row r="1857" spans="3:12" s="244" customFormat="1" x14ac:dyDescent="0.25">
      <c r="C1857" s="255"/>
      <c r="D1857" s="255"/>
      <c r="E1857" s="255"/>
      <c r="F1857" s="255"/>
      <c r="G1857" s="253"/>
      <c r="H1857" s="256"/>
      <c r="I1857" s="255"/>
      <c r="J1857" s="255"/>
      <c r="K1857" s="254"/>
      <c r="L1857" s="253"/>
    </row>
    <row r="1858" spans="3:12" s="244" customFormat="1" x14ac:dyDescent="0.25">
      <c r="C1858" s="255"/>
      <c r="D1858" s="255"/>
      <c r="E1858" s="255"/>
      <c r="F1858" s="255"/>
      <c r="G1858" s="253"/>
      <c r="H1858" s="256"/>
      <c r="I1858" s="255"/>
      <c r="J1858" s="255"/>
      <c r="K1858" s="254"/>
      <c r="L1858" s="253"/>
    </row>
    <row r="1859" spans="3:12" s="244" customFormat="1" x14ac:dyDescent="0.25">
      <c r="C1859" s="255"/>
      <c r="D1859" s="255"/>
      <c r="E1859" s="255"/>
      <c r="F1859" s="255"/>
      <c r="G1859" s="253"/>
      <c r="H1859" s="256"/>
      <c r="I1859" s="255"/>
      <c r="J1859" s="255"/>
      <c r="K1859" s="254"/>
      <c r="L1859" s="253"/>
    </row>
    <row r="1860" spans="3:12" s="244" customFormat="1" x14ac:dyDescent="0.25">
      <c r="C1860" s="255"/>
      <c r="D1860" s="255"/>
      <c r="E1860" s="255"/>
      <c r="F1860" s="255"/>
      <c r="G1860" s="253"/>
      <c r="H1860" s="256"/>
      <c r="I1860" s="255"/>
      <c r="J1860" s="255"/>
      <c r="K1860" s="254"/>
      <c r="L1860" s="253"/>
    </row>
    <row r="1861" spans="3:12" s="244" customFormat="1" x14ac:dyDescent="0.25">
      <c r="C1861" s="255"/>
      <c r="D1861" s="255"/>
      <c r="E1861" s="255"/>
      <c r="F1861" s="255"/>
      <c r="G1861" s="253"/>
      <c r="H1861" s="256"/>
      <c r="I1861" s="255"/>
      <c r="J1861" s="255"/>
      <c r="K1861" s="254"/>
      <c r="L1861" s="253"/>
    </row>
    <row r="1862" spans="3:12" s="244" customFormat="1" x14ac:dyDescent="0.25">
      <c r="C1862" s="255"/>
      <c r="D1862" s="255"/>
      <c r="E1862" s="255"/>
      <c r="F1862" s="255"/>
      <c r="G1862" s="253"/>
      <c r="H1862" s="256"/>
      <c r="I1862" s="255"/>
      <c r="J1862" s="255"/>
      <c r="K1862" s="254"/>
      <c r="L1862" s="253"/>
    </row>
    <row r="1863" spans="3:12" s="244" customFormat="1" x14ac:dyDescent="0.25">
      <c r="C1863" s="255"/>
      <c r="D1863" s="255"/>
      <c r="E1863" s="255"/>
      <c r="F1863" s="255"/>
      <c r="G1863" s="253"/>
      <c r="H1863" s="256"/>
      <c r="I1863" s="255"/>
      <c r="J1863" s="255"/>
      <c r="K1863" s="254"/>
      <c r="L1863" s="253"/>
    </row>
    <row r="1864" spans="3:12" s="244" customFormat="1" x14ac:dyDescent="0.25">
      <c r="C1864" s="255"/>
      <c r="D1864" s="255"/>
      <c r="E1864" s="255"/>
      <c r="F1864" s="255"/>
      <c r="G1864" s="253"/>
      <c r="H1864" s="256"/>
      <c r="I1864" s="255"/>
      <c r="J1864" s="255"/>
      <c r="K1864" s="254"/>
      <c r="L1864" s="253"/>
    </row>
    <row r="1865" spans="3:12" s="244" customFormat="1" x14ac:dyDescent="0.25">
      <c r="C1865" s="255"/>
      <c r="D1865" s="255"/>
      <c r="E1865" s="255"/>
      <c r="F1865" s="255"/>
      <c r="G1865" s="253"/>
      <c r="H1865" s="256"/>
      <c r="I1865" s="255"/>
      <c r="J1865" s="255"/>
      <c r="K1865" s="254"/>
      <c r="L1865" s="253"/>
    </row>
    <row r="1866" spans="3:12" s="244" customFormat="1" x14ac:dyDescent="0.25">
      <c r="C1866" s="255"/>
      <c r="D1866" s="255"/>
      <c r="E1866" s="255"/>
      <c r="F1866" s="255"/>
      <c r="G1866" s="253"/>
      <c r="H1866" s="256"/>
      <c r="I1866" s="255"/>
      <c r="J1866" s="255"/>
      <c r="K1866" s="254"/>
      <c r="L1866" s="253"/>
    </row>
    <row r="1867" spans="3:12" s="244" customFormat="1" x14ac:dyDescent="0.25">
      <c r="C1867" s="255"/>
      <c r="D1867" s="255"/>
      <c r="E1867" s="255"/>
      <c r="F1867" s="255"/>
      <c r="G1867" s="253"/>
      <c r="H1867" s="256"/>
      <c r="I1867" s="255"/>
      <c r="J1867" s="255"/>
      <c r="K1867" s="254"/>
      <c r="L1867" s="253"/>
    </row>
    <row r="1868" spans="3:12" s="244" customFormat="1" x14ac:dyDescent="0.25">
      <c r="C1868" s="255"/>
      <c r="D1868" s="255"/>
      <c r="E1868" s="255"/>
      <c r="F1868" s="255"/>
      <c r="G1868" s="253"/>
      <c r="H1868" s="256"/>
      <c r="I1868" s="255"/>
      <c r="J1868" s="255"/>
      <c r="K1868" s="254"/>
      <c r="L1868" s="253"/>
    </row>
    <row r="1869" spans="3:12" s="244" customFormat="1" x14ac:dyDescent="0.25">
      <c r="C1869" s="255"/>
      <c r="D1869" s="255"/>
      <c r="E1869" s="255"/>
      <c r="F1869" s="255"/>
      <c r="G1869" s="253"/>
      <c r="H1869" s="256"/>
      <c r="I1869" s="255"/>
      <c r="J1869" s="255"/>
      <c r="K1869" s="254"/>
      <c r="L1869" s="253"/>
    </row>
    <row r="1870" spans="3:12" s="244" customFormat="1" x14ac:dyDescent="0.25">
      <c r="C1870" s="255"/>
      <c r="D1870" s="255"/>
      <c r="E1870" s="255"/>
      <c r="F1870" s="255"/>
      <c r="G1870" s="253"/>
      <c r="H1870" s="256"/>
      <c r="I1870" s="255"/>
      <c r="J1870" s="255"/>
      <c r="K1870" s="254"/>
      <c r="L1870" s="253"/>
    </row>
    <row r="1871" spans="3:12" s="244" customFormat="1" x14ac:dyDescent="0.25">
      <c r="C1871" s="255"/>
      <c r="D1871" s="255"/>
      <c r="E1871" s="255"/>
      <c r="F1871" s="255"/>
      <c r="G1871" s="253"/>
      <c r="H1871" s="256"/>
      <c r="I1871" s="255"/>
      <c r="J1871" s="255"/>
      <c r="K1871" s="254"/>
      <c r="L1871" s="253"/>
    </row>
    <row r="1872" spans="3:12" s="244" customFormat="1" x14ac:dyDescent="0.25">
      <c r="C1872" s="255"/>
      <c r="D1872" s="255"/>
      <c r="E1872" s="255"/>
      <c r="F1872" s="255"/>
      <c r="G1872" s="253"/>
      <c r="H1872" s="256"/>
      <c r="I1872" s="255"/>
      <c r="J1872" s="255"/>
      <c r="K1872" s="254"/>
      <c r="L1872" s="253"/>
    </row>
    <row r="1873" spans="3:12" s="244" customFormat="1" x14ac:dyDescent="0.25">
      <c r="C1873" s="255"/>
      <c r="D1873" s="255"/>
      <c r="E1873" s="255"/>
      <c r="F1873" s="255"/>
      <c r="G1873" s="253"/>
      <c r="H1873" s="256"/>
      <c r="I1873" s="255"/>
      <c r="J1873" s="255"/>
      <c r="K1873" s="254"/>
      <c r="L1873" s="253"/>
    </row>
    <row r="1874" spans="3:12" s="244" customFormat="1" x14ac:dyDescent="0.25">
      <c r="C1874" s="255"/>
      <c r="D1874" s="255"/>
      <c r="E1874" s="255"/>
      <c r="F1874" s="255"/>
      <c r="G1874" s="253"/>
      <c r="H1874" s="256"/>
      <c r="I1874" s="255"/>
      <c r="J1874" s="255"/>
      <c r="K1874" s="254"/>
      <c r="L1874" s="253"/>
    </row>
    <row r="1875" spans="3:12" s="244" customFormat="1" x14ac:dyDescent="0.25">
      <c r="C1875" s="255"/>
      <c r="D1875" s="255"/>
      <c r="E1875" s="255"/>
      <c r="F1875" s="255"/>
      <c r="G1875" s="253"/>
      <c r="H1875" s="256"/>
      <c r="I1875" s="255"/>
      <c r="J1875" s="255"/>
      <c r="K1875" s="254"/>
      <c r="L1875" s="253"/>
    </row>
    <row r="1876" spans="3:12" s="244" customFormat="1" x14ac:dyDescent="0.25">
      <c r="C1876" s="255"/>
      <c r="D1876" s="255"/>
      <c r="E1876" s="255"/>
      <c r="F1876" s="255"/>
      <c r="G1876" s="253"/>
      <c r="H1876" s="256"/>
      <c r="I1876" s="255"/>
      <c r="J1876" s="255"/>
      <c r="K1876" s="254"/>
      <c r="L1876" s="253"/>
    </row>
    <row r="1877" spans="3:12" s="244" customFormat="1" x14ac:dyDescent="0.25">
      <c r="C1877" s="255"/>
      <c r="D1877" s="255"/>
      <c r="E1877" s="255"/>
      <c r="F1877" s="255"/>
      <c r="G1877" s="253"/>
      <c r="H1877" s="256"/>
      <c r="I1877" s="255"/>
      <c r="J1877" s="255"/>
      <c r="K1877" s="254"/>
      <c r="L1877" s="253"/>
    </row>
    <row r="1878" spans="3:12" s="244" customFormat="1" x14ac:dyDescent="0.25">
      <c r="C1878" s="255"/>
      <c r="D1878" s="255"/>
      <c r="E1878" s="255"/>
      <c r="F1878" s="255"/>
      <c r="G1878" s="253"/>
      <c r="H1878" s="256"/>
      <c r="I1878" s="255"/>
      <c r="J1878" s="255"/>
      <c r="K1878" s="254"/>
      <c r="L1878" s="253"/>
    </row>
    <row r="1879" spans="3:12" s="244" customFormat="1" x14ac:dyDescent="0.25">
      <c r="C1879" s="255"/>
      <c r="D1879" s="255"/>
      <c r="E1879" s="255"/>
      <c r="F1879" s="255"/>
      <c r="G1879" s="253"/>
      <c r="H1879" s="256"/>
      <c r="I1879" s="255"/>
      <c r="J1879" s="255"/>
      <c r="K1879" s="254"/>
      <c r="L1879" s="253"/>
    </row>
    <row r="1880" spans="3:12" s="244" customFormat="1" x14ac:dyDescent="0.25">
      <c r="C1880" s="255"/>
      <c r="D1880" s="255"/>
      <c r="E1880" s="255"/>
      <c r="F1880" s="255"/>
      <c r="G1880" s="253"/>
      <c r="H1880" s="256"/>
      <c r="I1880" s="255"/>
      <c r="J1880" s="255"/>
      <c r="K1880" s="254"/>
      <c r="L1880" s="253"/>
    </row>
    <row r="1881" spans="3:12" s="244" customFormat="1" x14ac:dyDescent="0.25">
      <c r="C1881" s="255"/>
      <c r="D1881" s="255"/>
      <c r="E1881" s="255"/>
      <c r="F1881" s="255"/>
      <c r="G1881" s="253"/>
      <c r="H1881" s="256"/>
      <c r="I1881" s="255"/>
      <c r="J1881" s="255"/>
      <c r="K1881" s="254"/>
      <c r="L1881" s="253"/>
    </row>
    <row r="1882" spans="3:12" s="244" customFormat="1" x14ac:dyDescent="0.25">
      <c r="C1882" s="255"/>
      <c r="D1882" s="255"/>
      <c r="E1882" s="255"/>
      <c r="F1882" s="255"/>
      <c r="G1882" s="253"/>
      <c r="H1882" s="256"/>
      <c r="I1882" s="255"/>
      <c r="J1882" s="255"/>
      <c r="K1882" s="254"/>
      <c r="L1882" s="253"/>
    </row>
    <row r="1883" spans="3:12" s="244" customFormat="1" x14ac:dyDescent="0.25">
      <c r="C1883" s="255"/>
      <c r="D1883" s="255"/>
      <c r="E1883" s="255"/>
      <c r="F1883" s="255"/>
      <c r="G1883" s="253"/>
      <c r="H1883" s="256"/>
      <c r="I1883" s="255"/>
      <c r="J1883" s="255"/>
      <c r="K1883" s="254"/>
      <c r="L1883" s="253"/>
    </row>
    <row r="1884" spans="3:12" s="244" customFormat="1" x14ac:dyDescent="0.25">
      <c r="C1884" s="255"/>
      <c r="D1884" s="255"/>
      <c r="E1884" s="255"/>
      <c r="F1884" s="255"/>
      <c r="G1884" s="253"/>
      <c r="H1884" s="256"/>
      <c r="I1884" s="255"/>
      <c r="J1884" s="255"/>
      <c r="K1884" s="254"/>
      <c r="L1884" s="253"/>
    </row>
    <row r="1885" spans="3:12" s="244" customFormat="1" x14ac:dyDescent="0.25">
      <c r="C1885" s="255"/>
      <c r="D1885" s="255"/>
      <c r="E1885" s="255"/>
      <c r="F1885" s="255"/>
      <c r="G1885" s="253"/>
      <c r="H1885" s="256"/>
      <c r="I1885" s="255"/>
      <c r="J1885" s="255"/>
      <c r="K1885" s="254"/>
      <c r="L1885" s="253"/>
    </row>
    <row r="1886" spans="3:12" s="244" customFormat="1" x14ac:dyDescent="0.25">
      <c r="C1886" s="255"/>
      <c r="D1886" s="255"/>
      <c r="E1886" s="255"/>
      <c r="F1886" s="255"/>
      <c r="G1886" s="253"/>
      <c r="H1886" s="256"/>
      <c r="I1886" s="255"/>
      <c r="J1886" s="255"/>
      <c r="K1886" s="254"/>
      <c r="L1886" s="253"/>
    </row>
    <row r="1887" spans="3:12" s="244" customFormat="1" x14ac:dyDescent="0.25">
      <c r="C1887" s="255"/>
      <c r="D1887" s="255"/>
      <c r="E1887" s="255"/>
      <c r="F1887" s="255"/>
      <c r="G1887" s="253"/>
      <c r="H1887" s="256"/>
      <c r="I1887" s="255"/>
      <c r="J1887" s="255"/>
      <c r="K1887" s="254"/>
      <c r="L1887" s="253"/>
    </row>
    <row r="1888" spans="3:12" s="244" customFormat="1" x14ac:dyDescent="0.25">
      <c r="C1888" s="255"/>
      <c r="D1888" s="255"/>
      <c r="E1888" s="255"/>
      <c r="F1888" s="255"/>
      <c r="G1888" s="253"/>
      <c r="H1888" s="256"/>
      <c r="I1888" s="255"/>
      <c r="J1888" s="255"/>
      <c r="K1888" s="254"/>
      <c r="L1888" s="253"/>
    </row>
    <row r="1889" spans="3:12" s="244" customFormat="1" x14ac:dyDescent="0.25">
      <c r="C1889" s="255"/>
      <c r="D1889" s="255"/>
      <c r="E1889" s="255"/>
      <c r="F1889" s="255"/>
      <c r="G1889" s="253"/>
      <c r="H1889" s="256"/>
      <c r="I1889" s="255"/>
      <c r="J1889" s="255"/>
      <c r="K1889" s="254"/>
      <c r="L1889" s="253"/>
    </row>
    <row r="1890" spans="3:12" s="244" customFormat="1" x14ac:dyDescent="0.25">
      <c r="C1890" s="255"/>
      <c r="D1890" s="255"/>
      <c r="E1890" s="255"/>
      <c r="F1890" s="255"/>
      <c r="G1890" s="253"/>
      <c r="H1890" s="256"/>
      <c r="I1890" s="255"/>
      <c r="J1890" s="255"/>
      <c r="K1890" s="254"/>
      <c r="L1890" s="253"/>
    </row>
    <row r="1891" spans="3:12" s="244" customFormat="1" x14ac:dyDescent="0.25">
      <c r="C1891" s="255"/>
      <c r="D1891" s="255"/>
      <c r="E1891" s="255"/>
      <c r="F1891" s="255"/>
      <c r="G1891" s="253"/>
      <c r="H1891" s="256"/>
      <c r="I1891" s="255"/>
      <c r="J1891" s="255"/>
      <c r="K1891" s="254"/>
      <c r="L1891" s="253"/>
    </row>
    <row r="1892" spans="3:12" s="244" customFormat="1" x14ac:dyDescent="0.25">
      <c r="C1892" s="255"/>
      <c r="D1892" s="255"/>
      <c r="E1892" s="255"/>
      <c r="F1892" s="255"/>
      <c r="G1892" s="253"/>
      <c r="H1892" s="256"/>
      <c r="I1892" s="255"/>
      <c r="J1892" s="255"/>
      <c r="K1892" s="254"/>
      <c r="L1892" s="253"/>
    </row>
    <row r="1893" spans="3:12" s="244" customFormat="1" x14ac:dyDescent="0.25">
      <c r="C1893" s="255"/>
      <c r="D1893" s="255"/>
      <c r="E1893" s="255"/>
      <c r="F1893" s="255"/>
      <c r="G1893" s="253"/>
      <c r="H1893" s="256"/>
      <c r="I1893" s="255"/>
      <c r="J1893" s="255"/>
      <c r="K1893" s="254"/>
      <c r="L1893" s="253"/>
    </row>
    <row r="1894" spans="3:12" s="244" customFormat="1" x14ac:dyDescent="0.25">
      <c r="C1894" s="255"/>
      <c r="D1894" s="255"/>
      <c r="E1894" s="255"/>
      <c r="F1894" s="255"/>
      <c r="G1894" s="253"/>
      <c r="H1894" s="256"/>
      <c r="I1894" s="255"/>
      <c r="J1894" s="255"/>
      <c r="K1894" s="254"/>
      <c r="L1894" s="253"/>
    </row>
    <row r="1895" spans="3:12" s="244" customFormat="1" x14ac:dyDescent="0.25">
      <c r="C1895" s="255"/>
      <c r="D1895" s="255"/>
      <c r="E1895" s="255"/>
      <c r="F1895" s="255"/>
      <c r="G1895" s="253"/>
      <c r="H1895" s="256"/>
      <c r="I1895" s="255"/>
      <c r="J1895" s="255"/>
      <c r="K1895" s="254"/>
      <c r="L1895" s="253"/>
    </row>
    <row r="1896" spans="3:12" s="244" customFormat="1" x14ac:dyDescent="0.25">
      <c r="C1896" s="255"/>
      <c r="D1896" s="255"/>
      <c r="E1896" s="255"/>
      <c r="F1896" s="255"/>
      <c r="G1896" s="253"/>
      <c r="H1896" s="256"/>
      <c r="I1896" s="255"/>
      <c r="J1896" s="255"/>
      <c r="K1896" s="254"/>
      <c r="L1896" s="253"/>
    </row>
    <row r="1897" spans="3:12" s="244" customFormat="1" x14ac:dyDescent="0.25">
      <c r="C1897" s="255"/>
      <c r="D1897" s="255"/>
      <c r="E1897" s="255"/>
      <c r="F1897" s="255"/>
      <c r="G1897" s="253"/>
      <c r="H1897" s="256"/>
      <c r="I1897" s="255"/>
      <c r="J1897" s="255"/>
      <c r="K1897" s="254"/>
      <c r="L1897" s="253"/>
    </row>
    <row r="1898" spans="3:12" s="244" customFormat="1" x14ac:dyDescent="0.25">
      <c r="C1898" s="255"/>
      <c r="D1898" s="255"/>
      <c r="E1898" s="255"/>
      <c r="F1898" s="255"/>
      <c r="G1898" s="253"/>
      <c r="H1898" s="256"/>
      <c r="I1898" s="255"/>
      <c r="J1898" s="255"/>
      <c r="K1898" s="254"/>
      <c r="L1898" s="253"/>
    </row>
    <row r="1899" spans="3:12" s="244" customFormat="1" x14ac:dyDescent="0.25">
      <c r="C1899" s="255"/>
      <c r="D1899" s="255"/>
      <c r="E1899" s="255"/>
      <c r="F1899" s="255"/>
      <c r="G1899" s="253"/>
      <c r="H1899" s="256"/>
      <c r="I1899" s="255"/>
      <c r="J1899" s="255"/>
      <c r="K1899" s="254"/>
      <c r="L1899" s="253"/>
    </row>
    <row r="1900" spans="3:12" s="244" customFormat="1" x14ac:dyDescent="0.25">
      <c r="C1900" s="255"/>
      <c r="D1900" s="255"/>
      <c r="E1900" s="255"/>
      <c r="F1900" s="255"/>
      <c r="G1900" s="253"/>
      <c r="H1900" s="256"/>
      <c r="I1900" s="255"/>
      <c r="J1900" s="255"/>
      <c r="K1900" s="254"/>
      <c r="L1900" s="253"/>
    </row>
    <row r="1901" spans="3:12" s="244" customFormat="1" x14ac:dyDescent="0.25">
      <c r="C1901" s="255"/>
      <c r="D1901" s="255"/>
      <c r="E1901" s="255"/>
      <c r="F1901" s="255"/>
      <c r="G1901" s="253"/>
      <c r="H1901" s="256"/>
      <c r="I1901" s="255"/>
      <c r="J1901" s="255"/>
      <c r="K1901" s="254"/>
      <c r="L1901" s="253"/>
    </row>
    <row r="1902" spans="3:12" s="244" customFormat="1" x14ac:dyDescent="0.25">
      <c r="C1902" s="255"/>
      <c r="D1902" s="255"/>
      <c r="E1902" s="255"/>
      <c r="F1902" s="255"/>
      <c r="G1902" s="253"/>
      <c r="H1902" s="256"/>
      <c r="I1902" s="255"/>
      <c r="J1902" s="255"/>
      <c r="K1902" s="254"/>
      <c r="L1902" s="253"/>
    </row>
    <row r="1903" spans="3:12" s="244" customFormat="1" x14ac:dyDescent="0.25">
      <c r="C1903" s="255"/>
      <c r="D1903" s="255"/>
      <c r="E1903" s="255"/>
      <c r="F1903" s="255"/>
      <c r="G1903" s="253"/>
      <c r="H1903" s="256"/>
      <c r="I1903" s="255"/>
      <c r="J1903" s="255"/>
      <c r="K1903" s="254"/>
      <c r="L1903" s="253"/>
    </row>
    <row r="1904" spans="3:12" s="244" customFormat="1" x14ac:dyDescent="0.25">
      <c r="C1904" s="255"/>
      <c r="D1904" s="255"/>
      <c r="E1904" s="255"/>
      <c r="F1904" s="255"/>
      <c r="G1904" s="253"/>
      <c r="H1904" s="256"/>
      <c r="I1904" s="255"/>
      <c r="J1904" s="255"/>
      <c r="K1904" s="254"/>
      <c r="L1904" s="253"/>
    </row>
    <row r="1905" spans="3:12" s="244" customFormat="1" x14ac:dyDescent="0.25">
      <c r="C1905" s="255"/>
      <c r="D1905" s="255"/>
      <c r="E1905" s="255"/>
      <c r="F1905" s="255"/>
      <c r="G1905" s="253"/>
      <c r="H1905" s="256"/>
      <c r="I1905" s="255"/>
      <c r="J1905" s="255"/>
      <c r="K1905" s="254"/>
      <c r="L1905" s="253"/>
    </row>
    <row r="1906" spans="3:12" s="244" customFormat="1" x14ac:dyDescent="0.25">
      <c r="C1906" s="255"/>
      <c r="D1906" s="255"/>
      <c r="E1906" s="255"/>
      <c r="F1906" s="255"/>
      <c r="G1906" s="253"/>
      <c r="H1906" s="256"/>
      <c r="I1906" s="255"/>
      <c r="J1906" s="255"/>
      <c r="K1906" s="254"/>
      <c r="L1906" s="253"/>
    </row>
    <row r="1907" spans="3:12" s="244" customFormat="1" x14ac:dyDescent="0.25">
      <c r="C1907" s="255"/>
      <c r="D1907" s="255"/>
      <c r="E1907" s="255"/>
      <c r="F1907" s="255"/>
      <c r="G1907" s="253"/>
      <c r="H1907" s="256"/>
      <c r="I1907" s="255"/>
      <c r="J1907" s="255"/>
      <c r="K1907" s="254"/>
      <c r="L1907" s="253"/>
    </row>
    <row r="1908" spans="3:12" s="244" customFormat="1" x14ac:dyDescent="0.25">
      <c r="C1908" s="255"/>
      <c r="D1908" s="255"/>
      <c r="E1908" s="255"/>
      <c r="F1908" s="255"/>
      <c r="G1908" s="253"/>
      <c r="H1908" s="256"/>
      <c r="I1908" s="255"/>
      <c r="J1908" s="255"/>
      <c r="K1908" s="254"/>
      <c r="L1908" s="253"/>
    </row>
    <row r="1909" spans="3:12" s="244" customFormat="1" x14ac:dyDescent="0.25">
      <c r="C1909" s="255"/>
      <c r="D1909" s="255"/>
      <c r="E1909" s="255"/>
      <c r="F1909" s="255"/>
      <c r="G1909" s="253"/>
      <c r="H1909" s="256"/>
      <c r="I1909" s="255"/>
      <c r="J1909" s="255"/>
      <c r="K1909" s="254"/>
      <c r="L1909" s="253"/>
    </row>
    <row r="1910" spans="3:12" s="244" customFormat="1" x14ac:dyDescent="0.25">
      <c r="C1910" s="255"/>
      <c r="D1910" s="255"/>
      <c r="E1910" s="255"/>
      <c r="F1910" s="255"/>
      <c r="G1910" s="253"/>
      <c r="H1910" s="256"/>
      <c r="I1910" s="255"/>
      <c r="J1910" s="255"/>
      <c r="K1910" s="254"/>
      <c r="L1910" s="253"/>
    </row>
    <row r="1911" spans="3:12" s="244" customFormat="1" x14ac:dyDescent="0.25">
      <c r="C1911" s="255"/>
      <c r="D1911" s="255"/>
      <c r="E1911" s="255"/>
      <c r="F1911" s="255"/>
      <c r="G1911" s="253"/>
      <c r="H1911" s="256"/>
      <c r="I1911" s="255"/>
      <c r="J1911" s="255"/>
      <c r="K1911" s="254"/>
      <c r="L1911" s="253"/>
    </row>
    <row r="1912" spans="3:12" s="244" customFormat="1" x14ac:dyDescent="0.25">
      <c r="C1912" s="255"/>
      <c r="D1912" s="255"/>
      <c r="E1912" s="255"/>
      <c r="F1912" s="255"/>
      <c r="G1912" s="253"/>
      <c r="H1912" s="256"/>
      <c r="I1912" s="255"/>
      <c r="J1912" s="255"/>
      <c r="K1912" s="254"/>
      <c r="L1912" s="253"/>
    </row>
    <row r="1913" spans="3:12" s="244" customFormat="1" x14ac:dyDescent="0.25">
      <c r="C1913" s="255"/>
      <c r="D1913" s="255"/>
      <c r="E1913" s="255"/>
      <c r="F1913" s="255"/>
      <c r="G1913" s="253"/>
      <c r="H1913" s="256"/>
      <c r="I1913" s="255"/>
      <c r="J1913" s="255"/>
      <c r="K1913" s="254"/>
      <c r="L1913" s="253"/>
    </row>
    <row r="1914" spans="3:12" s="244" customFormat="1" x14ac:dyDescent="0.25">
      <c r="C1914" s="255"/>
      <c r="D1914" s="255"/>
      <c r="E1914" s="255"/>
      <c r="F1914" s="255"/>
      <c r="G1914" s="253"/>
      <c r="H1914" s="256"/>
      <c r="I1914" s="255"/>
      <c r="J1914" s="255"/>
      <c r="K1914" s="254"/>
      <c r="L1914" s="253"/>
    </row>
    <row r="1915" spans="3:12" s="244" customFormat="1" x14ac:dyDescent="0.25">
      <c r="C1915" s="255"/>
      <c r="D1915" s="255"/>
      <c r="E1915" s="255"/>
      <c r="F1915" s="255"/>
      <c r="G1915" s="253"/>
      <c r="H1915" s="256"/>
      <c r="I1915" s="255"/>
      <c r="J1915" s="255"/>
      <c r="K1915" s="254"/>
      <c r="L1915" s="253"/>
    </row>
    <row r="1916" spans="3:12" s="244" customFormat="1" x14ac:dyDescent="0.25">
      <c r="C1916" s="255"/>
      <c r="D1916" s="255"/>
      <c r="E1916" s="255"/>
      <c r="F1916" s="255"/>
      <c r="G1916" s="253"/>
      <c r="H1916" s="256"/>
      <c r="I1916" s="255"/>
      <c r="J1916" s="255"/>
      <c r="K1916" s="254"/>
      <c r="L1916" s="253"/>
    </row>
    <row r="1917" spans="3:12" s="244" customFormat="1" x14ac:dyDescent="0.25">
      <c r="C1917" s="255"/>
      <c r="D1917" s="255"/>
      <c r="E1917" s="255"/>
      <c r="F1917" s="255"/>
      <c r="G1917" s="253"/>
      <c r="H1917" s="256"/>
      <c r="I1917" s="255"/>
      <c r="J1917" s="255"/>
      <c r="K1917" s="254"/>
      <c r="L1917" s="253"/>
    </row>
    <row r="1918" spans="3:12" s="244" customFormat="1" x14ac:dyDescent="0.25">
      <c r="C1918" s="255"/>
      <c r="D1918" s="255"/>
      <c r="E1918" s="255"/>
      <c r="F1918" s="255"/>
      <c r="G1918" s="253"/>
      <c r="H1918" s="256"/>
      <c r="I1918" s="255"/>
      <c r="J1918" s="255"/>
      <c r="K1918" s="254"/>
      <c r="L1918" s="253"/>
    </row>
    <row r="1919" spans="3:12" s="244" customFormat="1" x14ac:dyDescent="0.25">
      <c r="C1919" s="255"/>
      <c r="D1919" s="255"/>
      <c r="E1919" s="255"/>
      <c r="F1919" s="255"/>
      <c r="G1919" s="253"/>
      <c r="H1919" s="256"/>
      <c r="I1919" s="255"/>
      <c r="J1919" s="255"/>
      <c r="K1919" s="254"/>
      <c r="L1919" s="253"/>
    </row>
    <row r="1920" spans="3:12" s="244" customFormat="1" x14ac:dyDescent="0.25">
      <c r="C1920" s="255"/>
      <c r="D1920" s="255"/>
      <c r="E1920" s="255"/>
      <c r="F1920" s="255"/>
      <c r="G1920" s="253"/>
      <c r="H1920" s="256"/>
      <c r="I1920" s="255"/>
      <c r="J1920" s="255"/>
      <c r="K1920" s="254"/>
      <c r="L1920" s="253"/>
    </row>
    <row r="1921" spans="3:12" s="244" customFormat="1" x14ac:dyDescent="0.25">
      <c r="C1921" s="255"/>
      <c r="D1921" s="255"/>
      <c r="E1921" s="255"/>
      <c r="F1921" s="255"/>
      <c r="G1921" s="253"/>
      <c r="H1921" s="256"/>
      <c r="I1921" s="255"/>
      <c r="J1921" s="255"/>
      <c r="K1921" s="254"/>
      <c r="L1921" s="253"/>
    </row>
    <row r="1922" spans="3:12" s="244" customFormat="1" x14ac:dyDescent="0.25">
      <c r="C1922" s="255"/>
      <c r="D1922" s="255"/>
      <c r="E1922" s="255"/>
      <c r="F1922" s="255"/>
      <c r="G1922" s="253"/>
      <c r="H1922" s="256"/>
      <c r="I1922" s="255"/>
      <c r="J1922" s="255"/>
      <c r="K1922" s="254"/>
      <c r="L1922" s="253"/>
    </row>
    <row r="1923" spans="3:12" s="244" customFormat="1" x14ac:dyDescent="0.25">
      <c r="C1923" s="255"/>
      <c r="D1923" s="255"/>
      <c r="E1923" s="255"/>
      <c r="F1923" s="255"/>
      <c r="G1923" s="253"/>
      <c r="H1923" s="256"/>
      <c r="I1923" s="255"/>
      <c r="J1923" s="255"/>
      <c r="K1923" s="254"/>
      <c r="L1923" s="253"/>
    </row>
    <row r="1924" spans="3:12" s="244" customFormat="1" x14ac:dyDescent="0.25">
      <c r="C1924" s="255"/>
      <c r="D1924" s="255"/>
      <c r="E1924" s="255"/>
      <c r="F1924" s="255"/>
      <c r="G1924" s="253"/>
      <c r="H1924" s="256"/>
      <c r="I1924" s="255"/>
      <c r="J1924" s="255"/>
      <c r="K1924" s="254"/>
      <c r="L1924" s="253"/>
    </row>
    <row r="1925" spans="3:12" s="244" customFormat="1" x14ac:dyDescent="0.25">
      <c r="C1925" s="255"/>
      <c r="D1925" s="255"/>
      <c r="E1925" s="255"/>
      <c r="F1925" s="255"/>
      <c r="G1925" s="253"/>
      <c r="H1925" s="256"/>
      <c r="I1925" s="255"/>
      <c r="J1925" s="255"/>
      <c r="K1925" s="254"/>
      <c r="L1925" s="253"/>
    </row>
    <row r="1926" spans="3:12" s="244" customFormat="1" x14ac:dyDescent="0.25">
      <c r="C1926" s="255"/>
      <c r="D1926" s="255"/>
      <c r="E1926" s="255"/>
      <c r="F1926" s="255"/>
      <c r="G1926" s="253"/>
      <c r="H1926" s="256"/>
      <c r="I1926" s="255"/>
      <c r="J1926" s="255"/>
      <c r="K1926" s="254"/>
      <c r="L1926" s="253"/>
    </row>
    <row r="1927" spans="3:12" s="244" customFormat="1" x14ac:dyDescent="0.25">
      <c r="C1927" s="255"/>
      <c r="D1927" s="255"/>
      <c r="E1927" s="255"/>
      <c r="F1927" s="255"/>
      <c r="G1927" s="253"/>
      <c r="H1927" s="256"/>
      <c r="I1927" s="255"/>
      <c r="J1927" s="255"/>
      <c r="K1927" s="254"/>
      <c r="L1927" s="253"/>
    </row>
    <row r="1928" spans="3:12" s="244" customFormat="1" x14ac:dyDescent="0.25">
      <c r="C1928" s="255"/>
      <c r="D1928" s="255"/>
      <c r="E1928" s="255"/>
      <c r="F1928" s="255"/>
      <c r="G1928" s="253"/>
      <c r="H1928" s="256"/>
      <c r="I1928" s="255"/>
      <c r="J1928" s="255"/>
      <c r="K1928" s="254"/>
      <c r="L1928" s="253"/>
    </row>
    <row r="1929" spans="3:12" s="244" customFormat="1" x14ac:dyDescent="0.25">
      <c r="C1929" s="255"/>
      <c r="D1929" s="255"/>
      <c r="E1929" s="255"/>
      <c r="F1929" s="255"/>
      <c r="G1929" s="253"/>
      <c r="H1929" s="256"/>
      <c r="I1929" s="255"/>
      <c r="J1929" s="255"/>
      <c r="K1929" s="254"/>
      <c r="L1929" s="253"/>
    </row>
    <row r="1930" spans="3:12" s="244" customFormat="1" x14ac:dyDescent="0.25">
      <c r="C1930" s="255"/>
      <c r="D1930" s="255"/>
      <c r="E1930" s="255"/>
      <c r="F1930" s="255"/>
      <c r="G1930" s="253"/>
      <c r="H1930" s="256"/>
      <c r="I1930" s="255"/>
      <c r="J1930" s="255"/>
      <c r="K1930" s="254"/>
      <c r="L1930" s="253"/>
    </row>
    <row r="1931" spans="3:12" s="244" customFormat="1" x14ac:dyDescent="0.25">
      <c r="C1931" s="255"/>
      <c r="D1931" s="255"/>
      <c r="E1931" s="255"/>
      <c r="F1931" s="255"/>
      <c r="G1931" s="253"/>
      <c r="H1931" s="256"/>
      <c r="I1931" s="255"/>
      <c r="J1931" s="255"/>
      <c r="K1931" s="254"/>
      <c r="L1931" s="253"/>
    </row>
    <row r="1932" spans="3:12" s="244" customFormat="1" x14ac:dyDescent="0.25">
      <c r="C1932" s="255"/>
      <c r="D1932" s="255"/>
      <c r="E1932" s="255"/>
      <c r="F1932" s="255"/>
      <c r="G1932" s="253"/>
      <c r="H1932" s="256"/>
      <c r="I1932" s="255"/>
      <c r="J1932" s="255"/>
      <c r="K1932" s="254"/>
      <c r="L1932" s="253"/>
    </row>
    <row r="1933" spans="3:12" s="244" customFormat="1" x14ac:dyDescent="0.25">
      <c r="C1933" s="255"/>
      <c r="D1933" s="255"/>
      <c r="E1933" s="255"/>
      <c r="F1933" s="255"/>
      <c r="G1933" s="253"/>
      <c r="H1933" s="256"/>
      <c r="I1933" s="255"/>
      <c r="J1933" s="255"/>
      <c r="K1933" s="254"/>
      <c r="L1933" s="253"/>
    </row>
    <row r="1934" spans="3:12" s="244" customFormat="1" x14ac:dyDescent="0.25">
      <c r="C1934" s="255"/>
      <c r="D1934" s="255"/>
      <c r="E1934" s="255"/>
      <c r="F1934" s="255"/>
      <c r="G1934" s="253"/>
      <c r="H1934" s="256"/>
      <c r="I1934" s="255"/>
      <c r="J1934" s="255"/>
      <c r="K1934" s="254"/>
      <c r="L1934" s="253"/>
    </row>
    <row r="1935" spans="3:12" s="244" customFormat="1" x14ac:dyDescent="0.25">
      <c r="C1935" s="255"/>
      <c r="D1935" s="255"/>
      <c r="E1935" s="255"/>
      <c r="F1935" s="255"/>
      <c r="G1935" s="253"/>
      <c r="H1935" s="256"/>
      <c r="I1935" s="255"/>
      <c r="J1935" s="255"/>
      <c r="K1935" s="254"/>
      <c r="L1935" s="253"/>
    </row>
    <row r="1936" spans="3:12" s="244" customFormat="1" x14ac:dyDescent="0.25">
      <c r="C1936" s="255"/>
      <c r="D1936" s="255"/>
      <c r="E1936" s="255"/>
      <c r="F1936" s="255"/>
      <c r="G1936" s="253"/>
      <c r="H1936" s="256"/>
      <c r="I1936" s="255"/>
      <c r="J1936" s="255"/>
      <c r="K1936" s="254"/>
      <c r="L1936" s="253"/>
    </row>
    <row r="1937" spans="3:12" s="244" customFormat="1" x14ac:dyDescent="0.25">
      <c r="C1937" s="255"/>
      <c r="D1937" s="255"/>
      <c r="E1937" s="255"/>
      <c r="F1937" s="255"/>
      <c r="G1937" s="253"/>
      <c r="H1937" s="256"/>
      <c r="I1937" s="255"/>
      <c r="J1937" s="255"/>
      <c r="K1937" s="254"/>
      <c r="L1937" s="253"/>
    </row>
    <row r="1938" spans="3:12" s="244" customFormat="1" x14ac:dyDescent="0.25">
      <c r="C1938" s="255"/>
      <c r="D1938" s="255"/>
      <c r="E1938" s="255"/>
      <c r="F1938" s="255"/>
      <c r="G1938" s="253"/>
      <c r="H1938" s="256"/>
      <c r="I1938" s="255"/>
      <c r="J1938" s="255"/>
      <c r="K1938" s="254"/>
      <c r="L1938" s="253"/>
    </row>
    <row r="1939" spans="3:12" s="244" customFormat="1" x14ac:dyDescent="0.25">
      <c r="C1939" s="255"/>
      <c r="D1939" s="255"/>
      <c r="E1939" s="255"/>
      <c r="F1939" s="255"/>
      <c r="G1939" s="253"/>
      <c r="H1939" s="256"/>
      <c r="I1939" s="255"/>
      <c r="J1939" s="255"/>
      <c r="K1939" s="254"/>
      <c r="L1939" s="253"/>
    </row>
    <row r="1940" spans="3:12" s="244" customFormat="1" x14ac:dyDescent="0.25">
      <c r="C1940" s="255"/>
      <c r="D1940" s="255"/>
      <c r="E1940" s="255"/>
      <c r="F1940" s="255"/>
      <c r="G1940" s="253"/>
      <c r="H1940" s="256"/>
      <c r="I1940" s="255"/>
      <c r="J1940" s="255"/>
      <c r="K1940" s="254"/>
      <c r="L1940" s="253"/>
    </row>
    <row r="1941" spans="3:12" s="244" customFormat="1" x14ac:dyDescent="0.25">
      <c r="C1941" s="255"/>
      <c r="D1941" s="255"/>
      <c r="E1941" s="255"/>
      <c r="F1941" s="255"/>
      <c r="G1941" s="253"/>
      <c r="H1941" s="256"/>
      <c r="I1941" s="255"/>
      <c r="J1941" s="255"/>
      <c r="K1941" s="254"/>
      <c r="L1941" s="253"/>
    </row>
    <row r="1942" spans="3:12" s="244" customFormat="1" x14ac:dyDescent="0.25">
      <c r="C1942" s="255"/>
      <c r="D1942" s="255"/>
      <c r="E1942" s="255"/>
      <c r="F1942" s="255"/>
      <c r="G1942" s="253"/>
      <c r="H1942" s="256"/>
      <c r="I1942" s="255"/>
      <c r="J1942" s="255"/>
      <c r="K1942" s="254"/>
      <c r="L1942" s="253"/>
    </row>
    <row r="1943" spans="3:12" s="244" customFormat="1" x14ac:dyDescent="0.25">
      <c r="C1943" s="255"/>
      <c r="D1943" s="255"/>
      <c r="E1943" s="255"/>
      <c r="F1943" s="255"/>
      <c r="G1943" s="253"/>
      <c r="H1943" s="256"/>
      <c r="I1943" s="255"/>
      <c r="J1943" s="255"/>
      <c r="K1943" s="254"/>
      <c r="L1943" s="253"/>
    </row>
    <row r="1944" spans="3:12" s="244" customFormat="1" x14ac:dyDescent="0.25">
      <c r="C1944" s="255"/>
      <c r="D1944" s="255"/>
      <c r="E1944" s="255"/>
      <c r="F1944" s="255"/>
      <c r="G1944" s="253"/>
      <c r="H1944" s="256"/>
      <c r="I1944" s="255"/>
      <c r="J1944" s="255"/>
      <c r="K1944" s="254"/>
      <c r="L1944" s="253"/>
    </row>
    <row r="1945" spans="3:12" s="244" customFormat="1" x14ac:dyDescent="0.25">
      <c r="C1945" s="255"/>
      <c r="D1945" s="255"/>
      <c r="E1945" s="255"/>
      <c r="F1945" s="255"/>
      <c r="G1945" s="253"/>
      <c r="H1945" s="256"/>
      <c r="I1945" s="255"/>
      <c r="J1945" s="255"/>
      <c r="K1945" s="254"/>
      <c r="L1945" s="253"/>
    </row>
    <row r="1946" spans="3:12" s="244" customFormat="1" x14ac:dyDescent="0.25">
      <c r="C1946" s="255"/>
      <c r="D1946" s="255"/>
      <c r="E1946" s="255"/>
      <c r="F1946" s="255"/>
      <c r="G1946" s="253"/>
      <c r="H1946" s="256"/>
      <c r="I1946" s="255"/>
      <c r="J1946" s="255"/>
      <c r="K1946" s="254"/>
      <c r="L1946" s="253"/>
    </row>
    <row r="1947" spans="3:12" s="244" customFormat="1" x14ac:dyDescent="0.25">
      <c r="C1947" s="255"/>
      <c r="D1947" s="255"/>
      <c r="E1947" s="255"/>
      <c r="F1947" s="255"/>
      <c r="G1947" s="253"/>
      <c r="H1947" s="256"/>
      <c r="I1947" s="255"/>
      <c r="J1947" s="255"/>
      <c r="K1947" s="254"/>
      <c r="L1947" s="253"/>
    </row>
    <row r="1948" spans="3:12" s="244" customFormat="1" x14ac:dyDescent="0.25">
      <c r="C1948" s="255"/>
      <c r="D1948" s="255"/>
      <c r="E1948" s="255"/>
      <c r="F1948" s="255"/>
      <c r="G1948" s="253"/>
      <c r="H1948" s="256"/>
      <c r="I1948" s="255"/>
      <c r="J1948" s="255"/>
      <c r="K1948" s="254"/>
      <c r="L1948" s="253"/>
    </row>
    <row r="1949" spans="3:12" s="244" customFormat="1" x14ac:dyDescent="0.25">
      <c r="C1949" s="255"/>
      <c r="D1949" s="255"/>
      <c r="E1949" s="255"/>
      <c r="F1949" s="255"/>
      <c r="G1949" s="253"/>
      <c r="H1949" s="256"/>
      <c r="I1949" s="255"/>
      <c r="J1949" s="255"/>
      <c r="K1949" s="254"/>
      <c r="L1949" s="253"/>
    </row>
    <row r="1950" spans="3:12" s="244" customFormat="1" x14ac:dyDescent="0.25">
      <c r="C1950" s="255"/>
      <c r="D1950" s="255"/>
      <c r="E1950" s="255"/>
      <c r="F1950" s="255"/>
      <c r="G1950" s="253"/>
      <c r="H1950" s="256"/>
      <c r="I1950" s="255"/>
      <c r="J1950" s="255"/>
      <c r="K1950" s="254"/>
      <c r="L1950" s="253"/>
    </row>
    <row r="1951" spans="3:12" s="244" customFormat="1" x14ac:dyDescent="0.25">
      <c r="C1951" s="255"/>
      <c r="D1951" s="255"/>
      <c r="E1951" s="255"/>
      <c r="F1951" s="255"/>
      <c r="G1951" s="253"/>
      <c r="H1951" s="256"/>
      <c r="I1951" s="255"/>
      <c r="J1951" s="255"/>
      <c r="K1951" s="254"/>
      <c r="L1951" s="253"/>
    </row>
    <row r="1952" spans="3:12" s="244" customFormat="1" x14ac:dyDescent="0.25">
      <c r="C1952" s="255"/>
      <c r="D1952" s="255"/>
      <c r="E1952" s="255"/>
      <c r="F1952" s="255"/>
      <c r="G1952" s="253"/>
      <c r="H1952" s="256"/>
      <c r="I1952" s="255"/>
      <c r="J1952" s="255"/>
      <c r="K1952" s="254"/>
      <c r="L1952" s="253"/>
    </row>
    <row r="1953" spans="3:12" s="244" customFormat="1" x14ac:dyDescent="0.25">
      <c r="C1953" s="255"/>
      <c r="D1953" s="255"/>
      <c r="E1953" s="255"/>
      <c r="F1953" s="255"/>
      <c r="G1953" s="253"/>
      <c r="H1953" s="256"/>
      <c r="I1953" s="255"/>
      <c r="J1953" s="255"/>
      <c r="K1953" s="254"/>
      <c r="L1953" s="253"/>
    </row>
    <row r="1954" spans="3:12" s="244" customFormat="1" x14ac:dyDescent="0.25">
      <c r="C1954" s="255"/>
      <c r="D1954" s="255"/>
      <c r="E1954" s="255"/>
      <c r="F1954" s="255"/>
      <c r="G1954" s="253"/>
      <c r="H1954" s="256"/>
      <c r="I1954" s="255"/>
      <c r="J1954" s="255"/>
      <c r="K1954" s="254"/>
      <c r="L1954" s="253"/>
    </row>
    <row r="1955" spans="3:12" s="244" customFormat="1" x14ac:dyDescent="0.25">
      <c r="C1955" s="255"/>
      <c r="D1955" s="255"/>
      <c r="E1955" s="255"/>
      <c r="F1955" s="255"/>
      <c r="G1955" s="253"/>
      <c r="H1955" s="256"/>
      <c r="I1955" s="255"/>
      <c r="J1955" s="255"/>
      <c r="K1955" s="254"/>
      <c r="L1955" s="253"/>
    </row>
    <row r="1956" spans="3:12" s="244" customFormat="1" x14ac:dyDescent="0.25">
      <c r="C1956" s="255"/>
      <c r="D1956" s="255"/>
      <c r="E1956" s="255"/>
      <c r="F1956" s="255"/>
      <c r="G1956" s="253"/>
      <c r="H1956" s="256"/>
      <c r="I1956" s="255"/>
      <c r="J1956" s="255"/>
      <c r="K1956" s="254"/>
      <c r="L1956" s="253"/>
    </row>
    <row r="1957" spans="3:12" s="244" customFormat="1" x14ac:dyDescent="0.25">
      <c r="C1957" s="255"/>
      <c r="D1957" s="255"/>
      <c r="E1957" s="255"/>
      <c r="F1957" s="255"/>
      <c r="G1957" s="253"/>
      <c r="H1957" s="256"/>
      <c r="I1957" s="255"/>
      <c r="J1957" s="255"/>
      <c r="K1957" s="254"/>
      <c r="L1957" s="253"/>
    </row>
    <row r="1958" spans="3:12" s="244" customFormat="1" x14ac:dyDescent="0.25">
      <c r="C1958" s="255"/>
      <c r="D1958" s="255"/>
      <c r="E1958" s="255"/>
      <c r="F1958" s="255"/>
      <c r="G1958" s="253"/>
      <c r="H1958" s="256"/>
      <c r="I1958" s="255"/>
      <c r="J1958" s="255"/>
      <c r="K1958" s="254"/>
      <c r="L1958" s="253"/>
    </row>
    <row r="1959" spans="3:12" s="244" customFormat="1" x14ac:dyDescent="0.25">
      <c r="C1959" s="255"/>
      <c r="D1959" s="255"/>
      <c r="E1959" s="255"/>
      <c r="F1959" s="255"/>
      <c r="G1959" s="253"/>
      <c r="H1959" s="256"/>
      <c r="I1959" s="255"/>
      <c r="J1959" s="255"/>
      <c r="K1959" s="254"/>
      <c r="L1959" s="253"/>
    </row>
    <row r="1960" spans="3:12" s="244" customFormat="1" x14ac:dyDescent="0.25">
      <c r="C1960" s="255"/>
      <c r="D1960" s="255"/>
      <c r="E1960" s="255"/>
      <c r="F1960" s="255"/>
      <c r="G1960" s="253"/>
      <c r="H1960" s="256"/>
      <c r="I1960" s="255"/>
      <c r="J1960" s="255"/>
      <c r="K1960" s="254"/>
      <c r="L1960" s="253"/>
    </row>
    <row r="1961" spans="3:12" s="244" customFormat="1" x14ac:dyDescent="0.25">
      <c r="C1961" s="255"/>
      <c r="D1961" s="255"/>
      <c r="E1961" s="255"/>
      <c r="F1961" s="255"/>
      <c r="G1961" s="253"/>
      <c r="H1961" s="256"/>
      <c r="I1961" s="255"/>
      <c r="J1961" s="255"/>
      <c r="K1961" s="254"/>
      <c r="L1961" s="253"/>
    </row>
    <row r="1962" spans="3:12" s="244" customFormat="1" x14ac:dyDescent="0.25">
      <c r="C1962" s="255"/>
      <c r="D1962" s="255"/>
      <c r="E1962" s="255"/>
      <c r="F1962" s="255"/>
      <c r="G1962" s="253"/>
      <c r="H1962" s="256"/>
      <c r="I1962" s="255"/>
      <c r="J1962" s="255"/>
      <c r="K1962" s="254"/>
      <c r="L1962" s="253"/>
    </row>
    <row r="1963" spans="3:12" s="244" customFormat="1" x14ac:dyDescent="0.25">
      <c r="C1963" s="255"/>
      <c r="D1963" s="255"/>
      <c r="E1963" s="255"/>
      <c r="F1963" s="255"/>
      <c r="G1963" s="253"/>
      <c r="H1963" s="256"/>
      <c r="I1963" s="255"/>
      <c r="J1963" s="255"/>
      <c r="K1963" s="254"/>
      <c r="L1963" s="253"/>
    </row>
    <row r="1964" spans="3:12" s="244" customFormat="1" x14ac:dyDescent="0.25">
      <c r="C1964" s="255"/>
      <c r="D1964" s="255"/>
      <c r="E1964" s="255"/>
      <c r="F1964" s="255"/>
      <c r="G1964" s="253"/>
      <c r="H1964" s="256"/>
      <c r="I1964" s="255"/>
      <c r="J1964" s="255"/>
      <c r="K1964" s="254"/>
      <c r="L1964" s="253"/>
    </row>
    <row r="1965" spans="3:12" s="244" customFormat="1" x14ac:dyDescent="0.25">
      <c r="C1965" s="255"/>
      <c r="D1965" s="255"/>
      <c r="E1965" s="255"/>
      <c r="F1965" s="255"/>
      <c r="G1965" s="253"/>
      <c r="H1965" s="256"/>
      <c r="I1965" s="255"/>
      <c r="J1965" s="255"/>
      <c r="K1965" s="254"/>
      <c r="L1965" s="253"/>
    </row>
    <row r="1966" spans="3:12" s="244" customFormat="1" x14ac:dyDescent="0.25">
      <c r="C1966" s="255"/>
      <c r="D1966" s="255"/>
      <c r="E1966" s="255"/>
      <c r="F1966" s="255"/>
      <c r="G1966" s="253"/>
      <c r="H1966" s="256"/>
      <c r="I1966" s="255"/>
      <c r="J1966" s="255"/>
      <c r="K1966" s="254"/>
      <c r="L1966" s="253"/>
    </row>
    <row r="1967" spans="3:12" s="244" customFormat="1" x14ac:dyDescent="0.25">
      <c r="C1967" s="255"/>
      <c r="D1967" s="255"/>
      <c r="E1967" s="255"/>
      <c r="F1967" s="255"/>
      <c r="G1967" s="253"/>
      <c r="H1967" s="256"/>
      <c r="I1967" s="255"/>
      <c r="J1967" s="255"/>
      <c r="K1967" s="254"/>
      <c r="L1967" s="253"/>
    </row>
    <row r="1968" spans="3:12" s="244" customFormat="1" x14ac:dyDescent="0.25">
      <c r="C1968" s="255"/>
      <c r="D1968" s="255"/>
      <c r="E1968" s="255"/>
      <c r="F1968" s="255"/>
      <c r="G1968" s="253"/>
      <c r="H1968" s="256"/>
      <c r="I1968" s="255"/>
      <c r="J1968" s="255"/>
      <c r="K1968" s="254"/>
      <c r="L1968" s="253"/>
    </row>
    <row r="1969" spans="3:12" s="244" customFormat="1" x14ac:dyDescent="0.25">
      <c r="C1969" s="255"/>
      <c r="D1969" s="255"/>
      <c r="E1969" s="255"/>
      <c r="F1969" s="255"/>
      <c r="G1969" s="253"/>
      <c r="H1969" s="256"/>
      <c r="I1969" s="255"/>
      <c r="J1969" s="255"/>
      <c r="K1969" s="254"/>
      <c r="L1969" s="253"/>
    </row>
    <row r="1970" spans="3:12" s="244" customFormat="1" x14ac:dyDescent="0.25">
      <c r="C1970" s="255"/>
      <c r="D1970" s="255"/>
      <c r="E1970" s="255"/>
      <c r="F1970" s="255"/>
      <c r="G1970" s="253"/>
      <c r="H1970" s="256"/>
      <c r="I1970" s="255"/>
      <c r="J1970" s="255"/>
      <c r="K1970" s="254"/>
      <c r="L1970" s="253"/>
    </row>
    <row r="1971" spans="3:12" s="244" customFormat="1" x14ac:dyDescent="0.25">
      <c r="C1971" s="255"/>
      <c r="D1971" s="255"/>
      <c r="E1971" s="255"/>
      <c r="F1971" s="255"/>
      <c r="G1971" s="253"/>
      <c r="H1971" s="256"/>
      <c r="I1971" s="255"/>
      <c r="J1971" s="255"/>
      <c r="K1971" s="254"/>
      <c r="L1971" s="253"/>
    </row>
    <row r="1972" spans="3:12" s="244" customFormat="1" x14ac:dyDescent="0.25">
      <c r="C1972" s="255"/>
      <c r="D1972" s="255"/>
      <c r="E1972" s="255"/>
      <c r="F1972" s="255"/>
      <c r="G1972" s="253"/>
      <c r="H1972" s="256"/>
      <c r="I1972" s="255"/>
      <c r="J1972" s="255"/>
      <c r="K1972" s="254"/>
      <c r="L1972" s="253"/>
    </row>
    <row r="1973" spans="3:12" s="244" customFormat="1" x14ac:dyDescent="0.25">
      <c r="C1973" s="255"/>
      <c r="D1973" s="255"/>
      <c r="E1973" s="255"/>
      <c r="F1973" s="255"/>
      <c r="G1973" s="253"/>
      <c r="H1973" s="256"/>
      <c r="I1973" s="255"/>
      <c r="J1973" s="255"/>
      <c r="K1973" s="254"/>
      <c r="L1973" s="253"/>
    </row>
    <row r="1974" spans="3:12" s="244" customFormat="1" x14ac:dyDescent="0.25">
      <c r="C1974" s="255"/>
      <c r="D1974" s="255"/>
      <c r="E1974" s="255"/>
      <c r="F1974" s="255"/>
      <c r="G1974" s="253"/>
      <c r="H1974" s="256"/>
      <c r="I1974" s="255"/>
      <c r="J1974" s="255"/>
      <c r="K1974" s="254"/>
      <c r="L1974" s="253"/>
    </row>
    <row r="1975" spans="3:12" s="244" customFormat="1" x14ac:dyDescent="0.25">
      <c r="C1975" s="255"/>
      <c r="D1975" s="255"/>
      <c r="E1975" s="255"/>
      <c r="F1975" s="255"/>
      <c r="G1975" s="253"/>
      <c r="H1975" s="256"/>
      <c r="I1975" s="255"/>
      <c r="J1975" s="255"/>
      <c r="K1975" s="254"/>
      <c r="L1975" s="253"/>
    </row>
    <row r="1976" spans="3:12" s="244" customFormat="1" x14ac:dyDescent="0.25">
      <c r="C1976" s="255"/>
      <c r="D1976" s="255"/>
      <c r="E1976" s="255"/>
      <c r="F1976" s="255"/>
      <c r="G1976" s="253"/>
      <c r="H1976" s="256"/>
      <c r="I1976" s="255"/>
      <c r="J1976" s="255"/>
      <c r="K1976" s="254"/>
      <c r="L1976" s="253"/>
    </row>
    <row r="1977" spans="3:12" s="244" customFormat="1" x14ac:dyDescent="0.25">
      <c r="C1977" s="255"/>
      <c r="D1977" s="255"/>
      <c r="E1977" s="255"/>
      <c r="F1977" s="255"/>
      <c r="G1977" s="253"/>
      <c r="H1977" s="256"/>
      <c r="I1977" s="255"/>
      <c r="J1977" s="255"/>
      <c r="K1977" s="254"/>
      <c r="L1977" s="253"/>
    </row>
    <row r="1978" spans="3:12" s="244" customFormat="1" x14ac:dyDescent="0.25">
      <c r="C1978" s="255"/>
      <c r="D1978" s="255"/>
      <c r="E1978" s="255"/>
      <c r="F1978" s="255"/>
      <c r="G1978" s="253"/>
      <c r="H1978" s="256"/>
      <c r="I1978" s="255"/>
      <c r="J1978" s="255"/>
      <c r="K1978" s="254"/>
      <c r="L1978" s="253"/>
    </row>
    <row r="1979" spans="3:12" s="244" customFormat="1" x14ac:dyDescent="0.25">
      <c r="C1979" s="255"/>
      <c r="D1979" s="255"/>
      <c r="E1979" s="255"/>
      <c r="F1979" s="255"/>
      <c r="G1979" s="253"/>
      <c r="H1979" s="256"/>
      <c r="I1979" s="255"/>
      <c r="J1979" s="255"/>
      <c r="K1979" s="254"/>
      <c r="L1979" s="253"/>
    </row>
    <row r="1980" spans="3:12" s="244" customFormat="1" x14ac:dyDescent="0.25">
      <c r="C1980" s="255"/>
      <c r="D1980" s="255"/>
      <c r="E1980" s="255"/>
      <c r="F1980" s="255"/>
      <c r="G1980" s="253"/>
      <c r="H1980" s="256"/>
      <c r="I1980" s="255"/>
      <c r="J1980" s="255"/>
      <c r="K1980" s="254"/>
      <c r="L1980" s="253"/>
    </row>
    <row r="1981" spans="3:12" s="244" customFormat="1" x14ac:dyDescent="0.25">
      <c r="C1981" s="255"/>
      <c r="D1981" s="255"/>
      <c r="E1981" s="255"/>
      <c r="F1981" s="255"/>
      <c r="G1981" s="253"/>
      <c r="H1981" s="256"/>
      <c r="I1981" s="255"/>
      <c r="J1981" s="255"/>
      <c r="K1981" s="254"/>
      <c r="L1981" s="253"/>
    </row>
    <row r="1982" spans="3:12" s="244" customFormat="1" x14ac:dyDescent="0.25">
      <c r="C1982" s="255"/>
      <c r="D1982" s="255"/>
      <c r="E1982" s="255"/>
      <c r="F1982" s="255"/>
      <c r="G1982" s="253"/>
      <c r="H1982" s="256"/>
      <c r="I1982" s="255"/>
      <c r="J1982" s="255"/>
      <c r="K1982" s="254"/>
      <c r="L1982" s="253"/>
    </row>
    <row r="1983" spans="3:12" s="244" customFormat="1" x14ac:dyDescent="0.25">
      <c r="C1983" s="255"/>
      <c r="D1983" s="255"/>
      <c r="E1983" s="255"/>
      <c r="F1983" s="255"/>
      <c r="G1983" s="253"/>
      <c r="H1983" s="256"/>
      <c r="I1983" s="255"/>
      <c r="J1983" s="255"/>
      <c r="K1983" s="254"/>
      <c r="L1983" s="253"/>
    </row>
    <row r="1984" spans="3:12" s="244" customFormat="1" x14ac:dyDescent="0.25">
      <c r="C1984" s="255"/>
      <c r="D1984" s="255"/>
      <c r="E1984" s="255"/>
      <c r="F1984" s="255"/>
      <c r="G1984" s="253"/>
      <c r="H1984" s="256"/>
      <c r="I1984" s="255"/>
      <c r="J1984" s="255"/>
      <c r="K1984" s="254"/>
      <c r="L1984" s="253"/>
    </row>
    <row r="1985" spans="3:12" s="244" customFormat="1" x14ac:dyDescent="0.25">
      <c r="C1985" s="255"/>
      <c r="D1985" s="255"/>
      <c r="E1985" s="255"/>
      <c r="F1985" s="255"/>
      <c r="G1985" s="253"/>
      <c r="H1985" s="256"/>
      <c r="I1985" s="255"/>
      <c r="J1985" s="255"/>
      <c r="K1985" s="254"/>
      <c r="L1985" s="253"/>
    </row>
    <row r="1986" spans="3:12" s="244" customFormat="1" x14ac:dyDescent="0.25">
      <c r="C1986" s="255"/>
      <c r="D1986" s="255"/>
      <c r="E1986" s="255"/>
      <c r="F1986" s="255"/>
      <c r="G1986" s="253"/>
      <c r="H1986" s="256"/>
      <c r="I1986" s="255"/>
      <c r="J1986" s="255"/>
      <c r="K1986" s="254"/>
      <c r="L1986" s="253"/>
    </row>
    <row r="1987" spans="3:12" s="244" customFormat="1" x14ac:dyDescent="0.25">
      <c r="C1987" s="255"/>
      <c r="D1987" s="255"/>
      <c r="E1987" s="255"/>
      <c r="F1987" s="255"/>
      <c r="G1987" s="253"/>
      <c r="H1987" s="256"/>
      <c r="I1987" s="255"/>
      <c r="J1987" s="255"/>
      <c r="K1987" s="254"/>
      <c r="L1987" s="253"/>
    </row>
    <row r="1988" spans="3:12" s="244" customFormat="1" x14ac:dyDescent="0.25">
      <c r="C1988" s="255"/>
      <c r="D1988" s="255"/>
      <c r="E1988" s="255"/>
      <c r="F1988" s="255"/>
      <c r="G1988" s="253"/>
      <c r="H1988" s="256"/>
      <c r="I1988" s="255"/>
      <c r="J1988" s="255"/>
      <c r="K1988" s="254"/>
      <c r="L1988" s="253"/>
    </row>
    <row r="1989" spans="3:12" s="244" customFormat="1" x14ac:dyDescent="0.25">
      <c r="C1989" s="255"/>
      <c r="D1989" s="255"/>
      <c r="E1989" s="255"/>
      <c r="F1989" s="255"/>
      <c r="G1989" s="253"/>
      <c r="H1989" s="256"/>
      <c r="I1989" s="255"/>
      <c r="J1989" s="255"/>
      <c r="K1989" s="254"/>
      <c r="L1989" s="253"/>
    </row>
    <row r="1990" spans="3:12" s="244" customFormat="1" x14ac:dyDescent="0.25">
      <c r="C1990" s="255"/>
      <c r="D1990" s="255"/>
      <c r="E1990" s="255"/>
      <c r="F1990" s="255"/>
      <c r="G1990" s="253"/>
      <c r="H1990" s="256"/>
      <c r="I1990" s="255"/>
      <c r="J1990" s="255"/>
      <c r="K1990" s="254"/>
      <c r="L1990" s="253"/>
    </row>
    <row r="1991" spans="3:12" s="244" customFormat="1" x14ac:dyDescent="0.25">
      <c r="C1991" s="255"/>
      <c r="D1991" s="255"/>
      <c r="E1991" s="255"/>
      <c r="F1991" s="255"/>
      <c r="G1991" s="253"/>
      <c r="H1991" s="256"/>
      <c r="I1991" s="255"/>
      <c r="J1991" s="255"/>
      <c r="K1991" s="254"/>
      <c r="L1991" s="253"/>
    </row>
    <row r="1992" spans="3:12" s="244" customFormat="1" x14ac:dyDescent="0.25">
      <c r="C1992" s="255"/>
      <c r="D1992" s="255"/>
      <c r="E1992" s="255"/>
      <c r="F1992" s="255"/>
      <c r="G1992" s="253"/>
      <c r="H1992" s="256"/>
      <c r="I1992" s="255"/>
      <c r="J1992" s="255"/>
      <c r="K1992" s="254"/>
      <c r="L1992" s="253"/>
    </row>
    <row r="1993" spans="3:12" s="244" customFormat="1" x14ac:dyDescent="0.25">
      <c r="C1993" s="255"/>
      <c r="D1993" s="255"/>
      <c r="E1993" s="255"/>
      <c r="F1993" s="255"/>
      <c r="G1993" s="253"/>
      <c r="H1993" s="256"/>
      <c r="I1993" s="255"/>
      <c r="J1993" s="255"/>
      <c r="K1993" s="254"/>
      <c r="L1993" s="253"/>
    </row>
    <row r="1994" spans="3:12" s="244" customFormat="1" x14ac:dyDescent="0.25">
      <c r="C1994" s="255"/>
      <c r="D1994" s="255"/>
      <c r="E1994" s="255"/>
      <c r="F1994" s="255"/>
      <c r="G1994" s="253"/>
      <c r="H1994" s="256"/>
      <c r="I1994" s="255"/>
      <c r="J1994" s="255"/>
      <c r="K1994" s="254"/>
      <c r="L1994" s="253"/>
    </row>
    <row r="1995" spans="3:12" s="244" customFormat="1" x14ac:dyDescent="0.25">
      <c r="C1995" s="255"/>
      <c r="D1995" s="255"/>
      <c r="E1995" s="255"/>
      <c r="F1995" s="255"/>
      <c r="G1995" s="253"/>
      <c r="H1995" s="256"/>
      <c r="I1995" s="255"/>
      <c r="J1995" s="255"/>
      <c r="K1995" s="254"/>
      <c r="L1995" s="253"/>
    </row>
    <row r="1996" spans="3:12" s="244" customFormat="1" x14ac:dyDescent="0.25">
      <c r="C1996" s="255"/>
      <c r="D1996" s="255"/>
      <c r="E1996" s="255"/>
      <c r="F1996" s="255"/>
      <c r="G1996" s="253"/>
      <c r="H1996" s="256"/>
      <c r="I1996" s="255"/>
      <c r="J1996" s="255"/>
      <c r="K1996" s="254"/>
      <c r="L1996" s="253"/>
    </row>
    <row r="1997" spans="3:12" s="244" customFormat="1" x14ac:dyDescent="0.25">
      <c r="C1997" s="255"/>
      <c r="D1997" s="255"/>
      <c r="E1997" s="255"/>
      <c r="F1997" s="255"/>
      <c r="G1997" s="253"/>
      <c r="H1997" s="256"/>
      <c r="I1997" s="255"/>
      <c r="J1997" s="255"/>
      <c r="K1997" s="254"/>
      <c r="L1997" s="253"/>
    </row>
    <row r="1998" spans="3:12" s="244" customFormat="1" x14ac:dyDescent="0.25">
      <c r="C1998" s="255"/>
      <c r="D1998" s="255"/>
      <c r="E1998" s="255"/>
      <c r="F1998" s="255"/>
      <c r="G1998" s="253"/>
      <c r="H1998" s="256"/>
      <c r="I1998" s="255"/>
      <c r="J1998" s="255"/>
      <c r="K1998" s="254"/>
      <c r="L1998" s="253"/>
    </row>
    <row r="1999" spans="3:12" s="244" customFormat="1" x14ac:dyDescent="0.25">
      <c r="C1999" s="255"/>
      <c r="D1999" s="255"/>
      <c r="E1999" s="255"/>
      <c r="F1999" s="255"/>
      <c r="G1999" s="253"/>
      <c r="H1999" s="256"/>
      <c r="I1999" s="255"/>
      <c r="J1999" s="255"/>
      <c r="K1999" s="254"/>
      <c r="L1999" s="253"/>
    </row>
    <row r="2000" spans="3:12" s="244" customFormat="1" x14ac:dyDescent="0.25">
      <c r="C2000" s="255"/>
      <c r="D2000" s="255"/>
      <c r="E2000" s="255"/>
      <c r="F2000" s="255"/>
      <c r="G2000" s="253"/>
      <c r="H2000" s="256"/>
      <c r="I2000" s="255"/>
      <c r="J2000" s="255"/>
      <c r="K2000" s="254"/>
      <c r="L2000" s="253"/>
    </row>
    <row r="2001" spans="3:12" s="244" customFormat="1" x14ac:dyDescent="0.25">
      <c r="C2001" s="255"/>
      <c r="D2001" s="255"/>
      <c r="E2001" s="255"/>
      <c r="F2001" s="255"/>
      <c r="G2001" s="253"/>
      <c r="H2001" s="256"/>
      <c r="I2001" s="255"/>
      <c r="J2001" s="255"/>
      <c r="K2001" s="254"/>
      <c r="L2001" s="253"/>
    </row>
    <row r="2002" spans="3:12" s="244" customFormat="1" x14ac:dyDescent="0.25">
      <c r="C2002" s="255"/>
      <c r="D2002" s="255"/>
      <c r="E2002" s="255"/>
      <c r="F2002" s="255"/>
      <c r="G2002" s="253"/>
      <c r="H2002" s="256"/>
      <c r="I2002" s="255"/>
      <c r="J2002" s="255"/>
      <c r="K2002" s="254"/>
      <c r="L2002" s="253"/>
    </row>
    <row r="2003" spans="3:12" s="244" customFormat="1" x14ac:dyDescent="0.25">
      <c r="C2003" s="255"/>
      <c r="D2003" s="255"/>
      <c r="E2003" s="255"/>
      <c r="F2003" s="255"/>
      <c r="G2003" s="253"/>
      <c r="H2003" s="256"/>
      <c r="I2003" s="255"/>
      <c r="J2003" s="255"/>
      <c r="K2003" s="254"/>
      <c r="L2003" s="253"/>
    </row>
    <row r="2004" spans="3:12" s="244" customFormat="1" x14ac:dyDescent="0.25">
      <c r="C2004" s="255"/>
      <c r="D2004" s="255"/>
      <c r="E2004" s="255"/>
      <c r="F2004" s="255"/>
      <c r="G2004" s="253"/>
      <c r="H2004" s="256"/>
      <c r="I2004" s="255"/>
      <c r="J2004" s="255"/>
      <c r="K2004" s="254"/>
      <c r="L2004" s="253"/>
    </row>
    <row r="2005" spans="3:12" s="244" customFormat="1" x14ac:dyDescent="0.25">
      <c r="C2005" s="255"/>
      <c r="D2005" s="255"/>
      <c r="E2005" s="255"/>
      <c r="F2005" s="255"/>
      <c r="G2005" s="253"/>
      <c r="H2005" s="256"/>
      <c r="I2005" s="255"/>
      <c r="J2005" s="255"/>
      <c r="K2005" s="254"/>
      <c r="L2005" s="253"/>
    </row>
    <row r="2006" spans="3:12" s="244" customFormat="1" x14ac:dyDescent="0.25">
      <c r="C2006" s="255"/>
      <c r="D2006" s="255"/>
      <c r="E2006" s="255"/>
      <c r="F2006" s="255"/>
      <c r="G2006" s="253"/>
      <c r="H2006" s="256"/>
      <c r="I2006" s="255"/>
      <c r="J2006" s="255"/>
      <c r="K2006" s="254"/>
      <c r="L2006" s="253"/>
    </row>
    <row r="2007" spans="3:12" s="244" customFormat="1" x14ac:dyDescent="0.25">
      <c r="C2007" s="255"/>
      <c r="D2007" s="255"/>
      <c r="E2007" s="255"/>
      <c r="F2007" s="255"/>
      <c r="G2007" s="253"/>
      <c r="H2007" s="256"/>
      <c r="I2007" s="255"/>
      <c r="J2007" s="255"/>
      <c r="K2007" s="254"/>
      <c r="L2007" s="253"/>
    </row>
    <row r="2008" spans="3:12" s="244" customFormat="1" x14ac:dyDescent="0.25">
      <c r="C2008" s="255"/>
      <c r="D2008" s="255"/>
      <c r="E2008" s="255"/>
      <c r="F2008" s="255"/>
      <c r="G2008" s="253"/>
      <c r="H2008" s="256"/>
      <c r="I2008" s="255"/>
      <c r="J2008" s="255"/>
      <c r="K2008" s="254"/>
      <c r="L2008" s="253"/>
    </row>
    <row r="2009" spans="3:12" s="244" customFormat="1" x14ac:dyDescent="0.25">
      <c r="C2009" s="255"/>
      <c r="D2009" s="255"/>
      <c r="E2009" s="255"/>
      <c r="F2009" s="255"/>
      <c r="G2009" s="253"/>
      <c r="H2009" s="256"/>
      <c r="I2009" s="255"/>
      <c r="J2009" s="255"/>
      <c r="K2009" s="254"/>
      <c r="L2009" s="253"/>
    </row>
    <row r="2010" spans="3:12" s="244" customFormat="1" x14ac:dyDescent="0.25">
      <c r="C2010" s="255"/>
      <c r="D2010" s="255"/>
      <c r="E2010" s="255"/>
      <c r="F2010" s="255"/>
      <c r="G2010" s="253"/>
      <c r="H2010" s="256"/>
      <c r="I2010" s="255"/>
      <c r="J2010" s="255"/>
      <c r="K2010" s="254"/>
      <c r="L2010" s="253"/>
    </row>
    <row r="2011" spans="3:12" s="244" customFormat="1" x14ac:dyDescent="0.25">
      <c r="C2011" s="255"/>
      <c r="D2011" s="255"/>
      <c r="E2011" s="255"/>
      <c r="F2011" s="255"/>
      <c r="G2011" s="253"/>
      <c r="H2011" s="256"/>
      <c r="I2011" s="255"/>
      <c r="J2011" s="255"/>
      <c r="K2011" s="254"/>
      <c r="L2011" s="253"/>
    </row>
    <row r="2012" spans="3:12" s="244" customFormat="1" x14ac:dyDescent="0.25">
      <c r="C2012" s="255"/>
      <c r="D2012" s="255"/>
      <c r="E2012" s="255"/>
      <c r="F2012" s="255"/>
      <c r="G2012" s="253"/>
      <c r="H2012" s="256"/>
      <c r="I2012" s="255"/>
      <c r="J2012" s="255"/>
      <c r="K2012" s="254"/>
      <c r="L2012" s="253"/>
    </row>
    <row r="2013" spans="3:12" s="244" customFormat="1" x14ac:dyDescent="0.25">
      <c r="C2013" s="255"/>
      <c r="D2013" s="255"/>
      <c r="E2013" s="255"/>
      <c r="F2013" s="255"/>
      <c r="G2013" s="253"/>
      <c r="H2013" s="256"/>
      <c r="I2013" s="255"/>
      <c r="J2013" s="255"/>
      <c r="K2013" s="254"/>
      <c r="L2013" s="253"/>
    </row>
    <row r="2014" spans="3:12" s="244" customFormat="1" x14ac:dyDescent="0.25">
      <c r="C2014" s="255"/>
      <c r="D2014" s="255"/>
      <c r="E2014" s="255"/>
      <c r="F2014" s="255"/>
      <c r="G2014" s="253"/>
      <c r="H2014" s="256"/>
      <c r="I2014" s="255"/>
      <c r="J2014" s="255"/>
      <c r="K2014" s="254"/>
      <c r="L2014" s="253"/>
    </row>
    <row r="2015" spans="3:12" s="244" customFormat="1" x14ac:dyDescent="0.25">
      <c r="C2015" s="255"/>
      <c r="D2015" s="255"/>
      <c r="E2015" s="255"/>
      <c r="F2015" s="255"/>
      <c r="G2015" s="253"/>
      <c r="H2015" s="256"/>
      <c r="I2015" s="255"/>
      <c r="J2015" s="255"/>
      <c r="K2015" s="254"/>
      <c r="L2015" s="253"/>
    </row>
    <row r="2016" spans="3:12" s="244" customFormat="1" x14ac:dyDescent="0.25">
      <c r="C2016" s="255"/>
      <c r="D2016" s="255"/>
      <c r="E2016" s="255"/>
      <c r="F2016" s="255"/>
      <c r="G2016" s="253"/>
      <c r="H2016" s="256"/>
      <c r="I2016" s="255"/>
      <c r="J2016" s="255"/>
      <c r="K2016" s="254"/>
      <c r="L2016" s="253"/>
    </row>
    <row r="2017" spans="3:12" s="244" customFormat="1" x14ac:dyDescent="0.25">
      <c r="C2017" s="255"/>
      <c r="D2017" s="255"/>
      <c r="E2017" s="255"/>
      <c r="F2017" s="255"/>
      <c r="G2017" s="253"/>
      <c r="H2017" s="256"/>
      <c r="I2017" s="255"/>
      <c r="J2017" s="255"/>
      <c r="K2017" s="254"/>
      <c r="L2017" s="253"/>
    </row>
    <row r="2018" spans="3:12" s="244" customFormat="1" x14ac:dyDescent="0.25">
      <c r="C2018" s="255"/>
      <c r="D2018" s="255"/>
      <c r="E2018" s="255"/>
      <c r="F2018" s="255"/>
      <c r="G2018" s="253"/>
      <c r="H2018" s="256"/>
      <c r="I2018" s="255"/>
      <c r="J2018" s="255"/>
      <c r="K2018" s="254"/>
      <c r="L2018" s="253"/>
    </row>
    <row r="2019" spans="3:12" s="244" customFormat="1" x14ac:dyDescent="0.25">
      <c r="C2019" s="255"/>
      <c r="D2019" s="255"/>
      <c r="E2019" s="255"/>
      <c r="F2019" s="255"/>
      <c r="G2019" s="253"/>
      <c r="H2019" s="256"/>
      <c r="I2019" s="255"/>
      <c r="J2019" s="255"/>
      <c r="K2019" s="254"/>
      <c r="L2019" s="253"/>
    </row>
    <row r="2020" spans="3:12" s="244" customFormat="1" x14ac:dyDescent="0.25">
      <c r="C2020" s="255"/>
      <c r="D2020" s="255"/>
      <c r="E2020" s="255"/>
      <c r="F2020" s="255"/>
      <c r="G2020" s="253"/>
      <c r="H2020" s="256"/>
      <c r="I2020" s="255"/>
      <c r="J2020" s="255"/>
      <c r="K2020" s="254"/>
      <c r="L2020" s="253"/>
    </row>
    <row r="2021" spans="3:12" s="244" customFormat="1" x14ac:dyDescent="0.25">
      <c r="C2021" s="255"/>
      <c r="D2021" s="255"/>
      <c r="E2021" s="255"/>
      <c r="F2021" s="255"/>
      <c r="G2021" s="253"/>
      <c r="H2021" s="256"/>
      <c r="I2021" s="255"/>
      <c r="J2021" s="255"/>
      <c r="K2021" s="254"/>
      <c r="L2021" s="253"/>
    </row>
    <row r="2022" spans="3:12" s="244" customFormat="1" x14ac:dyDescent="0.25">
      <c r="C2022" s="255"/>
      <c r="D2022" s="255"/>
      <c r="E2022" s="255"/>
      <c r="F2022" s="255"/>
      <c r="G2022" s="253"/>
      <c r="H2022" s="256"/>
      <c r="I2022" s="255"/>
      <c r="J2022" s="255"/>
      <c r="K2022" s="254"/>
      <c r="L2022" s="253"/>
    </row>
    <row r="2023" spans="3:12" s="244" customFormat="1" x14ac:dyDescent="0.25">
      <c r="C2023" s="255"/>
      <c r="D2023" s="255"/>
      <c r="E2023" s="255"/>
      <c r="F2023" s="255"/>
      <c r="G2023" s="253"/>
      <c r="H2023" s="256"/>
      <c r="I2023" s="255"/>
      <c r="J2023" s="255"/>
      <c r="K2023" s="254"/>
      <c r="L2023" s="253"/>
    </row>
    <row r="2024" spans="3:12" s="244" customFormat="1" x14ac:dyDescent="0.25">
      <c r="C2024" s="255"/>
      <c r="D2024" s="255"/>
      <c r="E2024" s="255"/>
      <c r="F2024" s="255"/>
      <c r="G2024" s="253"/>
      <c r="H2024" s="256"/>
      <c r="I2024" s="255"/>
      <c r="J2024" s="255"/>
      <c r="K2024" s="254"/>
      <c r="L2024" s="253"/>
    </row>
    <row r="2025" spans="3:12" s="244" customFormat="1" x14ac:dyDescent="0.25">
      <c r="C2025" s="255"/>
      <c r="D2025" s="255"/>
      <c r="E2025" s="255"/>
      <c r="F2025" s="255"/>
      <c r="G2025" s="253"/>
      <c r="H2025" s="256"/>
      <c r="I2025" s="255"/>
      <c r="J2025" s="255"/>
      <c r="K2025" s="254"/>
      <c r="L2025" s="253"/>
    </row>
    <row r="2026" spans="3:12" s="244" customFormat="1" x14ac:dyDescent="0.25">
      <c r="C2026" s="255"/>
      <c r="D2026" s="255"/>
      <c r="E2026" s="255"/>
      <c r="F2026" s="255"/>
      <c r="G2026" s="253"/>
      <c r="H2026" s="256"/>
      <c r="I2026" s="255"/>
      <c r="J2026" s="255"/>
      <c r="K2026" s="254"/>
      <c r="L2026" s="253"/>
    </row>
    <row r="2027" spans="3:12" s="244" customFormat="1" x14ac:dyDescent="0.25">
      <c r="C2027" s="255"/>
      <c r="D2027" s="255"/>
      <c r="E2027" s="255"/>
      <c r="F2027" s="255"/>
      <c r="G2027" s="253"/>
      <c r="H2027" s="256"/>
      <c r="I2027" s="255"/>
      <c r="J2027" s="255"/>
      <c r="K2027" s="254"/>
      <c r="L2027" s="253"/>
    </row>
    <row r="2028" spans="3:12" s="244" customFormat="1" x14ac:dyDescent="0.25">
      <c r="C2028" s="255"/>
      <c r="D2028" s="255"/>
      <c r="E2028" s="255"/>
      <c r="F2028" s="255"/>
      <c r="G2028" s="253"/>
      <c r="H2028" s="256"/>
      <c r="I2028" s="255"/>
      <c r="J2028" s="255"/>
      <c r="K2028" s="254"/>
      <c r="L2028" s="253"/>
    </row>
    <row r="2029" spans="3:12" s="244" customFormat="1" x14ac:dyDescent="0.25">
      <c r="C2029" s="255"/>
      <c r="D2029" s="255"/>
      <c r="E2029" s="255"/>
      <c r="F2029" s="255"/>
      <c r="G2029" s="253"/>
      <c r="H2029" s="256"/>
      <c r="I2029" s="255"/>
      <c r="J2029" s="255"/>
      <c r="K2029" s="254"/>
      <c r="L2029" s="253"/>
    </row>
    <row r="2030" spans="3:12" s="244" customFormat="1" x14ac:dyDescent="0.25">
      <c r="C2030" s="255"/>
      <c r="D2030" s="255"/>
      <c r="E2030" s="255"/>
      <c r="F2030" s="255"/>
      <c r="G2030" s="253"/>
      <c r="H2030" s="256"/>
      <c r="I2030" s="255"/>
      <c r="J2030" s="255"/>
      <c r="K2030" s="254"/>
      <c r="L2030" s="253"/>
    </row>
    <row r="2031" spans="3:12" s="244" customFormat="1" x14ac:dyDescent="0.25">
      <c r="C2031" s="255"/>
      <c r="D2031" s="255"/>
      <c r="E2031" s="255"/>
      <c r="F2031" s="255"/>
      <c r="G2031" s="253"/>
      <c r="H2031" s="256"/>
      <c r="I2031" s="255"/>
      <c r="J2031" s="255"/>
      <c r="K2031" s="254"/>
      <c r="L2031" s="253"/>
    </row>
    <row r="2032" spans="3:12" s="244" customFormat="1" x14ac:dyDescent="0.25">
      <c r="C2032" s="255"/>
      <c r="D2032" s="255"/>
      <c r="E2032" s="255"/>
      <c r="F2032" s="255"/>
      <c r="G2032" s="253"/>
      <c r="H2032" s="256"/>
      <c r="I2032" s="255"/>
      <c r="J2032" s="255"/>
      <c r="K2032" s="254"/>
      <c r="L2032" s="253"/>
    </row>
    <row r="2033" spans="3:12" s="244" customFormat="1" x14ac:dyDescent="0.25">
      <c r="C2033" s="255"/>
      <c r="D2033" s="255"/>
      <c r="E2033" s="255"/>
      <c r="F2033" s="255"/>
      <c r="G2033" s="253"/>
      <c r="H2033" s="256"/>
      <c r="I2033" s="255"/>
      <c r="J2033" s="255"/>
      <c r="K2033" s="254"/>
      <c r="L2033" s="253"/>
    </row>
    <row r="2034" spans="3:12" s="244" customFormat="1" x14ac:dyDescent="0.25">
      <c r="C2034" s="255"/>
      <c r="D2034" s="255"/>
      <c r="E2034" s="255"/>
      <c r="F2034" s="255"/>
      <c r="G2034" s="253"/>
      <c r="H2034" s="256"/>
      <c r="I2034" s="255"/>
      <c r="J2034" s="255"/>
      <c r="K2034" s="254"/>
      <c r="L2034" s="253"/>
    </row>
    <row r="2035" spans="3:12" s="244" customFormat="1" x14ac:dyDescent="0.25">
      <c r="C2035" s="255"/>
      <c r="D2035" s="255"/>
      <c r="E2035" s="255"/>
      <c r="F2035" s="255"/>
      <c r="G2035" s="253"/>
      <c r="H2035" s="256"/>
      <c r="I2035" s="255"/>
      <c r="J2035" s="255"/>
      <c r="K2035" s="254"/>
      <c r="L2035" s="253"/>
    </row>
    <row r="2036" spans="3:12" s="244" customFormat="1" x14ac:dyDescent="0.25">
      <c r="C2036" s="255"/>
      <c r="D2036" s="255"/>
      <c r="E2036" s="255"/>
      <c r="F2036" s="255"/>
      <c r="G2036" s="253"/>
      <c r="H2036" s="256"/>
      <c r="I2036" s="255"/>
      <c r="J2036" s="255"/>
      <c r="K2036" s="254"/>
      <c r="L2036" s="253"/>
    </row>
    <row r="2037" spans="3:12" s="244" customFormat="1" x14ac:dyDescent="0.25">
      <c r="C2037" s="255"/>
      <c r="D2037" s="255"/>
      <c r="E2037" s="255"/>
      <c r="F2037" s="255"/>
      <c r="G2037" s="253"/>
      <c r="H2037" s="256"/>
      <c r="I2037" s="255"/>
      <c r="J2037" s="255"/>
      <c r="K2037" s="254"/>
      <c r="L2037" s="253"/>
    </row>
    <row r="2038" spans="3:12" s="244" customFormat="1" x14ac:dyDescent="0.25">
      <c r="C2038" s="255"/>
      <c r="D2038" s="255"/>
      <c r="E2038" s="255"/>
      <c r="F2038" s="255"/>
      <c r="G2038" s="253"/>
      <c r="H2038" s="256"/>
      <c r="I2038" s="255"/>
      <c r="J2038" s="255"/>
      <c r="K2038" s="254"/>
      <c r="L2038" s="253"/>
    </row>
    <row r="2039" spans="3:12" s="244" customFormat="1" x14ac:dyDescent="0.25">
      <c r="C2039" s="255"/>
      <c r="D2039" s="255"/>
      <c r="E2039" s="255"/>
      <c r="F2039" s="255"/>
      <c r="G2039" s="253"/>
      <c r="H2039" s="256"/>
      <c r="I2039" s="255"/>
      <c r="J2039" s="255"/>
      <c r="K2039" s="254"/>
      <c r="L2039" s="253"/>
    </row>
    <row r="2040" spans="3:12" s="244" customFormat="1" x14ac:dyDescent="0.25">
      <c r="C2040" s="255"/>
      <c r="D2040" s="255"/>
      <c r="E2040" s="255"/>
      <c r="F2040" s="255"/>
      <c r="G2040" s="253"/>
      <c r="H2040" s="256"/>
      <c r="I2040" s="255"/>
      <c r="J2040" s="255"/>
      <c r="K2040" s="254"/>
      <c r="L2040" s="253"/>
    </row>
    <row r="2041" spans="3:12" s="244" customFormat="1" x14ac:dyDescent="0.25">
      <c r="C2041" s="255"/>
      <c r="D2041" s="255"/>
      <c r="E2041" s="255"/>
      <c r="F2041" s="255"/>
      <c r="G2041" s="253"/>
      <c r="H2041" s="256"/>
      <c r="I2041" s="255"/>
      <c r="J2041" s="255"/>
      <c r="K2041" s="254"/>
      <c r="L2041" s="253"/>
    </row>
    <row r="2042" spans="3:12" s="244" customFormat="1" x14ac:dyDescent="0.25">
      <c r="C2042" s="255"/>
      <c r="D2042" s="255"/>
      <c r="E2042" s="255"/>
      <c r="F2042" s="255"/>
      <c r="G2042" s="253"/>
      <c r="H2042" s="256"/>
      <c r="I2042" s="255"/>
      <c r="J2042" s="255"/>
      <c r="K2042" s="254"/>
      <c r="L2042" s="253"/>
    </row>
    <row r="2043" spans="3:12" s="244" customFormat="1" x14ac:dyDescent="0.25">
      <c r="C2043" s="255"/>
      <c r="D2043" s="255"/>
      <c r="E2043" s="255"/>
      <c r="F2043" s="255"/>
      <c r="G2043" s="253"/>
      <c r="H2043" s="256"/>
      <c r="I2043" s="255"/>
      <c r="J2043" s="255"/>
      <c r="K2043" s="254"/>
      <c r="L2043" s="253"/>
    </row>
    <row r="2044" spans="3:12" s="244" customFormat="1" x14ac:dyDescent="0.25">
      <c r="C2044" s="255"/>
      <c r="D2044" s="255"/>
      <c r="E2044" s="255"/>
      <c r="F2044" s="255"/>
      <c r="G2044" s="253"/>
      <c r="H2044" s="256"/>
      <c r="I2044" s="255"/>
      <c r="J2044" s="255"/>
      <c r="K2044" s="254"/>
      <c r="L2044" s="253"/>
    </row>
    <row r="2045" spans="3:12" s="244" customFormat="1" x14ac:dyDescent="0.25">
      <c r="C2045" s="255"/>
      <c r="D2045" s="255"/>
      <c r="E2045" s="255"/>
      <c r="F2045" s="255"/>
      <c r="G2045" s="253"/>
      <c r="H2045" s="256"/>
      <c r="I2045" s="255"/>
      <c r="J2045" s="255"/>
      <c r="K2045" s="254"/>
      <c r="L2045" s="253"/>
    </row>
    <row r="2046" spans="3:12" s="244" customFormat="1" x14ac:dyDescent="0.25">
      <c r="C2046" s="255"/>
      <c r="D2046" s="255"/>
      <c r="E2046" s="255"/>
      <c r="F2046" s="255"/>
      <c r="G2046" s="253"/>
      <c r="H2046" s="256"/>
      <c r="I2046" s="255"/>
      <c r="J2046" s="255"/>
      <c r="K2046" s="254"/>
      <c r="L2046" s="253"/>
    </row>
    <row r="2047" spans="3:12" s="244" customFormat="1" x14ac:dyDescent="0.25">
      <c r="C2047" s="255"/>
      <c r="D2047" s="255"/>
      <c r="E2047" s="255"/>
      <c r="F2047" s="255"/>
      <c r="G2047" s="253"/>
      <c r="H2047" s="256"/>
      <c r="I2047" s="255"/>
      <c r="J2047" s="255"/>
      <c r="K2047" s="254"/>
      <c r="L2047" s="253"/>
    </row>
    <row r="2048" spans="3:12" s="244" customFormat="1" x14ac:dyDescent="0.25">
      <c r="C2048" s="255"/>
      <c r="D2048" s="255"/>
      <c r="E2048" s="255"/>
      <c r="F2048" s="255"/>
      <c r="G2048" s="253"/>
      <c r="H2048" s="256"/>
      <c r="I2048" s="255"/>
      <c r="J2048" s="255"/>
      <c r="K2048" s="254"/>
      <c r="L2048" s="253"/>
    </row>
    <row r="2049" spans="3:12" s="244" customFormat="1" x14ac:dyDescent="0.25">
      <c r="C2049" s="255"/>
      <c r="D2049" s="255"/>
      <c r="E2049" s="255"/>
      <c r="F2049" s="255"/>
      <c r="G2049" s="253"/>
      <c r="H2049" s="256"/>
      <c r="I2049" s="255"/>
      <c r="J2049" s="255"/>
      <c r="K2049" s="254"/>
      <c r="L2049" s="253"/>
    </row>
    <row r="2050" spans="3:12" s="244" customFormat="1" x14ac:dyDescent="0.25">
      <c r="C2050" s="255"/>
      <c r="D2050" s="255"/>
      <c r="E2050" s="255"/>
      <c r="F2050" s="255"/>
      <c r="G2050" s="253"/>
      <c r="H2050" s="256"/>
      <c r="I2050" s="255"/>
      <c r="J2050" s="255"/>
      <c r="K2050" s="254"/>
      <c r="L2050" s="253"/>
    </row>
    <row r="2051" spans="3:12" s="244" customFormat="1" x14ac:dyDescent="0.25">
      <c r="C2051" s="255"/>
      <c r="D2051" s="255"/>
      <c r="E2051" s="255"/>
      <c r="F2051" s="255"/>
      <c r="G2051" s="253"/>
      <c r="H2051" s="256"/>
      <c r="I2051" s="255"/>
      <c r="J2051" s="255"/>
      <c r="K2051" s="254"/>
      <c r="L2051" s="253"/>
    </row>
    <row r="2052" spans="3:12" s="244" customFormat="1" x14ac:dyDescent="0.25">
      <c r="C2052" s="255"/>
      <c r="D2052" s="255"/>
      <c r="E2052" s="255"/>
      <c r="F2052" s="255"/>
      <c r="G2052" s="253"/>
      <c r="H2052" s="256"/>
      <c r="I2052" s="255"/>
      <c r="J2052" s="255"/>
      <c r="K2052" s="254"/>
      <c r="L2052" s="253"/>
    </row>
    <row r="2053" spans="3:12" s="244" customFormat="1" x14ac:dyDescent="0.25">
      <c r="C2053" s="251"/>
      <c r="D2053" s="251"/>
      <c r="E2053" s="251"/>
      <c r="F2053" s="251"/>
      <c r="G2053" s="249"/>
      <c r="H2053" s="252"/>
      <c r="I2053" s="251"/>
      <c r="J2053" s="251"/>
      <c r="K2053" s="250"/>
      <c r="L2053" s="249"/>
    </row>
    <row r="2054" spans="3:12" s="244" customFormat="1" x14ac:dyDescent="0.25">
      <c r="C2054" s="251"/>
      <c r="D2054" s="251"/>
      <c r="E2054" s="251"/>
      <c r="F2054" s="251"/>
      <c r="G2054" s="249"/>
      <c r="H2054" s="252"/>
      <c r="I2054" s="251"/>
      <c r="J2054" s="251"/>
      <c r="K2054" s="250"/>
      <c r="L2054" s="249"/>
    </row>
    <row r="2055" spans="3:12" s="244" customFormat="1" x14ac:dyDescent="0.25">
      <c r="C2055" s="251"/>
      <c r="D2055" s="251"/>
      <c r="E2055" s="251"/>
      <c r="F2055" s="251"/>
      <c r="G2055" s="249"/>
      <c r="H2055" s="252"/>
      <c r="I2055" s="251"/>
      <c r="J2055" s="251"/>
      <c r="K2055" s="250"/>
      <c r="L2055" s="249"/>
    </row>
    <row r="2056" spans="3:12" s="244" customFormat="1" x14ac:dyDescent="0.25">
      <c r="C2056" s="251"/>
      <c r="D2056" s="251"/>
      <c r="E2056" s="251"/>
      <c r="F2056" s="251"/>
      <c r="G2056" s="249"/>
      <c r="H2056" s="252"/>
      <c r="I2056" s="251"/>
      <c r="J2056" s="251"/>
      <c r="K2056" s="250"/>
      <c r="L2056" s="249"/>
    </row>
    <row r="2057" spans="3:12" s="244" customFormat="1" x14ac:dyDescent="0.25">
      <c r="C2057" s="251"/>
      <c r="D2057" s="251"/>
      <c r="E2057" s="251"/>
      <c r="F2057" s="251"/>
      <c r="G2057" s="249"/>
      <c r="H2057" s="252"/>
      <c r="I2057" s="251"/>
      <c r="J2057" s="251"/>
      <c r="K2057" s="250"/>
      <c r="L2057" s="249"/>
    </row>
    <row r="2058" spans="3:12" s="244" customFormat="1" x14ac:dyDescent="0.25">
      <c r="C2058" s="251"/>
      <c r="D2058" s="251"/>
      <c r="E2058" s="251"/>
      <c r="F2058" s="251"/>
      <c r="G2058" s="249"/>
      <c r="H2058" s="252"/>
      <c r="I2058" s="251"/>
      <c r="J2058" s="251"/>
      <c r="K2058" s="250"/>
      <c r="L2058" s="249"/>
    </row>
    <row r="2059" spans="3:12" s="244" customFormat="1" x14ac:dyDescent="0.25">
      <c r="C2059" s="251"/>
      <c r="D2059" s="251"/>
      <c r="E2059" s="251"/>
      <c r="F2059" s="251"/>
      <c r="G2059" s="249"/>
      <c r="H2059" s="252"/>
      <c r="I2059" s="251"/>
      <c r="J2059" s="251"/>
      <c r="K2059" s="250"/>
      <c r="L2059" s="249"/>
    </row>
    <row r="2060" spans="3:12" s="244" customFormat="1" x14ac:dyDescent="0.25">
      <c r="C2060" s="251"/>
      <c r="D2060" s="251"/>
      <c r="E2060" s="251"/>
      <c r="F2060" s="251"/>
      <c r="G2060" s="249"/>
      <c r="H2060" s="252"/>
      <c r="I2060" s="251"/>
      <c r="J2060" s="251"/>
      <c r="K2060" s="250"/>
      <c r="L2060" s="249"/>
    </row>
    <row r="2061" spans="3:12" s="244" customFormat="1" x14ac:dyDescent="0.25">
      <c r="C2061" s="251"/>
      <c r="D2061" s="251"/>
      <c r="E2061" s="251"/>
      <c r="F2061" s="251"/>
      <c r="G2061" s="249"/>
      <c r="H2061" s="252"/>
      <c r="I2061" s="251"/>
      <c r="J2061" s="251"/>
      <c r="K2061" s="250"/>
      <c r="L2061" s="249"/>
    </row>
    <row r="2062" spans="3:12" s="244" customFormat="1" x14ac:dyDescent="0.25">
      <c r="C2062" s="251"/>
      <c r="D2062" s="251"/>
      <c r="E2062" s="251"/>
      <c r="F2062" s="251"/>
      <c r="G2062" s="249"/>
      <c r="H2062" s="252"/>
      <c r="I2062" s="251"/>
      <c r="J2062" s="251"/>
      <c r="K2062" s="250"/>
      <c r="L2062" s="249"/>
    </row>
    <row r="2063" spans="3:12" s="244" customFormat="1" x14ac:dyDescent="0.25">
      <c r="C2063" s="251"/>
      <c r="D2063" s="251"/>
      <c r="E2063" s="251"/>
      <c r="F2063" s="251"/>
      <c r="G2063" s="249"/>
      <c r="H2063" s="252"/>
      <c r="I2063" s="251"/>
      <c r="J2063" s="251"/>
      <c r="K2063" s="250"/>
      <c r="L2063" s="249"/>
    </row>
    <row r="2064" spans="3:12" s="244" customFormat="1" x14ac:dyDescent="0.25">
      <c r="C2064" s="251"/>
      <c r="D2064" s="251"/>
      <c r="E2064" s="251"/>
      <c r="F2064" s="251"/>
      <c r="G2064" s="249"/>
      <c r="H2064" s="252"/>
      <c r="I2064" s="251"/>
      <c r="J2064" s="251"/>
      <c r="K2064" s="250"/>
      <c r="L2064" s="249"/>
    </row>
    <row r="2065" spans="3:12" s="244" customFormat="1" x14ac:dyDescent="0.25">
      <c r="C2065" s="251"/>
      <c r="D2065" s="251"/>
      <c r="E2065" s="251"/>
      <c r="F2065" s="251"/>
      <c r="G2065" s="249"/>
      <c r="H2065" s="252"/>
      <c r="I2065" s="251"/>
      <c r="J2065" s="251"/>
      <c r="K2065" s="250"/>
      <c r="L2065" s="249"/>
    </row>
    <row r="2066" spans="3:12" s="244" customFormat="1" x14ac:dyDescent="0.25">
      <c r="C2066" s="251"/>
      <c r="D2066" s="251"/>
      <c r="E2066" s="251"/>
      <c r="F2066" s="251"/>
      <c r="G2066" s="249"/>
      <c r="H2066" s="252"/>
      <c r="I2066" s="251"/>
      <c r="J2066" s="251"/>
      <c r="K2066" s="250"/>
      <c r="L2066" s="249"/>
    </row>
    <row r="2067" spans="3:12" s="244" customFormat="1" x14ac:dyDescent="0.25">
      <c r="C2067" s="251"/>
      <c r="D2067" s="251"/>
      <c r="E2067" s="251"/>
      <c r="F2067" s="251"/>
      <c r="G2067" s="249"/>
      <c r="H2067" s="252"/>
      <c r="I2067" s="251"/>
      <c r="J2067" s="251"/>
      <c r="K2067" s="250"/>
      <c r="L2067" s="249"/>
    </row>
    <row r="2068" spans="3:12" s="244" customFormat="1" x14ac:dyDescent="0.25">
      <c r="C2068" s="251"/>
      <c r="D2068" s="251"/>
      <c r="E2068" s="251"/>
      <c r="F2068" s="251"/>
      <c r="G2068" s="249"/>
      <c r="H2068" s="252"/>
      <c r="I2068" s="251"/>
      <c r="J2068" s="251"/>
      <c r="K2068" s="250"/>
      <c r="L2068" s="249"/>
    </row>
    <row r="2069" spans="3:12" s="244" customFormat="1" x14ac:dyDescent="0.25">
      <c r="C2069" s="251"/>
      <c r="D2069" s="251"/>
      <c r="E2069" s="251"/>
      <c r="F2069" s="251"/>
      <c r="G2069" s="249"/>
      <c r="H2069" s="252"/>
      <c r="I2069" s="251"/>
      <c r="J2069" s="251"/>
      <c r="K2069" s="250"/>
      <c r="L2069" s="249"/>
    </row>
    <row r="2070" spans="3:12" s="244" customFormat="1" x14ac:dyDescent="0.25">
      <c r="C2070" s="251"/>
      <c r="D2070" s="251"/>
      <c r="E2070" s="251"/>
      <c r="F2070" s="251"/>
      <c r="G2070" s="249"/>
      <c r="H2070" s="252"/>
      <c r="I2070" s="251"/>
      <c r="J2070" s="251"/>
      <c r="K2070" s="250"/>
      <c r="L2070" s="249"/>
    </row>
    <row r="2071" spans="3:12" s="244" customFormat="1" x14ac:dyDescent="0.25">
      <c r="C2071" s="251"/>
      <c r="D2071" s="251"/>
      <c r="E2071" s="251"/>
      <c r="F2071" s="251"/>
      <c r="G2071" s="249"/>
      <c r="H2071" s="252"/>
      <c r="I2071" s="251"/>
      <c r="J2071" s="251"/>
      <c r="K2071" s="250"/>
      <c r="L2071" s="249"/>
    </row>
    <row r="2072" spans="3:12" s="244" customFormat="1" x14ac:dyDescent="0.25">
      <c r="C2072" s="251"/>
      <c r="D2072" s="251"/>
      <c r="E2072" s="251"/>
      <c r="F2072" s="251"/>
      <c r="G2072" s="249"/>
      <c r="H2072" s="252"/>
      <c r="I2072" s="251"/>
      <c r="J2072" s="251"/>
      <c r="K2072" s="250"/>
      <c r="L2072" s="249"/>
    </row>
    <row r="2073" spans="3:12" s="244" customFormat="1" x14ac:dyDescent="0.25">
      <c r="C2073" s="251"/>
      <c r="D2073" s="251"/>
      <c r="E2073" s="251"/>
      <c r="F2073" s="251"/>
      <c r="G2073" s="249"/>
      <c r="H2073" s="252"/>
      <c r="I2073" s="251"/>
      <c r="J2073" s="251"/>
      <c r="K2073" s="250"/>
      <c r="L2073" s="249"/>
    </row>
    <row r="2074" spans="3:12" s="244" customFormat="1" x14ac:dyDescent="0.25">
      <c r="C2074" s="251"/>
      <c r="D2074" s="251"/>
      <c r="E2074" s="251"/>
      <c r="F2074" s="251"/>
      <c r="G2074" s="249"/>
      <c r="H2074" s="252"/>
      <c r="I2074" s="251"/>
      <c r="J2074" s="251"/>
      <c r="K2074" s="250"/>
      <c r="L2074" s="249"/>
    </row>
    <row r="2075" spans="3:12" s="244" customFormat="1" x14ac:dyDescent="0.25">
      <c r="C2075" s="251"/>
      <c r="D2075" s="251"/>
      <c r="E2075" s="251"/>
      <c r="F2075" s="251"/>
      <c r="G2075" s="249"/>
      <c r="H2075" s="252"/>
      <c r="I2075" s="251"/>
      <c r="J2075" s="251"/>
      <c r="K2075" s="250"/>
      <c r="L2075" s="249"/>
    </row>
    <row r="2076" spans="3:12" s="244" customFormat="1" x14ac:dyDescent="0.25">
      <c r="C2076" s="251"/>
      <c r="D2076" s="251"/>
      <c r="E2076" s="251"/>
      <c r="F2076" s="251"/>
      <c r="G2076" s="249"/>
      <c r="H2076" s="252"/>
      <c r="I2076" s="251"/>
      <c r="J2076" s="251"/>
      <c r="K2076" s="250"/>
      <c r="L2076" s="249"/>
    </row>
    <row r="2077" spans="3:12" s="244" customFormat="1" x14ac:dyDescent="0.25">
      <c r="C2077" s="251"/>
      <c r="D2077" s="251"/>
      <c r="E2077" s="251"/>
      <c r="F2077" s="251"/>
      <c r="G2077" s="249"/>
      <c r="H2077" s="252"/>
      <c r="I2077" s="251"/>
      <c r="J2077" s="251"/>
      <c r="K2077" s="250"/>
      <c r="L2077" s="249"/>
    </row>
    <row r="2078" spans="3:12" s="244" customFormat="1" x14ac:dyDescent="0.25">
      <c r="C2078" s="251"/>
      <c r="D2078" s="251"/>
      <c r="E2078" s="251"/>
      <c r="F2078" s="251"/>
      <c r="G2078" s="249"/>
      <c r="H2078" s="252"/>
      <c r="I2078" s="251"/>
      <c r="J2078" s="251"/>
      <c r="K2078" s="250"/>
      <c r="L2078" s="249"/>
    </row>
    <row r="2079" spans="3:12" s="244" customFormat="1" x14ac:dyDescent="0.25">
      <c r="C2079" s="251"/>
      <c r="D2079" s="251"/>
      <c r="E2079" s="251"/>
      <c r="F2079" s="251"/>
      <c r="G2079" s="249"/>
      <c r="H2079" s="252"/>
      <c r="I2079" s="251"/>
      <c r="J2079" s="251"/>
      <c r="K2079" s="250"/>
      <c r="L2079" s="249"/>
    </row>
    <row r="2080" spans="3:12" s="244" customFormat="1" x14ac:dyDescent="0.25">
      <c r="C2080" s="251"/>
      <c r="D2080" s="251"/>
      <c r="E2080" s="251"/>
      <c r="F2080" s="251"/>
      <c r="G2080" s="249"/>
      <c r="H2080" s="252"/>
      <c r="I2080" s="251"/>
      <c r="J2080" s="251"/>
      <c r="K2080" s="250"/>
      <c r="L2080" s="249"/>
    </row>
    <row r="2081" spans="3:12" s="244" customFormat="1" x14ac:dyDescent="0.25">
      <c r="C2081" s="251"/>
      <c r="D2081" s="251"/>
      <c r="E2081" s="251"/>
      <c r="F2081" s="251"/>
      <c r="G2081" s="249"/>
      <c r="H2081" s="252"/>
      <c r="I2081" s="251"/>
      <c r="J2081" s="251"/>
      <c r="K2081" s="250"/>
      <c r="L2081" s="249"/>
    </row>
    <row r="2082" spans="3:12" s="244" customFormat="1" x14ac:dyDescent="0.25">
      <c r="C2082" s="251"/>
      <c r="D2082" s="251"/>
      <c r="E2082" s="251"/>
      <c r="F2082" s="251"/>
      <c r="G2082" s="249"/>
      <c r="H2082" s="252"/>
      <c r="I2082" s="251"/>
      <c r="J2082" s="251"/>
      <c r="K2082" s="250"/>
      <c r="L2082" s="249"/>
    </row>
    <row r="2083" spans="3:12" s="244" customFormat="1" x14ac:dyDescent="0.25">
      <c r="C2083" s="251"/>
      <c r="D2083" s="251"/>
      <c r="E2083" s="251"/>
      <c r="F2083" s="251"/>
      <c r="G2083" s="249"/>
      <c r="H2083" s="252"/>
      <c r="I2083" s="251"/>
      <c r="J2083" s="251"/>
      <c r="K2083" s="250"/>
      <c r="L2083" s="249"/>
    </row>
    <row r="2084" spans="3:12" s="244" customFormat="1" x14ac:dyDescent="0.25">
      <c r="C2084" s="251"/>
      <c r="D2084" s="251"/>
      <c r="E2084" s="251"/>
      <c r="F2084" s="251"/>
      <c r="G2084" s="249"/>
      <c r="H2084" s="252"/>
      <c r="I2084" s="251"/>
      <c r="J2084" s="251"/>
      <c r="K2084" s="250"/>
      <c r="L2084" s="249"/>
    </row>
    <row r="2085" spans="3:12" s="244" customFormat="1" x14ac:dyDescent="0.25">
      <c r="C2085" s="251"/>
      <c r="D2085" s="251"/>
      <c r="E2085" s="251"/>
      <c r="F2085" s="251"/>
      <c r="G2085" s="249"/>
      <c r="H2085" s="252"/>
      <c r="I2085" s="251"/>
      <c r="J2085" s="251"/>
      <c r="K2085" s="250"/>
      <c r="L2085" s="249"/>
    </row>
    <row r="2086" spans="3:12" s="244" customFormat="1" x14ac:dyDescent="0.25">
      <c r="C2086" s="251"/>
      <c r="D2086" s="251"/>
      <c r="E2086" s="251"/>
      <c r="F2086" s="251"/>
      <c r="G2086" s="249"/>
      <c r="H2086" s="252"/>
      <c r="I2086" s="251"/>
      <c r="J2086" s="251"/>
      <c r="K2086" s="250"/>
      <c r="L2086" s="249"/>
    </row>
    <row r="2087" spans="3:12" s="244" customFormat="1" x14ac:dyDescent="0.25">
      <c r="C2087" s="251"/>
      <c r="D2087" s="251"/>
      <c r="E2087" s="251"/>
      <c r="F2087" s="251"/>
      <c r="G2087" s="249"/>
      <c r="H2087" s="252"/>
      <c r="I2087" s="251"/>
      <c r="J2087" s="251"/>
      <c r="K2087" s="250"/>
      <c r="L2087" s="249"/>
    </row>
    <row r="2088" spans="3:12" s="244" customFormat="1" x14ac:dyDescent="0.25">
      <c r="C2088" s="251"/>
      <c r="D2088" s="251"/>
      <c r="E2088" s="251"/>
      <c r="F2088" s="251"/>
      <c r="G2088" s="249"/>
      <c r="H2088" s="252"/>
      <c r="I2088" s="251"/>
      <c r="J2088" s="251"/>
      <c r="K2088" s="250"/>
      <c r="L2088" s="249"/>
    </row>
    <row r="2089" spans="3:12" s="244" customFormat="1" x14ac:dyDescent="0.25">
      <c r="C2089" s="251"/>
      <c r="D2089" s="251"/>
      <c r="E2089" s="251"/>
      <c r="F2089" s="251"/>
      <c r="G2089" s="249"/>
      <c r="H2089" s="252"/>
      <c r="I2089" s="251"/>
      <c r="J2089" s="251"/>
      <c r="K2089" s="250"/>
      <c r="L2089" s="249"/>
    </row>
    <row r="2090" spans="3:12" s="244" customFormat="1" x14ac:dyDescent="0.25">
      <c r="C2090" s="251"/>
      <c r="D2090" s="251"/>
      <c r="E2090" s="251"/>
      <c r="F2090" s="251"/>
      <c r="G2090" s="249"/>
      <c r="H2090" s="252"/>
      <c r="I2090" s="251"/>
      <c r="J2090" s="251"/>
      <c r="K2090" s="250"/>
      <c r="L2090" s="249"/>
    </row>
    <row r="2091" spans="3:12" s="244" customFormat="1" x14ac:dyDescent="0.25">
      <c r="C2091" s="251"/>
      <c r="D2091" s="251"/>
      <c r="E2091" s="251"/>
      <c r="F2091" s="251"/>
      <c r="G2091" s="249"/>
      <c r="H2091" s="252"/>
      <c r="I2091" s="251"/>
      <c r="J2091" s="251"/>
      <c r="K2091" s="250"/>
      <c r="L2091" s="249"/>
    </row>
    <row r="2092" spans="3:12" s="244" customFormat="1" x14ac:dyDescent="0.25">
      <c r="C2092" s="251"/>
      <c r="D2092" s="251"/>
      <c r="E2092" s="251"/>
      <c r="F2092" s="251"/>
      <c r="G2092" s="249"/>
      <c r="H2092" s="252"/>
      <c r="I2092" s="251"/>
      <c r="J2092" s="251"/>
      <c r="K2092" s="250"/>
      <c r="L2092" s="249"/>
    </row>
    <row r="2093" spans="3:12" s="244" customFormat="1" x14ac:dyDescent="0.25">
      <c r="C2093" s="251"/>
      <c r="D2093" s="251"/>
      <c r="E2093" s="251"/>
      <c r="F2093" s="251"/>
      <c r="G2093" s="249"/>
      <c r="H2093" s="252"/>
      <c r="I2093" s="251"/>
      <c r="J2093" s="251"/>
      <c r="K2093" s="250"/>
      <c r="L2093" s="249"/>
    </row>
    <row r="2094" spans="3:12" s="244" customFormat="1" x14ac:dyDescent="0.25">
      <c r="C2094" s="251"/>
      <c r="D2094" s="251"/>
      <c r="E2094" s="251"/>
      <c r="F2094" s="251"/>
      <c r="G2094" s="249"/>
      <c r="H2094" s="252"/>
      <c r="I2094" s="251"/>
      <c r="J2094" s="251"/>
      <c r="K2094" s="250"/>
      <c r="L2094" s="249"/>
    </row>
    <row r="2095" spans="3:12" s="244" customFormat="1" x14ac:dyDescent="0.25">
      <c r="C2095" s="251"/>
      <c r="D2095" s="251"/>
      <c r="E2095" s="251"/>
      <c r="F2095" s="251"/>
      <c r="G2095" s="249"/>
      <c r="H2095" s="252"/>
      <c r="I2095" s="251"/>
      <c r="J2095" s="251"/>
      <c r="K2095" s="250"/>
      <c r="L2095" s="249"/>
    </row>
    <row r="2096" spans="3:12" s="244" customFormat="1" x14ac:dyDescent="0.25">
      <c r="C2096" s="251"/>
      <c r="D2096" s="251"/>
      <c r="E2096" s="251"/>
      <c r="F2096" s="251"/>
      <c r="G2096" s="249"/>
      <c r="H2096" s="252"/>
      <c r="I2096" s="251"/>
      <c r="J2096" s="251"/>
      <c r="K2096" s="250"/>
      <c r="L2096" s="249"/>
    </row>
    <row r="2097" spans="3:12" s="244" customFormat="1" x14ac:dyDescent="0.25">
      <c r="C2097" s="251"/>
      <c r="D2097" s="251"/>
      <c r="E2097" s="251"/>
      <c r="F2097" s="251"/>
      <c r="G2097" s="249"/>
      <c r="H2097" s="252"/>
      <c r="I2097" s="251"/>
      <c r="J2097" s="251"/>
      <c r="K2097" s="250"/>
      <c r="L2097" s="249"/>
    </row>
    <row r="2098" spans="3:12" s="244" customFormat="1" x14ac:dyDescent="0.25">
      <c r="C2098" s="251"/>
      <c r="D2098" s="251"/>
      <c r="E2098" s="251"/>
      <c r="F2098" s="251"/>
      <c r="G2098" s="249"/>
      <c r="H2098" s="252"/>
      <c r="I2098" s="251"/>
      <c r="J2098" s="251"/>
      <c r="K2098" s="250"/>
      <c r="L2098" s="249"/>
    </row>
    <row r="2099" spans="3:12" s="244" customFormat="1" x14ac:dyDescent="0.25">
      <c r="C2099" s="251"/>
      <c r="D2099" s="251"/>
      <c r="E2099" s="251"/>
      <c r="F2099" s="251"/>
      <c r="G2099" s="249"/>
      <c r="H2099" s="252"/>
      <c r="I2099" s="251"/>
      <c r="J2099" s="251"/>
      <c r="K2099" s="250"/>
      <c r="L2099" s="249"/>
    </row>
    <row r="2100" spans="3:12" s="244" customFormat="1" x14ac:dyDescent="0.25">
      <c r="C2100" s="251"/>
      <c r="D2100" s="251"/>
      <c r="E2100" s="251"/>
      <c r="F2100" s="251"/>
      <c r="G2100" s="249"/>
      <c r="H2100" s="252"/>
      <c r="I2100" s="251"/>
      <c r="J2100" s="251"/>
      <c r="K2100" s="250"/>
      <c r="L2100" s="249"/>
    </row>
    <row r="2101" spans="3:12" s="244" customFormat="1" x14ac:dyDescent="0.25">
      <c r="C2101" s="251"/>
      <c r="D2101" s="251"/>
      <c r="E2101" s="251"/>
      <c r="F2101" s="251"/>
      <c r="G2101" s="249"/>
      <c r="H2101" s="252"/>
      <c r="I2101" s="251"/>
      <c r="J2101" s="251"/>
      <c r="K2101" s="250"/>
      <c r="L2101" s="249"/>
    </row>
    <row r="2102" spans="3:12" s="244" customFormat="1" x14ac:dyDescent="0.25">
      <c r="C2102" s="251"/>
      <c r="D2102" s="251"/>
      <c r="E2102" s="251"/>
      <c r="F2102" s="251"/>
      <c r="G2102" s="249"/>
      <c r="H2102" s="252"/>
      <c r="I2102" s="251"/>
      <c r="J2102" s="251"/>
      <c r="K2102" s="250"/>
      <c r="L2102" s="249"/>
    </row>
    <row r="2103" spans="3:12" s="244" customFormat="1" x14ac:dyDescent="0.25">
      <c r="C2103" s="251"/>
      <c r="D2103" s="251"/>
      <c r="E2103" s="251"/>
      <c r="F2103" s="251"/>
      <c r="G2103" s="249"/>
      <c r="H2103" s="252"/>
      <c r="I2103" s="251"/>
      <c r="J2103" s="251"/>
      <c r="K2103" s="250"/>
      <c r="L2103" s="249"/>
    </row>
    <row r="2104" spans="3:12" s="244" customFormat="1" x14ac:dyDescent="0.25">
      <c r="C2104" s="251"/>
      <c r="D2104" s="251"/>
      <c r="E2104" s="251"/>
      <c r="F2104" s="251"/>
      <c r="G2104" s="249"/>
      <c r="H2104" s="252"/>
      <c r="I2104" s="251"/>
      <c r="J2104" s="251"/>
      <c r="K2104" s="250"/>
      <c r="L2104" s="249"/>
    </row>
    <row r="2105" spans="3:12" s="244" customFormat="1" x14ac:dyDescent="0.25">
      <c r="C2105" s="251"/>
      <c r="D2105" s="251"/>
      <c r="E2105" s="251"/>
      <c r="F2105" s="251"/>
      <c r="G2105" s="249"/>
      <c r="H2105" s="252"/>
      <c r="I2105" s="251"/>
      <c r="J2105" s="251"/>
      <c r="K2105" s="250"/>
      <c r="L2105" s="249"/>
    </row>
    <row r="2106" spans="3:12" s="244" customFormat="1" x14ac:dyDescent="0.25">
      <c r="C2106" s="251"/>
      <c r="D2106" s="251"/>
      <c r="E2106" s="251"/>
      <c r="F2106" s="251"/>
      <c r="G2106" s="249"/>
      <c r="H2106" s="252"/>
      <c r="I2106" s="251"/>
      <c r="J2106" s="251"/>
      <c r="K2106" s="250"/>
      <c r="L2106" s="249"/>
    </row>
    <row r="2107" spans="3:12" s="244" customFormat="1" x14ac:dyDescent="0.25">
      <c r="C2107" s="251"/>
      <c r="D2107" s="251"/>
      <c r="E2107" s="251"/>
      <c r="F2107" s="251"/>
      <c r="G2107" s="249"/>
      <c r="H2107" s="252"/>
      <c r="I2107" s="251"/>
      <c r="J2107" s="251"/>
      <c r="K2107" s="250"/>
      <c r="L2107" s="249"/>
    </row>
    <row r="2108" spans="3:12" s="244" customFormat="1" x14ac:dyDescent="0.25">
      <c r="C2108" s="251"/>
      <c r="D2108" s="251"/>
      <c r="E2108" s="251"/>
      <c r="F2108" s="251"/>
      <c r="G2108" s="249"/>
      <c r="H2108" s="252"/>
      <c r="I2108" s="251"/>
      <c r="J2108" s="251"/>
      <c r="K2108" s="250"/>
      <c r="L2108" s="249"/>
    </row>
    <row r="2109" spans="3:12" s="244" customFormat="1" x14ac:dyDescent="0.25">
      <c r="C2109" s="251"/>
      <c r="D2109" s="251"/>
      <c r="E2109" s="251"/>
      <c r="F2109" s="251"/>
      <c r="G2109" s="249"/>
      <c r="H2109" s="252"/>
      <c r="I2109" s="251"/>
      <c r="J2109" s="251"/>
      <c r="K2109" s="250"/>
      <c r="L2109" s="249"/>
    </row>
    <row r="2110" spans="3:12" s="244" customFormat="1" x14ac:dyDescent="0.25">
      <c r="C2110" s="251"/>
      <c r="D2110" s="251"/>
      <c r="E2110" s="251"/>
      <c r="F2110" s="251"/>
      <c r="G2110" s="249"/>
      <c r="H2110" s="252"/>
      <c r="I2110" s="251"/>
      <c r="J2110" s="251"/>
      <c r="K2110" s="250"/>
      <c r="L2110" s="249"/>
    </row>
    <row r="2111" spans="3:12" s="244" customFormat="1" x14ac:dyDescent="0.25">
      <c r="C2111" s="251"/>
      <c r="D2111" s="251"/>
      <c r="E2111" s="251"/>
      <c r="F2111" s="251"/>
      <c r="G2111" s="249"/>
      <c r="H2111" s="252"/>
      <c r="I2111" s="251"/>
      <c r="J2111" s="251"/>
      <c r="K2111" s="250"/>
      <c r="L2111" s="249"/>
    </row>
    <row r="2112" spans="3:12" s="244" customFormat="1" x14ac:dyDescent="0.25">
      <c r="C2112" s="251"/>
      <c r="D2112" s="251"/>
      <c r="E2112" s="251"/>
      <c r="F2112" s="251"/>
      <c r="G2112" s="249"/>
      <c r="H2112" s="252"/>
      <c r="I2112" s="251"/>
      <c r="J2112" s="251"/>
      <c r="K2112" s="250"/>
      <c r="L2112" s="249"/>
    </row>
    <row r="2113" spans="3:12" s="244" customFormat="1" x14ac:dyDescent="0.25">
      <c r="C2113" s="251"/>
      <c r="D2113" s="251"/>
      <c r="E2113" s="251"/>
      <c r="F2113" s="251"/>
      <c r="G2113" s="249"/>
      <c r="H2113" s="252"/>
      <c r="I2113" s="251"/>
      <c r="J2113" s="251"/>
      <c r="K2113" s="250"/>
      <c r="L2113" s="249"/>
    </row>
    <row r="2114" spans="3:12" s="244" customFormat="1" x14ac:dyDescent="0.25">
      <c r="C2114" s="251"/>
      <c r="D2114" s="251"/>
      <c r="E2114" s="251"/>
      <c r="F2114" s="251"/>
      <c r="G2114" s="249"/>
      <c r="H2114" s="252"/>
      <c r="I2114" s="251"/>
      <c r="J2114" s="251"/>
      <c r="K2114" s="250"/>
      <c r="L2114" s="249"/>
    </row>
    <row r="2115" spans="3:12" s="244" customFormat="1" x14ac:dyDescent="0.25">
      <c r="C2115" s="251"/>
      <c r="D2115" s="251"/>
      <c r="E2115" s="251"/>
      <c r="F2115" s="251"/>
      <c r="G2115" s="249"/>
      <c r="H2115" s="252"/>
      <c r="I2115" s="251"/>
      <c r="J2115" s="251"/>
      <c r="K2115" s="250"/>
      <c r="L2115" s="249"/>
    </row>
    <row r="2116" spans="3:12" s="244" customFormat="1" x14ac:dyDescent="0.25">
      <c r="C2116" s="251"/>
      <c r="D2116" s="251"/>
      <c r="E2116" s="251"/>
      <c r="F2116" s="251"/>
      <c r="G2116" s="249"/>
      <c r="H2116" s="252"/>
      <c r="I2116" s="251"/>
      <c r="J2116" s="251"/>
      <c r="K2116" s="250"/>
      <c r="L2116" s="249"/>
    </row>
    <row r="2117" spans="3:12" s="244" customFormat="1" x14ac:dyDescent="0.25">
      <c r="C2117" s="251"/>
      <c r="D2117" s="251"/>
      <c r="E2117" s="251"/>
      <c r="F2117" s="251"/>
      <c r="G2117" s="249"/>
      <c r="H2117" s="252"/>
      <c r="I2117" s="251"/>
      <c r="J2117" s="251"/>
      <c r="K2117" s="250"/>
      <c r="L2117" s="249"/>
    </row>
    <row r="2118" spans="3:12" s="244" customFormat="1" x14ac:dyDescent="0.25">
      <c r="C2118" s="251"/>
      <c r="D2118" s="251"/>
      <c r="E2118" s="251"/>
      <c r="F2118" s="251"/>
      <c r="G2118" s="249"/>
      <c r="H2118" s="252"/>
      <c r="I2118" s="251"/>
      <c r="J2118" s="251"/>
      <c r="K2118" s="250"/>
      <c r="L2118" s="249"/>
    </row>
    <row r="2119" spans="3:12" s="244" customFormat="1" x14ac:dyDescent="0.25">
      <c r="C2119" s="251"/>
      <c r="D2119" s="251"/>
      <c r="E2119" s="251"/>
      <c r="F2119" s="251"/>
      <c r="G2119" s="249"/>
      <c r="H2119" s="252"/>
      <c r="I2119" s="251"/>
      <c r="J2119" s="251"/>
      <c r="K2119" s="250"/>
      <c r="L2119" s="249"/>
    </row>
    <row r="2120" spans="3:12" s="244" customFormat="1" x14ac:dyDescent="0.25">
      <c r="C2120" s="251"/>
      <c r="D2120" s="251"/>
      <c r="E2120" s="251"/>
      <c r="F2120" s="251"/>
      <c r="G2120" s="249"/>
      <c r="H2120" s="252"/>
      <c r="I2120" s="251"/>
      <c r="J2120" s="251"/>
      <c r="K2120" s="250"/>
      <c r="L2120" s="249"/>
    </row>
    <row r="2121" spans="3:12" s="244" customFormat="1" x14ac:dyDescent="0.25">
      <c r="C2121" s="251"/>
      <c r="D2121" s="251"/>
      <c r="E2121" s="251"/>
      <c r="F2121" s="251"/>
      <c r="G2121" s="249"/>
      <c r="H2121" s="252"/>
      <c r="I2121" s="251"/>
      <c r="J2121" s="251"/>
      <c r="K2121" s="250"/>
      <c r="L2121" s="249"/>
    </row>
    <row r="2122" spans="3:12" s="244" customFormat="1" x14ac:dyDescent="0.25">
      <c r="C2122" s="251"/>
      <c r="D2122" s="251"/>
      <c r="E2122" s="251"/>
      <c r="F2122" s="251"/>
      <c r="G2122" s="249"/>
      <c r="H2122" s="252"/>
      <c r="I2122" s="251"/>
      <c r="J2122" s="251"/>
      <c r="K2122" s="250"/>
      <c r="L2122" s="249"/>
    </row>
    <row r="2123" spans="3:12" s="244" customFormat="1" x14ac:dyDescent="0.25">
      <c r="C2123" s="251"/>
      <c r="D2123" s="251"/>
      <c r="E2123" s="251"/>
      <c r="F2123" s="251"/>
      <c r="G2123" s="249"/>
      <c r="H2123" s="252"/>
      <c r="I2123" s="251"/>
      <c r="J2123" s="251"/>
      <c r="K2123" s="250"/>
      <c r="L2123" s="249"/>
    </row>
    <row r="2124" spans="3:12" s="244" customFormat="1" x14ac:dyDescent="0.25">
      <c r="C2124" s="251"/>
      <c r="D2124" s="251"/>
      <c r="E2124" s="251"/>
      <c r="F2124" s="251"/>
      <c r="G2124" s="249"/>
      <c r="H2124" s="252"/>
      <c r="I2124" s="251"/>
      <c r="J2124" s="251"/>
      <c r="K2124" s="250"/>
      <c r="L2124" s="249"/>
    </row>
    <row r="2125" spans="3:12" s="244" customFormat="1" x14ac:dyDescent="0.25">
      <c r="C2125" s="251"/>
      <c r="D2125" s="251"/>
      <c r="E2125" s="251"/>
      <c r="F2125" s="251"/>
      <c r="G2125" s="249"/>
      <c r="H2125" s="252"/>
      <c r="I2125" s="251"/>
      <c r="J2125" s="251"/>
      <c r="K2125" s="250"/>
      <c r="L2125" s="249"/>
    </row>
    <row r="2126" spans="3:12" s="244" customFormat="1" x14ac:dyDescent="0.25">
      <c r="C2126" s="251"/>
      <c r="D2126" s="251"/>
      <c r="E2126" s="251"/>
      <c r="F2126" s="251"/>
      <c r="G2126" s="249"/>
      <c r="H2126" s="252"/>
      <c r="I2126" s="251"/>
      <c r="J2126" s="251"/>
      <c r="K2126" s="250"/>
      <c r="L2126" s="249"/>
    </row>
    <row r="2127" spans="3:12" s="244" customFormat="1" x14ac:dyDescent="0.25">
      <c r="C2127" s="251"/>
      <c r="D2127" s="251"/>
      <c r="E2127" s="251"/>
      <c r="F2127" s="251"/>
      <c r="G2127" s="249"/>
      <c r="H2127" s="252"/>
      <c r="I2127" s="251"/>
      <c r="J2127" s="251"/>
      <c r="K2127" s="250"/>
      <c r="L2127" s="249"/>
    </row>
    <row r="2128" spans="3:12" s="244" customFormat="1" x14ac:dyDescent="0.25">
      <c r="C2128" s="251"/>
      <c r="D2128" s="251"/>
      <c r="E2128" s="251"/>
      <c r="F2128" s="251"/>
      <c r="G2128" s="249"/>
      <c r="H2128" s="252"/>
      <c r="I2128" s="251"/>
      <c r="J2128" s="251"/>
      <c r="K2128" s="250"/>
      <c r="L2128" s="249"/>
    </row>
    <row r="2129" spans="3:12" s="244" customFormat="1" x14ac:dyDescent="0.25">
      <c r="C2129" s="251"/>
      <c r="D2129" s="251"/>
      <c r="E2129" s="251"/>
      <c r="F2129" s="251"/>
      <c r="G2129" s="249"/>
      <c r="H2129" s="252"/>
      <c r="I2129" s="251"/>
      <c r="J2129" s="251"/>
      <c r="K2129" s="250"/>
      <c r="L2129" s="249"/>
    </row>
    <row r="2130" spans="3:12" s="244" customFormat="1" x14ac:dyDescent="0.25">
      <c r="C2130" s="251"/>
      <c r="D2130" s="251"/>
      <c r="E2130" s="251"/>
      <c r="F2130" s="251"/>
      <c r="G2130" s="249"/>
      <c r="H2130" s="252"/>
      <c r="I2130" s="251"/>
      <c r="J2130" s="251"/>
      <c r="K2130" s="250"/>
      <c r="L2130" s="249"/>
    </row>
    <row r="2131" spans="3:12" s="244" customFormat="1" x14ac:dyDescent="0.25">
      <c r="C2131" s="251"/>
      <c r="D2131" s="251"/>
      <c r="E2131" s="251"/>
      <c r="F2131" s="251"/>
      <c r="G2131" s="249"/>
      <c r="H2131" s="252"/>
      <c r="I2131" s="251"/>
      <c r="J2131" s="251"/>
      <c r="K2131" s="250"/>
      <c r="L2131" s="249"/>
    </row>
    <row r="2132" spans="3:12" s="244" customFormat="1" x14ac:dyDescent="0.25">
      <c r="C2132" s="251"/>
      <c r="D2132" s="251"/>
      <c r="E2132" s="251"/>
      <c r="F2132" s="251"/>
      <c r="G2132" s="249"/>
      <c r="H2132" s="252"/>
      <c r="I2132" s="251"/>
      <c r="J2132" s="251"/>
      <c r="K2132" s="250"/>
      <c r="L2132" s="249"/>
    </row>
    <row r="2133" spans="3:12" s="244" customFormat="1" x14ac:dyDescent="0.25">
      <c r="C2133" s="251"/>
      <c r="D2133" s="251"/>
      <c r="E2133" s="251"/>
      <c r="F2133" s="251"/>
      <c r="G2133" s="249"/>
      <c r="H2133" s="252"/>
      <c r="I2133" s="251"/>
      <c r="J2133" s="251"/>
      <c r="K2133" s="250"/>
      <c r="L2133" s="249"/>
    </row>
    <row r="2134" spans="3:12" s="244" customFormat="1" x14ac:dyDescent="0.25">
      <c r="C2134" s="251"/>
      <c r="D2134" s="251"/>
      <c r="E2134" s="251"/>
      <c r="F2134" s="251"/>
      <c r="G2134" s="249"/>
      <c r="H2134" s="252"/>
      <c r="I2134" s="251"/>
      <c r="J2134" s="251"/>
      <c r="K2134" s="250"/>
      <c r="L2134" s="249"/>
    </row>
    <row r="2135" spans="3:12" s="244" customFormat="1" x14ac:dyDescent="0.25">
      <c r="C2135" s="251"/>
      <c r="D2135" s="251"/>
      <c r="E2135" s="251"/>
      <c r="F2135" s="251"/>
      <c r="G2135" s="249"/>
      <c r="H2135" s="252"/>
      <c r="I2135" s="251"/>
      <c r="J2135" s="251"/>
      <c r="K2135" s="250"/>
      <c r="L2135" s="249"/>
    </row>
    <row r="2136" spans="3:12" s="244" customFormat="1" x14ac:dyDescent="0.25">
      <c r="C2136" s="251"/>
      <c r="D2136" s="251"/>
      <c r="E2136" s="251"/>
      <c r="F2136" s="251"/>
      <c r="G2136" s="249"/>
      <c r="H2136" s="252"/>
      <c r="I2136" s="251"/>
      <c r="J2136" s="251"/>
      <c r="K2136" s="250"/>
      <c r="L2136" s="249"/>
    </row>
    <row r="2137" spans="3:12" s="244" customFormat="1" x14ac:dyDescent="0.25">
      <c r="C2137" s="251"/>
      <c r="D2137" s="251"/>
      <c r="E2137" s="251"/>
      <c r="F2137" s="251"/>
      <c r="G2137" s="249"/>
      <c r="H2137" s="252"/>
      <c r="I2137" s="251"/>
      <c r="J2137" s="251"/>
      <c r="K2137" s="250"/>
      <c r="L2137" s="249"/>
    </row>
    <row r="2138" spans="3:12" s="244" customFormat="1" x14ac:dyDescent="0.25">
      <c r="C2138" s="251"/>
      <c r="D2138" s="251"/>
      <c r="E2138" s="251"/>
      <c r="F2138" s="251"/>
      <c r="G2138" s="249"/>
      <c r="H2138" s="252"/>
      <c r="I2138" s="251"/>
      <c r="J2138" s="251"/>
      <c r="K2138" s="250"/>
      <c r="L2138" s="249"/>
    </row>
    <row r="2139" spans="3:12" s="244" customFormat="1" x14ac:dyDescent="0.25">
      <c r="C2139" s="251"/>
      <c r="D2139" s="251"/>
      <c r="E2139" s="251"/>
      <c r="F2139" s="251"/>
      <c r="G2139" s="249"/>
      <c r="H2139" s="252"/>
      <c r="I2139" s="251"/>
      <c r="J2139" s="251"/>
      <c r="K2139" s="250"/>
      <c r="L2139" s="249"/>
    </row>
    <row r="2140" spans="3:12" s="244" customFormat="1" x14ac:dyDescent="0.25">
      <c r="C2140" s="251"/>
      <c r="D2140" s="251"/>
      <c r="E2140" s="251"/>
      <c r="F2140" s="251"/>
      <c r="G2140" s="249"/>
      <c r="H2140" s="252"/>
      <c r="I2140" s="251"/>
      <c r="J2140" s="251"/>
      <c r="K2140" s="250"/>
      <c r="L2140" s="249"/>
    </row>
    <row r="2141" spans="3:12" s="244" customFormat="1" x14ac:dyDescent="0.25">
      <c r="C2141" s="251"/>
      <c r="D2141" s="251"/>
      <c r="E2141" s="251"/>
      <c r="F2141" s="251"/>
      <c r="G2141" s="249"/>
      <c r="H2141" s="252"/>
      <c r="I2141" s="251"/>
      <c r="J2141" s="251"/>
      <c r="K2141" s="250"/>
      <c r="L2141" s="249"/>
    </row>
    <row r="2142" spans="3:12" s="244" customFormat="1" x14ac:dyDescent="0.25">
      <c r="C2142" s="251"/>
      <c r="D2142" s="251"/>
      <c r="E2142" s="251"/>
      <c r="F2142" s="251"/>
      <c r="G2142" s="249"/>
      <c r="H2142" s="252"/>
      <c r="I2142" s="251"/>
      <c r="J2142" s="251"/>
      <c r="K2142" s="250"/>
      <c r="L2142" s="249"/>
    </row>
    <row r="2143" spans="3:12" s="244" customFormat="1" x14ac:dyDescent="0.25">
      <c r="C2143" s="251"/>
      <c r="D2143" s="251"/>
      <c r="E2143" s="251"/>
      <c r="F2143" s="251"/>
      <c r="G2143" s="249"/>
      <c r="H2143" s="252"/>
      <c r="I2143" s="251"/>
      <c r="J2143" s="251"/>
      <c r="K2143" s="250"/>
      <c r="L2143" s="249"/>
    </row>
    <row r="2144" spans="3:12" s="244" customFormat="1" x14ac:dyDescent="0.25">
      <c r="C2144" s="251"/>
      <c r="D2144" s="251"/>
      <c r="E2144" s="251"/>
      <c r="F2144" s="251"/>
      <c r="G2144" s="249"/>
      <c r="H2144" s="252"/>
      <c r="I2144" s="251"/>
      <c r="J2144" s="251"/>
      <c r="K2144" s="250"/>
      <c r="L2144" s="249"/>
    </row>
    <row r="2145" spans="3:12" s="244" customFormat="1" x14ac:dyDescent="0.25">
      <c r="C2145" s="251"/>
      <c r="D2145" s="251"/>
      <c r="E2145" s="251"/>
      <c r="F2145" s="251"/>
      <c r="G2145" s="249"/>
      <c r="H2145" s="252"/>
      <c r="I2145" s="251"/>
      <c r="J2145" s="251"/>
      <c r="K2145" s="250"/>
      <c r="L2145" s="249"/>
    </row>
    <row r="2146" spans="3:12" s="244" customFormat="1" x14ac:dyDescent="0.25">
      <c r="C2146" s="251"/>
      <c r="D2146" s="251"/>
      <c r="E2146" s="251"/>
      <c r="F2146" s="251"/>
      <c r="G2146" s="249"/>
      <c r="H2146" s="252"/>
      <c r="I2146" s="251"/>
      <c r="J2146" s="251"/>
      <c r="K2146" s="250"/>
      <c r="L2146" s="249"/>
    </row>
    <row r="2147" spans="3:12" s="244" customFormat="1" x14ac:dyDescent="0.25">
      <c r="C2147" s="251"/>
      <c r="D2147" s="251"/>
      <c r="E2147" s="251"/>
      <c r="F2147" s="251"/>
      <c r="G2147" s="249"/>
      <c r="H2147" s="252"/>
      <c r="I2147" s="251"/>
      <c r="J2147" s="251"/>
      <c r="K2147" s="250"/>
      <c r="L2147" s="249"/>
    </row>
    <row r="2148" spans="3:12" s="244" customFormat="1" x14ac:dyDescent="0.25">
      <c r="C2148" s="251"/>
      <c r="D2148" s="251"/>
      <c r="E2148" s="251"/>
      <c r="F2148" s="251"/>
      <c r="G2148" s="249"/>
      <c r="H2148" s="252"/>
      <c r="I2148" s="251"/>
      <c r="J2148" s="251"/>
      <c r="K2148" s="250"/>
      <c r="L2148" s="249"/>
    </row>
    <row r="2149" spans="3:12" s="244" customFormat="1" x14ac:dyDescent="0.25">
      <c r="C2149" s="251"/>
      <c r="D2149" s="251"/>
      <c r="E2149" s="251"/>
      <c r="F2149" s="251"/>
      <c r="G2149" s="249"/>
      <c r="H2149" s="252"/>
      <c r="I2149" s="251"/>
      <c r="J2149" s="251"/>
      <c r="K2149" s="250"/>
      <c r="L2149" s="249"/>
    </row>
    <row r="2150" spans="3:12" s="244" customFormat="1" x14ac:dyDescent="0.25">
      <c r="C2150" s="251"/>
      <c r="D2150" s="251"/>
      <c r="E2150" s="251"/>
      <c r="F2150" s="251"/>
      <c r="G2150" s="249"/>
      <c r="H2150" s="252"/>
      <c r="I2150" s="251"/>
      <c r="J2150" s="251"/>
      <c r="K2150" s="250"/>
      <c r="L2150" s="249"/>
    </row>
    <row r="2151" spans="3:12" s="244" customFormat="1" x14ac:dyDescent="0.25">
      <c r="C2151" s="251"/>
      <c r="D2151" s="251"/>
      <c r="E2151" s="251"/>
      <c r="F2151" s="251"/>
      <c r="G2151" s="249"/>
      <c r="H2151" s="252"/>
      <c r="I2151" s="251"/>
      <c r="J2151" s="251"/>
      <c r="K2151" s="250"/>
      <c r="L2151" s="249"/>
    </row>
    <row r="2152" spans="3:12" s="244" customFormat="1" x14ac:dyDescent="0.25">
      <c r="C2152" s="251"/>
      <c r="D2152" s="251"/>
      <c r="E2152" s="251"/>
      <c r="F2152" s="251"/>
      <c r="G2152" s="249"/>
      <c r="H2152" s="252"/>
      <c r="I2152" s="251"/>
      <c r="J2152" s="251"/>
      <c r="K2152" s="250"/>
      <c r="L2152" s="249"/>
    </row>
    <row r="2153" spans="3:12" s="244" customFormat="1" x14ac:dyDescent="0.25">
      <c r="C2153" s="251"/>
      <c r="D2153" s="251"/>
      <c r="E2153" s="251"/>
      <c r="F2153" s="251"/>
      <c r="G2153" s="249"/>
      <c r="H2153" s="252"/>
      <c r="I2153" s="251"/>
      <c r="J2153" s="251"/>
      <c r="K2153" s="250"/>
      <c r="L2153" s="249"/>
    </row>
    <row r="2154" spans="3:12" s="244" customFormat="1" x14ac:dyDescent="0.25">
      <c r="C2154" s="251"/>
      <c r="D2154" s="251"/>
      <c r="E2154" s="251"/>
      <c r="F2154" s="251"/>
      <c r="G2154" s="249"/>
      <c r="H2154" s="252"/>
      <c r="I2154" s="251"/>
      <c r="J2154" s="251"/>
      <c r="K2154" s="250"/>
      <c r="L2154" s="249"/>
    </row>
    <row r="2155" spans="3:12" s="244" customFormat="1" x14ac:dyDescent="0.25">
      <c r="C2155" s="251"/>
      <c r="D2155" s="251"/>
      <c r="E2155" s="251"/>
      <c r="F2155" s="251"/>
      <c r="G2155" s="249"/>
      <c r="H2155" s="252"/>
      <c r="I2155" s="251"/>
      <c r="J2155" s="251"/>
      <c r="K2155" s="250"/>
      <c r="L2155" s="249"/>
    </row>
    <row r="2156" spans="3:12" s="244" customFormat="1" x14ac:dyDescent="0.25">
      <c r="C2156" s="251"/>
      <c r="D2156" s="251"/>
      <c r="E2156" s="251"/>
      <c r="F2156" s="251"/>
      <c r="G2156" s="249"/>
      <c r="H2156" s="252"/>
      <c r="I2156" s="251"/>
      <c r="J2156" s="251"/>
      <c r="K2156" s="250"/>
      <c r="L2156" s="249"/>
    </row>
    <row r="2157" spans="3:12" s="244" customFormat="1" x14ac:dyDescent="0.25">
      <c r="C2157" s="251"/>
      <c r="D2157" s="251"/>
      <c r="E2157" s="251"/>
      <c r="F2157" s="251"/>
      <c r="G2157" s="249"/>
      <c r="H2157" s="252"/>
      <c r="I2157" s="251"/>
      <c r="J2157" s="251"/>
      <c r="K2157" s="250"/>
      <c r="L2157" s="249"/>
    </row>
    <row r="2158" spans="3:12" s="244" customFormat="1" x14ac:dyDescent="0.25">
      <c r="C2158" s="251"/>
      <c r="D2158" s="251"/>
      <c r="E2158" s="251"/>
      <c r="F2158" s="251"/>
      <c r="G2158" s="249"/>
      <c r="H2158" s="252"/>
      <c r="I2158" s="251"/>
      <c r="J2158" s="251"/>
      <c r="K2158" s="250"/>
      <c r="L2158" s="249"/>
    </row>
    <row r="2159" spans="3:12" s="244" customFormat="1" x14ac:dyDescent="0.25">
      <c r="C2159" s="251"/>
      <c r="D2159" s="251"/>
      <c r="E2159" s="251"/>
      <c r="F2159" s="251"/>
      <c r="G2159" s="249"/>
      <c r="H2159" s="252"/>
      <c r="I2159" s="251"/>
      <c r="J2159" s="251"/>
      <c r="K2159" s="250"/>
      <c r="L2159" s="249"/>
    </row>
    <row r="2160" spans="3:12" s="244" customFormat="1" x14ac:dyDescent="0.25">
      <c r="C2160" s="251"/>
      <c r="D2160" s="251"/>
      <c r="E2160" s="251"/>
      <c r="F2160" s="251"/>
      <c r="G2160" s="249"/>
      <c r="H2160" s="252"/>
      <c r="I2160" s="251"/>
      <c r="J2160" s="251"/>
      <c r="K2160" s="250"/>
      <c r="L2160" s="249"/>
    </row>
    <row r="2161" spans="3:12" s="244" customFormat="1" x14ac:dyDescent="0.25">
      <c r="C2161" s="251"/>
      <c r="D2161" s="251"/>
      <c r="E2161" s="251"/>
      <c r="F2161" s="251"/>
      <c r="G2161" s="249"/>
      <c r="H2161" s="252"/>
      <c r="I2161" s="251"/>
      <c r="J2161" s="251"/>
      <c r="K2161" s="250"/>
      <c r="L2161" s="249"/>
    </row>
    <row r="2162" spans="3:12" s="244" customFormat="1" x14ac:dyDescent="0.25">
      <c r="C2162" s="251"/>
      <c r="D2162" s="251"/>
      <c r="E2162" s="251"/>
      <c r="F2162" s="251"/>
      <c r="G2162" s="249"/>
      <c r="H2162" s="252"/>
      <c r="I2162" s="251"/>
      <c r="J2162" s="251"/>
      <c r="K2162" s="250"/>
      <c r="L2162" s="249"/>
    </row>
    <row r="2163" spans="3:12" s="244" customFormat="1" x14ac:dyDescent="0.25">
      <c r="C2163" s="251"/>
      <c r="D2163" s="251"/>
      <c r="E2163" s="251"/>
      <c r="F2163" s="251"/>
      <c r="G2163" s="249"/>
      <c r="H2163" s="252"/>
      <c r="I2163" s="251"/>
      <c r="J2163" s="251"/>
      <c r="K2163" s="250"/>
      <c r="L2163" s="249"/>
    </row>
    <row r="2164" spans="3:12" s="244" customFormat="1" x14ac:dyDescent="0.25">
      <c r="C2164" s="251"/>
      <c r="D2164" s="251"/>
      <c r="E2164" s="251"/>
      <c r="F2164" s="251"/>
      <c r="G2164" s="249"/>
      <c r="H2164" s="252"/>
      <c r="I2164" s="251"/>
      <c r="J2164" s="251"/>
      <c r="K2164" s="250"/>
      <c r="L2164" s="249"/>
    </row>
    <row r="2165" spans="3:12" s="244" customFormat="1" x14ac:dyDescent="0.25">
      <c r="C2165" s="251"/>
      <c r="D2165" s="251"/>
      <c r="E2165" s="251"/>
      <c r="F2165" s="251"/>
      <c r="G2165" s="249"/>
      <c r="H2165" s="252"/>
      <c r="I2165" s="251"/>
      <c r="J2165" s="251"/>
      <c r="K2165" s="250"/>
      <c r="L2165" s="249"/>
    </row>
    <row r="2166" spans="3:12" s="244" customFormat="1" x14ac:dyDescent="0.25">
      <c r="C2166" s="251"/>
      <c r="D2166" s="251"/>
      <c r="E2166" s="251"/>
      <c r="F2166" s="251"/>
      <c r="G2166" s="249"/>
      <c r="H2166" s="252"/>
      <c r="I2166" s="251"/>
      <c r="J2166" s="251"/>
      <c r="K2166" s="250"/>
      <c r="L2166" s="249"/>
    </row>
    <row r="2167" spans="3:12" s="244" customFormat="1" x14ac:dyDescent="0.25">
      <c r="C2167" s="251"/>
      <c r="D2167" s="251"/>
      <c r="E2167" s="251"/>
      <c r="F2167" s="251"/>
      <c r="G2167" s="249"/>
      <c r="H2167" s="252"/>
      <c r="I2167" s="251"/>
      <c r="J2167" s="251"/>
      <c r="K2167" s="250"/>
      <c r="L2167" s="249"/>
    </row>
    <row r="2168" spans="3:12" s="244" customFormat="1" x14ac:dyDescent="0.25">
      <c r="C2168" s="251"/>
      <c r="D2168" s="251"/>
      <c r="E2168" s="251"/>
      <c r="F2168" s="251"/>
      <c r="G2168" s="249"/>
      <c r="H2168" s="252"/>
      <c r="I2168" s="251"/>
      <c r="J2168" s="251"/>
      <c r="K2168" s="250"/>
      <c r="L2168" s="249"/>
    </row>
    <row r="2169" spans="3:12" s="244" customFormat="1" x14ac:dyDescent="0.25">
      <c r="C2169" s="251"/>
      <c r="D2169" s="251"/>
      <c r="E2169" s="251"/>
      <c r="F2169" s="251"/>
      <c r="G2169" s="249"/>
      <c r="H2169" s="252"/>
      <c r="I2169" s="251"/>
      <c r="J2169" s="251"/>
      <c r="K2169" s="250"/>
      <c r="L2169" s="249"/>
    </row>
    <row r="2170" spans="3:12" s="244" customFormat="1" x14ac:dyDescent="0.25">
      <c r="C2170" s="251"/>
      <c r="D2170" s="251"/>
      <c r="E2170" s="251"/>
      <c r="F2170" s="251"/>
      <c r="G2170" s="249"/>
      <c r="H2170" s="252"/>
      <c r="I2170" s="251"/>
      <c r="J2170" s="251"/>
      <c r="K2170" s="250"/>
      <c r="L2170" s="249"/>
    </row>
    <row r="2171" spans="3:12" s="244" customFormat="1" x14ac:dyDescent="0.25">
      <c r="C2171" s="251"/>
      <c r="D2171" s="251"/>
      <c r="E2171" s="251"/>
      <c r="F2171" s="251"/>
      <c r="G2171" s="249"/>
      <c r="H2171" s="252"/>
      <c r="I2171" s="251"/>
      <c r="J2171" s="251"/>
      <c r="K2171" s="250"/>
      <c r="L2171" s="249"/>
    </row>
    <row r="2172" spans="3:12" s="244" customFormat="1" x14ac:dyDescent="0.25">
      <c r="C2172" s="251"/>
      <c r="D2172" s="251"/>
      <c r="E2172" s="251"/>
      <c r="F2172" s="251"/>
      <c r="G2172" s="249"/>
      <c r="H2172" s="252"/>
      <c r="I2172" s="251"/>
      <c r="J2172" s="251"/>
      <c r="K2172" s="250"/>
      <c r="L2172" s="249"/>
    </row>
    <row r="2173" spans="3:12" s="244" customFormat="1" x14ac:dyDescent="0.25">
      <c r="C2173" s="251"/>
      <c r="D2173" s="251"/>
      <c r="E2173" s="251"/>
      <c r="F2173" s="251"/>
      <c r="G2173" s="249"/>
      <c r="H2173" s="252"/>
      <c r="I2173" s="251"/>
      <c r="J2173" s="251"/>
      <c r="K2173" s="250"/>
      <c r="L2173" s="249"/>
    </row>
    <row r="2174" spans="3:12" s="244" customFormat="1" x14ac:dyDescent="0.25">
      <c r="C2174" s="251"/>
      <c r="D2174" s="251"/>
      <c r="E2174" s="251"/>
      <c r="F2174" s="251"/>
      <c r="G2174" s="249"/>
      <c r="H2174" s="252"/>
      <c r="I2174" s="251"/>
      <c r="J2174" s="251"/>
      <c r="K2174" s="250"/>
      <c r="L2174" s="249"/>
    </row>
    <row r="2175" spans="3:12" s="244" customFormat="1" x14ac:dyDescent="0.25">
      <c r="C2175" s="251"/>
      <c r="D2175" s="251"/>
      <c r="E2175" s="251"/>
      <c r="F2175" s="251"/>
      <c r="G2175" s="249"/>
      <c r="H2175" s="252"/>
      <c r="I2175" s="251"/>
      <c r="J2175" s="251"/>
      <c r="K2175" s="250"/>
      <c r="L2175" s="249"/>
    </row>
    <row r="2176" spans="3:12" s="244" customFormat="1" x14ac:dyDescent="0.25">
      <c r="C2176" s="251"/>
      <c r="D2176" s="251"/>
      <c r="E2176" s="251"/>
      <c r="F2176" s="251"/>
      <c r="G2176" s="249"/>
      <c r="H2176" s="252"/>
      <c r="I2176" s="251"/>
      <c r="J2176" s="251"/>
      <c r="K2176" s="250"/>
      <c r="L2176" s="249"/>
    </row>
    <row r="2177" spans="3:12" s="244" customFormat="1" x14ac:dyDescent="0.25">
      <c r="C2177" s="251"/>
      <c r="D2177" s="251"/>
      <c r="E2177" s="251"/>
      <c r="F2177" s="251"/>
      <c r="G2177" s="249"/>
      <c r="H2177" s="252"/>
      <c r="I2177" s="251"/>
      <c r="J2177" s="251"/>
      <c r="K2177" s="250"/>
      <c r="L2177" s="249"/>
    </row>
    <row r="2178" spans="3:12" s="244" customFormat="1" x14ac:dyDescent="0.25">
      <c r="C2178" s="251"/>
      <c r="D2178" s="251"/>
      <c r="E2178" s="251"/>
      <c r="F2178" s="251"/>
      <c r="G2178" s="249"/>
      <c r="H2178" s="252"/>
      <c r="I2178" s="251"/>
      <c r="J2178" s="251"/>
      <c r="K2178" s="250"/>
      <c r="L2178" s="249"/>
    </row>
    <row r="2179" spans="3:12" s="244" customFormat="1" x14ac:dyDescent="0.25">
      <c r="C2179" s="251"/>
      <c r="D2179" s="251"/>
      <c r="E2179" s="251"/>
      <c r="F2179" s="251"/>
      <c r="G2179" s="249"/>
      <c r="H2179" s="252"/>
      <c r="I2179" s="251"/>
      <c r="J2179" s="251"/>
      <c r="K2179" s="250"/>
      <c r="L2179" s="249"/>
    </row>
    <row r="2180" spans="3:12" s="244" customFormat="1" x14ac:dyDescent="0.25">
      <c r="C2180" s="251"/>
      <c r="D2180" s="251"/>
      <c r="E2180" s="251"/>
      <c r="F2180" s="251"/>
      <c r="G2180" s="249"/>
      <c r="H2180" s="252"/>
      <c r="I2180" s="251"/>
      <c r="J2180" s="251"/>
      <c r="K2180" s="250"/>
      <c r="L2180" s="249"/>
    </row>
    <row r="2181" spans="3:12" s="244" customFormat="1" x14ac:dyDescent="0.25">
      <c r="C2181" s="251"/>
      <c r="D2181" s="251"/>
      <c r="E2181" s="251"/>
      <c r="F2181" s="251"/>
      <c r="G2181" s="249"/>
      <c r="H2181" s="252"/>
      <c r="I2181" s="251"/>
      <c r="J2181" s="251"/>
      <c r="K2181" s="250"/>
      <c r="L2181" s="249"/>
    </row>
    <row r="2182" spans="3:12" s="244" customFormat="1" x14ac:dyDescent="0.25">
      <c r="C2182" s="251"/>
      <c r="D2182" s="251"/>
      <c r="E2182" s="251"/>
      <c r="F2182" s="251"/>
      <c r="G2182" s="249"/>
      <c r="H2182" s="252"/>
      <c r="I2182" s="251"/>
      <c r="J2182" s="251"/>
      <c r="K2182" s="250"/>
      <c r="L2182" s="249"/>
    </row>
    <row r="2183" spans="3:12" s="244" customFormat="1" x14ac:dyDescent="0.25">
      <c r="C2183" s="251"/>
      <c r="D2183" s="251"/>
      <c r="E2183" s="251"/>
      <c r="F2183" s="251"/>
      <c r="G2183" s="249"/>
      <c r="H2183" s="252"/>
      <c r="I2183" s="251"/>
      <c r="J2183" s="251"/>
      <c r="K2183" s="250"/>
      <c r="L2183" s="249"/>
    </row>
    <row r="2184" spans="3:12" s="244" customFormat="1" x14ac:dyDescent="0.25">
      <c r="C2184" s="251"/>
      <c r="D2184" s="251"/>
      <c r="E2184" s="251"/>
      <c r="F2184" s="251"/>
      <c r="G2184" s="249"/>
      <c r="H2184" s="252"/>
      <c r="I2184" s="251"/>
      <c r="J2184" s="251"/>
      <c r="K2184" s="250"/>
      <c r="L2184" s="249"/>
    </row>
    <row r="2185" spans="3:12" s="244" customFormat="1" x14ac:dyDescent="0.25">
      <c r="C2185" s="251"/>
      <c r="D2185" s="251"/>
      <c r="E2185" s="251"/>
      <c r="F2185" s="251"/>
      <c r="G2185" s="249"/>
      <c r="H2185" s="252"/>
      <c r="I2185" s="251"/>
      <c r="J2185" s="251"/>
      <c r="K2185" s="250"/>
      <c r="L2185" s="249"/>
    </row>
    <row r="2186" spans="3:12" s="244" customFormat="1" x14ac:dyDescent="0.25">
      <c r="C2186" s="251"/>
      <c r="D2186" s="251"/>
      <c r="E2186" s="251"/>
      <c r="F2186" s="251"/>
      <c r="G2186" s="249"/>
      <c r="H2186" s="252"/>
      <c r="I2186" s="251"/>
      <c r="J2186" s="251"/>
      <c r="K2186" s="250"/>
      <c r="L2186" s="249"/>
    </row>
    <row r="2187" spans="3:12" s="244" customFormat="1" x14ac:dyDescent="0.25">
      <c r="C2187" s="251"/>
      <c r="D2187" s="251"/>
      <c r="E2187" s="251"/>
      <c r="F2187" s="251"/>
      <c r="G2187" s="249"/>
      <c r="H2187" s="252"/>
      <c r="I2187" s="251"/>
      <c r="J2187" s="251"/>
      <c r="K2187" s="250"/>
      <c r="L2187" s="249"/>
    </row>
    <row r="2188" spans="3:12" s="244" customFormat="1" x14ac:dyDescent="0.25">
      <c r="C2188" s="251"/>
      <c r="D2188" s="251"/>
      <c r="E2188" s="251"/>
      <c r="F2188" s="251"/>
      <c r="G2188" s="249"/>
      <c r="H2188" s="252"/>
      <c r="I2188" s="251"/>
      <c r="J2188" s="251"/>
      <c r="K2188" s="250"/>
      <c r="L2188" s="249"/>
    </row>
    <row r="2189" spans="3:12" s="244" customFormat="1" x14ac:dyDescent="0.25">
      <c r="C2189" s="251"/>
      <c r="D2189" s="251"/>
      <c r="E2189" s="251"/>
      <c r="F2189" s="251"/>
      <c r="G2189" s="249"/>
      <c r="H2189" s="252"/>
      <c r="I2189" s="251"/>
      <c r="J2189" s="251"/>
      <c r="K2189" s="250"/>
      <c r="L2189" s="249"/>
    </row>
    <row r="2190" spans="3:12" s="244" customFormat="1" x14ac:dyDescent="0.25">
      <c r="C2190" s="251"/>
      <c r="D2190" s="251"/>
      <c r="E2190" s="251"/>
      <c r="F2190" s="251"/>
      <c r="G2190" s="249"/>
      <c r="H2190" s="252"/>
      <c r="I2190" s="251"/>
      <c r="J2190" s="251"/>
      <c r="K2190" s="250"/>
      <c r="L2190" s="249"/>
    </row>
    <row r="2191" spans="3:12" s="244" customFormat="1" x14ac:dyDescent="0.25">
      <c r="C2191" s="251"/>
      <c r="D2191" s="251"/>
      <c r="E2191" s="251"/>
      <c r="F2191" s="251"/>
      <c r="G2191" s="249"/>
      <c r="H2191" s="252"/>
      <c r="I2191" s="251"/>
      <c r="J2191" s="251"/>
      <c r="K2191" s="250"/>
      <c r="L2191" s="249"/>
    </row>
    <row r="2192" spans="3:12" s="244" customFormat="1" x14ac:dyDescent="0.25">
      <c r="C2192" s="251"/>
      <c r="D2192" s="251"/>
      <c r="E2192" s="251"/>
      <c r="F2192" s="251"/>
      <c r="G2192" s="249"/>
      <c r="H2192" s="252"/>
      <c r="I2192" s="251"/>
      <c r="J2192" s="251"/>
      <c r="K2192" s="250"/>
      <c r="L2192" s="249"/>
    </row>
    <row r="2193" spans="3:12" s="244" customFormat="1" x14ac:dyDescent="0.25">
      <c r="C2193" s="251"/>
      <c r="D2193" s="251"/>
      <c r="E2193" s="251"/>
      <c r="F2193" s="251"/>
      <c r="G2193" s="249"/>
      <c r="H2193" s="252"/>
      <c r="I2193" s="251"/>
      <c r="J2193" s="251"/>
      <c r="K2193" s="250"/>
      <c r="L2193" s="249"/>
    </row>
    <row r="2194" spans="3:12" s="244" customFormat="1" x14ac:dyDescent="0.25">
      <c r="C2194" s="251"/>
      <c r="D2194" s="251"/>
      <c r="E2194" s="251"/>
      <c r="F2194" s="251"/>
      <c r="G2194" s="249"/>
      <c r="H2194" s="252"/>
      <c r="I2194" s="251"/>
      <c r="J2194" s="251"/>
      <c r="K2194" s="250"/>
      <c r="L2194" s="249"/>
    </row>
    <row r="2195" spans="3:12" s="244" customFormat="1" x14ac:dyDescent="0.25">
      <c r="C2195" s="251"/>
      <c r="D2195" s="251"/>
      <c r="E2195" s="251"/>
      <c r="F2195" s="251"/>
      <c r="G2195" s="249"/>
      <c r="H2195" s="252"/>
      <c r="I2195" s="251"/>
      <c r="J2195" s="251"/>
      <c r="K2195" s="250"/>
      <c r="L2195" s="249"/>
    </row>
    <row r="2196" spans="3:12" s="244" customFormat="1" x14ac:dyDescent="0.25">
      <c r="C2196" s="251"/>
      <c r="D2196" s="251"/>
      <c r="E2196" s="251"/>
      <c r="F2196" s="251"/>
      <c r="G2196" s="249"/>
      <c r="H2196" s="252"/>
      <c r="I2196" s="251"/>
      <c r="J2196" s="251"/>
      <c r="K2196" s="250"/>
      <c r="L2196" s="249"/>
    </row>
    <row r="2197" spans="3:12" s="244" customFormat="1" x14ac:dyDescent="0.25">
      <c r="C2197" s="251"/>
      <c r="D2197" s="251"/>
      <c r="E2197" s="251"/>
      <c r="F2197" s="251"/>
      <c r="G2197" s="249"/>
      <c r="H2197" s="252"/>
      <c r="I2197" s="251"/>
      <c r="J2197" s="251"/>
      <c r="K2197" s="250"/>
      <c r="L2197" s="249"/>
    </row>
    <row r="2198" spans="3:12" s="244" customFormat="1" x14ac:dyDescent="0.25">
      <c r="C2198" s="251"/>
      <c r="D2198" s="251"/>
      <c r="E2198" s="251"/>
      <c r="F2198" s="251"/>
      <c r="G2198" s="249"/>
      <c r="H2198" s="252"/>
      <c r="I2198" s="251"/>
      <c r="J2198" s="251"/>
      <c r="K2198" s="250"/>
      <c r="L2198" s="249"/>
    </row>
    <row r="2199" spans="3:12" s="244" customFormat="1" x14ac:dyDescent="0.25">
      <c r="C2199" s="251"/>
      <c r="D2199" s="251"/>
      <c r="E2199" s="251"/>
      <c r="F2199" s="251"/>
      <c r="G2199" s="249"/>
      <c r="H2199" s="252"/>
      <c r="I2199" s="251"/>
      <c r="J2199" s="251"/>
      <c r="K2199" s="250"/>
      <c r="L2199" s="249"/>
    </row>
    <row r="2200" spans="3:12" s="244" customFormat="1" x14ac:dyDescent="0.25">
      <c r="C2200" s="251"/>
      <c r="D2200" s="251"/>
      <c r="E2200" s="251"/>
      <c r="F2200" s="251"/>
      <c r="G2200" s="249"/>
      <c r="H2200" s="252"/>
      <c r="I2200" s="251"/>
      <c r="J2200" s="251"/>
      <c r="K2200" s="250"/>
      <c r="L2200" s="249"/>
    </row>
    <row r="2201" spans="3:12" s="244" customFormat="1" x14ac:dyDescent="0.25">
      <c r="C2201" s="251"/>
      <c r="D2201" s="251"/>
      <c r="E2201" s="251"/>
      <c r="F2201" s="251"/>
      <c r="G2201" s="249"/>
      <c r="H2201" s="252"/>
      <c r="I2201" s="251"/>
      <c r="J2201" s="251"/>
      <c r="K2201" s="250"/>
      <c r="L2201" s="249"/>
    </row>
    <row r="2202" spans="3:12" s="244" customFormat="1" x14ac:dyDescent="0.25">
      <c r="C2202" s="251"/>
      <c r="D2202" s="251"/>
      <c r="E2202" s="251"/>
      <c r="F2202" s="251"/>
      <c r="G2202" s="249"/>
      <c r="H2202" s="252"/>
      <c r="I2202" s="251"/>
      <c r="J2202" s="251"/>
      <c r="K2202" s="250"/>
      <c r="L2202" s="249"/>
    </row>
    <row r="2203" spans="3:12" s="244" customFormat="1" x14ac:dyDescent="0.25">
      <c r="C2203" s="251"/>
      <c r="D2203" s="251"/>
      <c r="E2203" s="251"/>
      <c r="F2203" s="251"/>
      <c r="G2203" s="249"/>
      <c r="H2203" s="252"/>
      <c r="I2203" s="251"/>
      <c r="J2203" s="251"/>
      <c r="K2203" s="250"/>
      <c r="L2203" s="249"/>
    </row>
    <row r="2204" spans="3:12" s="244" customFormat="1" x14ac:dyDescent="0.25">
      <c r="C2204" s="251"/>
      <c r="D2204" s="251"/>
      <c r="E2204" s="251"/>
      <c r="F2204" s="251"/>
      <c r="G2204" s="249"/>
      <c r="H2204" s="252"/>
      <c r="I2204" s="251"/>
      <c r="J2204" s="251"/>
      <c r="K2204" s="250"/>
      <c r="L2204" s="249"/>
    </row>
    <row r="2205" spans="3:12" s="244" customFormat="1" x14ac:dyDescent="0.25">
      <c r="C2205" s="251"/>
      <c r="D2205" s="251"/>
      <c r="E2205" s="251"/>
      <c r="F2205" s="251"/>
      <c r="G2205" s="249"/>
      <c r="H2205" s="252"/>
      <c r="I2205" s="251"/>
      <c r="J2205" s="251"/>
      <c r="K2205" s="250"/>
      <c r="L2205" s="249"/>
    </row>
    <row r="2206" spans="3:12" s="244" customFormat="1" x14ac:dyDescent="0.25">
      <c r="C2206" s="251"/>
      <c r="D2206" s="251"/>
      <c r="E2206" s="251"/>
      <c r="F2206" s="251"/>
      <c r="G2206" s="249"/>
      <c r="H2206" s="252"/>
      <c r="I2206" s="251"/>
      <c r="J2206" s="251"/>
      <c r="K2206" s="250"/>
      <c r="L2206" s="249"/>
    </row>
    <row r="2207" spans="3:12" s="244" customFormat="1" x14ac:dyDescent="0.25">
      <c r="C2207" s="251"/>
      <c r="D2207" s="251"/>
      <c r="E2207" s="251"/>
      <c r="F2207" s="251"/>
      <c r="G2207" s="249"/>
      <c r="H2207" s="252"/>
      <c r="I2207" s="251"/>
      <c r="J2207" s="251"/>
      <c r="K2207" s="250"/>
      <c r="L2207" s="249"/>
    </row>
    <row r="2208" spans="3:12" s="244" customFormat="1" x14ac:dyDescent="0.25">
      <c r="C2208" s="251"/>
      <c r="D2208" s="251"/>
      <c r="E2208" s="251"/>
      <c r="F2208" s="251"/>
      <c r="G2208" s="249"/>
      <c r="H2208" s="252"/>
      <c r="I2208" s="251"/>
      <c r="J2208" s="251"/>
      <c r="K2208" s="250"/>
      <c r="L2208" s="249"/>
    </row>
    <row r="2209" spans="3:12" s="244" customFormat="1" x14ac:dyDescent="0.25">
      <c r="C2209" s="251"/>
      <c r="D2209" s="251"/>
      <c r="E2209" s="251"/>
      <c r="F2209" s="251"/>
      <c r="G2209" s="249"/>
      <c r="H2209" s="252"/>
      <c r="I2209" s="251"/>
      <c r="J2209" s="251"/>
      <c r="K2209" s="250"/>
      <c r="L2209" s="249"/>
    </row>
    <row r="2210" spans="3:12" s="244" customFormat="1" x14ac:dyDescent="0.25">
      <c r="C2210" s="251"/>
      <c r="D2210" s="251"/>
      <c r="E2210" s="251"/>
      <c r="F2210" s="251"/>
      <c r="G2210" s="249"/>
      <c r="H2210" s="252"/>
      <c r="I2210" s="251"/>
      <c r="J2210" s="251"/>
      <c r="K2210" s="250"/>
      <c r="L2210" s="249"/>
    </row>
    <row r="2211" spans="3:12" s="244" customFormat="1" x14ac:dyDescent="0.25">
      <c r="C2211" s="251"/>
      <c r="D2211" s="251"/>
      <c r="E2211" s="251"/>
      <c r="F2211" s="251"/>
      <c r="G2211" s="249"/>
      <c r="H2211" s="252"/>
      <c r="I2211" s="251"/>
      <c r="J2211" s="251"/>
      <c r="K2211" s="250"/>
      <c r="L2211" s="249"/>
    </row>
    <row r="2212" spans="3:12" s="244" customFormat="1" x14ac:dyDescent="0.25">
      <c r="C2212" s="251"/>
      <c r="D2212" s="251"/>
      <c r="E2212" s="251"/>
      <c r="F2212" s="251"/>
      <c r="G2212" s="249"/>
      <c r="H2212" s="252"/>
      <c r="I2212" s="251"/>
      <c r="J2212" s="251"/>
      <c r="K2212" s="250"/>
      <c r="L2212" s="249"/>
    </row>
    <row r="2213" spans="3:12" s="244" customFormat="1" x14ac:dyDescent="0.25">
      <c r="C2213" s="251"/>
      <c r="D2213" s="251"/>
      <c r="E2213" s="251"/>
      <c r="F2213" s="251"/>
      <c r="G2213" s="249"/>
      <c r="H2213" s="252"/>
      <c r="I2213" s="251"/>
      <c r="J2213" s="251"/>
      <c r="K2213" s="250"/>
      <c r="L2213" s="249"/>
    </row>
    <row r="2214" spans="3:12" s="244" customFormat="1" x14ac:dyDescent="0.25">
      <c r="C2214" s="251"/>
      <c r="D2214" s="251"/>
      <c r="E2214" s="251"/>
      <c r="F2214" s="251"/>
      <c r="G2214" s="249"/>
      <c r="H2214" s="252"/>
      <c r="I2214" s="251"/>
      <c r="J2214" s="251"/>
      <c r="K2214" s="250"/>
      <c r="L2214" s="249"/>
    </row>
    <row r="2215" spans="3:12" s="244" customFormat="1" x14ac:dyDescent="0.25">
      <c r="C2215" s="251"/>
      <c r="D2215" s="251"/>
      <c r="E2215" s="251"/>
      <c r="F2215" s="251"/>
      <c r="G2215" s="249"/>
      <c r="H2215" s="252"/>
      <c r="I2215" s="251"/>
      <c r="J2215" s="251"/>
      <c r="K2215" s="250"/>
      <c r="L2215" s="249"/>
    </row>
    <row r="2216" spans="3:12" s="244" customFormat="1" x14ac:dyDescent="0.25">
      <c r="C2216" s="251"/>
      <c r="D2216" s="251"/>
      <c r="E2216" s="251"/>
      <c r="F2216" s="251"/>
      <c r="G2216" s="249"/>
      <c r="H2216" s="252"/>
      <c r="I2216" s="251"/>
      <c r="J2216" s="251"/>
      <c r="K2216" s="250"/>
      <c r="L2216" s="249"/>
    </row>
    <row r="2217" spans="3:12" s="244" customFormat="1" x14ac:dyDescent="0.25">
      <c r="C2217" s="251"/>
      <c r="D2217" s="251"/>
      <c r="E2217" s="251"/>
      <c r="F2217" s="251"/>
      <c r="G2217" s="249"/>
      <c r="H2217" s="252"/>
      <c r="I2217" s="251"/>
      <c r="J2217" s="251"/>
      <c r="K2217" s="250"/>
      <c r="L2217" s="249"/>
    </row>
    <row r="2218" spans="3:12" s="244" customFormat="1" x14ac:dyDescent="0.25">
      <c r="C2218" s="251"/>
      <c r="D2218" s="251"/>
      <c r="E2218" s="251"/>
      <c r="F2218" s="251"/>
      <c r="G2218" s="249"/>
      <c r="H2218" s="252"/>
      <c r="I2218" s="251"/>
      <c r="J2218" s="251"/>
      <c r="K2218" s="250"/>
      <c r="L2218" s="249"/>
    </row>
    <row r="2219" spans="3:12" s="244" customFormat="1" x14ac:dyDescent="0.25">
      <c r="C2219" s="251"/>
      <c r="D2219" s="251"/>
      <c r="E2219" s="251"/>
      <c r="F2219" s="251"/>
      <c r="G2219" s="249"/>
      <c r="H2219" s="252"/>
      <c r="I2219" s="251"/>
      <c r="J2219" s="251"/>
      <c r="K2219" s="250"/>
      <c r="L2219" s="249"/>
    </row>
    <row r="2220" spans="3:12" s="244" customFormat="1" x14ac:dyDescent="0.25">
      <c r="C2220" s="251"/>
      <c r="D2220" s="251"/>
      <c r="E2220" s="251"/>
      <c r="F2220" s="251"/>
      <c r="G2220" s="249"/>
      <c r="H2220" s="252"/>
      <c r="I2220" s="251"/>
      <c r="J2220" s="251"/>
      <c r="K2220" s="250"/>
      <c r="L2220" s="249"/>
    </row>
    <row r="2221" spans="3:12" s="244" customFormat="1" x14ac:dyDescent="0.25">
      <c r="C2221" s="251"/>
      <c r="D2221" s="251"/>
      <c r="E2221" s="251"/>
      <c r="F2221" s="251"/>
      <c r="G2221" s="249"/>
      <c r="H2221" s="252"/>
      <c r="I2221" s="251"/>
      <c r="J2221" s="251"/>
      <c r="K2221" s="250"/>
      <c r="L2221" s="249"/>
    </row>
    <row r="2222" spans="3:12" s="244" customFormat="1" x14ac:dyDescent="0.25">
      <c r="C2222" s="251"/>
      <c r="D2222" s="251"/>
      <c r="E2222" s="251"/>
      <c r="F2222" s="251"/>
      <c r="G2222" s="249"/>
      <c r="H2222" s="252"/>
      <c r="I2222" s="251"/>
      <c r="J2222" s="251"/>
      <c r="K2222" s="250"/>
      <c r="L2222" s="249"/>
    </row>
    <row r="2223" spans="3:12" s="244" customFormat="1" x14ac:dyDescent="0.25">
      <c r="C2223" s="251"/>
      <c r="D2223" s="251"/>
      <c r="E2223" s="251"/>
      <c r="F2223" s="251"/>
      <c r="G2223" s="249"/>
      <c r="H2223" s="252"/>
      <c r="I2223" s="251"/>
      <c r="J2223" s="251"/>
      <c r="K2223" s="250"/>
      <c r="L2223" s="249"/>
    </row>
    <row r="2224" spans="3:12" s="244" customFormat="1" x14ac:dyDescent="0.25">
      <c r="C2224" s="251"/>
      <c r="D2224" s="251"/>
      <c r="E2224" s="251"/>
      <c r="F2224" s="251"/>
      <c r="G2224" s="249"/>
      <c r="H2224" s="252"/>
      <c r="I2224" s="251"/>
      <c r="J2224" s="251"/>
      <c r="K2224" s="250"/>
      <c r="L2224" s="249"/>
    </row>
    <row r="2225" spans="3:12" s="244" customFormat="1" x14ac:dyDescent="0.25">
      <c r="C2225" s="251"/>
      <c r="D2225" s="251"/>
      <c r="E2225" s="251"/>
      <c r="F2225" s="251"/>
      <c r="G2225" s="249"/>
      <c r="H2225" s="252"/>
      <c r="I2225" s="251"/>
      <c r="J2225" s="251"/>
      <c r="K2225" s="250"/>
      <c r="L2225" s="249"/>
    </row>
    <row r="2226" spans="3:12" s="244" customFormat="1" x14ac:dyDescent="0.25">
      <c r="C2226" s="251"/>
      <c r="D2226" s="251"/>
      <c r="E2226" s="251"/>
      <c r="F2226" s="251"/>
      <c r="G2226" s="249"/>
      <c r="H2226" s="252"/>
      <c r="I2226" s="251"/>
      <c r="J2226" s="251"/>
      <c r="K2226" s="250"/>
      <c r="L2226" s="249"/>
    </row>
    <row r="2227" spans="3:12" s="244" customFormat="1" x14ac:dyDescent="0.25">
      <c r="C2227" s="251"/>
      <c r="D2227" s="251"/>
      <c r="E2227" s="251"/>
      <c r="F2227" s="251"/>
      <c r="G2227" s="249"/>
      <c r="H2227" s="252"/>
      <c r="I2227" s="251"/>
      <c r="J2227" s="251"/>
      <c r="K2227" s="250"/>
      <c r="L2227" s="249"/>
    </row>
    <row r="2228" spans="3:12" s="244" customFormat="1" x14ac:dyDescent="0.25">
      <c r="C2228" s="251"/>
      <c r="D2228" s="251"/>
      <c r="E2228" s="251"/>
      <c r="F2228" s="251"/>
      <c r="G2228" s="249"/>
      <c r="H2228" s="252"/>
      <c r="I2228" s="251"/>
      <c r="J2228" s="251"/>
      <c r="K2228" s="250"/>
      <c r="L2228" s="249"/>
    </row>
    <row r="2229" spans="3:12" s="244" customFormat="1" x14ac:dyDescent="0.25">
      <c r="C2229" s="251"/>
      <c r="D2229" s="251"/>
      <c r="E2229" s="251"/>
      <c r="F2229" s="251"/>
      <c r="G2229" s="249"/>
      <c r="H2229" s="252"/>
      <c r="I2229" s="251"/>
      <c r="J2229" s="251"/>
      <c r="K2229" s="250"/>
      <c r="L2229" s="249"/>
    </row>
    <row r="2230" spans="3:12" s="244" customFormat="1" x14ac:dyDescent="0.25">
      <c r="C2230" s="251"/>
      <c r="D2230" s="251"/>
      <c r="E2230" s="251"/>
      <c r="F2230" s="251"/>
      <c r="G2230" s="249"/>
      <c r="H2230" s="252"/>
      <c r="I2230" s="251"/>
      <c r="J2230" s="251"/>
      <c r="K2230" s="250"/>
      <c r="L2230" s="249"/>
    </row>
    <row r="2231" spans="3:12" s="244" customFormat="1" x14ac:dyDescent="0.25">
      <c r="C2231" s="251"/>
      <c r="D2231" s="251"/>
      <c r="E2231" s="251"/>
      <c r="F2231" s="251"/>
      <c r="G2231" s="249"/>
      <c r="H2231" s="252"/>
      <c r="I2231" s="251"/>
      <c r="J2231" s="251"/>
      <c r="K2231" s="250"/>
      <c r="L2231" s="249"/>
    </row>
    <row r="2232" spans="3:12" s="244" customFormat="1" x14ac:dyDescent="0.25">
      <c r="C2232" s="251"/>
      <c r="D2232" s="251"/>
      <c r="E2232" s="251"/>
      <c r="F2232" s="251"/>
      <c r="G2232" s="249"/>
      <c r="H2232" s="252"/>
      <c r="I2232" s="251"/>
      <c r="J2232" s="251"/>
      <c r="K2232" s="250"/>
      <c r="L2232" s="249"/>
    </row>
    <row r="2233" spans="3:12" s="244" customFormat="1" x14ac:dyDescent="0.25">
      <c r="C2233" s="251"/>
      <c r="D2233" s="251"/>
      <c r="E2233" s="251"/>
      <c r="F2233" s="251"/>
      <c r="G2233" s="249"/>
      <c r="H2233" s="252"/>
      <c r="I2233" s="251"/>
      <c r="J2233" s="251"/>
      <c r="K2233" s="250"/>
      <c r="L2233" s="249"/>
    </row>
    <row r="2234" spans="3:12" s="244" customFormat="1" x14ac:dyDescent="0.25">
      <c r="C2234" s="251"/>
      <c r="D2234" s="251"/>
      <c r="E2234" s="251"/>
      <c r="F2234" s="251"/>
      <c r="G2234" s="249"/>
      <c r="H2234" s="252"/>
      <c r="I2234" s="251"/>
      <c r="J2234" s="251"/>
      <c r="K2234" s="250"/>
      <c r="L2234" s="249"/>
    </row>
    <row r="2235" spans="3:12" s="244" customFormat="1" x14ac:dyDescent="0.25">
      <c r="C2235" s="251"/>
      <c r="D2235" s="251"/>
      <c r="E2235" s="251"/>
      <c r="F2235" s="251"/>
      <c r="G2235" s="249"/>
      <c r="H2235" s="252"/>
      <c r="I2235" s="251"/>
      <c r="J2235" s="251"/>
      <c r="K2235" s="250"/>
      <c r="L2235" s="249"/>
    </row>
    <row r="2236" spans="3:12" s="244" customFormat="1" x14ac:dyDescent="0.25">
      <c r="C2236" s="251"/>
      <c r="D2236" s="251"/>
      <c r="E2236" s="251"/>
      <c r="F2236" s="251"/>
      <c r="G2236" s="249"/>
      <c r="H2236" s="252"/>
      <c r="I2236" s="251"/>
      <c r="J2236" s="251"/>
      <c r="K2236" s="250"/>
      <c r="L2236" s="249"/>
    </row>
    <row r="2237" spans="3:12" s="244" customFormat="1" x14ac:dyDescent="0.25">
      <c r="C2237" s="251"/>
      <c r="D2237" s="251"/>
      <c r="E2237" s="251"/>
      <c r="F2237" s="251"/>
      <c r="G2237" s="249"/>
      <c r="H2237" s="252"/>
      <c r="I2237" s="251"/>
      <c r="J2237" s="251"/>
      <c r="K2237" s="250"/>
      <c r="L2237" s="249"/>
    </row>
    <row r="2238" spans="3:12" s="244" customFormat="1" x14ac:dyDescent="0.25">
      <c r="C2238" s="251"/>
      <c r="D2238" s="251"/>
      <c r="E2238" s="251"/>
      <c r="F2238" s="251"/>
      <c r="G2238" s="249"/>
      <c r="H2238" s="252"/>
      <c r="I2238" s="251"/>
      <c r="J2238" s="251"/>
      <c r="K2238" s="250"/>
      <c r="L2238" s="249"/>
    </row>
    <row r="2239" spans="3:12" s="244" customFormat="1" x14ac:dyDescent="0.25">
      <c r="C2239" s="251"/>
      <c r="D2239" s="251"/>
      <c r="E2239" s="251"/>
      <c r="F2239" s="251"/>
      <c r="G2239" s="249"/>
      <c r="H2239" s="252"/>
      <c r="I2239" s="251"/>
      <c r="J2239" s="251"/>
      <c r="K2239" s="250"/>
      <c r="L2239" s="249"/>
    </row>
    <row r="2240" spans="3:12" s="244" customFormat="1" x14ac:dyDescent="0.25">
      <c r="C2240" s="251"/>
      <c r="D2240" s="251"/>
      <c r="E2240" s="251"/>
      <c r="F2240" s="251"/>
      <c r="G2240" s="249"/>
      <c r="H2240" s="252"/>
      <c r="I2240" s="251"/>
      <c r="J2240" s="251"/>
      <c r="K2240" s="250"/>
      <c r="L2240" s="249"/>
    </row>
    <row r="2241" spans="3:12" s="244" customFormat="1" x14ac:dyDescent="0.25">
      <c r="C2241" s="251"/>
      <c r="D2241" s="251"/>
      <c r="E2241" s="251"/>
      <c r="F2241" s="251"/>
      <c r="G2241" s="249"/>
      <c r="H2241" s="252"/>
      <c r="I2241" s="251"/>
      <c r="J2241" s="251"/>
      <c r="K2241" s="250"/>
      <c r="L2241" s="249"/>
    </row>
    <row r="2242" spans="3:12" s="244" customFormat="1" x14ac:dyDescent="0.25">
      <c r="C2242" s="251"/>
      <c r="D2242" s="251"/>
      <c r="E2242" s="251"/>
      <c r="F2242" s="251"/>
      <c r="G2242" s="249"/>
      <c r="H2242" s="252"/>
      <c r="I2242" s="251"/>
      <c r="J2242" s="251"/>
      <c r="K2242" s="250"/>
      <c r="L2242" s="249"/>
    </row>
    <row r="2243" spans="3:12" s="244" customFormat="1" x14ac:dyDescent="0.25">
      <c r="C2243" s="251"/>
      <c r="D2243" s="251"/>
      <c r="E2243" s="251"/>
      <c r="F2243" s="251"/>
      <c r="G2243" s="249"/>
      <c r="H2243" s="252"/>
      <c r="I2243" s="251"/>
      <c r="J2243" s="251"/>
      <c r="K2243" s="250"/>
      <c r="L2243" s="249"/>
    </row>
    <row r="2244" spans="3:12" s="244" customFormat="1" x14ac:dyDescent="0.25">
      <c r="C2244" s="251"/>
      <c r="D2244" s="251"/>
      <c r="E2244" s="251"/>
      <c r="F2244" s="251"/>
      <c r="G2244" s="249"/>
      <c r="H2244" s="252"/>
      <c r="I2244" s="251"/>
      <c r="J2244" s="251"/>
      <c r="K2244" s="250"/>
      <c r="L2244" s="249"/>
    </row>
    <row r="2245" spans="3:12" s="244" customFormat="1" x14ac:dyDescent="0.25">
      <c r="C2245" s="251"/>
      <c r="D2245" s="251"/>
      <c r="E2245" s="251"/>
      <c r="F2245" s="251"/>
      <c r="G2245" s="249"/>
      <c r="H2245" s="252"/>
      <c r="I2245" s="251"/>
      <c r="J2245" s="251"/>
      <c r="K2245" s="250"/>
      <c r="L2245" s="249"/>
    </row>
    <row r="2246" spans="3:12" s="244" customFormat="1" x14ac:dyDescent="0.25">
      <c r="C2246" s="251"/>
      <c r="D2246" s="251"/>
      <c r="E2246" s="251"/>
      <c r="F2246" s="251"/>
      <c r="G2246" s="249"/>
      <c r="H2246" s="252"/>
      <c r="I2246" s="251"/>
      <c r="J2246" s="251"/>
      <c r="K2246" s="250"/>
      <c r="L2246" s="249"/>
    </row>
    <row r="2247" spans="3:12" s="244" customFormat="1" x14ac:dyDescent="0.25">
      <c r="C2247" s="251"/>
      <c r="D2247" s="251"/>
      <c r="E2247" s="251"/>
      <c r="F2247" s="251"/>
      <c r="G2247" s="249"/>
      <c r="H2247" s="252"/>
      <c r="I2247" s="251"/>
      <c r="J2247" s="251"/>
      <c r="K2247" s="250"/>
      <c r="L2247" s="249"/>
    </row>
    <row r="2248" spans="3:12" s="244" customFormat="1" x14ac:dyDescent="0.25">
      <c r="C2248" s="251"/>
      <c r="D2248" s="251"/>
      <c r="E2248" s="251"/>
      <c r="F2248" s="251"/>
      <c r="G2248" s="249"/>
      <c r="H2248" s="252"/>
      <c r="I2248" s="251"/>
      <c r="J2248" s="251"/>
      <c r="K2248" s="250"/>
      <c r="L2248" s="249"/>
    </row>
    <row r="2249" spans="3:12" s="244" customFormat="1" x14ac:dyDescent="0.25">
      <c r="C2249" s="251"/>
      <c r="D2249" s="251"/>
      <c r="E2249" s="251"/>
      <c r="F2249" s="251"/>
      <c r="G2249" s="249"/>
      <c r="H2249" s="252"/>
      <c r="I2249" s="251"/>
      <c r="J2249" s="251"/>
      <c r="K2249" s="250"/>
      <c r="L2249" s="249"/>
    </row>
    <row r="2250" spans="3:12" s="244" customFormat="1" x14ac:dyDescent="0.25">
      <c r="C2250" s="251"/>
      <c r="D2250" s="251"/>
      <c r="E2250" s="251"/>
      <c r="F2250" s="251"/>
      <c r="G2250" s="249"/>
      <c r="H2250" s="252"/>
      <c r="I2250" s="251"/>
      <c r="J2250" s="251"/>
      <c r="K2250" s="250"/>
      <c r="L2250" s="249"/>
    </row>
    <row r="2251" spans="3:12" s="244" customFormat="1" x14ac:dyDescent="0.25">
      <c r="C2251" s="251"/>
      <c r="D2251" s="251"/>
      <c r="E2251" s="251"/>
      <c r="F2251" s="251"/>
      <c r="G2251" s="249"/>
      <c r="H2251" s="252"/>
      <c r="I2251" s="251"/>
      <c r="J2251" s="251"/>
      <c r="K2251" s="250"/>
      <c r="L2251" s="249"/>
    </row>
    <row r="2252" spans="3:12" s="244" customFormat="1" x14ac:dyDescent="0.25">
      <c r="C2252" s="251"/>
      <c r="D2252" s="251"/>
      <c r="E2252" s="251"/>
      <c r="F2252" s="251"/>
      <c r="G2252" s="249"/>
      <c r="H2252" s="252"/>
      <c r="I2252" s="251"/>
      <c r="J2252" s="251"/>
      <c r="K2252" s="250"/>
      <c r="L2252" s="249"/>
    </row>
    <row r="2253" spans="3:12" s="244" customFormat="1" x14ac:dyDescent="0.25">
      <c r="C2253" s="251"/>
      <c r="D2253" s="251"/>
      <c r="E2253" s="251"/>
      <c r="F2253" s="251"/>
      <c r="G2253" s="249"/>
      <c r="H2253" s="252"/>
      <c r="I2253" s="251"/>
      <c r="J2253" s="251"/>
      <c r="K2253" s="250"/>
      <c r="L2253" s="249"/>
    </row>
    <row r="2254" spans="3:12" s="244" customFormat="1" x14ac:dyDescent="0.25">
      <c r="C2254" s="251"/>
      <c r="D2254" s="251"/>
      <c r="E2254" s="251"/>
      <c r="F2254" s="251"/>
      <c r="G2254" s="249"/>
      <c r="H2254" s="252"/>
      <c r="I2254" s="251"/>
      <c r="J2254" s="251"/>
      <c r="K2254" s="250"/>
      <c r="L2254" s="249"/>
    </row>
    <row r="2255" spans="3:12" s="244" customFormat="1" x14ac:dyDescent="0.25">
      <c r="C2255" s="251"/>
      <c r="D2255" s="251"/>
      <c r="E2255" s="251"/>
      <c r="F2255" s="251"/>
      <c r="G2255" s="249"/>
      <c r="H2255" s="252"/>
      <c r="I2255" s="251"/>
      <c r="J2255" s="251"/>
      <c r="K2255" s="250"/>
      <c r="L2255" s="249"/>
    </row>
    <row r="2256" spans="3:12" s="244" customFormat="1" x14ac:dyDescent="0.25">
      <c r="C2256" s="251"/>
      <c r="D2256" s="251"/>
      <c r="E2256" s="251"/>
      <c r="F2256" s="251"/>
      <c r="G2256" s="249"/>
      <c r="H2256" s="252"/>
      <c r="I2256" s="251"/>
      <c r="J2256" s="251"/>
      <c r="K2256" s="250"/>
      <c r="L2256" s="249"/>
    </row>
    <row r="2257" spans="3:12" s="244" customFormat="1" x14ac:dyDescent="0.25">
      <c r="C2257" s="251"/>
      <c r="D2257" s="251"/>
      <c r="E2257" s="251"/>
      <c r="F2257" s="251"/>
      <c r="G2257" s="249"/>
      <c r="H2257" s="252"/>
      <c r="I2257" s="251"/>
      <c r="J2257" s="251"/>
      <c r="K2257" s="250"/>
      <c r="L2257" s="249"/>
    </row>
    <row r="2258" spans="3:12" s="244" customFormat="1" x14ac:dyDescent="0.25">
      <c r="C2258" s="251"/>
      <c r="D2258" s="251"/>
      <c r="E2258" s="251"/>
      <c r="F2258" s="251"/>
      <c r="G2258" s="249"/>
      <c r="H2258" s="252"/>
      <c r="I2258" s="251"/>
      <c r="J2258" s="251"/>
      <c r="K2258" s="250"/>
      <c r="L2258" s="249"/>
    </row>
    <row r="2259" spans="3:12" s="244" customFormat="1" x14ac:dyDescent="0.25">
      <c r="C2259" s="251"/>
      <c r="D2259" s="251"/>
      <c r="E2259" s="251"/>
      <c r="F2259" s="251"/>
      <c r="G2259" s="249"/>
      <c r="H2259" s="252"/>
      <c r="I2259" s="251"/>
      <c r="J2259" s="251"/>
      <c r="K2259" s="250"/>
      <c r="L2259" s="249"/>
    </row>
    <row r="2260" spans="3:12" s="244" customFormat="1" x14ac:dyDescent="0.25">
      <c r="C2260" s="251"/>
      <c r="D2260" s="251"/>
      <c r="E2260" s="251"/>
      <c r="F2260" s="251"/>
      <c r="G2260" s="249"/>
      <c r="H2260" s="252"/>
      <c r="I2260" s="251"/>
      <c r="J2260" s="251"/>
      <c r="K2260" s="250"/>
      <c r="L2260" s="249"/>
    </row>
    <row r="2261" spans="3:12" s="244" customFormat="1" x14ac:dyDescent="0.25">
      <c r="C2261" s="251"/>
      <c r="D2261" s="251"/>
      <c r="E2261" s="251"/>
      <c r="F2261" s="251"/>
      <c r="G2261" s="249"/>
      <c r="H2261" s="252"/>
      <c r="I2261" s="251"/>
      <c r="J2261" s="251"/>
      <c r="K2261" s="250"/>
      <c r="L2261" s="249"/>
    </row>
    <row r="2262" spans="3:12" s="244" customFormat="1" x14ac:dyDescent="0.25">
      <c r="C2262" s="251"/>
      <c r="D2262" s="251"/>
      <c r="E2262" s="251"/>
      <c r="F2262" s="251"/>
      <c r="G2262" s="249"/>
      <c r="H2262" s="252"/>
      <c r="I2262" s="251"/>
      <c r="J2262" s="251"/>
      <c r="K2262" s="250"/>
      <c r="L2262" s="249"/>
    </row>
    <row r="2263" spans="3:12" s="244" customFormat="1" x14ac:dyDescent="0.25">
      <c r="C2263" s="251"/>
      <c r="D2263" s="251"/>
      <c r="E2263" s="251"/>
      <c r="F2263" s="251"/>
      <c r="G2263" s="249"/>
      <c r="H2263" s="252"/>
      <c r="I2263" s="251"/>
      <c r="J2263" s="251"/>
      <c r="K2263" s="250"/>
      <c r="L2263" s="249"/>
    </row>
    <row r="2264" spans="3:12" s="244" customFormat="1" x14ac:dyDescent="0.25">
      <c r="C2264" s="251"/>
      <c r="D2264" s="251"/>
      <c r="E2264" s="251"/>
      <c r="F2264" s="251"/>
      <c r="G2264" s="249"/>
      <c r="H2264" s="252"/>
      <c r="I2264" s="251"/>
      <c r="J2264" s="251"/>
      <c r="K2264" s="250"/>
      <c r="L2264" s="249"/>
    </row>
    <row r="2265" spans="3:12" s="244" customFormat="1" x14ac:dyDescent="0.25">
      <c r="C2265" s="251"/>
      <c r="D2265" s="251"/>
      <c r="E2265" s="251"/>
      <c r="F2265" s="251"/>
      <c r="G2265" s="249"/>
      <c r="H2265" s="252"/>
      <c r="I2265" s="251"/>
      <c r="J2265" s="251"/>
      <c r="K2265" s="250"/>
      <c r="L2265" s="249"/>
    </row>
    <row r="2266" spans="3:12" s="244" customFormat="1" x14ac:dyDescent="0.25">
      <c r="C2266" s="251"/>
      <c r="D2266" s="251"/>
      <c r="E2266" s="251"/>
      <c r="F2266" s="251"/>
      <c r="G2266" s="249"/>
      <c r="H2266" s="252"/>
      <c r="I2266" s="251"/>
      <c r="J2266" s="251"/>
      <c r="K2266" s="250"/>
      <c r="L2266" s="249"/>
    </row>
    <row r="2267" spans="3:12" s="244" customFormat="1" x14ac:dyDescent="0.25">
      <c r="C2267" s="251"/>
      <c r="D2267" s="251"/>
      <c r="E2267" s="251"/>
      <c r="F2267" s="251"/>
      <c r="G2267" s="249"/>
      <c r="H2267" s="252"/>
      <c r="I2267" s="251"/>
      <c r="J2267" s="251"/>
      <c r="K2267" s="250"/>
      <c r="L2267" s="249"/>
    </row>
    <row r="2268" spans="3:12" s="244" customFormat="1" x14ac:dyDescent="0.25">
      <c r="C2268" s="251"/>
      <c r="D2268" s="251"/>
      <c r="E2268" s="251"/>
      <c r="F2268" s="251"/>
      <c r="G2268" s="249"/>
      <c r="H2268" s="252"/>
      <c r="I2268" s="251"/>
      <c r="J2268" s="251"/>
      <c r="K2268" s="250"/>
      <c r="L2268" s="249"/>
    </row>
    <row r="2269" spans="3:12" s="244" customFormat="1" x14ac:dyDescent="0.25">
      <c r="C2269" s="251"/>
      <c r="D2269" s="251"/>
      <c r="E2269" s="251"/>
      <c r="F2269" s="251"/>
      <c r="G2269" s="249"/>
      <c r="H2269" s="252"/>
      <c r="I2269" s="251"/>
      <c r="J2269" s="251"/>
      <c r="K2269" s="250"/>
      <c r="L2269" s="249"/>
    </row>
    <row r="2270" spans="3:12" s="244" customFormat="1" x14ac:dyDescent="0.25">
      <c r="C2270" s="251"/>
      <c r="D2270" s="251"/>
      <c r="E2270" s="251"/>
      <c r="F2270" s="251"/>
      <c r="G2270" s="249"/>
      <c r="H2270" s="252"/>
      <c r="I2270" s="251"/>
      <c r="J2270" s="251"/>
      <c r="K2270" s="250"/>
      <c r="L2270" s="249"/>
    </row>
    <row r="2271" spans="3:12" s="244" customFormat="1" x14ac:dyDescent="0.25">
      <c r="C2271" s="251"/>
      <c r="D2271" s="251"/>
      <c r="E2271" s="251"/>
      <c r="F2271" s="251"/>
      <c r="G2271" s="249"/>
      <c r="H2271" s="252"/>
      <c r="I2271" s="251"/>
      <c r="J2271" s="251"/>
      <c r="K2271" s="250"/>
      <c r="L2271" s="249"/>
    </row>
    <row r="2272" spans="3:12" s="244" customFormat="1" x14ac:dyDescent="0.25">
      <c r="C2272" s="251"/>
      <c r="D2272" s="251"/>
      <c r="E2272" s="251"/>
      <c r="F2272" s="251"/>
      <c r="G2272" s="249"/>
      <c r="H2272" s="252"/>
      <c r="I2272" s="251"/>
      <c r="J2272" s="251"/>
      <c r="K2272" s="250"/>
      <c r="L2272" s="249"/>
    </row>
    <row r="2273" spans="3:12" s="244" customFormat="1" x14ac:dyDescent="0.25">
      <c r="C2273" s="251"/>
      <c r="D2273" s="251"/>
      <c r="E2273" s="251"/>
      <c r="F2273" s="251"/>
      <c r="G2273" s="249"/>
      <c r="H2273" s="252"/>
      <c r="I2273" s="251"/>
      <c r="J2273" s="251"/>
      <c r="K2273" s="250"/>
      <c r="L2273" s="249"/>
    </row>
    <row r="2274" spans="3:12" s="244" customFormat="1" x14ac:dyDescent="0.25">
      <c r="C2274" s="251"/>
      <c r="D2274" s="251"/>
      <c r="E2274" s="251"/>
      <c r="F2274" s="251"/>
      <c r="G2274" s="249"/>
      <c r="H2274" s="252"/>
      <c r="I2274" s="251"/>
      <c r="J2274" s="251"/>
      <c r="K2274" s="250"/>
      <c r="L2274" s="249"/>
    </row>
    <row r="2275" spans="3:12" s="244" customFormat="1" x14ac:dyDescent="0.25">
      <c r="C2275" s="251"/>
      <c r="D2275" s="251"/>
      <c r="E2275" s="251"/>
      <c r="F2275" s="251"/>
      <c r="G2275" s="249"/>
      <c r="H2275" s="252"/>
      <c r="I2275" s="251"/>
      <c r="J2275" s="251"/>
      <c r="K2275" s="250"/>
      <c r="L2275" s="249"/>
    </row>
    <row r="2276" spans="3:12" s="244" customFormat="1" x14ac:dyDescent="0.25">
      <c r="C2276" s="251"/>
      <c r="D2276" s="251"/>
      <c r="E2276" s="251"/>
      <c r="F2276" s="251"/>
      <c r="G2276" s="249"/>
      <c r="H2276" s="252"/>
      <c r="I2276" s="251"/>
      <c r="J2276" s="251"/>
      <c r="K2276" s="250"/>
      <c r="L2276" s="249"/>
    </row>
    <row r="2277" spans="3:12" s="244" customFormat="1" x14ac:dyDescent="0.25">
      <c r="C2277" s="251"/>
      <c r="D2277" s="251"/>
      <c r="E2277" s="251"/>
      <c r="F2277" s="251"/>
      <c r="G2277" s="249"/>
      <c r="H2277" s="252"/>
      <c r="I2277" s="251"/>
      <c r="J2277" s="251"/>
      <c r="K2277" s="250"/>
      <c r="L2277" s="249"/>
    </row>
    <row r="2278" spans="3:12" s="244" customFormat="1" x14ac:dyDescent="0.25">
      <c r="C2278" s="251"/>
      <c r="D2278" s="251"/>
      <c r="E2278" s="251"/>
      <c r="F2278" s="251"/>
      <c r="G2278" s="249"/>
      <c r="H2278" s="252"/>
      <c r="I2278" s="251"/>
      <c r="J2278" s="251"/>
      <c r="K2278" s="250"/>
      <c r="L2278" s="249"/>
    </row>
    <row r="2279" spans="3:12" s="244" customFormat="1" x14ac:dyDescent="0.25">
      <c r="C2279" s="251"/>
      <c r="D2279" s="251"/>
      <c r="E2279" s="251"/>
      <c r="F2279" s="251"/>
      <c r="G2279" s="249"/>
      <c r="H2279" s="252"/>
      <c r="I2279" s="251"/>
      <c r="J2279" s="251"/>
      <c r="K2279" s="250"/>
      <c r="L2279" s="249"/>
    </row>
    <row r="2280" spans="3:12" s="244" customFormat="1" x14ac:dyDescent="0.25">
      <c r="C2280" s="251"/>
      <c r="D2280" s="251"/>
      <c r="E2280" s="251"/>
      <c r="F2280" s="251"/>
      <c r="G2280" s="249"/>
      <c r="H2280" s="252"/>
      <c r="I2280" s="251"/>
      <c r="J2280" s="251"/>
      <c r="K2280" s="250"/>
      <c r="L2280" s="249"/>
    </row>
    <row r="2281" spans="3:12" s="244" customFormat="1" x14ac:dyDescent="0.25">
      <c r="C2281" s="251"/>
      <c r="D2281" s="251"/>
      <c r="E2281" s="251"/>
      <c r="F2281" s="251"/>
      <c r="G2281" s="249"/>
      <c r="H2281" s="252"/>
      <c r="I2281" s="251"/>
      <c r="J2281" s="251"/>
      <c r="K2281" s="250"/>
      <c r="L2281" s="249"/>
    </row>
    <row r="2282" spans="3:12" s="244" customFormat="1" x14ac:dyDescent="0.25">
      <c r="C2282" s="251"/>
      <c r="D2282" s="251"/>
      <c r="E2282" s="251"/>
      <c r="F2282" s="251"/>
      <c r="G2282" s="249"/>
      <c r="H2282" s="252"/>
      <c r="I2282" s="251"/>
      <c r="J2282" s="251"/>
      <c r="K2282" s="250"/>
      <c r="L2282" s="249"/>
    </row>
    <row r="2283" spans="3:12" s="244" customFormat="1" x14ac:dyDescent="0.25">
      <c r="C2283" s="251"/>
      <c r="D2283" s="251"/>
      <c r="E2283" s="251"/>
      <c r="F2283" s="251"/>
      <c r="G2283" s="249"/>
      <c r="H2283" s="252"/>
      <c r="I2283" s="251"/>
      <c r="J2283" s="251"/>
      <c r="K2283" s="250"/>
      <c r="L2283" s="249"/>
    </row>
    <row r="2284" spans="3:12" s="244" customFormat="1" x14ac:dyDescent="0.25">
      <c r="C2284" s="251"/>
      <c r="D2284" s="251"/>
      <c r="E2284" s="251"/>
      <c r="F2284" s="251"/>
      <c r="G2284" s="249"/>
      <c r="H2284" s="252"/>
      <c r="I2284" s="251"/>
      <c r="J2284" s="251"/>
      <c r="K2284" s="250"/>
      <c r="L2284" s="249"/>
    </row>
    <row r="2285" spans="3:12" s="244" customFormat="1" x14ac:dyDescent="0.25">
      <c r="C2285" s="251"/>
      <c r="D2285" s="251"/>
      <c r="E2285" s="251"/>
      <c r="F2285" s="251"/>
      <c r="G2285" s="249"/>
      <c r="H2285" s="252"/>
      <c r="I2285" s="251"/>
      <c r="J2285" s="251"/>
      <c r="K2285" s="250"/>
      <c r="L2285" s="249"/>
    </row>
    <row r="2286" spans="3:12" s="244" customFormat="1" x14ac:dyDescent="0.25">
      <c r="C2286" s="251"/>
      <c r="D2286" s="251"/>
      <c r="E2286" s="251"/>
      <c r="F2286" s="251"/>
      <c r="G2286" s="249"/>
      <c r="H2286" s="252"/>
      <c r="I2286" s="251"/>
      <c r="J2286" s="251"/>
      <c r="K2286" s="250"/>
      <c r="L2286" s="249"/>
    </row>
    <row r="2287" spans="3:12" s="244" customFormat="1" x14ac:dyDescent="0.25">
      <c r="C2287" s="251"/>
      <c r="D2287" s="251"/>
      <c r="E2287" s="251"/>
      <c r="F2287" s="251"/>
      <c r="G2287" s="249"/>
      <c r="H2287" s="252"/>
      <c r="I2287" s="251"/>
      <c r="J2287" s="251"/>
      <c r="K2287" s="250"/>
      <c r="L2287" s="249"/>
    </row>
    <row r="2288" spans="3:12" s="244" customFormat="1" x14ac:dyDescent="0.25">
      <c r="C2288" s="251"/>
      <c r="D2288" s="251"/>
      <c r="E2288" s="251"/>
      <c r="F2288" s="251"/>
      <c r="G2288" s="249"/>
      <c r="H2288" s="252"/>
      <c r="I2288" s="251"/>
      <c r="J2288" s="251"/>
      <c r="K2288" s="250"/>
      <c r="L2288" s="249"/>
    </row>
    <row r="2289" spans="3:12" s="244" customFormat="1" x14ac:dyDescent="0.25">
      <c r="C2289" s="251"/>
      <c r="D2289" s="251"/>
      <c r="E2289" s="251"/>
      <c r="F2289" s="251"/>
      <c r="G2289" s="249"/>
      <c r="H2289" s="252"/>
      <c r="I2289" s="251"/>
      <c r="J2289" s="251"/>
      <c r="K2289" s="250"/>
      <c r="L2289" s="249"/>
    </row>
    <row r="2290" spans="3:12" s="244" customFormat="1" x14ac:dyDescent="0.25">
      <c r="C2290" s="251"/>
      <c r="D2290" s="251"/>
      <c r="E2290" s="251"/>
      <c r="F2290" s="251"/>
      <c r="G2290" s="249"/>
      <c r="H2290" s="252"/>
      <c r="I2290" s="251"/>
      <c r="J2290" s="251"/>
      <c r="K2290" s="250"/>
      <c r="L2290" s="249"/>
    </row>
    <row r="2291" spans="3:12" s="244" customFormat="1" x14ac:dyDescent="0.25">
      <c r="C2291" s="251"/>
      <c r="D2291" s="251"/>
      <c r="E2291" s="251"/>
      <c r="F2291" s="251"/>
      <c r="G2291" s="249"/>
      <c r="H2291" s="252"/>
      <c r="I2291" s="251"/>
      <c r="J2291" s="251"/>
      <c r="K2291" s="250"/>
      <c r="L2291" s="249"/>
    </row>
    <row r="2292" spans="3:12" s="244" customFormat="1" x14ac:dyDescent="0.25">
      <c r="C2292" s="251"/>
      <c r="D2292" s="251"/>
      <c r="E2292" s="251"/>
      <c r="F2292" s="251"/>
      <c r="G2292" s="249"/>
      <c r="H2292" s="252"/>
      <c r="I2292" s="251"/>
      <c r="J2292" s="251"/>
      <c r="K2292" s="250"/>
      <c r="L2292" s="249"/>
    </row>
    <row r="2293" spans="3:12" s="244" customFormat="1" x14ac:dyDescent="0.25">
      <c r="C2293" s="251"/>
      <c r="D2293" s="251"/>
      <c r="E2293" s="251"/>
      <c r="F2293" s="251"/>
      <c r="G2293" s="249"/>
      <c r="H2293" s="252"/>
      <c r="I2293" s="251"/>
      <c r="J2293" s="251"/>
      <c r="K2293" s="250"/>
      <c r="L2293" s="249"/>
    </row>
    <row r="2294" spans="3:12" s="244" customFormat="1" x14ac:dyDescent="0.25">
      <c r="C2294" s="251"/>
      <c r="D2294" s="251"/>
      <c r="E2294" s="251"/>
      <c r="F2294" s="251"/>
      <c r="G2294" s="249"/>
      <c r="H2294" s="252"/>
      <c r="I2294" s="251"/>
      <c r="J2294" s="251"/>
      <c r="K2294" s="250"/>
      <c r="L2294" s="249"/>
    </row>
    <row r="2295" spans="3:12" s="244" customFormat="1" x14ac:dyDescent="0.25">
      <c r="C2295" s="251"/>
      <c r="D2295" s="251"/>
      <c r="E2295" s="251"/>
      <c r="F2295" s="251"/>
      <c r="G2295" s="249"/>
      <c r="H2295" s="252"/>
      <c r="I2295" s="251"/>
      <c r="J2295" s="251"/>
      <c r="K2295" s="250"/>
      <c r="L2295" s="249"/>
    </row>
    <row r="2296" spans="3:12" s="244" customFormat="1" x14ac:dyDescent="0.25">
      <c r="C2296" s="251"/>
      <c r="D2296" s="251"/>
      <c r="E2296" s="251"/>
      <c r="F2296" s="251"/>
      <c r="G2296" s="249"/>
      <c r="H2296" s="252"/>
      <c r="I2296" s="251"/>
      <c r="J2296" s="251"/>
      <c r="K2296" s="250"/>
      <c r="L2296" s="249"/>
    </row>
    <row r="2297" spans="3:12" s="244" customFormat="1" x14ac:dyDescent="0.25">
      <c r="C2297" s="251"/>
      <c r="D2297" s="251"/>
      <c r="E2297" s="251"/>
      <c r="F2297" s="251"/>
      <c r="G2297" s="249"/>
      <c r="H2297" s="252"/>
      <c r="I2297" s="251"/>
      <c r="J2297" s="251"/>
      <c r="K2297" s="250"/>
      <c r="L2297" s="249"/>
    </row>
    <row r="2298" spans="3:12" s="244" customFormat="1" x14ac:dyDescent="0.25">
      <c r="C2298" s="251"/>
      <c r="D2298" s="251"/>
      <c r="E2298" s="251"/>
      <c r="F2298" s="251"/>
      <c r="G2298" s="249"/>
      <c r="H2298" s="252"/>
      <c r="I2298" s="251"/>
      <c r="J2298" s="251"/>
      <c r="K2298" s="250"/>
      <c r="L2298" s="249"/>
    </row>
    <row r="2299" spans="3:12" s="244" customFormat="1" x14ac:dyDescent="0.25">
      <c r="C2299" s="251"/>
      <c r="D2299" s="251"/>
      <c r="E2299" s="251"/>
      <c r="F2299" s="251"/>
      <c r="G2299" s="249"/>
      <c r="H2299" s="252"/>
      <c r="I2299" s="251"/>
      <c r="J2299" s="251"/>
      <c r="K2299" s="250"/>
      <c r="L2299" s="249"/>
    </row>
    <row r="2300" spans="3:12" s="244" customFormat="1" x14ac:dyDescent="0.25">
      <c r="C2300" s="251"/>
      <c r="D2300" s="251"/>
      <c r="E2300" s="251"/>
      <c r="F2300" s="251"/>
      <c r="G2300" s="249"/>
      <c r="H2300" s="252"/>
      <c r="I2300" s="251"/>
      <c r="J2300" s="251"/>
      <c r="K2300" s="250"/>
      <c r="L2300" s="249"/>
    </row>
    <row r="2301" spans="3:12" s="244" customFormat="1" x14ac:dyDescent="0.25">
      <c r="C2301" s="251"/>
      <c r="D2301" s="251"/>
      <c r="E2301" s="251"/>
      <c r="F2301" s="251"/>
      <c r="G2301" s="249"/>
      <c r="H2301" s="252"/>
      <c r="I2301" s="251"/>
      <c r="J2301" s="251"/>
      <c r="K2301" s="250"/>
      <c r="L2301" s="249"/>
    </row>
    <row r="2302" spans="3:12" s="244" customFormat="1" x14ac:dyDescent="0.25">
      <c r="C2302" s="251"/>
      <c r="D2302" s="251"/>
      <c r="E2302" s="251"/>
      <c r="F2302" s="251"/>
      <c r="G2302" s="249"/>
      <c r="H2302" s="252"/>
      <c r="I2302" s="251"/>
      <c r="J2302" s="251"/>
      <c r="K2302" s="250"/>
      <c r="L2302" s="249"/>
    </row>
    <row r="2303" spans="3:12" s="244" customFormat="1" x14ac:dyDescent="0.25">
      <c r="C2303" s="251"/>
      <c r="D2303" s="251"/>
      <c r="E2303" s="251"/>
      <c r="F2303" s="251"/>
      <c r="G2303" s="249"/>
      <c r="H2303" s="252"/>
      <c r="I2303" s="251"/>
      <c r="J2303" s="251"/>
      <c r="K2303" s="250"/>
      <c r="L2303" s="249"/>
    </row>
    <row r="2304" spans="3:12" s="244" customFormat="1" x14ac:dyDescent="0.25">
      <c r="C2304" s="251"/>
      <c r="D2304" s="251"/>
      <c r="E2304" s="251"/>
      <c r="F2304" s="251"/>
      <c r="G2304" s="249"/>
      <c r="H2304" s="252"/>
      <c r="I2304" s="251"/>
      <c r="J2304" s="251"/>
      <c r="K2304" s="250"/>
      <c r="L2304" s="249"/>
    </row>
    <row r="2305" spans="3:12" s="244" customFormat="1" x14ac:dyDescent="0.25">
      <c r="C2305" s="251"/>
      <c r="D2305" s="251"/>
      <c r="E2305" s="251"/>
      <c r="F2305" s="251"/>
      <c r="G2305" s="249"/>
      <c r="H2305" s="252"/>
      <c r="I2305" s="251"/>
      <c r="J2305" s="251"/>
      <c r="K2305" s="250"/>
      <c r="L2305" s="249"/>
    </row>
    <row r="2306" spans="3:12" s="244" customFormat="1" x14ac:dyDescent="0.25">
      <c r="C2306" s="251"/>
      <c r="D2306" s="251"/>
      <c r="E2306" s="251"/>
      <c r="F2306" s="251"/>
      <c r="G2306" s="249"/>
      <c r="H2306" s="252"/>
      <c r="I2306" s="251"/>
      <c r="J2306" s="251"/>
      <c r="K2306" s="250"/>
      <c r="L2306" s="249"/>
    </row>
    <row r="2307" spans="3:12" s="244" customFormat="1" x14ac:dyDescent="0.25">
      <c r="C2307" s="251"/>
      <c r="D2307" s="251"/>
      <c r="E2307" s="251"/>
      <c r="F2307" s="251"/>
      <c r="G2307" s="249"/>
      <c r="H2307" s="252"/>
      <c r="I2307" s="251"/>
      <c r="J2307" s="251"/>
      <c r="K2307" s="250"/>
      <c r="L2307" s="249"/>
    </row>
    <row r="2308" spans="3:12" s="244" customFormat="1" x14ac:dyDescent="0.25">
      <c r="C2308" s="251"/>
      <c r="D2308" s="251"/>
      <c r="E2308" s="251"/>
      <c r="F2308" s="251"/>
      <c r="G2308" s="249"/>
      <c r="H2308" s="252"/>
      <c r="I2308" s="251"/>
      <c r="J2308" s="251"/>
      <c r="K2308" s="250"/>
      <c r="L2308" s="249"/>
    </row>
    <row r="2309" spans="3:12" s="244" customFormat="1" x14ac:dyDescent="0.25">
      <c r="C2309" s="251"/>
      <c r="D2309" s="251"/>
      <c r="E2309" s="251"/>
      <c r="F2309" s="251"/>
      <c r="G2309" s="249"/>
      <c r="H2309" s="252"/>
      <c r="I2309" s="251"/>
      <c r="J2309" s="251"/>
      <c r="K2309" s="250"/>
      <c r="L2309" s="249"/>
    </row>
    <row r="2310" spans="3:12" s="244" customFormat="1" x14ac:dyDescent="0.25">
      <c r="C2310" s="251"/>
      <c r="D2310" s="251"/>
      <c r="E2310" s="251"/>
      <c r="F2310" s="251"/>
      <c r="G2310" s="249"/>
      <c r="H2310" s="252"/>
      <c r="I2310" s="251"/>
      <c r="J2310" s="251"/>
      <c r="K2310" s="250"/>
      <c r="L2310" s="249"/>
    </row>
    <row r="2311" spans="3:12" s="244" customFormat="1" x14ac:dyDescent="0.25">
      <c r="C2311" s="251"/>
      <c r="D2311" s="251"/>
      <c r="E2311" s="251"/>
      <c r="F2311" s="251"/>
      <c r="G2311" s="249"/>
      <c r="H2311" s="252"/>
      <c r="I2311" s="251"/>
      <c r="J2311" s="251"/>
      <c r="K2311" s="250"/>
      <c r="L2311" s="249"/>
    </row>
    <row r="2312" spans="3:12" s="244" customFormat="1" x14ac:dyDescent="0.25">
      <c r="C2312" s="251"/>
      <c r="D2312" s="251"/>
      <c r="E2312" s="251"/>
      <c r="F2312" s="251"/>
      <c r="G2312" s="249"/>
      <c r="H2312" s="252"/>
      <c r="I2312" s="251"/>
      <c r="J2312" s="251"/>
      <c r="K2312" s="250"/>
      <c r="L2312" s="249"/>
    </row>
    <row r="2313" spans="3:12" s="244" customFormat="1" x14ac:dyDescent="0.25">
      <c r="C2313" s="251"/>
      <c r="D2313" s="251"/>
      <c r="E2313" s="251"/>
      <c r="F2313" s="251"/>
      <c r="G2313" s="249"/>
      <c r="H2313" s="252"/>
      <c r="I2313" s="251"/>
      <c r="J2313" s="251"/>
      <c r="K2313" s="250"/>
      <c r="L2313" s="249"/>
    </row>
    <row r="2314" spans="3:12" s="244" customFormat="1" x14ac:dyDescent="0.25">
      <c r="C2314" s="251"/>
      <c r="D2314" s="251"/>
      <c r="E2314" s="251"/>
      <c r="F2314" s="251"/>
      <c r="G2314" s="249"/>
      <c r="H2314" s="252"/>
      <c r="I2314" s="251"/>
      <c r="J2314" s="251"/>
      <c r="K2314" s="250"/>
      <c r="L2314" s="249"/>
    </row>
    <row r="2315" spans="3:12" s="244" customFormat="1" x14ac:dyDescent="0.25">
      <c r="C2315" s="251"/>
      <c r="D2315" s="251"/>
      <c r="E2315" s="251"/>
      <c r="F2315" s="251"/>
      <c r="G2315" s="249"/>
      <c r="H2315" s="252"/>
      <c r="I2315" s="251"/>
      <c r="J2315" s="251"/>
      <c r="K2315" s="250"/>
      <c r="L2315" s="249"/>
    </row>
    <row r="2316" spans="3:12" s="244" customFormat="1" x14ac:dyDescent="0.25">
      <c r="C2316" s="251"/>
      <c r="D2316" s="251"/>
      <c r="E2316" s="251"/>
      <c r="F2316" s="251"/>
      <c r="G2316" s="249"/>
      <c r="H2316" s="252"/>
      <c r="I2316" s="251"/>
      <c r="J2316" s="251"/>
      <c r="K2316" s="250"/>
      <c r="L2316" s="249"/>
    </row>
    <row r="2317" spans="3:12" s="244" customFormat="1" x14ac:dyDescent="0.25">
      <c r="C2317" s="251"/>
      <c r="D2317" s="251"/>
      <c r="E2317" s="251"/>
      <c r="F2317" s="251"/>
      <c r="G2317" s="249"/>
      <c r="H2317" s="252"/>
      <c r="I2317" s="251"/>
      <c r="J2317" s="251"/>
      <c r="K2317" s="250"/>
      <c r="L2317" s="249"/>
    </row>
    <row r="2318" spans="3:12" s="244" customFormat="1" x14ac:dyDescent="0.25">
      <c r="C2318" s="251"/>
      <c r="D2318" s="251"/>
      <c r="E2318" s="251"/>
      <c r="F2318" s="251"/>
      <c r="G2318" s="249"/>
      <c r="H2318" s="252"/>
      <c r="I2318" s="251"/>
      <c r="J2318" s="251"/>
      <c r="K2318" s="250"/>
      <c r="L2318" s="249"/>
    </row>
    <row r="2319" spans="3:12" s="244" customFormat="1" x14ac:dyDescent="0.25">
      <c r="C2319" s="251"/>
      <c r="D2319" s="251"/>
      <c r="E2319" s="251"/>
      <c r="F2319" s="251"/>
      <c r="G2319" s="249"/>
      <c r="H2319" s="252"/>
      <c r="I2319" s="251"/>
      <c r="J2319" s="251"/>
      <c r="K2319" s="250"/>
      <c r="L2319" s="249"/>
    </row>
    <row r="2320" spans="3:12" s="244" customFormat="1" x14ac:dyDescent="0.25">
      <c r="C2320" s="251"/>
      <c r="D2320" s="251"/>
      <c r="E2320" s="251"/>
      <c r="F2320" s="251"/>
      <c r="G2320" s="249"/>
      <c r="H2320" s="252"/>
      <c r="I2320" s="251"/>
      <c r="J2320" s="251"/>
      <c r="K2320" s="250"/>
      <c r="L2320" s="249"/>
    </row>
    <row r="2321" spans="3:12" s="244" customFormat="1" x14ac:dyDescent="0.25">
      <c r="C2321" s="251"/>
      <c r="D2321" s="251"/>
      <c r="E2321" s="251"/>
      <c r="F2321" s="251"/>
      <c r="G2321" s="249"/>
      <c r="H2321" s="252"/>
      <c r="I2321" s="251"/>
      <c r="J2321" s="251"/>
      <c r="K2321" s="250"/>
      <c r="L2321" s="249"/>
    </row>
    <row r="2322" spans="3:12" s="244" customFormat="1" x14ac:dyDescent="0.25">
      <c r="C2322" s="251"/>
      <c r="D2322" s="251"/>
      <c r="E2322" s="251"/>
      <c r="F2322" s="251"/>
      <c r="G2322" s="249"/>
      <c r="H2322" s="252"/>
      <c r="I2322" s="251"/>
      <c r="J2322" s="251"/>
      <c r="K2322" s="250"/>
      <c r="L2322" s="249"/>
    </row>
    <row r="2323" spans="3:12" s="244" customFormat="1" x14ac:dyDescent="0.25">
      <c r="C2323" s="251"/>
      <c r="D2323" s="251"/>
      <c r="E2323" s="251"/>
      <c r="F2323" s="251"/>
      <c r="G2323" s="249"/>
      <c r="H2323" s="252"/>
      <c r="I2323" s="251"/>
      <c r="J2323" s="251"/>
      <c r="K2323" s="250"/>
      <c r="L2323" s="249"/>
    </row>
    <row r="2324" spans="3:12" s="244" customFormat="1" x14ac:dyDescent="0.25">
      <c r="C2324" s="251"/>
      <c r="D2324" s="251"/>
      <c r="E2324" s="251"/>
      <c r="F2324" s="251"/>
      <c r="G2324" s="249"/>
      <c r="H2324" s="252"/>
      <c r="I2324" s="251"/>
      <c r="J2324" s="251"/>
      <c r="K2324" s="250"/>
      <c r="L2324" s="249"/>
    </row>
    <row r="2325" spans="3:12" s="244" customFormat="1" x14ac:dyDescent="0.25">
      <c r="C2325" s="251"/>
      <c r="D2325" s="251"/>
      <c r="E2325" s="251"/>
      <c r="F2325" s="251"/>
      <c r="G2325" s="249"/>
      <c r="H2325" s="252"/>
      <c r="I2325" s="251"/>
      <c r="J2325" s="251"/>
      <c r="K2325" s="250"/>
      <c r="L2325" s="249"/>
    </row>
    <row r="2326" spans="3:12" s="244" customFormat="1" x14ac:dyDescent="0.25">
      <c r="C2326" s="251"/>
      <c r="D2326" s="251"/>
      <c r="E2326" s="251"/>
      <c r="F2326" s="251"/>
      <c r="G2326" s="249"/>
      <c r="H2326" s="252"/>
      <c r="I2326" s="251"/>
      <c r="J2326" s="251"/>
      <c r="K2326" s="250"/>
      <c r="L2326" s="249"/>
    </row>
    <row r="2327" spans="3:12" s="244" customFormat="1" x14ac:dyDescent="0.25">
      <c r="C2327" s="251"/>
      <c r="D2327" s="251"/>
      <c r="E2327" s="251"/>
      <c r="F2327" s="251"/>
      <c r="G2327" s="249"/>
      <c r="H2327" s="252"/>
      <c r="I2327" s="251"/>
      <c r="J2327" s="251"/>
      <c r="K2327" s="250"/>
      <c r="L2327" s="249"/>
    </row>
    <row r="2328" spans="3:12" s="244" customFormat="1" x14ac:dyDescent="0.25">
      <c r="C2328" s="251"/>
      <c r="D2328" s="251"/>
      <c r="E2328" s="251"/>
      <c r="F2328" s="251"/>
      <c r="G2328" s="249"/>
      <c r="H2328" s="252"/>
      <c r="I2328" s="251"/>
      <c r="J2328" s="251"/>
      <c r="K2328" s="250"/>
      <c r="L2328" s="249"/>
    </row>
    <row r="2329" spans="3:12" s="244" customFormat="1" x14ac:dyDescent="0.25">
      <c r="C2329" s="251"/>
      <c r="D2329" s="251"/>
      <c r="E2329" s="251"/>
      <c r="F2329" s="251"/>
      <c r="G2329" s="249"/>
      <c r="H2329" s="252"/>
      <c r="I2329" s="251"/>
      <c r="J2329" s="251"/>
      <c r="K2329" s="250"/>
      <c r="L2329" s="249"/>
    </row>
    <row r="2330" spans="3:12" s="244" customFormat="1" x14ac:dyDescent="0.25">
      <c r="C2330" s="251"/>
      <c r="D2330" s="251"/>
      <c r="E2330" s="251"/>
      <c r="F2330" s="251"/>
      <c r="G2330" s="249"/>
      <c r="H2330" s="252"/>
      <c r="I2330" s="251"/>
      <c r="J2330" s="251"/>
      <c r="K2330" s="250"/>
      <c r="L2330" s="249"/>
    </row>
    <row r="2331" spans="3:12" s="244" customFormat="1" x14ac:dyDescent="0.25">
      <c r="C2331" s="251"/>
      <c r="D2331" s="251"/>
      <c r="E2331" s="251"/>
      <c r="F2331" s="251"/>
      <c r="G2331" s="249"/>
      <c r="H2331" s="252"/>
      <c r="I2331" s="251"/>
      <c r="J2331" s="251"/>
      <c r="K2331" s="250"/>
      <c r="L2331" s="249"/>
    </row>
    <row r="2332" spans="3:12" s="244" customFormat="1" x14ac:dyDescent="0.25">
      <c r="C2332" s="251"/>
      <c r="D2332" s="251"/>
      <c r="E2332" s="251"/>
      <c r="F2332" s="251"/>
      <c r="G2332" s="249"/>
      <c r="H2332" s="252"/>
      <c r="I2332" s="251"/>
      <c r="J2332" s="251"/>
      <c r="K2332" s="250"/>
      <c r="L2332" s="249"/>
    </row>
    <row r="2333" spans="3:12" s="244" customFormat="1" x14ac:dyDescent="0.25">
      <c r="C2333" s="251"/>
      <c r="D2333" s="251"/>
      <c r="E2333" s="251"/>
      <c r="F2333" s="251"/>
      <c r="G2333" s="249"/>
      <c r="H2333" s="252"/>
      <c r="I2333" s="251"/>
      <c r="J2333" s="251"/>
      <c r="K2333" s="250"/>
      <c r="L2333" s="249"/>
    </row>
    <row r="2334" spans="3:12" s="244" customFormat="1" x14ac:dyDescent="0.25">
      <c r="C2334" s="251"/>
      <c r="D2334" s="251"/>
      <c r="E2334" s="251"/>
      <c r="F2334" s="251"/>
      <c r="G2334" s="249"/>
      <c r="H2334" s="252"/>
      <c r="I2334" s="251"/>
      <c r="J2334" s="251"/>
      <c r="K2334" s="250"/>
      <c r="L2334" s="249"/>
    </row>
    <row r="2335" spans="3:12" s="244" customFormat="1" x14ac:dyDescent="0.25">
      <c r="C2335" s="251"/>
      <c r="D2335" s="251"/>
      <c r="E2335" s="251"/>
      <c r="F2335" s="251"/>
      <c r="G2335" s="249"/>
      <c r="H2335" s="252"/>
      <c r="I2335" s="251"/>
      <c r="J2335" s="251"/>
      <c r="K2335" s="250"/>
      <c r="L2335" s="249"/>
    </row>
    <row r="2336" spans="3:12" s="244" customFormat="1" x14ac:dyDescent="0.25">
      <c r="C2336" s="251"/>
      <c r="D2336" s="251"/>
      <c r="E2336" s="251"/>
      <c r="F2336" s="251"/>
      <c r="G2336" s="249"/>
      <c r="H2336" s="252"/>
      <c r="I2336" s="251"/>
      <c r="J2336" s="251"/>
      <c r="K2336" s="250"/>
      <c r="L2336" s="249"/>
    </row>
    <row r="2337" spans="3:12" s="244" customFormat="1" x14ac:dyDescent="0.25">
      <c r="C2337" s="251"/>
      <c r="D2337" s="251"/>
      <c r="E2337" s="251"/>
      <c r="F2337" s="251"/>
      <c r="G2337" s="249"/>
      <c r="H2337" s="252"/>
      <c r="I2337" s="251"/>
      <c r="J2337" s="251"/>
      <c r="K2337" s="250"/>
      <c r="L2337" s="249"/>
    </row>
    <row r="2338" spans="3:12" s="244" customFormat="1" x14ac:dyDescent="0.25">
      <c r="C2338" s="251"/>
      <c r="D2338" s="251"/>
      <c r="E2338" s="251"/>
      <c r="F2338" s="251"/>
      <c r="G2338" s="249"/>
      <c r="H2338" s="252"/>
      <c r="I2338" s="251"/>
      <c r="J2338" s="251"/>
      <c r="K2338" s="250"/>
      <c r="L2338" s="249"/>
    </row>
    <row r="2339" spans="3:12" s="244" customFormat="1" x14ac:dyDescent="0.25">
      <c r="C2339" s="251"/>
      <c r="D2339" s="251"/>
      <c r="E2339" s="251"/>
      <c r="F2339" s="251"/>
      <c r="G2339" s="249"/>
      <c r="H2339" s="252"/>
      <c r="I2339" s="251"/>
      <c r="J2339" s="251"/>
      <c r="K2339" s="250"/>
      <c r="L2339" s="249"/>
    </row>
    <row r="2340" spans="3:12" s="244" customFormat="1" x14ac:dyDescent="0.25">
      <c r="C2340" s="251"/>
      <c r="D2340" s="251"/>
      <c r="E2340" s="251"/>
      <c r="F2340" s="251"/>
      <c r="G2340" s="249"/>
      <c r="H2340" s="252"/>
      <c r="I2340" s="251"/>
      <c r="J2340" s="251"/>
      <c r="K2340" s="250"/>
      <c r="L2340" s="249"/>
    </row>
    <row r="2341" spans="3:12" s="244" customFormat="1" x14ac:dyDescent="0.25">
      <c r="C2341" s="251"/>
      <c r="D2341" s="251"/>
      <c r="E2341" s="251"/>
      <c r="F2341" s="251"/>
      <c r="G2341" s="249"/>
      <c r="H2341" s="252"/>
      <c r="I2341" s="251"/>
      <c r="J2341" s="251"/>
      <c r="K2341" s="250"/>
      <c r="L2341" s="249"/>
    </row>
    <row r="2342" spans="3:12" s="244" customFormat="1" x14ac:dyDescent="0.25">
      <c r="C2342" s="251"/>
      <c r="D2342" s="251"/>
      <c r="E2342" s="251"/>
      <c r="F2342" s="251"/>
      <c r="G2342" s="249"/>
      <c r="H2342" s="252"/>
      <c r="I2342" s="251"/>
      <c r="J2342" s="251"/>
      <c r="K2342" s="250"/>
      <c r="L2342" s="249"/>
    </row>
    <row r="2343" spans="3:12" s="244" customFormat="1" x14ac:dyDescent="0.25">
      <c r="C2343" s="251"/>
      <c r="D2343" s="251"/>
      <c r="E2343" s="251"/>
      <c r="F2343" s="251"/>
      <c r="G2343" s="249"/>
      <c r="H2343" s="252"/>
      <c r="I2343" s="251"/>
      <c r="J2343" s="251"/>
      <c r="K2343" s="250"/>
      <c r="L2343" s="249"/>
    </row>
    <row r="2344" spans="3:12" s="244" customFormat="1" x14ac:dyDescent="0.25">
      <c r="C2344" s="251"/>
      <c r="D2344" s="251"/>
      <c r="E2344" s="251"/>
      <c r="F2344" s="251"/>
      <c r="G2344" s="249"/>
      <c r="H2344" s="252"/>
      <c r="I2344" s="251"/>
      <c r="J2344" s="251"/>
      <c r="K2344" s="250"/>
      <c r="L2344" s="249"/>
    </row>
    <row r="2345" spans="3:12" s="244" customFormat="1" x14ac:dyDescent="0.25">
      <c r="C2345" s="251"/>
      <c r="D2345" s="251"/>
      <c r="E2345" s="251"/>
      <c r="F2345" s="251"/>
      <c r="G2345" s="249"/>
      <c r="H2345" s="252"/>
      <c r="I2345" s="251"/>
      <c r="J2345" s="251"/>
      <c r="K2345" s="250"/>
      <c r="L2345" s="249"/>
    </row>
    <row r="2346" spans="3:12" s="244" customFormat="1" x14ac:dyDescent="0.25">
      <c r="C2346" s="251"/>
      <c r="D2346" s="251"/>
      <c r="E2346" s="251"/>
      <c r="F2346" s="251"/>
      <c r="G2346" s="249"/>
      <c r="H2346" s="252"/>
      <c r="I2346" s="251"/>
      <c r="J2346" s="251"/>
      <c r="K2346" s="250"/>
      <c r="L2346" s="249"/>
    </row>
    <row r="2347" spans="3:12" s="244" customFormat="1" x14ac:dyDescent="0.25">
      <c r="C2347" s="251"/>
      <c r="D2347" s="251"/>
      <c r="E2347" s="251"/>
      <c r="F2347" s="251"/>
      <c r="G2347" s="249"/>
      <c r="H2347" s="252"/>
      <c r="I2347" s="251"/>
      <c r="J2347" s="251"/>
      <c r="K2347" s="250"/>
      <c r="L2347" s="249"/>
    </row>
    <row r="2348" spans="3:12" s="244" customFormat="1" x14ac:dyDescent="0.25">
      <c r="C2348" s="251"/>
      <c r="D2348" s="251"/>
      <c r="E2348" s="251"/>
      <c r="F2348" s="251"/>
      <c r="G2348" s="249"/>
      <c r="H2348" s="252"/>
      <c r="I2348" s="251"/>
      <c r="J2348" s="251"/>
      <c r="K2348" s="250"/>
      <c r="L2348" s="249"/>
    </row>
    <row r="2349" spans="3:12" s="244" customFormat="1" x14ac:dyDescent="0.25">
      <c r="C2349" s="251"/>
      <c r="D2349" s="251"/>
      <c r="E2349" s="251"/>
      <c r="F2349" s="251"/>
      <c r="G2349" s="249"/>
      <c r="H2349" s="252"/>
      <c r="I2349" s="251"/>
      <c r="J2349" s="251"/>
      <c r="K2349" s="250"/>
      <c r="L2349" s="249"/>
    </row>
    <row r="2350" spans="3:12" s="244" customFormat="1" x14ac:dyDescent="0.25">
      <c r="C2350" s="251"/>
      <c r="D2350" s="251"/>
      <c r="E2350" s="251"/>
      <c r="F2350" s="251"/>
      <c r="G2350" s="249"/>
      <c r="H2350" s="252"/>
      <c r="I2350" s="251"/>
      <c r="J2350" s="251"/>
      <c r="K2350" s="250"/>
      <c r="L2350" s="249"/>
    </row>
    <row r="2351" spans="3:12" s="244" customFormat="1" x14ac:dyDescent="0.25">
      <c r="C2351" s="251"/>
      <c r="D2351" s="251"/>
      <c r="E2351" s="251"/>
      <c r="F2351" s="251"/>
      <c r="G2351" s="249"/>
      <c r="H2351" s="252"/>
      <c r="I2351" s="251"/>
      <c r="J2351" s="251"/>
      <c r="K2351" s="250"/>
      <c r="L2351" s="249"/>
    </row>
    <row r="2352" spans="3:12" s="244" customFormat="1" x14ac:dyDescent="0.25">
      <c r="C2352" s="251"/>
      <c r="D2352" s="251"/>
      <c r="E2352" s="251"/>
      <c r="F2352" s="251"/>
      <c r="G2352" s="249"/>
      <c r="H2352" s="252"/>
      <c r="I2352" s="251"/>
      <c r="J2352" s="251"/>
      <c r="K2352" s="250"/>
      <c r="L2352" s="249"/>
    </row>
    <row r="2353" spans="3:12" s="244" customFormat="1" x14ac:dyDescent="0.25">
      <c r="C2353" s="251"/>
      <c r="D2353" s="251"/>
      <c r="E2353" s="251"/>
      <c r="F2353" s="251"/>
      <c r="G2353" s="249"/>
      <c r="H2353" s="252"/>
      <c r="I2353" s="251"/>
      <c r="J2353" s="251"/>
      <c r="K2353" s="250"/>
      <c r="L2353" s="249"/>
    </row>
    <row r="2354" spans="3:12" s="244" customFormat="1" x14ac:dyDescent="0.25">
      <c r="C2354" s="251"/>
      <c r="D2354" s="251"/>
      <c r="E2354" s="251"/>
      <c r="F2354" s="251"/>
      <c r="G2354" s="249"/>
      <c r="H2354" s="252"/>
      <c r="I2354" s="251"/>
      <c r="J2354" s="251"/>
      <c r="K2354" s="250"/>
      <c r="L2354" s="249"/>
    </row>
    <row r="2355" spans="3:12" s="244" customFormat="1" x14ac:dyDescent="0.25">
      <c r="C2355" s="251"/>
      <c r="D2355" s="251"/>
      <c r="E2355" s="251"/>
      <c r="F2355" s="251"/>
      <c r="G2355" s="249"/>
      <c r="H2355" s="252"/>
      <c r="I2355" s="251"/>
      <c r="J2355" s="251"/>
      <c r="K2355" s="250"/>
      <c r="L2355" s="249"/>
    </row>
    <row r="2356" spans="3:12" s="244" customFormat="1" x14ac:dyDescent="0.25">
      <c r="C2356" s="251"/>
      <c r="D2356" s="251"/>
      <c r="E2356" s="251"/>
      <c r="F2356" s="251"/>
      <c r="G2356" s="249"/>
      <c r="H2356" s="252"/>
      <c r="I2356" s="251"/>
      <c r="J2356" s="251"/>
      <c r="K2356" s="250"/>
      <c r="L2356" s="249"/>
    </row>
    <row r="2357" spans="3:12" s="244" customFormat="1" x14ac:dyDescent="0.25">
      <c r="C2357" s="251"/>
      <c r="D2357" s="251"/>
      <c r="E2357" s="251"/>
      <c r="F2357" s="251"/>
      <c r="G2357" s="249"/>
      <c r="H2357" s="252"/>
      <c r="I2357" s="251"/>
      <c r="J2357" s="251"/>
      <c r="K2357" s="250"/>
      <c r="L2357" s="249"/>
    </row>
    <row r="2358" spans="3:12" s="244" customFormat="1" x14ac:dyDescent="0.25">
      <c r="C2358" s="251"/>
      <c r="D2358" s="251"/>
      <c r="E2358" s="251"/>
      <c r="F2358" s="251"/>
      <c r="G2358" s="249"/>
      <c r="H2358" s="252"/>
      <c r="I2358" s="251"/>
      <c r="J2358" s="251"/>
      <c r="K2358" s="250"/>
      <c r="L2358" s="249"/>
    </row>
    <row r="2359" spans="3:12" s="244" customFormat="1" x14ac:dyDescent="0.25">
      <c r="C2359" s="251"/>
      <c r="D2359" s="251"/>
      <c r="E2359" s="251"/>
      <c r="F2359" s="251"/>
      <c r="G2359" s="249"/>
      <c r="H2359" s="252"/>
      <c r="I2359" s="251"/>
      <c r="J2359" s="251"/>
      <c r="K2359" s="250"/>
      <c r="L2359" s="249"/>
    </row>
    <row r="2360" spans="3:12" s="244" customFormat="1" x14ac:dyDescent="0.25">
      <c r="C2360" s="251"/>
      <c r="D2360" s="251"/>
      <c r="E2360" s="251"/>
      <c r="F2360" s="251"/>
      <c r="G2360" s="249"/>
      <c r="H2360" s="252"/>
      <c r="I2360" s="251"/>
      <c r="J2360" s="251"/>
      <c r="K2360" s="250"/>
      <c r="L2360" s="249"/>
    </row>
    <row r="2361" spans="3:12" s="244" customFormat="1" x14ac:dyDescent="0.25">
      <c r="C2361" s="251"/>
      <c r="D2361" s="251"/>
      <c r="E2361" s="251"/>
      <c r="F2361" s="251"/>
      <c r="G2361" s="249"/>
      <c r="H2361" s="252"/>
      <c r="I2361" s="251"/>
      <c r="J2361" s="251"/>
      <c r="K2361" s="250"/>
      <c r="L2361" s="249"/>
    </row>
    <row r="2362" spans="3:12" s="244" customFormat="1" x14ac:dyDescent="0.25">
      <c r="C2362" s="251"/>
      <c r="D2362" s="251"/>
      <c r="E2362" s="251"/>
      <c r="F2362" s="251"/>
      <c r="G2362" s="249"/>
      <c r="H2362" s="252"/>
      <c r="I2362" s="251"/>
      <c r="J2362" s="251"/>
      <c r="K2362" s="250"/>
      <c r="L2362" s="249"/>
    </row>
    <row r="2363" spans="3:12" s="244" customFormat="1" x14ac:dyDescent="0.25">
      <c r="C2363" s="251"/>
      <c r="D2363" s="251"/>
      <c r="E2363" s="251"/>
      <c r="F2363" s="251"/>
      <c r="G2363" s="249"/>
      <c r="H2363" s="252"/>
      <c r="I2363" s="251"/>
      <c r="J2363" s="251"/>
      <c r="K2363" s="250"/>
      <c r="L2363" s="249"/>
    </row>
    <row r="2364" spans="3:12" s="244" customFormat="1" x14ac:dyDescent="0.25">
      <c r="C2364" s="251"/>
      <c r="D2364" s="251"/>
      <c r="E2364" s="251"/>
      <c r="F2364" s="251"/>
      <c r="G2364" s="249"/>
      <c r="H2364" s="252"/>
      <c r="I2364" s="251"/>
      <c r="J2364" s="251"/>
      <c r="K2364" s="250"/>
      <c r="L2364" s="249"/>
    </row>
    <row r="2365" spans="3:12" s="244" customFormat="1" x14ac:dyDescent="0.25">
      <c r="C2365" s="251"/>
      <c r="D2365" s="251"/>
      <c r="E2365" s="251"/>
      <c r="F2365" s="251"/>
      <c r="G2365" s="249"/>
      <c r="H2365" s="252"/>
      <c r="I2365" s="251"/>
      <c r="J2365" s="251"/>
      <c r="K2365" s="250"/>
      <c r="L2365" s="249"/>
    </row>
    <row r="2366" spans="3:12" s="244" customFormat="1" x14ac:dyDescent="0.25">
      <c r="C2366" s="251"/>
      <c r="D2366" s="251"/>
      <c r="E2366" s="251"/>
      <c r="F2366" s="251"/>
      <c r="G2366" s="249"/>
      <c r="H2366" s="252"/>
      <c r="I2366" s="251"/>
      <c r="J2366" s="251"/>
      <c r="K2366" s="250"/>
      <c r="L2366" s="249"/>
    </row>
    <row r="2367" spans="3:12" s="244" customFormat="1" x14ac:dyDescent="0.25">
      <c r="C2367" s="251"/>
      <c r="D2367" s="251"/>
      <c r="E2367" s="251"/>
      <c r="F2367" s="251"/>
      <c r="G2367" s="249"/>
      <c r="H2367" s="252"/>
      <c r="I2367" s="251"/>
      <c r="J2367" s="251"/>
      <c r="K2367" s="250"/>
      <c r="L2367" s="249"/>
    </row>
    <row r="2368" spans="3:12" s="244" customFormat="1" x14ac:dyDescent="0.25">
      <c r="C2368" s="251"/>
      <c r="D2368" s="251"/>
      <c r="E2368" s="251"/>
      <c r="F2368" s="251"/>
      <c r="G2368" s="249"/>
      <c r="H2368" s="252"/>
      <c r="I2368" s="251"/>
      <c r="J2368" s="251"/>
      <c r="K2368" s="250"/>
      <c r="L2368" s="249"/>
    </row>
    <row r="2369" spans="3:12" s="244" customFormat="1" x14ac:dyDescent="0.25">
      <c r="C2369" s="251"/>
      <c r="D2369" s="251"/>
      <c r="E2369" s="251"/>
      <c r="F2369" s="251"/>
      <c r="G2369" s="249"/>
      <c r="H2369" s="252"/>
      <c r="I2369" s="251"/>
      <c r="J2369" s="251"/>
      <c r="K2369" s="250"/>
      <c r="L2369" s="249"/>
    </row>
    <row r="2370" spans="3:12" s="244" customFormat="1" x14ac:dyDescent="0.25">
      <c r="C2370" s="251"/>
      <c r="D2370" s="251"/>
      <c r="E2370" s="251"/>
      <c r="F2370" s="251"/>
      <c r="G2370" s="249"/>
      <c r="H2370" s="252"/>
      <c r="I2370" s="251"/>
      <c r="J2370" s="251"/>
      <c r="K2370" s="250"/>
      <c r="L2370" s="249"/>
    </row>
    <row r="2371" spans="3:12" s="244" customFormat="1" x14ac:dyDescent="0.25">
      <c r="C2371" s="251"/>
      <c r="D2371" s="251"/>
      <c r="E2371" s="251"/>
      <c r="F2371" s="251"/>
      <c r="G2371" s="249"/>
      <c r="H2371" s="252"/>
      <c r="I2371" s="251"/>
      <c r="J2371" s="251"/>
      <c r="K2371" s="250"/>
      <c r="L2371" s="249"/>
    </row>
    <row r="2372" spans="3:12" s="244" customFormat="1" x14ac:dyDescent="0.25">
      <c r="C2372" s="251"/>
      <c r="D2372" s="251"/>
      <c r="E2372" s="251"/>
      <c r="F2372" s="251"/>
      <c r="G2372" s="249"/>
      <c r="H2372" s="252"/>
      <c r="I2372" s="251"/>
      <c r="J2372" s="251"/>
      <c r="K2372" s="250"/>
      <c r="L2372" s="249"/>
    </row>
    <row r="2373" spans="3:12" s="244" customFormat="1" x14ac:dyDescent="0.25">
      <c r="C2373" s="251"/>
      <c r="D2373" s="251"/>
      <c r="E2373" s="251"/>
      <c r="F2373" s="251"/>
      <c r="G2373" s="249"/>
      <c r="H2373" s="252"/>
      <c r="I2373" s="251"/>
      <c r="J2373" s="251"/>
      <c r="K2373" s="250"/>
      <c r="L2373" s="249"/>
    </row>
    <row r="2374" spans="3:12" s="244" customFormat="1" x14ac:dyDescent="0.25">
      <c r="C2374" s="251"/>
      <c r="D2374" s="251"/>
      <c r="E2374" s="251"/>
      <c r="F2374" s="251"/>
      <c r="G2374" s="249"/>
      <c r="H2374" s="252"/>
      <c r="I2374" s="251"/>
      <c r="J2374" s="251"/>
      <c r="K2374" s="250"/>
      <c r="L2374" s="249"/>
    </row>
    <row r="2375" spans="3:12" s="244" customFormat="1" x14ac:dyDescent="0.25">
      <c r="C2375" s="251"/>
      <c r="D2375" s="251"/>
      <c r="E2375" s="251"/>
      <c r="F2375" s="251"/>
      <c r="G2375" s="249"/>
      <c r="H2375" s="252"/>
      <c r="I2375" s="251"/>
      <c r="J2375" s="251"/>
      <c r="K2375" s="250"/>
      <c r="L2375" s="249"/>
    </row>
    <row r="2376" spans="3:12" s="244" customFormat="1" x14ac:dyDescent="0.25">
      <c r="C2376" s="251"/>
      <c r="D2376" s="251"/>
      <c r="E2376" s="251"/>
      <c r="F2376" s="251"/>
      <c r="G2376" s="249"/>
      <c r="H2376" s="252"/>
      <c r="I2376" s="251"/>
      <c r="J2376" s="251"/>
      <c r="K2376" s="250"/>
      <c r="L2376" s="249"/>
    </row>
    <row r="2377" spans="3:12" s="244" customFormat="1" x14ac:dyDescent="0.25">
      <c r="C2377" s="251"/>
      <c r="D2377" s="251"/>
      <c r="E2377" s="251"/>
      <c r="F2377" s="251"/>
      <c r="G2377" s="249"/>
      <c r="H2377" s="252"/>
      <c r="I2377" s="251"/>
      <c r="J2377" s="251"/>
      <c r="K2377" s="250"/>
      <c r="L2377" s="249"/>
    </row>
    <row r="2378" spans="3:12" s="244" customFormat="1" x14ac:dyDescent="0.25">
      <c r="C2378" s="251"/>
      <c r="D2378" s="251"/>
      <c r="E2378" s="251"/>
      <c r="F2378" s="251"/>
      <c r="G2378" s="249"/>
      <c r="H2378" s="252"/>
      <c r="I2378" s="251"/>
      <c r="J2378" s="251"/>
      <c r="K2378" s="250"/>
      <c r="L2378" s="249"/>
    </row>
    <row r="2379" spans="3:12" s="244" customFormat="1" x14ac:dyDescent="0.25">
      <c r="C2379" s="251"/>
      <c r="D2379" s="251"/>
      <c r="E2379" s="251"/>
      <c r="F2379" s="251"/>
      <c r="G2379" s="249"/>
      <c r="H2379" s="252"/>
      <c r="I2379" s="251"/>
      <c r="J2379" s="251"/>
      <c r="K2379" s="250"/>
      <c r="L2379" s="249"/>
    </row>
    <row r="2380" spans="3:12" s="244" customFormat="1" x14ac:dyDescent="0.25">
      <c r="C2380" s="251"/>
      <c r="D2380" s="251"/>
      <c r="E2380" s="251"/>
      <c r="F2380" s="251"/>
      <c r="G2380" s="249"/>
      <c r="H2380" s="252"/>
      <c r="I2380" s="251"/>
      <c r="J2380" s="251"/>
      <c r="K2380" s="250"/>
      <c r="L2380" s="249"/>
    </row>
    <row r="2381" spans="3:12" s="244" customFormat="1" x14ac:dyDescent="0.25">
      <c r="C2381" s="251"/>
      <c r="D2381" s="251"/>
      <c r="E2381" s="251"/>
      <c r="F2381" s="251"/>
      <c r="G2381" s="249"/>
      <c r="H2381" s="252"/>
      <c r="I2381" s="251"/>
      <c r="J2381" s="251"/>
      <c r="K2381" s="250"/>
      <c r="L2381" s="249"/>
    </row>
    <row r="2382" spans="3:12" s="244" customFormat="1" x14ac:dyDescent="0.25">
      <c r="C2382" s="251"/>
      <c r="D2382" s="251"/>
      <c r="E2382" s="251"/>
      <c r="F2382" s="251"/>
      <c r="G2382" s="249"/>
      <c r="H2382" s="252"/>
      <c r="I2382" s="251"/>
      <c r="J2382" s="251"/>
      <c r="K2382" s="250"/>
      <c r="L2382" s="249"/>
    </row>
    <row r="2383" spans="3:12" s="244" customFormat="1" x14ac:dyDescent="0.25">
      <c r="C2383" s="251"/>
      <c r="D2383" s="251"/>
      <c r="E2383" s="251"/>
      <c r="F2383" s="251"/>
      <c r="G2383" s="249"/>
      <c r="H2383" s="252"/>
      <c r="I2383" s="251"/>
      <c r="J2383" s="251"/>
      <c r="K2383" s="250"/>
      <c r="L2383" s="249"/>
    </row>
    <row r="2384" spans="3:12" s="244" customFormat="1" x14ac:dyDescent="0.25">
      <c r="C2384" s="251"/>
      <c r="D2384" s="251"/>
      <c r="E2384" s="251"/>
      <c r="F2384" s="251"/>
      <c r="G2384" s="249"/>
      <c r="H2384" s="252"/>
      <c r="I2384" s="251"/>
      <c r="J2384" s="251"/>
      <c r="K2384" s="250"/>
      <c r="L2384" s="249"/>
    </row>
    <row r="2385" spans="3:12" s="244" customFormat="1" x14ac:dyDescent="0.25">
      <c r="C2385" s="251"/>
      <c r="D2385" s="251"/>
      <c r="E2385" s="251"/>
      <c r="F2385" s="251"/>
      <c r="G2385" s="249"/>
      <c r="H2385" s="252"/>
      <c r="I2385" s="251"/>
      <c r="J2385" s="251"/>
      <c r="K2385" s="250"/>
      <c r="L2385" s="249"/>
    </row>
    <row r="2386" spans="3:12" s="244" customFormat="1" x14ac:dyDescent="0.25">
      <c r="C2386" s="251"/>
      <c r="D2386" s="251"/>
      <c r="E2386" s="251"/>
      <c r="F2386" s="251"/>
      <c r="G2386" s="249"/>
      <c r="H2386" s="252"/>
      <c r="I2386" s="251"/>
      <c r="J2386" s="251"/>
      <c r="K2386" s="250"/>
      <c r="L2386" s="249"/>
    </row>
    <row r="2387" spans="3:12" s="244" customFormat="1" x14ac:dyDescent="0.25">
      <c r="C2387" s="251"/>
      <c r="D2387" s="251"/>
      <c r="E2387" s="251"/>
      <c r="F2387" s="251"/>
      <c r="G2387" s="249"/>
      <c r="H2387" s="252"/>
      <c r="I2387" s="251"/>
      <c r="J2387" s="251"/>
      <c r="K2387" s="250"/>
      <c r="L2387" s="249"/>
    </row>
    <row r="2388" spans="3:12" s="244" customFormat="1" x14ac:dyDescent="0.25">
      <c r="C2388" s="251"/>
      <c r="D2388" s="251"/>
      <c r="E2388" s="251"/>
      <c r="F2388" s="251"/>
      <c r="G2388" s="249"/>
      <c r="H2388" s="252"/>
      <c r="I2388" s="251"/>
      <c r="J2388" s="251"/>
      <c r="K2388" s="250"/>
      <c r="L2388" s="249"/>
    </row>
    <row r="2389" spans="3:12" s="244" customFormat="1" x14ac:dyDescent="0.25">
      <c r="C2389" s="251"/>
      <c r="D2389" s="251"/>
      <c r="E2389" s="251"/>
      <c r="F2389" s="251"/>
      <c r="G2389" s="249"/>
      <c r="H2389" s="252"/>
      <c r="I2389" s="251"/>
      <c r="J2389" s="251"/>
      <c r="K2389" s="250"/>
      <c r="L2389" s="249"/>
    </row>
    <row r="2390" spans="3:12" s="244" customFormat="1" x14ac:dyDescent="0.25">
      <c r="C2390" s="251"/>
      <c r="D2390" s="251"/>
      <c r="E2390" s="251"/>
      <c r="F2390" s="251"/>
      <c r="G2390" s="249"/>
      <c r="H2390" s="252"/>
      <c r="I2390" s="251"/>
      <c r="J2390" s="251"/>
      <c r="K2390" s="250"/>
      <c r="L2390" s="249"/>
    </row>
    <row r="2391" spans="3:12" s="244" customFormat="1" x14ac:dyDescent="0.25">
      <c r="C2391" s="251"/>
      <c r="D2391" s="251"/>
      <c r="E2391" s="251"/>
      <c r="F2391" s="251"/>
      <c r="G2391" s="249"/>
      <c r="H2391" s="252"/>
      <c r="I2391" s="251"/>
      <c r="J2391" s="251"/>
      <c r="K2391" s="250"/>
      <c r="L2391" s="249"/>
    </row>
    <row r="2392" spans="3:12" s="244" customFormat="1" x14ac:dyDescent="0.25">
      <c r="C2392" s="251"/>
      <c r="D2392" s="251"/>
      <c r="E2392" s="251"/>
      <c r="F2392" s="251"/>
      <c r="G2392" s="249"/>
      <c r="H2392" s="252"/>
      <c r="I2392" s="251"/>
      <c r="J2392" s="251"/>
      <c r="K2392" s="250"/>
      <c r="L2392" s="249"/>
    </row>
    <row r="2393" spans="3:12" s="244" customFormat="1" x14ac:dyDescent="0.25">
      <c r="C2393" s="251"/>
      <c r="D2393" s="251"/>
      <c r="E2393" s="251"/>
      <c r="F2393" s="251"/>
      <c r="G2393" s="249"/>
      <c r="H2393" s="252"/>
      <c r="I2393" s="251"/>
      <c r="J2393" s="251"/>
      <c r="K2393" s="250"/>
      <c r="L2393" s="249"/>
    </row>
    <row r="2394" spans="3:12" s="244" customFormat="1" x14ac:dyDescent="0.25">
      <c r="C2394" s="251"/>
      <c r="D2394" s="251"/>
      <c r="E2394" s="251"/>
      <c r="F2394" s="251"/>
      <c r="G2394" s="249"/>
      <c r="H2394" s="252"/>
      <c r="I2394" s="251"/>
      <c r="J2394" s="251"/>
      <c r="K2394" s="250"/>
      <c r="L2394" s="249"/>
    </row>
    <row r="2395" spans="3:12" s="244" customFormat="1" x14ac:dyDescent="0.25">
      <c r="C2395" s="251"/>
      <c r="D2395" s="251"/>
      <c r="E2395" s="251"/>
      <c r="F2395" s="251"/>
      <c r="G2395" s="249"/>
      <c r="H2395" s="252"/>
      <c r="I2395" s="251"/>
      <c r="J2395" s="251"/>
      <c r="K2395" s="250"/>
      <c r="L2395" s="249"/>
    </row>
    <row r="2396" spans="3:12" s="244" customFormat="1" x14ac:dyDescent="0.25">
      <c r="C2396" s="251"/>
      <c r="D2396" s="251"/>
      <c r="E2396" s="251"/>
      <c r="F2396" s="251"/>
      <c r="G2396" s="249"/>
      <c r="H2396" s="252"/>
      <c r="I2396" s="251"/>
      <c r="J2396" s="251"/>
      <c r="K2396" s="250"/>
      <c r="L2396" s="249"/>
    </row>
    <row r="2397" spans="3:12" s="244" customFormat="1" x14ac:dyDescent="0.25">
      <c r="C2397" s="251"/>
      <c r="D2397" s="251"/>
      <c r="E2397" s="251"/>
      <c r="F2397" s="251"/>
      <c r="G2397" s="249"/>
      <c r="H2397" s="252"/>
      <c r="I2397" s="251"/>
      <c r="J2397" s="251"/>
      <c r="K2397" s="250"/>
      <c r="L2397" s="249"/>
    </row>
    <row r="2398" spans="3:12" s="244" customFormat="1" x14ac:dyDescent="0.25">
      <c r="C2398" s="251"/>
      <c r="D2398" s="251"/>
      <c r="E2398" s="251"/>
      <c r="F2398" s="251"/>
      <c r="G2398" s="249"/>
      <c r="H2398" s="252"/>
      <c r="I2398" s="251"/>
      <c r="J2398" s="251"/>
      <c r="K2398" s="250"/>
      <c r="L2398" s="249"/>
    </row>
    <row r="2399" spans="3:12" s="244" customFormat="1" x14ac:dyDescent="0.25">
      <c r="C2399" s="251"/>
      <c r="D2399" s="251"/>
      <c r="E2399" s="251"/>
      <c r="F2399" s="251"/>
      <c r="G2399" s="249"/>
      <c r="H2399" s="252"/>
      <c r="I2399" s="251"/>
      <c r="J2399" s="251"/>
      <c r="K2399" s="250"/>
      <c r="L2399" s="249"/>
    </row>
    <row r="2400" spans="3:12" s="244" customFormat="1" x14ac:dyDescent="0.25">
      <c r="C2400" s="251"/>
      <c r="D2400" s="251"/>
      <c r="E2400" s="251"/>
      <c r="F2400" s="251"/>
      <c r="G2400" s="249"/>
      <c r="H2400" s="252"/>
      <c r="I2400" s="251"/>
      <c r="J2400" s="251"/>
      <c r="K2400" s="250"/>
      <c r="L2400" s="249"/>
    </row>
    <row r="2401" spans="3:12" s="244" customFormat="1" x14ac:dyDescent="0.25">
      <c r="C2401" s="251"/>
      <c r="D2401" s="251"/>
      <c r="E2401" s="251"/>
      <c r="F2401" s="251"/>
      <c r="G2401" s="249"/>
      <c r="H2401" s="252"/>
      <c r="I2401" s="251"/>
      <c r="J2401" s="251"/>
      <c r="K2401" s="250"/>
      <c r="L2401" s="249"/>
    </row>
    <row r="2402" spans="3:12" s="244" customFormat="1" x14ac:dyDescent="0.25">
      <c r="C2402" s="251"/>
      <c r="D2402" s="251"/>
      <c r="E2402" s="251"/>
      <c r="F2402" s="251"/>
      <c r="G2402" s="249"/>
      <c r="H2402" s="252"/>
      <c r="I2402" s="251"/>
      <c r="J2402" s="251"/>
      <c r="K2402" s="250"/>
      <c r="L2402" s="249"/>
    </row>
    <row r="2403" spans="3:12" s="244" customFormat="1" x14ac:dyDescent="0.25">
      <c r="C2403" s="251"/>
      <c r="D2403" s="251"/>
      <c r="E2403" s="251"/>
      <c r="F2403" s="251"/>
      <c r="G2403" s="249"/>
      <c r="H2403" s="252"/>
      <c r="I2403" s="251"/>
      <c r="J2403" s="251"/>
      <c r="K2403" s="250"/>
      <c r="L2403" s="249"/>
    </row>
    <row r="2404" spans="3:12" s="244" customFormat="1" x14ac:dyDescent="0.25">
      <c r="C2404" s="251"/>
      <c r="D2404" s="251"/>
      <c r="E2404" s="251"/>
      <c r="F2404" s="251"/>
      <c r="G2404" s="249"/>
      <c r="H2404" s="252"/>
      <c r="I2404" s="251"/>
      <c r="J2404" s="251"/>
      <c r="K2404" s="250"/>
      <c r="L2404" s="249"/>
    </row>
    <row r="2405" spans="3:12" s="244" customFormat="1" x14ac:dyDescent="0.25">
      <c r="C2405" s="251"/>
      <c r="D2405" s="251"/>
      <c r="E2405" s="251"/>
      <c r="F2405" s="251"/>
      <c r="G2405" s="249"/>
      <c r="H2405" s="252"/>
      <c r="I2405" s="251"/>
      <c r="J2405" s="251"/>
      <c r="K2405" s="250"/>
      <c r="L2405" s="249"/>
    </row>
    <row r="2406" spans="3:12" s="244" customFormat="1" x14ac:dyDescent="0.25">
      <c r="C2406" s="251"/>
      <c r="D2406" s="251"/>
      <c r="E2406" s="251"/>
      <c r="F2406" s="251"/>
      <c r="G2406" s="249"/>
      <c r="H2406" s="252"/>
      <c r="I2406" s="251"/>
      <c r="J2406" s="251"/>
      <c r="K2406" s="250"/>
      <c r="L2406" s="249"/>
    </row>
    <row r="2407" spans="3:12" s="244" customFormat="1" x14ac:dyDescent="0.25">
      <c r="C2407" s="251"/>
      <c r="D2407" s="251"/>
      <c r="E2407" s="251"/>
      <c r="F2407" s="251"/>
      <c r="G2407" s="249"/>
      <c r="H2407" s="252"/>
      <c r="I2407" s="251"/>
      <c r="J2407" s="251"/>
      <c r="K2407" s="250"/>
      <c r="L2407" s="249"/>
    </row>
    <row r="2408" spans="3:12" s="244" customFormat="1" x14ac:dyDescent="0.25">
      <c r="C2408" s="251"/>
      <c r="D2408" s="251"/>
      <c r="E2408" s="251"/>
      <c r="F2408" s="251"/>
      <c r="G2408" s="249"/>
      <c r="H2408" s="252"/>
      <c r="I2408" s="251"/>
      <c r="J2408" s="251"/>
      <c r="K2408" s="250"/>
      <c r="L2408" s="249"/>
    </row>
    <row r="2409" spans="3:12" s="244" customFormat="1" x14ac:dyDescent="0.25">
      <c r="C2409" s="251"/>
      <c r="D2409" s="251"/>
      <c r="E2409" s="251"/>
      <c r="F2409" s="251"/>
      <c r="G2409" s="249"/>
      <c r="H2409" s="252"/>
      <c r="I2409" s="251"/>
      <c r="J2409" s="251"/>
      <c r="K2409" s="250"/>
      <c r="L2409" s="249"/>
    </row>
    <row r="2410" spans="3:12" s="244" customFormat="1" x14ac:dyDescent="0.25">
      <c r="C2410" s="251"/>
      <c r="D2410" s="251"/>
      <c r="E2410" s="251"/>
      <c r="F2410" s="251"/>
      <c r="G2410" s="249"/>
      <c r="H2410" s="252"/>
      <c r="I2410" s="251"/>
      <c r="J2410" s="251"/>
      <c r="K2410" s="250"/>
      <c r="L2410" s="249"/>
    </row>
    <row r="2411" spans="3:12" s="244" customFormat="1" x14ac:dyDescent="0.25">
      <c r="C2411" s="251"/>
      <c r="D2411" s="251"/>
      <c r="E2411" s="251"/>
      <c r="F2411" s="251"/>
      <c r="G2411" s="249"/>
      <c r="H2411" s="252"/>
      <c r="I2411" s="251"/>
      <c r="J2411" s="251"/>
      <c r="K2411" s="250"/>
      <c r="L2411" s="249"/>
    </row>
    <row r="2412" spans="3:12" s="244" customFormat="1" x14ac:dyDescent="0.25">
      <c r="C2412" s="251"/>
      <c r="D2412" s="251"/>
      <c r="E2412" s="251"/>
      <c r="F2412" s="251"/>
      <c r="G2412" s="249"/>
      <c r="H2412" s="252"/>
      <c r="I2412" s="251"/>
      <c r="J2412" s="251"/>
      <c r="K2412" s="250"/>
      <c r="L2412" s="249"/>
    </row>
    <row r="2413" spans="3:12" s="244" customFormat="1" x14ac:dyDescent="0.25">
      <c r="C2413" s="251"/>
      <c r="D2413" s="251"/>
      <c r="E2413" s="251"/>
      <c r="F2413" s="251"/>
      <c r="G2413" s="249"/>
      <c r="H2413" s="252"/>
      <c r="I2413" s="251"/>
      <c r="J2413" s="251"/>
      <c r="K2413" s="250"/>
      <c r="L2413" s="249"/>
    </row>
    <row r="2414" spans="3:12" s="244" customFormat="1" x14ac:dyDescent="0.25">
      <c r="C2414" s="251"/>
      <c r="D2414" s="251"/>
      <c r="E2414" s="251"/>
      <c r="F2414" s="251"/>
      <c r="G2414" s="249"/>
      <c r="H2414" s="252"/>
      <c r="I2414" s="251"/>
      <c r="J2414" s="251"/>
      <c r="K2414" s="250"/>
      <c r="L2414" s="249"/>
    </row>
    <row r="2415" spans="3:12" s="244" customFormat="1" x14ac:dyDescent="0.25">
      <c r="C2415" s="251"/>
      <c r="D2415" s="251"/>
      <c r="E2415" s="251"/>
      <c r="F2415" s="251"/>
      <c r="G2415" s="249"/>
      <c r="H2415" s="252"/>
      <c r="I2415" s="251"/>
      <c r="J2415" s="251"/>
      <c r="K2415" s="250"/>
      <c r="L2415" s="249"/>
    </row>
    <row r="2416" spans="3:12" s="244" customFormat="1" x14ac:dyDescent="0.25">
      <c r="C2416" s="251"/>
      <c r="D2416" s="251"/>
      <c r="E2416" s="251"/>
      <c r="F2416" s="251"/>
      <c r="G2416" s="249"/>
      <c r="H2416" s="252"/>
      <c r="I2416" s="251"/>
      <c r="J2416" s="251"/>
      <c r="K2416" s="250"/>
      <c r="L2416" s="249"/>
    </row>
    <row r="2417" spans="3:12" s="244" customFormat="1" x14ac:dyDescent="0.25">
      <c r="C2417" s="251"/>
      <c r="D2417" s="251"/>
      <c r="E2417" s="251"/>
      <c r="F2417" s="251"/>
      <c r="G2417" s="249"/>
      <c r="H2417" s="252"/>
      <c r="I2417" s="251"/>
      <c r="J2417" s="251"/>
      <c r="K2417" s="250"/>
      <c r="L2417" s="249"/>
    </row>
    <row r="2418" spans="3:12" s="244" customFormat="1" x14ac:dyDescent="0.25">
      <c r="C2418" s="251"/>
      <c r="D2418" s="251"/>
      <c r="E2418" s="251"/>
      <c r="F2418" s="251"/>
      <c r="G2418" s="249"/>
      <c r="H2418" s="252"/>
      <c r="I2418" s="251"/>
      <c r="J2418" s="251"/>
      <c r="K2418" s="250"/>
      <c r="L2418" s="249"/>
    </row>
    <row r="2419" spans="3:12" s="244" customFormat="1" x14ac:dyDescent="0.25">
      <c r="C2419" s="251"/>
      <c r="D2419" s="251"/>
      <c r="E2419" s="251"/>
      <c r="F2419" s="251"/>
      <c r="G2419" s="249"/>
      <c r="H2419" s="252"/>
      <c r="I2419" s="251"/>
      <c r="J2419" s="251"/>
      <c r="K2419" s="250"/>
      <c r="L2419" s="249"/>
    </row>
    <row r="2420" spans="3:12" s="244" customFormat="1" x14ac:dyDescent="0.25">
      <c r="C2420" s="251"/>
      <c r="D2420" s="251"/>
      <c r="E2420" s="251"/>
      <c r="F2420" s="251"/>
      <c r="G2420" s="249"/>
      <c r="H2420" s="252"/>
      <c r="I2420" s="251"/>
      <c r="J2420" s="251"/>
      <c r="K2420" s="250"/>
      <c r="L2420" s="249"/>
    </row>
    <row r="2421" spans="3:12" s="244" customFormat="1" x14ac:dyDescent="0.25">
      <c r="C2421" s="251"/>
      <c r="D2421" s="251"/>
      <c r="E2421" s="251"/>
      <c r="F2421" s="251"/>
      <c r="G2421" s="249"/>
      <c r="H2421" s="252"/>
      <c r="I2421" s="251"/>
      <c r="J2421" s="251"/>
      <c r="K2421" s="250"/>
      <c r="L2421" s="249"/>
    </row>
    <row r="2422" spans="3:12" s="244" customFormat="1" x14ac:dyDescent="0.25">
      <c r="C2422" s="251"/>
      <c r="D2422" s="251"/>
      <c r="E2422" s="251"/>
      <c r="F2422" s="251"/>
      <c r="G2422" s="249"/>
      <c r="H2422" s="252"/>
      <c r="I2422" s="251"/>
      <c r="J2422" s="251"/>
      <c r="K2422" s="250"/>
      <c r="L2422" s="249"/>
    </row>
    <row r="2423" spans="3:12" s="244" customFormat="1" x14ac:dyDescent="0.25">
      <c r="C2423" s="251"/>
      <c r="D2423" s="251"/>
      <c r="E2423" s="251"/>
      <c r="F2423" s="251"/>
      <c r="G2423" s="249"/>
      <c r="H2423" s="252"/>
      <c r="I2423" s="251"/>
      <c r="J2423" s="251"/>
      <c r="K2423" s="250"/>
      <c r="L2423" s="249"/>
    </row>
    <row r="2424" spans="3:12" s="244" customFormat="1" x14ac:dyDescent="0.25">
      <c r="C2424" s="251"/>
      <c r="D2424" s="251"/>
      <c r="E2424" s="251"/>
      <c r="F2424" s="251"/>
      <c r="G2424" s="249"/>
      <c r="H2424" s="252"/>
      <c r="I2424" s="251"/>
      <c r="J2424" s="251"/>
      <c r="K2424" s="250"/>
      <c r="L2424" s="249"/>
    </row>
    <row r="2425" spans="3:12" s="244" customFormat="1" x14ac:dyDescent="0.25">
      <c r="C2425" s="251"/>
      <c r="D2425" s="251"/>
      <c r="E2425" s="251"/>
      <c r="F2425" s="251"/>
      <c r="G2425" s="249"/>
      <c r="H2425" s="252"/>
      <c r="I2425" s="251"/>
      <c r="J2425" s="251"/>
      <c r="K2425" s="250"/>
      <c r="L2425" s="249"/>
    </row>
    <row r="2426" spans="3:12" s="244" customFormat="1" x14ac:dyDescent="0.25">
      <c r="C2426" s="251"/>
      <c r="D2426" s="251"/>
      <c r="E2426" s="251"/>
      <c r="F2426" s="251"/>
      <c r="G2426" s="249"/>
      <c r="H2426" s="252"/>
      <c r="I2426" s="251"/>
      <c r="J2426" s="251"/>
      <c r="K2426" s="250"/>
      <c r="L2426" s="249"/>
    </row>
    <row r="2427" spans="3:12" s="244" customFormat="1" x14ac:dyDescent="0.25">
      <c r="C2427" s="251"/>
      <c r="D2427" s="251"/>
      <c r="E2427" s="251"/>
      <c r="F2427" s="251"/>
      <c r="G2427" s="249"/>
      <c r="H2427" s="252"/>
      <c r="I2427" s="251"/>
      <c r="J2427" s="251"/>
      <c r="K2427" s="250"/>
      <c r="L2427" s="249"/>
    </row>
    <row r="2428" spans="3:12" s="244" customFormat="1" x14ac:dyDescent="0.25">
      <c r="C2428" s="251"/>
      <c r="D2428" s="251"/>
      <c r="E2428" s="251"/>
      <c r="F2428" s="251"/>
      <c r="G2428" s="249"/>
      <c r="H2428" s="252"/>
      <c r="I2428" s="251"/>
      <c r="J2428" s="251"/>
      <c r="K2428" s="250"/>
      <c r="L2428" s="249"/>
    </row>
    <row r="2429" spans="3:12" s="244" customFormat="1" x14ac:dyDescent="0.25">
      <c r="C2429" s="251"/>
      <c r="D2429" s="251"/>
      <c r="E2429" s="251"/>
      <c r="F2429" s="251"/>
      <c r="G2429" s="249"/>
      <c r="H2429" s="252"/>
      <c r="I2429" s="251"/>
      <c r="J2429" s="251"/>
      <c r="K2429" s="250"/>
      <c r="L2429" s="249"/>
    </row>
    <row r="2430" spans="3:12" s="244" customFormat="1" x14ac:dyDescent="0.25">
      <c r="C2430" s="251"/>
      <c r="D2430" s="251"/>
      <c r="E2430" s="251"/>
      <c r="F2430" s="251"/>
      <c r="G2430" s="249"/>
      <c r="H2430" s="252"/>
      <c r="I2430" s="251"/>
      <c r="J2430" s="251"/>
      <c r="K2430" s="250"/>
      <c r="L2430" s="249"/>
    </row>
    <row r="2431" spans="3:12" s="244" customFormat="1" x14ac:dyDescent="0.25">
      <c r="C2431" s="251"/>
      <c r="D2431" s="251"/>
      <c r="E2431" s="251"/>
      <c r="F2431" s="251"/>
      <c r="G2431" s="249"/>
      <c r="H2431" s="252"/>
      <c r="I2431" s="251"/>
      <c r="J2431" s="251"/>
      <c r="K2431" s="250"/>
      <c r="L2431" s="249"/>
    </row>
    <row r="2432" spans="3:12" s="244" customFormat="1" x14ac:dyDescent="0.25">
      <c r="C2432" s="251"/>
      <c r="D2432" s="251"/>
      <c r="E2432" s="251"/>
      <c r="F2432" s="251"/>
      <c r="G2432" s="249"/>
      <c r="H2432" s="252"/>
      <c r="I2432" s="251"/>
      <c r="J2432" s="251"/>
      <c r="K2432" s="250"/>
      <c r="L2432" s="249"/>
    </row>
    <row r="2433" spans="3:12" s="244" customFormat="1" x14ac:dyDescent="0.25">
      <c r="C2433" s="251"/>
      <c r="D2433" s="251"/>
      <c r="E2433" s="251"/>
      <c r="F2433" s="251"/>
      <c r="G2433" s="249"/>
      <c r="H2433" s="252"/>
      <c r="I2433" s="251"/>
      <c r="J2433" s="251"/>
      <c r="K2433" s="250"/>
      <c r="L2433" s="249"/>
    </row>
    <row r="2434" spans="3:12" s="244" customFormat="1" x14ac:dyDescent="0.25">
      <c r="C2434" s="251"/>
      <c r="D2434" s="251"/>
      <c r="E2434" s="251"/>
      <c r="F2434" s="251"/>
      <c r="G2434" s="249"/>
      <c r="H2434" s="252"/>
      <c r="I2434" s="251"/>
      <c r="J2434" s="251"/>
      <c r="K2434" s="250"/>
      <c r="L2434" s="249"/>
    </row>
    <row r="2435" spans="3:12" s="244" customFormat="1" x14ac:dyDescent="0.25">
      <c r="C2435" s="251"/>
      <c r="D2435" s="251"/>
      <c r="E2435" s="251"/>
      <c r="F2435" s="251"/>
      <c r="G2435" s="249"/>
      <c r="H2435" s="252"/>
      <c r="I2435" s="251"/>
      <c r="J2435" s="251"/>
      <c r="K2435" s="250"/>
      <c r="L2435" s="249"/>
    </row>
    <row r="2436" spans="3:12" s="244" customFormat="1" x14ac:dyDescent="0.25">
      <c r="C2436" s="251"/>
      <c r="D2436" s="251"/>
      <c r="E2436" s="251"/>
      <c r="F2436" s="251"/>
      <c r="G2436" s="249"/>
      <c r="H2436" s="252"/>
      <c r="I2436" s="251"/>
      <c r="J2436" s="251"/>
      <c r="K2436" s="250"/>
      <c r="L2436" s="249"/>
    </row>
    <row r="2437" spans="3:12" s="244" customFormat="1" x14ac:dyDescent="0.25">
      <c r="C2437" s="251"/>
      <c r="D2437" s="251"/>
      <c r="E2437" s="251"/>
      <c r="F2437" s="251"/>
      <c r="G2437" s="249"/>
      <c r="H2437" s="252"/>
      <c r="I2437" s="251"/>
      <c r="J2437" s="251"/>
      <c r="K2437" s="250"/>
      <c r="L2437" s="249"/>
    </row>
    <row r="2438" spans="3:12" s="244" customFormat="1" x14ac:dyDescent="0.25">
      <c r="C2438" s="251"/>
      <c r="D2438" s="251"/>
      <c r="E2438" s="251"/>
      <c r="F2438" s="251"/>
      <c r="G2438" s="249"/>
      <c r="H2438" s="252"/>
      <c r="I2438" s="251"/>
      <c r="J2438" s="251"/>
      <c r="K2438" s="250"/>
      <c r="L2438" s="249"/>
    </row>
    <row r="2439" spans="3:12" s="244" customFormat="1" x14ac:dyDescent="0.25">
      <c r="C2439" s="251"/>
      <c r="D2439" s="251"/>
      <c r="E2439" s="251"/>
      <c r="F2439" s="251"/>
      <c r="G2439" s="249"/>
      <c r="H2439" s="252"/>
      <c r="I2439" s="251"/>
      <c r="J2439" s="251"/>
      <c r="K2439" s="250"/>
      <c r="L2439" s="249"/>
    </row>
    <row r="2440" spans="3:12" s="244" customFormat="1" x14ac:dyDescent="0.25">
      <c r="C2440" s="251"/>
      <c r="D2440" s="251"/>
      <c r="E2440" s="251"/>
      <c r="F2440" s="251"/>
      <c r="G2440" s="249"/>
      <c r="H2440" s="252"/>
      <c r="I2440" s="251"/>
      <c r="J2440" s="251"/>
      <c r="K2440" s="250"/>
      <c r="L2440" s="249"/>
    </row>
    <row r="2441" spans="3:12" s="244" customFormat="1" x14ac:dyDescent="0.25">
      <c r="C2441" s="251"/>
      <c r="D2441" s="251"/>
      <c r="E2441" s="251"/>
      <c r="F2441" s="251"/>
      <c r="G2441" s="249"/>
      <c r="H2441" s="252"/>
      <c r="I2441" s="251"/>
      <c r="J2441" s="251"/>
      <c r="K2441" s="250"/>
      <c r="L2441" s="249"/>
    </row>
    <row r="2442" spans="3:12" s="244" customFormat="1" x14ac:dyDescent="0.25">
      <c r="C2442" s="251"/>
      <c r="D2442" s="251"/>
      <c r="E2442" s="251"/>
      <c r="F2442" s="251"/>
      <c r="G2442" s="249"/>
      <c r="H2442" s="252"/>
      <c r="I2442" s="251"/>
      <c r="J2442" s="251"/>
      <c r="K2442" s="250"/>
      <c r="L2442" s="249"/>
    </row>
    <row r="2443" spans="3:12" s="244" customFormat="1" x14ac:dyDescent="0.25">
      <c r="C2443" s="251"/>
      <c r="D2443" s="251"/>
      <c r="E2443" s="251"/>
      <c r="F2443" s="251"/>
      <c r="G2443" s="249"/>
      <c r="H2443" s="252"/>
      <c r="I2443" s="251"/>
      <c r="J2443" s="251"/>
      <c r="K2443" s="250"/>
      <c r="L2443" s="249"/>
    </row>
    <row r="2444" spans="3:12" s="244" customFormat="1" x14ac:dyDescent="0.25">
      <c r="C2444" s="251"/>
      <c r="D2444" s="251"/>
      <c r="E2444" s="251"/>
      <c r="F2444" s="251"/>
      <c r="G2444" s="249"/>
      <c r="H2444" s="252"/>
      <c r="I2444" s="251"/>
      <c r="J2444" s="251"/>
      <c r="K2444" s="250"/>
      <c r="L2444" s="249"/>
    </row>
    <row r="2445" spans="3:12" s="244" customFormat="1" x14ac:dyDescent="0.25">
      <c r="C2445" s="251"/>
      <c r="D2445" s="251"/>
      <c r="E2445" s="251"/>
      <c r="F2445" s="251"/>
      <c r="G2445" s="249"/>
      <c r="H2445" s="252"/>
      <c r="I2445" s="251"/>
      <c r="J2445" s="251"/>
      <c r="K2445" s="250"/>
      <c r="L2445" s="249"/>
    </row>
    <row r="2446" spans="3:12" s="244" customFormat="1" x14ac:dyDescent="0.25">
      <c r="C2446" s="251"/>
      <c r="D2446" s="251"/>
      <c r="E2446" s="251"/>
      <c r="F2446" s="251"/>
      <c r="G2446" s="249"/>
      <c r="H2446" s="252"/>
      <c r="I2446" s="251"/>
      <c r="J2446" s="251"/>
      <c r="K2446" s="250"/>
      <c r="L2446" s="249"/>
    </row>
    <row r="2447" spans="3:12" s="244" customFormat="1" x14ac:dyDescent="0.25">
      <c r="C2447" s="251"/>
      <c r="D2447" s="251"/>
      <c r="E2447" s="251"/>
      <c r="F2447" s="251"/>
      <c r="G2447" s="249"/>
      <c r="H2447" s="252"/>
      <c r="I2447" s="251"/>
      <c r="J2447" s="251"/>
      <c r="K2447" s="250"/>
      <c r="L2447" s="249"/>
    </row>
    <row r="2448" spans="3:12" s="244" customFormat="1" x14ac:dyDescent="0.25">
      <c r="C2448" s="251"/>
      <c r="D2448" s="251"/>
      <c r="E2448" s="251"/>
      <c r="F2448" s="251"/>
      <c r="G2448" s="249"/>
      <c r="H2448" s="252"/>
      <c r="I2448" s="251"/>
      <c r="J2448" s="251"/>
      <c r="K2448" s="250"/>
      <c r="L2448" s="249"/>
    </row>
    <row r="2449" spans="3:12" s="244" customFormat="1" x14ac:dyDescent="0.25">
      <c r="C2449" s="251"/>
      <c r="D2449" s="251"/>
      <c r="E2449" s="251"/>
      <c r="F2449" s="251"/>
      <c r="G2449" s="249"/>
      <c r="H2449" s="252"/>
      <c r="I2449" s="251"/>
      <c r="J2449" s="251"/>
      <c r="K2449" s="250"/>
      <c r="L2449" s="249"/>
    </row>
    <row r="2450" spans="3:12" s="244" customFormat="1" x14ac:dyDescent="0.25">
      <c r="C2450" s="251"/>
      <c r="D2450" s="251"/>
      <c r="E2450" s="251"/>
      <c r="F2450" s="251"/>
      <c r="G2450" s="249"/>
      <c r="H2450" s="252"/>
      <c r="I2450" s="251"/>
      <c r="J2450" s="251"/>
      <c r="K2450" s="250"/>
      <c r="L2450" s="249"/>
    </row>
    <row r="2451" spans="3:12" s="244" customFormat="1" x14ac:dyDescent="0.25">
      <c r="C2451" s="251"/>
      <c r="D2451" s="251"/>
      <c r="E2451" s="251"/>
      <c r="F2451" s="251"/>
      <c r="G2451" s="249"/>
      <c r="H2451" s="252"/>
      <c r="I2451" s="251"/>
      <c r="J2451" s="251"/>
      <c r="K2451" s="250"/>
      <c r="L2451" s="249"/>
    </row>
    <row r="2452" spans="3:12" s="244" customFormat="1" x14ac:dyDescent="0.25">
      <c r="C2452" s="251"/>
      <c r="D2452" s="251"/>
      <c r="E2452" s="251"/>
      <c r="F2452" s="251"/>
      <c r="G2452" s="249"/>
      <c r="H2452" s="252"/>
      <c r="I2452" s="251"/>
      <c r="J2452" s="251"/>
      <c r="K2452" s="250"/>
      <c r="L2452" s="249"/>
    </row>
    <row r="2453" spans="3:12" s="244" customFormat="1" x14ac:dyDescent="0.25">
      <c r="C2453" s="251"/>
      <c r="D2453" s="251"/>
      <c r="E2453" s="251"/>
      <c r="F2453" s="251"/>
      <c r="G2453" s="249"/>
      <c r="H2453" s="252"/>
      <c r="I2453" s="251"/>
      <c r="J2453" s="251"/>
      <c r="K2453" s="250"/>
      <c r="L2453" s="249"/>
    </row>
    <row r="2454" spans="3:12" s="244" customFormat="1" x14ac:dyDescent="0.25">
      <c r="C2454" s="251"/>
      <c r="D2454" s="251"/>
      <c r="E2454" s="251"/>
      <c r="F2454" s="251"/>
      <c r="G2454" s="249"/>
      <c r="H2454" s="252"/>
      <c r="I2454" s="251"/>
      <c r="J2454" s="251"/>
      <c r="K2454" s="250"/>
      <c r="L2454" s="249"/>
    </row>
    <row r="2455" spans="3:12" s="244" customFormat="1" x14ac:dyDescent="0.25">
      <c r="C2455" s="251"/>
      <c r="D2455" s="251"/>
      <c r="E2455" s="251"/>
      <c r="F2455" s="251"/>
      <c r="G2455" s="249"/>
      <c r="H2455" s="252"/>
      <c r="I2455" s="251"/>
      <c r="J2455" s="251"/>
      <c r="K2455" s="250"/>
      <c r="L2455" s="249"/>
    </row>
    <row r="2456" spans="3:12" s="244" customFormat="1" x14ac:dyDescent="0.25">
      <c r="C2456" s="251"/>
      <c r="D2456" s="251"/>
      <c r="E2456" s="251"/>
      <c r="F2456" s="251"/>
      <c r="G2456" s="249"/>
      <c r="H2456" s="252"/>
      <c r="I2456" s="251"/>
      <c r="J2456" s="251"/>
      <c r="K2456" s="250"/>
      <c r="L2456" s="249"/>
    </row>
    <row r="2457" spans="3:12" s="244" customFormat="1" x14ac:dyDescent="0.25">
      <c r="C2457" s="251"/>
      <c r="D2457" s="251"/>
      <c r="E2457" s="251"/>
      <c r="F2457" s="251"/>
      <c r="G2457" s="249"/>
      <c r="H2457" s="252"/>
      <c r="I2457" s="251"/>
      <c r="J2457" s="251"/>
      <c r="K2457" s="250"/>
      <c r="L2457" s="249"/>
    </row>
    <row r="2458" spans="3:12" s="244" customFormat="1" x14ac:dyDescent="0.25">
      <c r="C2458" s="251"/>
      <c r="D2458" s="251"/>
      <c r="E2458" s="251"/>
      <c r="F2458" s="251"/>
      <c r="G2458" s="249"/>
      <c r="H2458" s="252"/>
      <c r="I2458" s="251"/>
      <c r="J2458" s="251"/>
      <c r="K2458" s="250"/>
      <c r="L2458" s="249"/>
    </row>
    <row r="2459" spans="3:12" s="244" customFormat="1" x14ac:dyDescent="0.25">
      <c r="C2459" s="251"/>
      <c r="D2459" s="251"/>
      <c r="E2459" s="251"/>
      <c r="F2459" s="251"/>
      <c r="G2459" s="249"/>
      <c r="H2459" s="252"/>
      <c r="I2459" s="251"/>
      <c r="J2459" s="251"/>
      <c r="K2459" s="250"/>
      <c r="L2459" s="249"/>
    </row>
    <row r="2460" spans="3:12" s="244" customFormat="1" x14ac:dyDescent="0.25">
      <c r="C2460" s="251"/>
      <c r="D2460" s="251"/>
      <c r="E2460" s="251"/>
      <c r="F2460" s="251"/>
      <c r="G2460" s="249"/>
      <c r="H2460" s="252"/>
      <c r="I2460" s="251"/>
      <c r="J2460" s="251"/>
      <c r="K2460" s="250"/>
      <c r="L2460" s="249"/>
    </row>
    <row r="2461" spans="3:12" s="244" customFormat="1" x14ac:dyDescent="0.25">
      <c r="C2461" s="251"/>
      <c r="D2461" s="251"/>
      <c r="E2461" s="251"/>
      <c r="F2461" s="251"/>
      <c r="G2461" s="249"/>
      <c r="H2461" s="252"/>
      <c r="I2461" s="251"/>
      <c r="J2461" s="251"/>
      <c r="K2461" s="250"/>
      <c r="L2461" s="249"/>
    </row>
    <row r="2462" spans="3:12" s="244" customFormat="1" x14ac:dyDescent="0.25">
      <c r="C2462" s="251"/>
      <c r="D2462" s="251"/>
      <c r="E2462" s="251"/>
      <c r="F2462" s="251"/>
      <c r="G2462" s="249"/>
      <c r="H2462" s="252"/>
      <c r="I2462" s="251"/>
      <c r="J2462" s="251"/>
      <c r="K2462" s="250"/>
      <c r="L2462" s="249"/>
    </row>
    <row r="2463" spans="3:12" s="244" customFormat="1" x14ac:dyDescent="0.25">
      <c r="C2463" s="251"/>
      <c r="D2463" s="251"/>
      <c r="E2463" s="251"/>
      <c r="F2463" s="251"/>
      <c r="G2463" s="249"/>
      <c r="H2463" s="252"/>
      <c r="I2463" s="251"/>
      <c r="J2463" s="251"/>
      <c r="K2463" s="250"/>
      <c r="L2463" s="249"/>
    </row>
    <row r="2464" spans="3:12" s="244" customFormat="1" x14ac:dyDescent="0.25">
      <c r="C2464" s="251"/>
      <c r="D2464" s="251"/>
      <c r="E2464" s="251"/>
      <c r="F2464" s="251"/>
      <c r="G2464" s="249"/>
      <c r="H2464" s="252"/>
      <c r="I2464" s="251"/>
      <c r="J2464" s="251"/>
      <c r="K2464" s="250"/>
      <c r="L2464" s="249"/>
    </row>
    <row r="2465" spans="3:12" s="244" customFormat="1" x14ac:dyDescent="0.25">
      <c r="C2465" s="251"/>
      <c r="D2465" s="251"/>
      <c r="E2465" s="251"/>
      <c r="F2465" s="251"/>
      <c r="G2465" s="249"/>
      <c r="H2465" s="252"/>
      <c r="I2465" s="251"/>
      <c r="J2465" s="251"/>
      <c r="K2465" s="250"/>
      <c r="L2465" s="249"/>
    </row>
    <row r="2466" spans="3:12" s="244" customFormat="1" x14ac:dyDescent="0.25">
      <c r="C2466" s="251"/>
      <c r="D2466" s="251"/>
      <c r="E2466" s="251"/>
      <c r="F2466" s="251"/>
      <c r="G2466" s="249"/>
      <c r="H2466" s="252"/>
      <c r="I2466" s="251"/>
      <c r="J2466" s="251"/>
      <c r="K2466" s="250"/>
      <c r="L2466" s="249"/>
    </row>
    <row r="2467" spans="3:12" s="244" customFormat="1" x14ac:dyDescent="0.25">
      <c r="C2467" s="251"/>
      <c r="D2467" s="251"/>
      <c r="E2467" s="251"/>
      <c r="F2467" s="251"/>
      <c r="G2467" s="249"/>
      <c r="H2467" s="252"/>
      <c r="I2467" s="251"/>
      <c r="J2467" s="251"/>
      <c r="K2467" s="250"/>
      <c r="L2467" s="249"/>
    </row>
    <row r="2468" spans="3:12" s="244" customFormat="1" x14ac:dyDescent="0.25">
      <c r="C2468" s="251"/>
      <c r="D2468" s="251"/>
      <c r="E2468" s="251"/>
      <c r="F2468" s="251"/>
      <c r="G2468" s="249"/>
      <c r="H2468" s="252"/>
      <c r="I2468" s="251"/>
      <c r="J2468" s="251"/>
      <c r="K2468" s="250"/>
      <c r="L2468" s="249"/>
    </row>
    <row r="2469" spans="3:12" s="244" customFormat="1" x14ac:dyDescent="0.25">
      <c r="C2469" s="251"/>
      <c r="D2469" s="251"/>
      <c r="E2469" s="251"/>
      <c r="F2469" s="251"/>
      <c r="G2469" s="249"/>
      <c r="H2469" s="252"/>
      <c r="I2469" s="251"/>
      <c r="J2469" s="251"/>
      <c r="K2469" s="250"/>
      <c r="L2469" s="249"/>
    </row>
    <row r="2470" spans="3:12" s="244" customFormat="1" x14ac:dyDescent="0.25">
      <c r="C2470" s="251"/>
      <c r="D2470" s="251"/>
      <c r="E2470" s="251"/>
      <c r="F2470" s="251"/>
      <c r="G2470" s="249"/>
      <c r="H2470" s="252"/>
      <c r="I2470" s="251"/>
      <c r="J2470" s="251"/>
      <c r="K2470" s="250"/>
      <c r="L2470" s="249"/>
    </row>
    <row r="2471" spans="3:12" s="244" customFormat="1" x14ac:dyDescent="0.25">
      <c r="C2471" s="251"/>
      <c r="D2471" s="251"/>
      <c r="E2471" s="251"/>
      <c r="F2471" s="251"/>
      <c r="G2471" s="249"/>
      <c r="H2471" s="252"/>
      <c r="I2471" s="251"/>
      <c r="J2471" s="251"/>
      <c r="K2471" s="250"/>
      <c r="L2471" s="249"/>
    </row>
    <row r="2472" spans="3:12" s="244" customFormat="1" x14ac:dyDescent="0.25">
      <c r="C2472" s="251"/>
      <c r="D2472" s="251"/>
      <c r="E2472" s="251"/>
      <c r="F2472" s="251"/>
      <c r="G2472" s="249"/>
      <c r="H2472" s="252"/>
      <c r="I2472" s="251"/>
      <c r="J2472" s="251"/>
      <c r="K2472" s="250"/>
      <c r="L2472" s="249"/>
    </row>
    <row r="2473" spans="3:12" s="244" customFormat="1" x14ac:dyDescent="0.25">
      <c r="C2473" s="251"/>
      <c r="D2473" s="251"/>
      <c r="E2473" s="251"/>
      <c r="F2473" s="251"/>
      <c r="G2473" s="249"/>
      <c r="H2473" s="252"/>
      <c r="I2473" s="251"/>
      <c r="J2473" s="251"/>
      <c r="K2473" s="250"/>
      <c r="L2473" s="249"/>
    </row>
    <row r="2474" spans="3:12" s="244" customFormat="1" x14ac:dyDescent="0.25">
      <c r="C2474" s="251"/>
      <c r="D2474" s="251"/>
      <c r="E2474" s="251"/>
      <c r="F2474" s="251"/>
      <c r="G2474" s="249"/>
      <c r="H2474" s="252"/>
      <c r="I2474" s="251"/>
      <c r="J2474" s="251"/>
      <c r="K2474" s="250"/>
      <c r="L2474" s="249"/>
    </row>
    <row r="2475" spans="3:12" s="244" customFormat="1" x14ac:dyDescent="0.25">
      <c r="C2475" s="251"/>
      <c r="D2475" s="251"/>
      <c r="E2475" s="251"/>
      <c r="F2475" s="251"/>
      <c r="G2475" s="249"/>
      <c r="H2475" s="252"/>
      <c r="I2475" s="251"/>
      <c r="J2475" s="251"/>
      <c r="K2475" s="250"/>
      <c r="L2475" s="249"/>
    </row>
    <row r="2476" spans="3:12" s="244" customFormat="1" x14ac:dyDescent="0.25">
      <c r="C2476" s="251"/>
      <c r="D2476" s="251"/>
      <c r="E2476" s="251"/>
      <c r="F2476" s="251"/>
      <c r="G2476" s="249"/>
      <c r="H2476" s="252"/>
      <c r="I2476" s="251"/>
      <c r="J2476" s="251"/>
      <c r="K2476" s="250"/>
      <c r="L2476" s="249"/>
    </row>
    <row r="2477" spans="3:12" s="244" customFormat="1" x14ac:dyDescent="0.25">
      <c r="C2477" s="251"/>
      <c r="D2477" s="251"/>
      <c r="E2477" s="251"/>
      <c r="F2477" s="251"/>
      <c r="G2477" s="249"/>
      <c r="H2477" s="252"/>
      <c r="I2477" s="251"/>
      <c r="J2477" s="251"/>
      <c r="K2477" s="250"/>
      <c r="L2477" s="249"/>
    </row>
    <row r="2478" spans="3:12" s="244" customFormat="1" x14ac:dyDescent="0.25">
      <c r="C2478" s="251"/>
      <c r="D2478" s="251"/>
      <c r="E2478" s="251"/>
      <c r="F2478" s="251"/>
      <c r="G2478" s="249"/>
      <c r="H2478" s="252"/>
      <c r="I2478" s="251"/>
      <c r="J2478" s="251"/>
      <c r="K2478" s="250"/>
      <c r="L2478" s="249"/>
    </row>
    <row r="2479" spans="3:12" s="244" customFormat="1" x14ac:dyDescent="0.25">
      <c r="C2479" s="251"/>
      <c r="D2479" s="251"/>
      <c r="E2479" s="251"/>
      <c r="F2479" s="251"/>
      <c r="G2479" s="249"/>
      <c r="H2479" s="252"/>
      <c r="I2479" s="251"/>
      <c r="J2479" s="251"/>
      <c r="K2479" s="250"/>
      <c r="L2479" s="249"/>
    </row>
    <row r="2480" spans="3:12" s="244" customFormat="1" x14ac:dyDescent="0.25">
      <c r="C2480" s="251"/>
      <c r="D2480" s="251"/>
      <c r="E2480" s="251"/>
      <c r="F2480" s="251"/>
      <c r="G2480" s="249"/>
      <c r="H2480" s="252"/>
      <c r="I2480" s="251"/>
      <c r="J2480" s="251"/>
      <c r="K2480" s="250"/>
      <c r="L2480" s="249"/>
    </row>
    <row r="2481" spans="3:12" s="244" customFormat="1" x14ac:dyDescent="0.25">
      <c r="C2481" s="251"/>
      <c r="D2481" s="251"/>
      <c r="E2481" s="251"/>
      <c r="F2481" s="251"/>
      <c r="G2481" s="249"/>
      <c r="H2481" s="252"/>
      <c r="I2481" s="251"/>
      <c r="J2481" s="251"/>
      <c r="K2481" s="250"/>
      <c r="L2481" s="249"/>
    </row>
    <row r="2482" spans="3:12" s="244" customFormat="1" x14ac:dyDescent="0.25">
      <c r="C2482" s="251"/>
      <c r="D2482" s="251"/>
      <c r="E2482" s="251"/>
      <c r="F2482" s="251"/>
      <c r="G2482" s="249"/>
      <c r="H2482" s="252"/>
      <c r="I2482" s="251"/>
      <c r="J2482" s="251"/>
      <c r="K2482" s="250"/>
      <c r="L2482" s="249"/>
    </row>
    <row r="2483" spans="3:12" s="244" customFormat="1" x14ac:dyDescent="0.25">
      <c r="C2483" s="251"/>
      <c r="D2483" s="251"/>
      <c r="E2483" s="251"/>
      <c r="F2483" s="251"/>
      <c r="G2483" s="249"/>
      <c r="H2483" s="252"/>
      <c r="I2483" s="251"/>
      <c r="J2483" s="251"/>
      <c r="K2483" s="250"/>
      <c r="L2483" s="249"/>
    </row>
    <row r="2484" spans="3:12" s="244" customFormat="1" x14ac:dyDescent="0.25">
      <c r="C2484" s="251"/>
      <c r="D2484" s="251"/>
      <c r="E2484" s="251"/>
      <c r="F2484" s="251"/>
      <c r="G2484" s="249"/>
      <c r="H2484" s="252"/>
      <c r="I2484" s="251"/>
      <c r="J2484" s="251"/>
      <c r="K2484" s="250"/>
      <c r="L2484" s="249"/>
    </row>
    <row r="2485" spans="3:12" s="244" customFormat="1" x14ac:dyDescent="0.25">
      <c r="C2485" s="251"/>
      <c r="D2485" s="251"/>
      <c r="E2485" s="251"/>
      <c r="F2485" s="251"/>
      <c r="G2485" s="249"/>
      <c r="H2485" s="252"/>
      <c r="I2485" s="251"/>
      <c r="J2485" s="251"/>
      <c r="K2485" s="250"/>
      <c r="L2485" s="249"/>
    </row>
    <row r="2486" spans="3:12" s="244" customFormat="1" x14ac:dyDescent="0.25">
      <c r="C2486" s="251"/>
      <c r="D2486" s="251"/>
      <c r="E2486" s="251"/>
      <c r="F2486" s="251"/>
      <c r="G2486" s="249"/>
      <c r="H2486" s="252"/>
      <c r="I2486" s="251"/>
      <c r="J2486" s="251"/>
      <c r="K2486" s="250"/>
      <c r="L2486" s="249"/>
    </row>
    <row r="2487" spans="3:12" s="244" customFormat="1" x14ac:dyDescent="0.25">
      <c r="C2487" s="251"/>
      <c r="D2487" s="251"/>
      <c r="E2487" s="251"/>
      <c r="F2487" s="251"/>
      <c r="G2487" s="249"/>
      <c r="H2487" s="252"/>
      <c r="I2487" s="251"/>
      <c r="J2487" s="251"/>
      <c r="K2487" s="250"/>
      <c r="L2487" s="249"/>
    </row>
    <row r="2488" spans="3:12" s="244" customFormat="1" x14ac:dyDescent="0.25">
      <c r="C2488" s="251"/>
      <c r="D2488" s="251"/>
      <c r="E2488" s="251"/>
      <c r="F2488" s="251"/>
      <c r="G2488" s="249"/>
      <c r="H2488" s="252"/>
      <c r="I2488" s="251"/>
      <c r="J2488" s="251"/>
      <c r="K2488" s="250"/>
      <c r="L2488" s="249"/>
    </row>
    <row r="2489" spans="3:12" s="244" customFormat="1" x14ac:dyDescent="0.25">
      <c r="C2489" s="251"/>
      <c r="D2489" s="251"/>
      <c r="E2489" s="251"/>
      <c r="F2489" s="251"/>
      <c r="G2489" s="249"/>
      <c r="H2489" s="252"/>
      <c r="I2489" s="251"/>
      <c r="J2489" s="251"/>
      <c r="K2489" s="250"/>
      <c r="L2489" s="249"/>
    </row>
    <row r="2490" spans="3:12" s="244" customFormat="1" x14ac:dyDescent="0.25">
      <c r="C2490" s="251"/>
      <c r="D2490" s="251"/>
      <c r="E2490" s="251"/>
      <c r="F2490" s="251"/>
      <c r="G2490" s="249"/>
      <c r="H2490" s="252"/>
      <c r="I2490" s="251"/>
      <c r="J2490" s="251"/>
      <c r="K2490" s="250"/>
      <c r="L2490" s="249"/>
    </row>
    <row r="2491" spans="3:12" s="244" customFormat="1" x14ac:dyDescent="0.25">
      <c r="C2491" s="251"/>
      <c r="D2491" s="251"/>
      <c r="E2491" s="251"/>
      <c r="F2491" s="251"/>
      <c r="G2491" s="249"/>
      <c r="H2491" s="252"/>
      <c r="I2491" s="251"/>
      <c r="J2491" s="251"/>
      <c r="K2491" s="250"/>
      <c r="L2491" s="249"/>
    </row>
    <row r="2492" spans="3:12" s="244" customFormat="1" x14ac:dyDescent="0.25">
      <c r="C2492" s="251"/>
      <c r="D2492" s="251"/>
      <c r="E2492" s="251"/>
      <c r="F2492" s="251"/>
      <c r="G2492" s="249"/>
      <c r="H2492" s="252"/>
      <c r="I2492" s="251"/>
      <c r="J2492" s="251"/>
      <c r="K2492" s="250"/>
      <c r="L2492" s="249"/>
    </row>
    <row r="2493" spans="3:12" s="244" customFormat="1" x14ac:dyDescent="0.25">
      <c r="C2493" s="251"/>
      <c r="D2493" s="251"/>
      <c r="E2493" s="251"/>
      <c r="F2493" s="251"/>
      <c r="G2493" s="249"/>
      <c r="H2493" s="252"/>
      <c r="I2493" s="251"/>
      <c r="J2493" s="251"/>
      <c r="K2493" s="250"/>
      <c r="L2493" s="249"/>
    </row>
    <row r="2494" spans="3:12" s="244" customFormat="1" x14ac:dyDescent="0.25">
      <c r="C2494" s="251"/>
      <c r="D2494" s="251"/>
      <c r="E2494" s="251"/>
      <c r="F2494" s="251"/>
      <c r="G2494" s="249"/>
      <c r="H2494" s="252"/>
      <c r="I2494" s="251"/>
      <c r="J2494" s="251"/>
      <c r="K2494" s="250"/>
      <c r="L2494" s="249"/>
    </row>
    <row r="2495" spans="3:12" s="244" customFormat="1" x14ac:dyDescent="0.25">
      <c r="C2495" s="251"/>
      <c r="D2495" s="251"/>
      <c r="E2495" s="251"/>
      <c r="F2495" s="251"/>
      <c r="G2495" s="249"/>
      <c r="H2495" s="252"/>
      <c r="I2495" s="251"/>
      <c r="J2495" s="251"/>
      <c r="K2495" s="250"/>
      <c r="L2495" s="249"/>
    </row>
    <row r="2496" spans="3:12" s="244" customFormat="1" x14ac:dyDescent="0.25">
      <c r="C2496" s="251"/>
      <c r="D2496" s="251"/>
      <c r="E2496" s="251"/>
      <c r="F2496" s="251"/>
      <c r="G2496" s="249"/>
      <c r="H2496" s="252"/>
      <c r="I2496" s="251"/>
      <c r="J2496" s="251"/>
      <c r="K2496" s="250"/>
      <c r="L2496" s="249"/>
    </row>
    <row r="2497" spans="3:12" s="244" customFormat="1" x14ac:dyDescent="0.25">
      <c r="C2497" s="251"/>
      <c r="D2497" s="251"/>
      <c r="E2497" s="251"/>
      <c r="F2497" s="251"/>
      <c r="G2497" s="249"/>
      <c r="H2497" s="252"/>
      <c r="I2497" s="251"/>
      <c r="J2497" s="251"/>
      <c r="K2497" s="250"/>
      <c r="L2497" s="249"/>
    </row>
    <row r="2498" spans="3:12" s="244" customFormat="1" x14ac:dyDescent="0.25">
      <c r="C2498" s="251"/>
      <c r="D2498" s="251"/>
      <c r="E2498" s="251"/>
      <c r="F2498" s="251"/>
      <c r="G2498" s="249"/>
      <c r="H2498" s="252"/>
      <c r="I2498" s="251"/>
      <c r="J2498" s="251"/>
      <c r="K2498" s="250"/>
      <c r="L2498" s="249"/>
    </row>
    <row r="2499" spans="3:12" s="244" customFormat="1" x14ac:dyDescent="0.25">
      <c r="C2499" s="251"/>
      <c r="D2499" s="251"/>
      <c r="E2499" s="251"/>
      <c r="F2499" s="251"/>
      <c r="G2499" s="249"/>
      <c r="H2499" s="252"/>
      <c r="I2499" s="251"/>
      <c r="J2499" s="251"/>
      <c r="K2499" s="250"/>
      <c r="L2499" s="249"/>
    </row>
    <row r="2500" spans="3:12" s="244" customFormat="1" x14ac:dyDescent="0.25">
      <c r="C2500" s="251"/>
      <c r="D2500" s="251"/>
      <c r="E2500" s="251"/>
      <c r="F2500" s="251"/>
      <c r="G2500" s="249"/>
      <c r="H2500" s="252"/>
      <c r="I2500" s="251"/>
      <c r="J2500" s="251"/>
      <c r="K2500" s="250"/>
      <c r="L2500" s="249"/>
    </row>
    <row r="2501" spans="3:12" s="244" customFormat="1" x14ac:dyDescent="0.25">
      <c r="C2501" s="251"/>
      <c r="D2501" s="251"/>
      <c r="E2501" s="251"/>
      <c r="F2501" s="251"/>
      <c r="G2501" s="249"/>
      <c r="H2501" s="252"/>
      <c r="I2501" s="251"/>
      <c r="J2501" s="251"/>
      <c r="K2501" s="250"/>
      <c r="L2501" s="249"/>
    </row>
    <row r="2502" spans="3:12" s="244" customFormat="1" x14ac:dyDescent="0.25">
      <c r="C2502" s="251"/>
      <c r="D2502" s="251"/>
      <c r="E2502" s="251"/>
      <c r="F2502" s="251"/>
      <c r="G2502" s="249"/>
      <c r="H2502" s="252"/>
      <c r="I2502" s="251"/>
      <c r="J2502" s="251"/>
      <c r="K2502" s="250"/>
      <c r="L2502" s="249"/>
    </row>
    <row r="2503" spans="3:12" s="244" customFormat="1" x14ac:dyDescent="0.25">
      <c r="C2503" s="251"/>
      <c r="D2503" s="251"/>
      <c r="E2503" s="251"/>
      <c r="F2503" s="251"/>
      <c r="G2503" s="249"/>
      <c r="H2503" s="252"/>
      <c r="I2503" s="251"/>
      <c r="J2503" s="251"/>
      <c r="K2503" s="250"/>
      <c r="L2503" s="249"/>
    </row>
    <row r="2504" spans="3:12" s="244" customFormat="1" x14ac:dyDescent="0.25">
      <c r="C2504" s="251"/>
      <c r="D2504" s="251"/>
      <c r="E2504" s="251"/>
      <c r="F2504" s="251"/>
      <c r="G2504" s="249"/>
      <c r="H2504" s="252"/>
      <c r="I2504" s="251"/>
      <c r="J2504" s="251"/>
      <c r="K2504" s="250"/>
      <c r="L2504" s="249"/>
    </row>
    <row r="2505" spans="3:12" s="244" customFormat="1" x14ac:dyDescent="0.25">
      <c r="C2505" s="251"/>
      <c r="D2505" s="251"/>
      <c r="E2505" s="251"/>
      <c r="F2505" s="251"/>
      <c r="G2505" s="249"/>
      <c r="H2505" s="252"/>
      <c r="I2505" s="251"/>
      <c r="J2505" s="251"/>
      <c r="K2505" s="250"/>
      <c r="L2505" s="249"/>
    </row>
    <row r="2506" spans="3:12" s="244" customFormat="1" x14ac:dyDescent="0.25">
      <c r="C2506" s="251"/>
      <c r="D2506" s="251"/>
      <c r="E2506" s="251"/>
      <c r="F2506" s="251"/>
      <c r="G2506" s="249"/>
      <c r="H2506" s="252"/>
      <c r="I2506" s="251"/>
      <c r="J2506" s="251"/>
      <c r="K2506" s="250"/>
      <c r="L2506" s="249"/>
    </row>
    <row r="2507" spans="3:12" s="244" customFormat="1" x14ac:dyDescent="0.25">
      <c r="C2507" s="251"/>
      <c r="D2507" s="251"/>
      <c r="E2507" s="251"/>
      <c r="F2507" s="251"/>
      <c r="G2507" s="249"/>
      <c r="H2507" s="252"/>
      <c r="I2507" s="251"/>
      <c r="J2507" s="251"/>
      <c r="K2507" s="250"/>
      <c r="L2507" s="249"/>
    </row>
    <row r="2508" spans="3:12" s="244" customFormat="1" x14ac:dyDescent="0.25">
      <c r="C2508" s="251"/>
      <c r="D2508" s="251"/>
      <c r="E2508" s="251"/>
      <c r="F2508" s="251"/>
      <c r="G2508" s="249"/>
      <c r="H2508" s="252"/>
      <c r="I2508" s="251"/>
      <c r="J2508" s="251"/>
      <c r="K2508" s="250"/>
      <c r="L2508" s="249"/>
    </row>
    <row r="2509" spans="3:12" s="244" customFormat="1" x14ac:dyDescent="0.25">
      <c r="C2509" s="251"/>
      <c r="D2509" s="251"/>
      <c r="E2509" s="251"/>
      <c r="F2509" s="251"/>
      <c r="G2509" s="249"/>
      <c r="H2509" s="252"/>
      <c r="I2509" s="251"/>
      <c r="J2509" s="251"/>
      <c r="K2509" s="250"/>
      <c r="L2509" s="249"/>
    </row>
    <row r="2510" spans="3:12" s="244" customFormat="1" x14ac:dyDescent="0.25">
      <c r="C2510" s="251"/>
      <c r="D2510" s="251"/>
      <c r="E2510" s="251"/>
      <c r="F2510" s="251"/>
      <c r="G2510" s="249"/>
      <c r="H2510" s="252"/>
      <c r="I2510" s="251"/>
      <c r="J2510" s="251"/>
      <c r="K2510" s="250"/>
      <c r="L2510" s="249"/>
    </row>
    <row r="2511" spans="3:12" s="244" customFormat="1" x14ac:dyDescent="0.25">
      <c r="C2511" s="251"/>
      <c r="D2511" s="251"/>
      <c r="E2511" s="251"/>
      <c r="F2511" s="251"/>
      <c r="G2511" s="249"/>
      <c r="H2511" s="252"/>
      <c r="I2511" s="251"/>
      <c r="J2511" s="251"/>
      <c r="K2511" s="250"/>
      <c r="L2511" s="249"/>
    </row>
    <row r="2512" spans="3:12" s="244" customFormat="1" x14ac:dyDescent="0.25">
      <c r="C2512" s="251"/>
      <c r="D2512" s="251"/>
      <c r="E2512" s="251"/>
      <c r="F2512" s="251"/>
      <c r="G2512" s="249"/>
      <c r="H2512" s="252"/>
      <c r="I2512" s="251"/>
      <c r="J2512" s="251"/>
      <c r="K2512" s="250"/>
      <c r="L2512" s="249"/>
    </row>
    <row r="2513" spans="3:12" s="244" customFormat="1" x14ac:dyDescent="0.25">
      <c r="C2513" s="251"/>
      <c r="D2513" s="251"/>
      <c r="E2513" s="251"/>
      <c r="F2513" s="251"/>
      <c r="G2513" s="249"/>
      <c r="H2513" s="252"/>
      <c r="I2513" s="251"/>
      <c r="J2513" s="251"/>
      <c r="K2513" s="250"/>
      <c r="L2513" s="249"/>
    </row>
    <row r="2514" spans="3:12" s="244" customFormat="1" x14ac:dyDescent="0.25">
      <c r="C2514" s="251"/>
      <c r="D2514" s="251"/>
      <c r="E2514" s="251"/>
      <c r="F2514" s="251"/>
      <c r="G2514" s="249"/>
      <c r="H2514" s="252"/>
      <c r="I2514" s="251"/>
      <c r="J2514" s="251"/>
      <c r="K2514" s="250"/>
      <c r="L2514" s="249"/>
    </row>
    <row r="2515" spans="3:12" s="244" customFormat="1" x14ac:dyDescent="0.25">
      <c r="C2515" s="251"/>
      <c r="D2515" s="251"/>
      <c r="E2515" s="251"/>
      <c r="F2515" s="251"/>
      <c r="G2515" s="249"/>
      <c r="H2515" s="252"/>
      <c r="I2515" s="251"/>
      <c r="J2515" s="251"/>
      <c r="K2515" s="250"/>
      <c r="L2515" s="249"/>
    </row>
    <row r="2516" spans="3:12" s="244" customFormat="1" x14ac:dyDescent="0.25">
      <c r="C2516" s="251"/>
      <c r="D2516" s="251"/>
      <c r="E2516" s="251"/>
      <c r="F2516" s="251"/>
      <c r="G2516" s="249"/>
      <c r="H2516" s="252"/>
      <c r="I2516" s="251"/>
      <c r="J2516" s="251"/>
      <c r="K2516" s="250"/>
      <c r="L2516" s="249"/>
    </row>
    <row r="2517" spans="3:12" s="244" customFormat="1" x14ac:dyDescent="0.25">
      <c r="C2517" s="251"/>
      <c r="D2517" s="251"/>
      <c r="E2517" s="251"/>
      <c r="F2517" s="251"/>
      <c r="G2517" s="249"/>
      <c r="H2517" s="252"/>
      <c r="I2517" s="251"/>
      <c r="J2517" s="251"/>
      <c r="K2517" s="250"/>
      <c r="L2517" s="249"/>
    </row>
    <row r="2518" spans="3:12" s="244" customFormat="1" x14ac:dyDescent="0.25">
      <c r="C2518" s="251"/>
      <c r="D2518" s="251"/>
      <c r="E2518" s="251"/>
      <c r="F2518" s="251"/>
      <c r="G2518" s="249"/>
      <c r="H2518" s="252"/>
      <c r="I2518" s="251"/>
      <c r="J2518" s="251"/>
      <c r="K2518" s="250"/>
      <c r="L2518" s="249"/>
    </row>
    <row r="2519" spans="3:12" s="244" customFormat="1" x14ac:dyDescent="0.25">
      <c r="C2519" s="251"/>
      <c r="D2519" s="251"/>
      <c r="E2519" s="251"/>
      <c r="F2519" s="251"/>
      <c r="G2519" s="249"/>
      <c r="H2519" s="252"/>
      <c r="I2519" s="251"/>
      <c r="J2519" s="251"/>
      <c r="K2519" s="250"/>
      <c r="L2519" s="249"/>
    </row>
    <row r="2520" spans="3:12" s="244" customFormat="1" x14ac:dyDescent="0.25">
      <c r="C2520" s="251"/>
      <c r="D2520" s="251"/>
      <c r="E2520" s="251"/>
      <c r="F2520" s="251"/>
      <c r="G2520" s="249"/>
      <c r="H2520" s="252"/>
      <c r="I2520" s="251"/>
      <c r="J2520" s="251"/>
      <c r="K2520" s="250"/>
      <c r="L2520" s="249"/>
    </row>
    <row r="2521" spans="3:12" s="244" customFormat="1" x14ac:dyDescent="0.25">
      <c r="C2521" s="251"/>
      <c r="D2521" s="251"/>
      <c r="E2521" s="251"/>
      <c r="F2521" s="251"/>
      <c r="G2521" s="249"/>
      <c r="H2521" s="252"/>
      <c r="I2521" s="251"/>
      <c r="J2521" s="251"/>
      <c r="K2521" s="250"/>
      <c r="L2521" s="249"/>
    </row>
    <row r="2522" spans="3:12" s="244" customFormat="1" x14ac:dyDescent="0.25">
      <c r="C2522" s="251"/>
      <c r="D2522" s="251"/>
      <c r="E2522" s="251"/>
      <c r="F2522" s="251"/>
      <c r="G2522" s="249"/>
      <c r="H2522" s="252"/>
      <c r="I2522" s="251"/>
      <c r="J2522" s="251"/>
      <c r="K2522" s="250"/>
      <c r="L2522" s="249"/>
    </row>
    <row r="2523" spans="3:12" s="244" customFormat="1" x14ac:dyDescent="0.25">
      <c r="C2523" s="251"/>
      <c r="D2523" s="251"/>
      <c r="E2523" s="251"/>
      <c r="F2523" s="251"/>
      <c r="G2523" s="249"/>
      <c r="H2523" s="252"/>
      <c r="I2523" s="251"/>
      <c r="J2523" s="251"/>
      <c r="K2523" s="250"/>
      <c r="L2523" s="249"/>
    </row>
    <row r="2524" spans="3:12" s="244" customFormat="1" x14ac:dyDescent="0.25">
      <c r="C2524" s="251"/>
      <c r="D2524" s="251"/>
      <c r="E2524" s="251"/>
      <c r="F2524" s="251"/>
      <c r="G2524" s="249"/>
      <c r="H2524" s="252"/>
      <c r="I2524" s="251"/>
      <c r="J2524" s="251"/>
      <c r="K2524" s="250"/>
      <c r="L2524" s="249"/>
    </row>
    <row r="2525" spans="3:12" s="244" customFormat="1" x14ac:dyDescent="0.25">
      <c r="C2525" s="251"/>
      <c r="D2525" s="251"/>
      <c r="E2525" s="251"/>
      <c r="F2525" s="251"/>
      <c r="G2525" s="249"/>
      <c r="H2525" s="252"/>
      <c r="I2525" s="251"/>
      <c r="J2525" s="251"/>
      <c r="K2525" s="250"/>
      <c r="L2525" s="249"/>
    </row>
    <row r="2526" spans="3:12" s="244" customFormat="1" x14ac:dyDescent="0.25">
      <c r="C2526" s="251"/>
      <c r="D2526" s="251"/>
      <c r="E2526" s="251"/>
      <c r="F2526" s="251"/>
      <c r="G2526" s="249"/>
      <c r="H2526" s="252"/>
      <c r="I2526" s="251"/>
      <c r="J2526" s="251"/>
      <c r="K2526" s="250"/>
      <c r="L2526" s="249"/>
    </row>
    <row r="2527" spans="3:12" s="244" customFormat="1" x14ac:dyDescent="0.25">
      <c r="C2527" s="251"/>
      <c r="D2527" s="251"/>
      <c r="E2527" s="251"/>
      <c r="F2527" s="251"/>
      <c r="G2527" s="249"/>
      <c r="H2527" s="252"/>
      <c r="I2527" s="251"/>
      <c r="J2527" s="251"/>
      <c r="K2527" s="250"/>
      <c r="L2527" s="249"/>
    </row>
    <row r="2528" spans="3:12" s="244" customFormat="1" x14ac:dyDescent="0.25">
      <c r="C2528" s="251"/>
      <c r="D2528" s="251"/>
      <c r="E2528" s="251"/>
      <c r="F2528" s="251"/>
      <c r="G2528" s="249"/>
      <c r="H2528" s="252"/>
      <c r="I2528" s="251"/>
      <c r="J2528" s="251"/>
      <c r="K2528" s="250"/>
      <c r="L2528" s="249"/>
    </row>
    <row r="2529" spans="3:12" s="244" customFormat="1" x14ac:dyDescent="0.25">
      <c r="C2529" s="251"/>
      <c r="D2529" s="251"/>
      <c r="E2529" s="251"/>
      <c r="F2529" s="251"/>
      <c r="G2529" s="249"/>
      <c r="H2529" s="252"/>
      <c r="I2529" s="251"/>
      <c r="J2529" s="251"/>
      <c r="K2529" s="250"/>
      <c r="L2529" s="249"/>
    </row>
    <row r="2530" spans="3:12" s="244" customFormat="1" x14ac:dyDescent="0.25">
      <c r="C2530" s="251"/>
      <c r="D2530" s="251"/>
      <c r="E2530" s="251"/>
      <c r="F2530" s="251"/>
      <c r="G2530" s="249"/>
      <c r="H2530" s="252"/>
      <c r="I2530" s="251"/>
      <c r="J2530" s="251"/>
      <c r="K2530" s="250"/>
      <c r="L2530" s="249"/>
    </row>
    <row r="2531" spans="3:12" s="244" customFormat="1" x14ac:dyDescent="0.25">
      <c r="C2531" s="251"/>
      <c r="D2531" s="251"/>
      <c r="E2531" s="251"/>
      <c r="F2531" s="251"/>
      <c r="G2531" s="249"/>
      <c r="H2531" s="252"/>
      <c r="I2531" s="251"/>
      <c r="J2531" s="251"/>
      <c r="K2531" s="250"/>
      <c r="L2531" s="249"/>
    </row>
    <row r="2532" spans="3:12" s="244" customFormat="1" x14ac:dyDescent="0.25">
      <c r="C2532" s="251"/>
      <c r="D2532" s="251"/>
      <c r="E2532" s="251"/>
      <c r="F2532" s="251"/>
      <c r="G2532" s="249"/>
      <c r="H2532" s="252"/>
      <c r="I2532" s="251"/>
      <c r="J2532" s="251"/>
      <c r="K2532" s="250"/>
      <c r="L2532" s="249"/>
    </row>
    <row r="2533" spans="3:12" s="244" customFormat="1" x14ac:dyDescent="0.25">
      <c r="C2533" s="251"/>
      <c r="D2533" s="251"/>
      <c r="E2533" s="251"/>
      <c r="F2533" s="251"/>
      <c r="G2533" s="249"/>
      <c r="H2533" s="252"/>
      <c r="I2533" s="251"/>
      <c r="J2533" s="251"/>
      <c r="K2533" s="250"/>
      <c r="L2533" s="249"/>
    </row>
    <row r="2534" spans="3:12" s="244" customFormat="1" x14ac:dyDescent="0.25">
      <c r="C2534" s="251"/>
      <c r="D2534" s="251"/>
      <c r="E2534" s="251"/>
      <c r="F2534" s="251"/>
      <c r="G2534" s="249"/>
      <c r="H2534" s="252"/>
      <c r="I2534" s="251"/>
      <c r="J2534" s="251"/>
      <c r="K2534" s="250"/>
      <c r="L2534" s="249"/>
    </row>
    <row r="2535" spans="3:12" s="244" customFormat="1" x14ac:dyDescent="0.25">
      <c r="C2535" s="251"/>
      <c r="D2535" s="251"/>
      <c r="E2535" s="251"/>
      <c r="F2535" s="251"/>
      <c r="G2535" s="249"/>
      <c r="H2535" s="252"/>
      <c r="I2535" s="251"/>
      <c r="J2535" s="251"/>
      <c r="K2535" s="250"/>
      <c r="L2535" s="249"/>
    </row>
    <row r="2536" spans="3:12" s="244" customFormat="1" x14ac:dyDescent="0.25">
      <c r="C2536" s="251"/>
      <c r="D2536" s="251"/>
      <c r="E2536" s="251"/>
      <c r="F2536" s="251"/>
      <c r="G2536" s="249"/>
      <c r="H2536" s="252"/>
      <c r="I2536" s="251"/>
      <c r="J2536" s="251"/>
      <c r="K2536" s="250"/>
      <c r="L2536" s="249"/>
    </row>
    <row r="2537" spans="3:12" s="244" customFormat="1" x14ac:dyDescent="0.25">
      <c r="C2537" s="251"/>
      <c r="D2537" s="251"/>
      <c r="E2537" s="251"/>
      <c r="F2537" s="251"/>
      <c r="G2537" s="249"/>
      <c r="H2537" s="252"/>
      <c r="I2537" s="251"/>
      <c r="J2537" s="251"/>
      <c r="K2537" s="250"/>
      <c r="L2537" s="249"/>
    </row>
    <row r="2538" spans="3:12" s="244" customFormat="1" x14ac:dyDescent="0.25">
      <c r="C2538" s="251"/>
      <c r="D2538" s="251"/>
      <c r="E2538" s="251"/>
      <c r="F2538" s="251"/>
      <c r="G2538" s="249"/>
      <c r="H2538" s="252"/>
      <c r="I2538" s="251"/>
      <c r="J2538" s="251"/>
      <c r="K2538" s="250"/>
      <c r="L2538" s="249"/>
    </row>
    <row r="2539" spans="3:12" s="244" customFormat="1" x14ac:dyDescent="0.25">
      <c r="C2539" s="251"/>
      <c r="D2539" s="251"/>
      <c r="E2539" s="251"/>
      <c r="F2539" s="251"/>
      <c r="G2539" s="249"/>
      <c r="H2539" s="252"/>
      <c r="I2539" s="251"/>
      <c r="J2539" s="251"/>
      <c r="K2539" s="250"/>
      <c r="L2539" s="249"/>
    </row>
    <row r="2540" spans="3:12" s="244" customFormat="1" x14ac:dyDescent="0.25">
      <c r="C2540" s="251"/>
      <c r="D2540" s="251"/>
      <c r="E2540" s="251"/>
      <c r="F2540" s="251"/>
      <c r="G2540" s="249"/>
      <c r="H2540" s="252"/>
      <c r="I2540" s="251"/>
      <c r="J2540" s="251"/>
      <c r="K2540" s="250"/>
      <c r="L2540" s="249"/>
    </row>
    <row r="2541" spans="3:12" s="244" customFormat="1" x14ac:dyDescent="0.25">
      <c r="C2541" s="251"/>
      <c r="D2541" s="251"/>
      <c r="E2541" s="251"/>
      <c r="F2541" s="251"/>
      <c r="G2541" s="249"/>
      <c r="H2541" s="252"/>
      <c r="I2541" s="251"/>
      <c r="J2541" s="251"/>
      <c r="K2541" s="250"/>
      <c r="L2541" s="249"/>
    </row>
    <row r="2542" spans="3:12" s="244" customFormat="1" x14ac:dyDescent="0.25">
      <c r="C2542" s="251"/>
      <c r="D2542" s="251"/>
      <c r="E2542" s="251"/>
      <c r="F2542" s="251"/>
      <c r="G2542" s="249"/>
      <c r="H2542" s="252"/>
      <c r="I2542" s="251"/>
      <c r="J2542" s="251"/>
      <c r="K2542" s="250"/>
      <c r="L2542" s="249"/>
    </row>
    <row r="2543" spans="3:12" s="244" customFormat="1" x14ac:dyDescent="0.25">
      <c r="C2543" s="251"/>
      <c r="D2543" s="251"/>
      <c r="E2543" s="251"/>
      <c r="F2543" s="251"/>
      <c r="G2543" s="249"/>
      <c r="H2543" s="252"/>
      <c r="I2543" s="251"/>
      <c r="J2543" s="251"/>
      <c r="K2543" s="250"/>
      <c r="L2543" s="249"/>
    </row>
    <row r="2544" spans="3:12" s="244" customFormat="1" x14ac:dyDescent="0.25">
      <c r="C2544" s="251"/>
      <c r="D2544" s="251"/>
      <c r="E2544" s="251"/>
      <c r="F2544" s="251"/>
      <c r="G2544" s="249"/>
      <c r="H2544" s="252"/>
      <c r="I2544" s="251"/>
      <c r="J2544" s="251"/>
      <c r="K2544" s="250"/>
      <c r="L2544" s="249"/>
    </row>
    <row r="2545" spans="3:12" s="244" customFormat="1" x14ac:dyDescent="0.25">
      <c r="C2545" s="251"/>
      <c r="D2545" s="251"/>
      <c r="E2545" s="251"/>
      <c r="F2545" s="251"/>
      <c r="G2545" s="249"/>
      <c r="H2545" s="252"/>
      <c r="I2545" s="251"/>
      <c r="J2545" s="251"/>
      <c r="K2545" s="250"/>
      <c r="L2545" s="249"/>
    </row>
    <row r="2546" spans="3:12" s="244" customFormat="1" x14ac:dyDescent="0.25">
      <c r="C2546" s="251"/>
      <c r="D2546" s="251"/>
      <c r="E2546" s="251"/>
      <c r="F2546" s="251"/>
      <c r="G2546" s="249"/>
      <c r="H2546" s="252"/>
      <c r="I2546" s="251"/>
      <c r="J2546" s="251"/>
      <c r="K2546" s="250"/>
      <c r="L2546" s="249"/>
    </row>
    <row r="2547" spans="3:12" s="244" customFormat="1" x14ac:dyDescent="0.25">
      <c r="C2547" s="251"/>
      <c r="D2547" s="251"/>
      <c r="E2547" s="251"/>
      <c r="F2547" s="251"/>
      <c r="G2547" s="249"/>
      <c r="H2547" s="252"/>
      <c r="I2547" s="251"/>
      <c r="J2547" s="251"/>
      <c r="K2547" s="250"/>
      <c r="L2547" s="249"/>
    </row>
    <row r="2548" spans="3:12" s="244" customFormat="1" x14ac:dyDescent="0.25">
      <c r="C2548" s="251"/>
      <c r="D2548" s="251"/>
      <c r="E2548" s="251"/>
      <c r="F2548" s="251"/>
      <c r="G2548" s="249"/>
      <c r="H2548" s="252"/>
      <c r="I2548" s="251"/>
      <c r="J2548" s="251"/>
      <c r="K2548" s="250"/>
      <c r="L2548" s="249"/>
    </row>
    <row r="2549" spans="3:12" s="244" customFormat="1" x14ac:dyDescent="0.25">
      <c r="C2549" s="251"/>
      <c r="D2549" s="251"/>
      <c r="E2549" s="251"/>
      <c r="F2549" s="251"/>
      <c r="G2549" s="249"/>
      <c r="H2549" s="252"/>
      <c r="I2549" s="251"/>
      <c r="J2549" s="251"/>
      <c r="K2549" s="250"/>
      <c r="L2549" s="249"/>
    </row>
    <row r="2550" spans="3:12" s="244" customFormat="1" x14ac:dyDescent="0.25">
      <c r="C2550" s="251"/>
      <c r="D2550" s="251"/>
      <c r="E2550" s="251"/>
      <c r="F2550" s="251"/>
      <c r="G2550" s="249"/>
      <c r="H2550" s="252"/>
      <c r="I2550" s="251"/>
      <c r="J2550" s="251"/>
      <c r="K2550" s="250"/>
      <c r="L2550" s="249"/>
    </row>
    <row r="2551" spans="3:12" s="244" customFormat="1" x14ac:dyDescent="0.25">
      <c r="C2551" s="251"/>
      <c r="D2551" s="251"/>
      <c r="E2551" s="251"/>
      <c r="F2551" s="251"/>
      <c r="G2551" s="249"/>
      <c r="H2551" s="252"/>
      <c r="I2551" s="251"/>
      <c r="J2551" s="251"/>
      <c r="K2551" s="250"/>
      <c r="L2551" s="249"/>
    </row>
    <row r="2552" spans="3:12" s="244" customFormat="1" x14ac:dyDescent="0.25">
      <c r="C2552" s="251"/>
      <c r="D2552" s="251"/>
      <c r="E2552" s="251"/>
      <c r="F2552" s="251"/>
      <c r="G2552" s="249"/>
      <c r="H2552" s="252"/>
      <c r="I2552" s="251"/>
      <c r="J2552" s="251"/>
      <c r="K2552" s="250"/>
      <c r="L2552" s="249"/>
    </row>
    <row r="2553" spans="3:12" s="244" customFormat="1" x14ac:dyDescent="0.25">
      <c r="C2553" s="251"/>
      <c r="D2553" s="251"/>
      <c r="E2553" s="251"/>
      <c r="F2553" s="251"/>
      <c r="G2553" s="249"/>
      <c r="H2553" s="252"/>
      <c r="I2553" s="251"/>
      <c r="J2553" s="251"/>
      <c r="K2553" s="250"/>
      <c r="L2553" s="249"/>
    </row>
    <row r="2554" spans="3:12" s="244" customFormat="1" x14ac:dyDescent="0.25">
      <c r="C2554" s="251"/>
      <c r="D2554" s="251"/>
      <c r="E2554" s="251"/>
      <c r="F2554" s="251"/>
      <c r="G2554" s="249"/>
      <c r="H2554" s="252"/>
      <c r="I2554" s="251"/>
      <c r="J2554" s="251"/>
      <c r="K2554" s="250"/>
      <c r="L2554" s="249"/>
    </row>
    <row r="2555" spans="3:12" s="244" customFormat="1" x14ac:dyDescent="0.25">
      <c r="C2555" s="251"/>
      <c r="D2555" s="251"/>
      <c r="E2555" s="251"/>
      <c r="F2555" s="251"/>
      <c r="G2555" s="249"/>
      <c r="H2555" s="252"/>
      <c r="I2555" s="251"/>
      <c r="J2555" s="251"/>
      <c r="K2555" s="250"/>
      <c r="L2555" s="249"/>
    </row>
    <row r="2556" spans="3:12" s="244" customFormat="1" x14ac:dyDescent="0.25">
      <c r="C2556" s="251"/>
      <c r="D2556" s="251"/>
      <c r="E2556" s="251"/>
      <c r="F2556" s="251"/>
      <c r="G2556" s="249"/>
      <c r="H2556" s="252"/>
      <c r="I2556" s="251"/>
      <c r="J2556" s="251"/>
      <c r="K2556" s="250"/>
      <c r="L2556" s="249"/>
    </row>
    <row r="2557" spans="3:12" s="244" customFormat="1" x14ac:dyDescent="0.25">
      <c r="C2557" s="251"/>
      <c r="D2557" s="251"/>
      <c r="E2557" s="251"/>
      <c r="F2557" s="251"/>
      <c r="G2557" s="249"/>
      <c r="H2557" s="252"/>
      <c r="I2557" s="251"/>
      <c r="J2557" s="251"/>
      <c r="K2557" s="250"/>
      <c r="L2557" s="249"/>
    </row>
    <row r="2558" spans="3:12" s="244" customFormat="1" x14ac:dyDescent="0.25">
      <c r="C2558" s="251"/>
      <c r="D2558" s="251"/>
      <c r="E2558" s="251"/>
      <c r="F2558" s="251"/>
      <c r="G2558" s="249"/>
      <c r="H2558" s="252"/>
      <c r="I2558" s="251"/>
      <c r="J2558" s="251"/>
      <c r="K2558" s="250"/>
      <c r="L2558" s="249"/>
    </row>
    <row r="2559" spans="3:12" s="244" customFormat="1" x14ac:dyDescent="0.25">
      <c r="C2559" s="251"/>
      <c r="D2559" s="251"/>
      <c r="E2559" s="251"/>
      <c r="F2559" s="251"/>
      <c r="G2559" s="249"/>
      <c r="H2559" s="252"/>
      <c r="I2559" s="251"/>
      <c r="J2559" s="251"/>
      <c r="K2559" s="250"/>
      <c r="L2559" s="249"/>
    </row>
    <row r="2560" spans="3:12" s="244" customFormat="1" x14ac:dyDescent="0.25">
      <c r="C2560" s="251"/>
      <c r="D2560" s="251"/>
      <c r="E2560" s="251"/>
      <c r="F2560" s="251"/>
      <c r="G2560" s="249"/>
      <c r="H2560" s="252"/>
      <c r="I2560" s="251"/>
      <c r="J2560" s="251"/>
      <c r="K2560" s="250"/>
      <c r="L2560" s="249"/>
    </row>
    <row r="2561" spans="3:12" s="244" customFormat="1" x14ac:dyDescent="0.25">
      <c r="C2561" s="251"/>
      <c r="D2561" s="251"/>
      <c r="E2561" s="251"/>
      <c r="F2561" s="251"/>
      <c r="G2561" s="249"/>
      <c r="H2561" s="252"/>
      <c r="I2561" s="251"/>
      <c r="J2561" s="251"/>
      <c r="K2561" s="250"/>
      <c r="L2561" s="249"/>
    </row>
    <row r="2562" spans="3:12" s="244" customFormat="1" x14ac:dyDescent="0.25">
      <c r="C2562" s="251"/>
      <c r="D2562" s="251"/>
      <c r="E2562" s="251"/>
      <c r="F2562" s="251"/>
      <c r="G2562" s="249"/>
      <c r="H2562" s="252"/>
      <c r="I2562" s="251"/>
      <c r="J2562" s="251"/>
      <c r="K2562" s="250"/>
      <c r="L2562" s="249"/>
    </row>
    <row r="2563" spans="3:12" s="244" customFormat="1" x14ac:dyDescent="0.25">
      <c r="C2563" s="251"/>
      <c r="D2563" s="251"/>
      <c r="E2563" s="251"/>
      <c r="F2563" s="251"/>
      <c r="G2563" s="249"/>
      <c r="H2563" s="252"/>
      <c r="I2563" s="251"/>
      <c r="J2563" s="251"/>
      <c r="K2563" s="250"/>
      <c r="L2563" s="249"/>
    </row>
    <row r="2564" spans="3:12" s="244" customFormat="1" x14ac:dyDescent="0.25">
      <c r="C2564" s="251"/>
      <c r="D2564" s="251"/>
      <c r="E2564" s="251"/>
      <c r="F2564" s="251"/>
      <c r="G2564" s="249"/>
      <c r="H2564" s="252"/>
      <c r="I2564" s="251"/>
      <c r="J2564" s="251"/>
      <c r="K2564" s="250"/>
      <c r="L2564" s="249"/>
    </row>
    <row r="2565" spans="3:12" s="244" customFormat="1" x14ac:dyDescent="0.25">
      <c r="C2565" s="251"/>
      <c r="D2565" s="251"/>
      <c r="E2565" s="251"/>
      <c r="F2565" s="251"/>
      <c r="G2565" s="249"/>
      <c r="H2565" s="252"/>
      <c r="I2565" s="251"/>
      <c r="J2565" s="251"/>
      <c r="K2565" s="250"/>
      <c r="L2565" s="249"/>
    </row>
    <row r="2566" spans="3:12" s="244" customFormat="1" x14ac:dyDescent="0.25">
      <c r="C2566" s="251"/>
      <c r="D2566" s="251"/>
      <c r="E2566" s="251"/>
      <c r="F2566" s="251"/>
      <c r="G2566" s="249"/>
      <c r="H2566" s="252"/>
      <c r="I2566" s="251"/>
      <c r="J2566" s="251"/>
      <c r="K2566" s="250"/>
      <c r="L2566" s="249"/>
    </row>
    <row r="2567" spans="3:12" s="244" customFormat="1" x14ac:dyDescent="0.25">
      <c r="C2567" s="251"/>
      <c r="D2567" s="251"/>
      <c r="E2567" s="251"/>
      <c r="F2567" s="251"/>
      <c r="G2567" s="249"/>
      <c r="H2567" s="252"/>
      <c r="I2567" s="251"/>
      <c r="J2567" s="251"/>
      <c r="K2567" s="250"/>
      <c r="L2567" s="249"/>
    </row>
    <row r="2568" spans="3:12" s="244" customFormat="1" x14ac:dyDescent="0.25">
      <c r="C2568" s="251"/>
      <c r="D2568" s="251"/>
      <c r="E2568" s="251"/>
      <c r="F2568" s="251"/>
      <c r="G2568" s="249"/>
      <c r="H2568" s="252"/>
      <c r="I2568" s="251"/>
      <c r="J2568" s="251"/>
      <c r="K2568" s="250"/>
      <c r="L2568" s="249"/>
    </row>
    <row r="2569" spans="3:12" s="244" customFormat="1" x14ac:dyDescent="0.25">
      <c r="C2569" s="251"/>
      <c r="D2569" s="251"/>
      <c r="E2569" s="251"/>
      <c r="F2569" s="251"/>
      <c r="G2569" s="249"/>
      <c r="H2569" s="252"/>
      <c r="I2569" s="251"/>
      <c r="J2569" s="251"/>
      <c r="K2569" s="250"/>
      <c r="L2569" s="249"/>
    </row>
    <row r="2570" spans="3:12" s="244" customFormat="1" x14ac:dyDescent="0.25">
      <c r="C2570" s="251"/>
      <c r="D2570" s="251"/>
      <c r="E2570" s="251"/>
      <c r="F2570" s="251"/>
      <c r="G2570" s="249"/>
      <c r="H2570" s="252"/>
      <c r="I2570" s="251"/>
      <c r="J2570" s="251"/>
      <c r="K2570" s="250"/>
      <c r="L2570" s="249"/>
    </row>
    <row r="2571" spans="3:12" s="244" customFormat="1" x14ac:dyDescent="0.25">
      <c r="C2571" s="251"/>
      <c r="D2571" s="251"/>
      <c r="E2571" s="251"/>
      <c r="F2571" s="251"/>
      <c r="G2571" s="249"/>
      <c r="H2571" s="252"/>
      <c r="I2571" s="251"/>
      <c r="J2571" s="251"/>
      <c r="K2571" s="250"/>
      <c r="L2571" s="249"/>
    </row>
    <row r="2572" spans="3:12" s="244" customFormat="1" x14ac:dyDescent="0.25">
      <c r="C2572" s="251"/>
      <c r="D2572" s="251"/>
      <c r="E2572" s="251"/>
      <c r="F2572" s="251"/>
      <c r="G2572" s="249"/>
      <c r="H2572" s="252"/>
      <c r="I2572" s="251"/>
      <c r="J2572" s="251"/>
      <c r="K2572" s="250"/>
      <c r="L2572" s="249"/>
    </row>
    <row r="2573" spans="3:12" s="244" customFormat="1" x14ac:dyDescent="0.25">
      <c r="C2573" s="251"/>
      <c r="D2573" s="251"/>
      <c r="E2573" s="251"/>
      <c r="F2573" s="251"/>
      <c r="G2573" s="249"/>
      <c r="H2573" s="252"/>
      <c r="I2573" s="251"/>
      <c r="J2573" s="251"/>
      <c r="K2573" s="250"/>
      <c r="L2573" s="249"/>
    </row>
    <row r="2574" spans="3:12" s="244" customFormat="1" x14ac:dyDescent="0.25">
      <c r="C2574" s="251"/>
      <c r="D2574" s="251"/>
      <c r="E2574" s="251"/>
      <c r="F2574" s="251"/>
      <c r="G2574" s="249"/>
      <c r="H2574" s="252"/>
      <c r="I2574" s="251"/>
      <c r="J2574" s="251"/>
      <c r="K2574" s="250"/>
      <c r="L2574" s="249"/>
    </row>
    <row r="2575" spans="3:12" s="244" customFormat="1" x14ac:dyDescent="0.25">
      <c r="C2575" s="251"/>
      <c r="D2575" s="251"/>
      <c r="E2575" s="251"/>
      <c r="F2575" s="251"/>
      <c r="G2575" s="249"/>
      <c r="H2575" s="252"/>
      <c r="I2575" s="251"/>
      <c r="J2575" s="251"/>
      <c r="K2575" s="250"/>
      <c r="L2575" s="249"/>
    </row>
    <row r="2576" spans="3:12" s="244" customFormat="1" x14ac:dyDescent="0.25">
      <c r="C2576" s="251"/>
      <c r="D2576" s="251"/>
      <c r="E2576" s="251"/>
      <c r="F2576" s="251"/>
      <c r="G2576" s="249"/>
      <c r="H2576" s="252"/>
      <c r="I2576" s="251"/>
      <c r="J2576" s="251"/>
      <c r="K2576" s="250"/>
      <c r="L2576" s="249"/>
    </row>
    <row r="2577" spans="3:12" s="244" customFormat="1" x14ac:dyDescent="0.25">
      <c r="C2577" s="251"/>
      <c r="D2577" s="251"/>
      <c r="E2577" s="251"/>
      <c r="F2577" s="251"/>
      <c r="G2577" s="249"/>
      <c r="H2577" s="252"/>
      <c r="I2577" s="251"/>
      <c r="J2577" s="251"/>
      <c r="K2577" s="250"/>
      <c r="L2577" s="249"/>
    </row>
    <row r="2578" spans="3:12" s="244" customFormat="1" x14ac:dyDescent="0.25">
      <c r="C2578" s="251"/>
      <c r="D2578" s="251"/>
      <c r="E2578" s="251"/>
      <c r="F2578" s="251"/>
      <c r="G2578" s="249"/>
      <c r="H2578" s="252"/>
      <c r="I2578" s="251"/>
      <c r="J2578" s="251"/>
      <c r="K2578" s="250"/>
      <c r="L2578" s="249"/>
    </row>
    <row r="2579" spans="3:12" s="244" customFormat="1" x14ac:dyDescent="0.25">
      <c r="C2579" s="251"/>
      <c r="D2579" s="251"/>
      <c r="E2579" s="251"/>
      <c r="F2579" s="251"/>
      <c r="G2579" s="249"/>
      <c r="H2579" s="252"/>
      <c r="I2579" s="251"/>
      <c r="J2579" s="251"/>
      <c r="K2579" s="250"/>
      <c r="L2579" s="249"/>
    </row>
    <row r="2580" spans="3:12" s="244" customFormat="1" x14ac:dyDescent="0.25">
      <c r="C2580" s="251"/>
      <c r="D2580" s="251"/>
      <c r="E2580" s="251"/>
      <c r="F2580" s="251"/>
      <c r="G2580" s="249"/>
      <c r="H2580" s="252"/>
      <c r="I2580" s="251"/>
      <c r="J2580" s="251"/>
      <c r="K2580" s="250"/>
      <c r="L2580" s="249"/>
    </row>
    <row r="2581" spans="3:12" s="244" customFormat="1" x14ac:dyDescent="0.25">
      <c r="C2581" s="251"/>
      <c r="D2581" s="251"/>
      <c r="E2581" s="251"/>
      <c r="F2581" s="251"/>
      <c r="G2581" s="249"/>
      <c r="H2581" s="252"/>
      <c r="I2581" s="251"/>
      <c r="J2581" s="251"/>
      <c r="K2581" s="250"/>
      <c r="L2581" s="249"/>
    </row>
    <row r="2582" spans="3:12" s="244" customFormat="1" x14ac:dyDescent="0.25">
      <c r="C2582" s="251"/>
      <c r="D2582" s="251"/>
      <c r="E2582" s="251"/>
      <c r="F2582" s="251"/>
      <c r="G2582" s="249"/>
      <c r="H2582" s="252"/>
      <c r="I2582" s="251"/>
      <c r="J2582" s="251"/>
      <c r="K2582" s="250"/>
      <c r="L2582" s="249"/>
    </row>
    <row r="2583" spans="3:12" s="244" customFormat="1" x14ac:dyDescent="0.25">
      <c r="C2583" s="251"/>
      <c r="D2583" s="251"/>
      <c r="E2583" s="251"/>
      <c r="F2583" s="251"/>
      <c r="G2583" s="249"/>
      <c r="H2583" s="252"/>
      <c r="I2583" s="251"/>
      <c r="J2583" s="251"/>
      <c r="K2583" s="250"/>
      <c r="L2583" s="249"/>
    </row>
    <row r="2584" spans="3:12" s="244" customFormat="1" x14ac:dyDescent="0.25">
      <c r="C2584" s="251"/>
      <c r="D2584" s="251"/>
      <c r="E2584" s="251"/>
      <c r="F2584" s="251"/>
      <c r="G2584" s="249"/>
      <c r="H2584" s="252"/>
      <c r="I2584" s="251"/>
      <c r="J2584" s="251"/>
      <c r="K2584" s="250"/>
      <c r="L2584" s="249"/>
    </row>
    <row r="2585" spans="3:12" s="244" customFormat="1" x14ac:dyDescent="0.25">
      <c r="C2585" s="251"/>
      <c r="D2585" s="251"/>
      <c r="E2585" s="251"/>
      <c r="F2585" s="251"/>
      <c r="G2585" s="249"/>
      <c r="H2585" s="252"/>
      <c r="I2585" s="251"/>
      <c r="J2585" s="251"/>
      <c r="K2585" s="250"/>
      <c r="L2585" s="249"/>
    </row>
    <row r="2586" spans="3:12" s="244" customFormat="1" x14ac:dyDescent="0.25">
      <c r="C2586" s="251"/>
      <c r="D2586" s="251"/>
      <c r="E2586" s="251"/>
      <c r="F2586" s="251"/>
      <c r="G2586" s="249"/>
      <c r="H2586" s="252"/>
      <c r="I2586" s="251"/>
      <c r="J2586" s="251"/>
      <c r="K2586" s="250"/>
      <c r="L2586" s="249"/>
    </row>
    <row r="2587" spans="3:12" s="244" customFormat="1" x14ac:dyDescent="0.25">
      <c r="C2587" s="251"/>
      <c r="D2587" s="251"/>
      <c r="E2587" s="251"/>
      <c r="F2587" s="251"/>
      <c r="G2587" s="249"/>
      <c r="H2587" s="252"/>
      <c r="I2587" s="251"/>
      <c r="J2587" s="251"/>
      <c r="K2587" s="250"/>
      <c r="L2587" s="249"/>
    </row>
    <row r="2588" spans="3:12" s="244" customFormat="1" x14ac:dyDescent="0.25">
      <c r="C2588" s="251"/>
      <c r="D2588" s="251"/>
      <c r="E2588" s="251"/>
      <c r="F2588" s="251"/>
      <c r="G2588" s="249"/>
      <c r="H2588" s="252"/>
      <c r="I2588" s="251"/>
      <c r="J2588" s="251"/>
      <c r="K2588" s="250"/>
      <c r="L2588" s="249"/>
    </row>
    <row r="2589" spans="3:12" s="244" customFormat="1" x14ac:dyDescent="0.25">
      <c r="C2589" s="251"/>
      <c r="D2589" s="251"/>
      <c r="E2589" s="251"/>
      <c r="F2589" s="251"/>
      <c r="G2589" s="249"/>
      <c r="H2589" s="252"/>
      <c r="I2589" s="251"/>
      <c r="J2589" s="251"/>
      <c r="K2589" s="250"/>
      <c r="L2589" s="249"/>
    </row>
    <row r="2590" spans="3:12" s="244" customFormat="1" x14ac:dyDescent="0.25">
      <c r="C2590" s="251"/>
      <c r="D2590" s="251"/>
      <c r="E2590" s="251"/>
      <c r="F2590" s="251"/>
      <c r="G2590" s="249"/>
      <c r="H2590" s="252"/>
      <c r="I2590" s="251"/>
      <c r="J2590" s="251"/>
      <c r="K2590" s="250"/>
      <c r="L2590" s="249"/>
    </row>
    <row r="2591" spans="3:12" s="244" customFormat="1" x14ac:dyDescent="0.25">
      <c r="C2591" s="251"/>
      <c r="D2591" s="251"/>
      <c r="E2591" s="251"/>
      <c r="F2591" s="251"/>
      <c r="G2591" s="249"/>
      <c r="H2591" s="252"/>
      <c r="I2591" s="251"/>
      <c r="J2591" s="251"/>
      <c r="K2591" s="250"/>
      <c r="L2591" s="249"/>
    </row>
    <row r="2592" spans="3:12" s="244" customFormat="1" x14ac:dyDescent="0.25">
      <c r="C2592" s="251"/>
      <c r="D2592" s="251"/>
      <c r="E2592" s="251"/>
      <c r="F2592" s="251"/>
      <c r="G2592" s="249"/>
      <c r="H2592" s="252"/>
      <c r="I2592" s="251"/>
      <c r="J2592" s="251"/>
      <c r="K2592" s="250"/>
      <c r="L2592" s="249"/>
    </row>
    <row r="2593" spans="3:12" s="244" customFormat="1" x14ac:dyDescent="0.25">
      <c r="C2593" s="251"/>
      <c r="D2593" s="251"/>
      <c r="E2593" s="251"/>
      <c r="F2593" s="251"/>
      <c r="G2593" s="249"/>
      <c r="H2593" s="252"/>
      <c r="I2593" s="251"/>
      <c r="J2593" s="251"/>
      <c r="K2593" s="250"/>
      <c r="L2593" s="249"/>
    </row>
    <row r="2594" spans="3:12" s="244" customFormat="1" x14ac:dyDescent="0.25">
      <c r="C2594" s="251"/>
      <c r="D2594" s="251"/>
      <c r="E2594" s="251"/>
      <c r="F2594" s="251"/>
      <c r="G2594" s="249"/>
      <c r="H2594" s="252"/>
      <c r="I2594" s="251"/>
      <c r="J2594" s="251"/>
      <c r="K2594" s="250"/>
      <c r="L2594" s="249"/>
    </row>
    <row r="2595" spans="3:12" s="244" customFormat="1" x14ac:dyDescent="0.25">
      <c r="C2595" s="251"/>
      <c r="D2595" s="251"/>
      <c r="E2595" s="251"/>
      <c r="F2595" s="251"/>
      <c r="G2595" s="249"/>
      <c r="H2595" s="252"/>
      <c r="I2595" s="251"/>
      <c r="J2595" s="251"/>
      <c r="K2595" s="250"/>
      <c r="L2595" s="249"/>
    </row>
    <row r="2596" spans="3:12" s="244" customFormat="1" x14ac:dyDescent="0.25">
      <c r="C2596" s="251"/>
      <c r="D2596" s="251"/>
      <c r="E2596" s="251"/>
      <c r="F2596" s="251"/>
      <c r="G2596" s="249"/>
      <c r="H2596" s="252"/>
      <c r="I2596" s="251"/>
      <c r="J2596" s="251"/>
      <c r="K2596" s="250"/>
      <c r="L2596" s="249"/>
    </row>
    <row r="2597" spans="3:12" s="244" customFormat="1" x14ac:dyDescent="0.25">
      <c r="C2597" s="251"/>
      <c r="D2597" s="251"/>
      <c r="E2597" s="251"/>
      <c r="F2597" s="251"/>
      <c r="G2597" s="249"/>
      <c r="H2597" s="252"/>
      <c r="I2597" s="251"/>
      <c r="J2597" s="251"/>
      <c r="K2597" s="250"/>
      <c r="L2597" s="249"/>
    </row>
    <row r="2598" spans="3:12" s="244" customFormat="1" x14ac:dyDescent="0.25">
      <c r="C2598" s="251"/>
      <c r="D2598" s="251"/>
      <c r="E2598" s="251"/>
      <c r="F2598" s="251"/>
      <c r="G2598" s="249"/>
      <c r="H2598" s="252"/>
      <c r="I2598" s="251"/>
      <c r="J2598" s="251"/>
      <c r="K2598" s="250"/>
      <c r="L2598" s="249"/>
    </row>
    <row r="2599" spans="3:12" s="244" customFormat="1" x14ac:dyDescent="0.25">
      <c r="C2599" s="251"/>
      <c r="D2599" s="251"/>
      <c r="E2599" s="251"/>
      <c r="F2599" s="251"/>
      <c r="G2599" s="249"/>
      <c r="H2599" s="252"/>
      <c r="I2599" s="251"/>
      <c r="J2599" s="251"/>
      <c r="K2599" s="250"/>
      <c r="L2599" s="249"/>
    </row>
    <row r="2600" spans="3:12" s="244" customFormat="1" x14ac:dyDescent="0.25">
      <c r="C2600" s="251"/>
      <c r="D2600" s="251"/>
      <c r="E2600" s="251"/>
      <c r="F2600" s="251"/>
      <c r="G2600" s="249"/>
      <c r="H2600" s="252"/>
      <c r="I2600" s="251"/>
      <c r="J2600" s="251"/>
      <c r="K2600" s="250"/>
      <c r="L2600" s="249"/>
    </row>
    <row r="2601" spans="3:12" s="244" customFormat="1" x14ac:dyDescent="0.25">
      <c r="C2601" s="251"/>
      <c r="D2601" s="251"/>
      <c r="E2601" s="251"/>
      <c r="F2601" s="251"/>
      <c r="G2601" s="249"/>
      <c r="H2601" s="252"/>
      <c r="I2601" s="251"/>
      <c r="J2601" s="251"/>
      <c r="K2601" s="250"/>
      <c r="L2601" s="249"/>
    </row>
    <row r="2602" spans="3:12" s="244" customFormat="1" x14ac:dyDescent="0.25">
      <c r="C2602" s="251"/>
      <c r="D2602" s="251"/>
      <c r="E2602" s="251"/>
      <c r="F2602" s="251"/>
      <c r="G2602" s="249"/>
      <c r="H2602" s="252"/>
      <c r="I2602" s="251"/>
      <c r="J2602" s="251"/>
      <c r="K2602" s="250"/>
      <c r="L2602" s="249"/>
    </row>
    <row r="2603" spans="3:12" s="244" customFormat="1" x14ac:dyDescent="0.25">
      <c r="C2603" s="251"/>
      <c r="D2603" s="251"/>
      <c r="E2603" s="251"/>
      <c r="F2603" s="251"/>
      <c r="G2603" s="249"/>
      <c r="H2603" s="252"/>
      <c r="I2603" s="251"/>
      <c r="J2603" s="251"/>
      <c r="K2603" s="250"/>
      <c r="L2603" s="249"/>
    </row>
    <row r="2604" spans="3:12" s="244" customFormat="1" x14ac:dyDescent="0.25">
      <c r="C2604" s="251"/>
      <c r="D2604" s="251"/>
      <c r="E2604" s="251"/>
      <c r="F2604" s="251"/>
      <c r="G2604" s="249"/>
      <c r="H2604" s="252"/>
      <c r="I2604" s="251"/>
      <c r="J2604" s="251"/>
      <c r="K2604" s="250"/>
      <c r="L2604" s="249"/>
    </row>
    <row r="2605" spans="3:12" s="244" customFormat="1" x14ac:dyDescent="0.25">
      <c r="C2605" s="251"/>
      <c r="D2605" s="251"/>
      <c r="E2605" s="251"/>
      <c r="F2605" s="251"/>
      <c r="G2605" s="249"/>
      <c r="H2605" s="252"/>
      <c r="I2605" s="251"/>
      <c r="J2605" s="251"/>
      <c r="K2605" s="250"/>
      <c r="L2605" s="249"/>
    </row>
    <row r="2606" spans="3:12" s="244" customFormat="1" x14ac:dyDescent="0.25">
      <c r="C2606" s="251"/>
      <c r="D2606" s="251"/>
      <c r="E2606" s="251"/>
      <c r="F2606" s="251"/>
      <c r="G2606" s="249"/>
      <c r="H2606" s="252"/>
      <c r="I2606" s="251"/>
      <c r="J2606" s="251"/>
      <c r="K2606" s="250"/>
      <c r="L2606" s="249"/>
    </row>
    <row r="2607" spans="3:12" s="244" customFormat="1" x14ac:dyDescent="0.25">
      <c r="C2607" s="251"/>
      <c r="D2607" s="251"/>
      <c r="E2607" s="251"/>
      <c r="F2607" s="251"/>
      <c r="G2607" s="249"/>
      <c r="H2607" s="252"/>
      <c r="I2607" s="251"/>
      <c r="J2607" s="251"/>
      <c r="K2607" s="250"/>
      <c r="L2607" s="249"/>
    </row>
    <row r="2608" spans="3:12" s="244" customFormat="1" x14ac:dyDescent="0.25">
      <c r="C2608" s="251"/>
      <c r="D2608" s="251"/>
      <c r="E2608" s="251"/>
      <c r="F2608" s="251"/>
      <c r="G2608" s="249"/>
      <c r="H2608" s="252"/>
      <c r="I2608" s="251"/>
      <c r="J2608" s="251"/>
      <c r="K2608" s="250"/>
      <c r="L2608" s="249"/>
    </row>
    <row r="2609" spans="3:12" s="244" customFormat="1" x14ac:dyDescent="0.25">
      <c r="C2609" s="251"/>
      <c r="D2609" s="251"/>
      <c r="E2609" s="251"/>
      <c r="F2609" s="251"/>
      <c r="G2609" s="249"/>
      <c r="H2609" s="252"/>
      <c r="I2609" s="251"/>
      <c r="J2609" s="251"/>
      <c r="K2609" s="250"/>
      <c r="L2609" s="249"/>
    </row>
    <row r="2610" spans="3:12" s="244" customFormat="1" x14ac:dyDescent="0.25">
      <c r="C2610" s="251"/>
      <c r="D2610" s="251"/>
      <c r="E2610" s="251"/>
      <c r="F2610" s="251"/>
      <c r="G2610" s="249"/>
      <c r="H2610" s="252"/>
      <c r="I2610" s="251"/>
      <c r="J2610" s="251"/>
      <c r="K2610" s="250"/>
      <c r="L2610" s="249"/>
    </row>
    <row r="2611" spans="3:12" s="244" customFormat="1" x14ac:dyDescent="0.25">
      <c r="C2611" s="251"/>
      <c r="D2611" s="251"/>
      <c r="E2611" s="251"/>
      <c r="F2611" s="251"/>
      <c r="G2611" s="249"/>
      <c r="H2611" s="252"/>
      <c r="I2611" s="251"/>
      <c r="J2611" s="251"/>
      <c r="K2611" s="250"/>
      <c r="L2611" s="249"/>
    </row>
    <row r="2612" spans="3:12" s="244" customFormat="1" x14ac:dyDescent="0.25">
      <c r="C2612" s="251"/>
      <c r="D2612" s="251"/>
      <c r="E2612" s="251"/>
      <c r="F2612" s="251"/>
      <c r="G2612" s="249"/>
      <c r="H2612" s="252"/>
      <c r="I2612" s="251"/>
      <c r="J2612" s="251"/>
      <c r="K2612" s="250"/>
      <c r="L2612" s="249"/>
    </row>
    <row r="2613" spans="3:12" s="244" customFormat="1" x14ac:dyDescent="0.25">
      <c r="C2613" s="251"/>
      <c r="D2613" s="251"/>
      <c r="E2613" s="251"/>
      <c r="F2613" s="251"/>
      <c r="G2613" s="249"/>
      <c r="H2613" s="252"/>
      <c r="I2613" s="251"/>
      <c r="J2613" s="251"/>
      <c r="K2613" s="250"/>
      <c r="L2613" s="249"/>
    </row>
    <row r="2614" spans="3:12" s="244" customFormat="1" x14ac:dyDescent="0.25">
      <c r="C2614" s="251"/>
      <c r="D2614" s="251"/>
      <c r="E2614" s="251"/>
      <c r="F2614" s="251"/>
      <c r="G2614" s="249"/>
      <c r="H2614" s="252"/>
      <c r="I2614" s="251"/>
      <c r="J2614" s="251"/>
      <c r="K2614" s="250"/>
      <c r="L2614" s="249"/>
    </row>
    <row r="2615" spans="3:12" s="244" customFormat="1" x14ac:dyDescent="0.25">
      <c r="C2615" s="251"/>
      <c r="D2615" s="251"/>
      <c r="E2615" s="251"/>
      <c r="F2615" s="251"/>
      <c r="G2615" s="249"/>
      <c r="H2615" s="252"/>
      <c r="I2615" s="251"/>
      <c r="J2615" s="251"/>
      <c r="K2615" s="250"/>
      <c r="L2615" s="249"/>
    </row>
    <row r="2616" spans="3:12" s="244" customFormat="1" x14ac:dyDescent="0.25">
      <c r="C2616" s="251"/>
      <c r="D2616" s="251"/>
      <c r="E2616" s="251"/>
      <c r="F2616" s="251"/>
      <c r="G2616" s="249"/>
      <c r="H2616" s="252"/>
      <c r="I2616" s="251"/>
      <c r="J2616" s="251"/>
      <c r="K2616" s="250"/>
      <c r="L2616" s="249"/>
    </row>
    <row r="2617" spans="3:12" s="244" customFormat="1" x14ac:dyDescent="0.25">
      <c r="C2617" s="251"/>
      <c r="D2617" s="251"/>
      <c r="E2617" s="251"/>
      <c r="F2617" s="251"/>
      <c r="G2617" s="249"/>
      <c r="H2617" s="252"/>
      <c r="I2617" s="251"/>
      <c r="J2617" s="251"/>
      <c r="K2617" s="250"/>
      <c r="L2617" s="249"/>
    </row>
    <row r="2618" spans="3:12" s="244" customFormat="1" x14ac:dyDescent="0.25">
      <c r="C2618" s="251"/>
      <c r="D2618" s="251"/>
      <c r="E2618" s="251"/>
      <c r="F2618" s="251"/>
      <c r="G2618" s="249"/>
      <c r="H2618" s="252"/>
      <c r="I2618" s="251"/>
      <c r="J2618" s="251"/>
      <c r="K2618" s="250"/>
      <c r="L2618" s="249"/>
    </row>
    <row r="2619" spans="3:12" s="244" customFormat="1" x14ac:dyDescent="0.25">
      <c r="C2619" s="251"/>
      <c r="D2619" s="251"/>
      <c r="E2619" s="251"/>
      <c r="F2619" s="251"/>
      <c r="G2619" s="249"/>
      <c r="H2619" s="252"/>
      <c r="I2619" s="251"/>
      <c r="J2619" s="251"/>
      <c r="K2619" s="250"/>
      <c r="L2619" s="249"/>
    </row>
    <row r="2620" spans="3:12" s="244" customFormat="1" x14ac:dyDescent="0.25">
      <c r="C2620" s="251"/>
      <c r="D2620" s="251"/>
      <c r="E2620" s="251"/>
      <c r="F2620" s="251"/>
      <c r="G2620" s="249"/>
      <c r="H2620" s="252"/>
      <c r="I2620" s="251"/>
      <c r="J2620" s="251"/>
      <c r="K2620" s="250"/>
      <c r="L2620" s="249"/>
    </row>
    <row r="2621" spans="3:12" s="244" customFormat="1" x14ac:dyDescent="0.25">
      <c r="C2621" s="251"/>
      <c r="D2621" s="251"/>
      <c r="E2621" s="251"/>
      <c r="F2621" s="251"/>
      <c r="G2621" s="249"/>
      <c r="H2621" s="252"/>
      <c r="I2621" s="251"/>
      <c r="J2621" s="251"/>
      <c r="K2621" s="250"/>
      <c r="L2621" s="249"/>
    </row>
    <row r="2622" spans="3:12" s="244" customFormat="1" x14ac:dyDescent="0.25">
      <c r="C2622" s="251"/>
      <c r="D2622" s="251"/>
      <c r="E2622" s="251"/>
      <c r="F2622" s="251"/>
      <c r="G2622" s="249"/>
      <c r="H2622" s="252"/>
      <c r="I2622" s="251"/>
      <c r="J2622" s="251"/>
      <c r="K2622" s="250"/>
      <c r="L2622" s="249"/>
    </row>
    <row r="2623" spans="3:12" s="244" customFormat="1" x14ac:dyDescent="0.25">
      <c r="C2623" s="251"/>
      <c r="D2623" s="251"/>
      <c r="E2623" s="251"/>
      <c r="F2623" s="251"/>
      <c r="G2623" s="249"/>
      <c r="H2623" s="252"/>
      <c r="I2623" s="251"/>
      <c r="J2623" s="251"/>
      <c r="K2623" s="250"/>
      <c r="L2623" s="249"/>
    </row>
    <row r="2624" spans="3:12" s="244" customFormat="1" x14ac:dyDescent="0.25">
      <c r="C2624" s="251"/>
      <c r="D2624" s="251"/>
      <c r="E2624" s="251"/>
      <c r="F2624" s="251"/>
      <c r="G2624" s="249"/>
      <c r="H2624" s="252"/>
      <c r="I2624" s="251"/>
      <c r="J2624" s="251"/>
      <c r="K2624" s="250"/>
      <c r="L2624" s="249"/>
    </row>
    <row r="2625" spans="3:12" s="244" customFormat="1" x14ac:dyDescent="0.25">
      <c r="C2625" s="251"/>
      <c r="D2625" s="251"/>
      <c r="E2625" s="251"/>
      <c r="F2625" s="251"/>
      <c r="G2625" s="249"/>
      <c r="H2625" s="252"/>
      <c r="I2625" s="251"/>
      <c r="J2625" s="251"/>
      <c r="K2625" s="250"/>
      <c r="L2625" s="249"/>
    </row>
    <row r="2626" spans="3:12" s="244" customFormat="1" x14ac:dyDescent="0.25">
      <c r="C2626" s="251"/>
      <c r="D2626" s="251"/>
      <c r="E2626" s="251"/>
      <c r="F2626" s="251"/>
      <c r="G2626" s="249"/>
      <c r="H2626" s="252"/>
      <c r="I2626" s="251"/>
      <c r="J2626" s="251"/>
      <c r="K2626" s="250"/>
      <c r="L2626" s="249"/>
    </row>
    <row r="2627" spans="3:12" s="244" customFormat="1" x14ac:dyDescent="0.25">
      <c r="C2627" s="251"/>
      <c r="D2627" s="251"/>
      <c r="E2627" s="251"/>
      <c r="F2627" s="251"/>
      <c r="G2627" s="249"/>
      <c r="H2627" s="252"/>
      <c r="I2627" s="251"/>
      <c r="J2627" s="251"/>
      <c r="K2627" s="250"/>
      <c r="L2627" s="249"/>
    </row>
    <row r="2628" spans="3:12" s="244" customFormat="1" x14ac:dyDescent="0.25">
      <c r="C2628" s="251"/>
      <c r="D2628" s="251"/>
      <c r="E2628" s="251"/>
      <c r="F2628" s="251"/>
      <c r="G2628" s="249"/>
      <c r="H2628" s="252"/>
      <c r="I2628" s="251"/>
      <c r="J2628" s="251"/>
      <c r="K2628" s="250"/>
      <c r="L2628" s="249"/>
    </row>
    <row r="2629" spans="3:12" s="244" customFormat="1" x14ac:dyDescent="0.25">
      <c r="C2629" s="251"/>
      <c r="D2629" s="251"/>
      <c r="E2629" s="251"/>
      <c r="F2629" s="251"/>
      <c r="G2629" s="249"/>
      <c r="H2629" s="252"/>
      <c r="I2629" s="251"/>
      <c r="J2629" s="251"/>
      <c r="K2629" s="250"/>
      <c r="L2629" s="249"/>
    </row>
    <row r="2630" spans="3:12" s="244" customFormat="1" x14ac:dyDescent="0.25">
      <c r="C2630" s="251"/>
      <c r="D2630" s="251"/>
      <c r="E2630" s="251"/>
      <c r="F2630" s="251"/>
      <c r="G2630" s="249"/>
      <c r="H2630" s="252"/>
      <c r="I2630" s="251"/>
      <c r="J2630" s="251"/>
      <c r="K2630" s="250"/>
      <c r="L2630" s="249"/>
    </row>
    <row r="2631" spans="3:12" s="244" customFormat="1" x14ac:dyDescent="0.25">
      <c r="C2631" s="251"/>
      <c r="D2631" s="251"/>
      <c r="E2631" s="251"/>
      <c r="F2631" s="251"/>
      <c r="G2631" s="249"/>
      <c r="H2631" s="252"/>
      <c r="I2631" s="251"/>
      <c r="J2631" s="251"/>
      <c r="K2631" s="250"/>
      <c r="L2631" s="249"/>
    </row>
    <row r="2632" spans="3:12" s="244" customFormat="1" x14ac:dyDescent="0.25">
      <c r="C2632" s="251"/>
      <c r="D2632" s="251"/>
      <c r="E2632" s="251"/>
      <c r="F2632" s="251"/>
      <c r="G2632" s="249"/>
      <c r="H2632" s="252"/>
      <c r="I2632" s="251"/>
      <c r="J2632" s="251"/>
      <c r="K2632" s="250"/>
      <c r="L2632" s="249"/>
    </row>
    <row r="2633" spans="3:12" s="244" customFormat="1" x14ac:dyDescent="0.25">
      <c r="C2633" s="251"/>
      <c r="D2633" s="251"/>
      <c r="E2633" s="251"/>
      <c r="F2633" s="251"/>
      <c r="G2633" s="249"/>
      <c r="H2633" s="252"/>
      <c r="I2633" s="251"/>
      <c r="J2633" s="251"/>
      <c r="K2633" s="250"/>
      <c r="L2633" s="249"/>
    </row>
    <row r="2634" spans="3:12" s="244" customFormat="1" x14ac:dyDescent="0.25">
      <c r="C2634" s="251"/>
      <c r="D2634" s="251"/>
      <c r="E2634" s="251"/>
      <c r="F2634" s="251"/>
      <c r="G2634" s="249"/>
      <c r="H2634" s="252"/>
      <c r="I2634" s="251"/>
      <c r="J2634" s="251"/>
      <c r="K2634" s="250"/>
      <c r="L2634" s="249"/>
    </row>
    <row r="2635" spans="3:12" s="244" customFormat="1" x14ac:dyDescent="0.25">
      <c r="C2635" s="251"/>
      <c r="D2635" s="251"/>
      <c r="E2635" s="251"/>
      <c r="F2635" s="251"/>
      <c r="G2635" s="249"/>
      <c r="H2635" s="252"/>
      <c r="I2635" s="251"/>
      <c r="J2635" s="251"/>
      <c r="K2635" s="250"/>
      <c r="L2635" s="249"/>
    </row>
    <row r="2636" spans="3:12" s="244" customFormat="1" x14ac:dyDescent="0.25">
      <c r="C2636" s="251"/>
      <c r="D2636" s="251"/>
      <c r="E2636" s="251"/>
      <c r="F2636" s="251"/>
      <c r="G2636" s="249"/>
      <c r="H2636" s="252"/>
      <c r="I2636" s="251"/>
      <c r="J2636" s="251"/>
      <c r="K2636" s="250"/>
      <c r="L2636" s="249"/>
    </row>
    <row r="2637" spans="3:12" s="244" customFormat="1" x14ac:dyDescent="0.25">
      <c r="C2637" s="251"/>
      <c r="D2637" s="251"/>
      <c r="E2637" s="251"/>
      <c r="F2637" s="251"/>
      <c r="G2637" s="249"/>
      <c r="H2637" s="252"/>
      <c r="I2637" s="251"/>
      <c r="J2637" s="251"/>
      <c r="K2637" s="250"/>
      <c r="L2637" s="249"/>
    </row>
    <row r="2638" spans="3:12" s="244" customFormat="1" x14ac:dyDescent="0.25">
      <c r="C2638" s="251"/>
      <c r="D2638" s="251"/>
      <c r="E2638" s="251"/>
      <c r="F2638" s="251"/>
      <c r="G2638" s="249"/>
      <c r="H2638" s="252"/>
      <c r="I2638" s="251"/>
      <c r="J2638" s="251"/>
      <c r="K2638" s="250"/>
      <c r="L2638" s="249"/>
    </row>
    <row r="2639" spans="3:12" s="244" customFormat="1" x14ac:dyDescent="0.25">
      <c r="C2639" s="251"/>
      <c r="D2639" s="251"/>
      <c r="E2639" s="251"/>
      <c r="F2639" s="251"/>
      <c r="G2639" s="249"/>
      <c r="H2639" s="252"/>
      <c r="I2639" s="251"/>
      <c r="J2639" s="251"/>
      <c r="K2639" s="250"/>
      <c r="L2639" s="249"/>
    </row>
    <row r="2640" spans="3:12" s="244" customFormat="1" x14ac:dyDescent="0.25">
      <c r="C2640" s="251"/>
      <c r="D2640" s="251"/>
      <c r="E2640" s="251"/>
      <c r="F2640" s="251"/>
      <c r="G2640" s="249"/>
      <c r="H2640" s="252"/>
      <c r="I2640" s="251"/>
      <c r="J2640" s="251"/>
      <c r="K2640" s="250"/>
      <c r="L2640" s="249"/>
    </row>
    <row r="2641" spans="3:12" s="244" customFormat="1" x14ac:dyDescent="0.25">
      <c r="C2641" s="251"/>
      <c r="D2641" s="251"/>
      <c r="E2641" s="251"/>
      <c r="F2641" s="251"/>
      <c r="G2641" s="249"/>
      <c r="H2641" s="252"/>
      <c r="I2641" s="251"/>
      <c r="J2641" s="251"/>
      <c r="K2641" s="250"/>
      <c r="L2641" s="249"/>
    </row>
    <row r="2642" spans="3:12" s="244" customFormat="1" x14ac:dyDescent="0.25">
      <c r="C2642" s="251"/>
      <c r="D2642" s="251"/>
      <c r="E2642" s="251"/>
      <c r="F2642" s="251"/>
      <c r="G2642" s="249"/>
      <c r="H2642" s="252"/>
      <c r="I2642" s="251"/>
      <c r="J2642" s="251"/>
      <c r="K2642" s="250"/>
      <c r="L2642" s="249"/>
    </row>
    <row r="2643" spans="3:12" s="244" customFormat="1" x14ac:dyDescent="0.25">
      <c r="C2643" s="251"/>
      <c r="D2643" s="251"/>
      <c r="E2643" s="251"/>
      <c r="F2643" s="251"/>
      <c r="G2643" s="249"/>
      <c r="H2643" s="252"/>
      <c r="I2643" s="251"/>
      <c r="J2643" s="251"/>
      <c r="K2643" s="250"/>
      <c r="L2643" s="249"/>
    </row>
    <row r="2644" spans="3:12" s="244" customFormat="1" x14ac:dyDescent="0.25">
      <c r="C2644" s="251"/>
      <c r="D2644" s="251"/>
      <c r="E2644" s="251"/>
      <c r="F2644" s="251"/>
      <c r="G2644" s="249"/>
      <c r="H2644" s="252"/>
      <c r="I2644" s="251"/>
      <c r="J2644" s="251"/>
      <c r="K2644" s="250"/>
      <c r="L2644" s="249"/>
    </row>
    <row r="2645" spans="3:12" s="244" customFormat="1" x14ac:dyDescent="0.25">
      <c r="C2645" s="251"/>
      <c r="D2645" s="251"/>
      <c r="E2645" s="251"/>
      <c r="F2645" s="251"/>
      <c r="G2645" s="249"/>
      <c r="H2645" s="252"/>
      <c r="I2645" s="251"/>
      <c r="J2645" s="251"/>
      <c r="K2645" s="250"/>
      <c r="L2645" s="249"/>
    </row>
    <row r="2646" spans="3:12" s="244" customFormat="1" x14ac:dyDescent="0.25">
      <c r="C2646" s="251"/>
      <c r="D2646" s="251"/>
      <c r="E2646" s="251"/>
      <c r="F2646" s="251"/>
      <c r="G2646" s="249"/>
      <c r="H2646" s="252"/>
      <c r="I2646" s="251"/>
      <c r="J2646" s="251"/>
      <c r="K2646" s="250"/>
      <c r="L2646" s="249"/>
    </row>
    <row r="2647" spans="3:12" s="244" customFormat="1" x14ac:dyDescent="0.25">
      <c r="C2647" s="251"/>
      <c r="D2647" s="251"/>
      <c r="E2647" s="251"/>
      <c r="F2647" s="251"/>
      <c r="G2647" s="249"/>
      <c r="H2647" s="252"/>
      <c r="I2647" s="251"/>
      <c r="J2647" s="251"/>
      <c r="K2647" s="250"/>
      <c r="L2647" s="249"/>
    </row>
    <row r="2648" spans="3:12" s="244" customFormat="1" x14ac:dyDescent="0.25">
      <c r="C2648" s="251"/>
      <c r="D2648" s="251"/>
      <c r="E2648" s="251"/>
      <c r="F2648" s="251"/>
      <c r="G2648" s="249"/>
      <c r="H2648" s="252"/>
      <c r="I2648" s="251"/>
      <c r="J2648" s="251"/>
      <c r="K2648" s="250"/>
      <c r="L2648" s="249"/>
    </row>
    <row r="2649" spans="3:12" s="244" customFormat="1" x14ac:dyDescent="0.25">
      <c r="C2649" s="251"/>
      <c r="D2649" s="251"/>
      <c r="E2649" s="251"/>
      <c r="F2649" s="251"/>
      <c r="G2649" s="249"/>
      <c r="H2649" s="252"/>
      <c r="I2649" s="251"/>
      <c r="J2649" s="251"/>
      <c r="K2649" s="250"/>
      <c r="L2649" s="249"/>
    </row>
    <row r="2650" spans="3:12" s="244" customFormat="1" x14ac:dyDescent="0.25">
      <c r="C2650" s="251"/>
      <c r="D2650" s="251"/>
      <c r="E2650" s="251"/>
      <c r="F2650" s="251"/>
      <c r="G2650" s="249"/>
      <c r="H2650" s="252"/>
      <c r="I2650" s="251"/>
      <c r="J2650" s="251"/>
      <c r="K2650" s="250"/>
      <c r="L2650" s="249"/>
    </row>
    <row r="2651" spans="3:12" s="244" customFormat="1" x14ac:dyDescent="0.25">
      <c r="C2651" s="251"/>
      <c r="D2651" s="251"/>
      <c r="E2651" s="251"/>
      <c r="F2651" s="251"/>
      <c r="G2651" s="249"/>
      <c r="H2651" s="252"/>
      <c r="I2651" s="251"/>
      <c r="J2651" s="251"/>
      <c r="K2651" s="250"/>
      <c r="L2651" s="249"/>
    </row>
    <row r="2652" spans="3:12" s="244" customFormat="1" x14ac:dyDescent="0.25">
      <c r="C2652" s="251"/>
      <c r="D2652" s="251"/>
      <c r="E2652" s="251"/>
      <c r="F2652" s="251"/>
      <c r="G2652" s="249"/>
      <c r="H2652" s="252"/>
      <c r="I2652" s="251"/>
      <c r="J2652" s="251"/>
      <c r="K2652" s="250"/>
      <c r="L2652" s="249"/>
    </row>
    <row r="2653" spans="3:12" s="244" customFormat="1" x14ac:dyDescent="0.25">
      <c r="C2653" s="251"/>
      <c r="D2653" s="251"/>
      <c r="E2653" s="251"/>
      <c r="F2653" s="251"/>
      <c r="G2653" s="249"/>
      <c r="H2653" s="252"/>
      <c r="I2653" s="251"/>
      <c r="J2653" s="251"/>
      <c r="K2653" s="250"/>
      <c r="L2653" s="249"/>
    </row>
    <row r="2654" spans="3:12" s="244" customFormat="1" x14ac:dyDescent="0.25">
      <c r="C2654" s="251"/>
      <c r="D2654" s="251"/>
      <c r="E2654" s="251"/>
      <c r="F2654" s="251"/>
      <c r="G2654" s="249"/>
      <c r="H2654" s="252"/>
      <c r="I2654" s="251"/>
      <c r="J2654" s="251"/>
      <c r="K2654" s="250"/>
      <c r="L2654" s="249"/>
    </row>
    <row r="2655" spans="3:12" s="244" customFormat="1" x14ac:dyDescent="0.25">
      <c r="C2655" s="251"/>
      <c r="D2655" s="251"/>
      <c r="E2655" s="251"/>
      <c r="F2655" s="251"/>
      <c r="G2655" s="249"/>
      <c r="H2655" s="252"/>
      <c r="I2655" s="251"/>
      <c r="J2655" s="251"/>
      <c r="K2655" s="250"/>
      <c r="L2655" s="249"/>
    </row>
    <row r="2656" spans="3:12" s="244" customFormat="1" x14ac:dyDescent="0.25">
      <c r="C2656" s="251"/>
      <c r="D2656" s="251"/>
      <c r="E2656" s="251"/>
      <c r="F2656" s="251"/>
      <c r="G2656" s="249"/>
      <c r="H2656" s="252"/>
      <c r="I2656" s="251"/>
      <c r="J2656" s="251"/>
      <c r="K2656" s="250"/>
      <c r="L2656" s="249"/>
    </row>
    <row r="2657" spans="3:12" s="244" customFormat="1" x14ac:dyDescent="0.25">
      <c r="C2657" s="251"/>
      <c r="D2657" s="251"/>
      <c r="E2657" s="251"/>
      <c r="F2657" s="251"/>
      <c r="G2657" s="249"/>
      <c r="H2657" s="252"/>
      <c r="I2657" s="251"/>
      <c r="J2657" s="251"/>
      <c r="K2657" s="250"/>
      <c r="L2657" s="249"/>
    </row>
    <row r="2658" spans="3:12" s="244" customFormat="1" x14ac:dyDescent="0.25">
      <c r="C2658" s="251"/>
      <c r="D2658" s="251"/>
      <c r="E2658" s="251"/>
      <c r="F2658" s="251"/>
      <c r="G2658" s="249"/>
      <c r="H2658" s="252"/>
      <c r="I2658" s="251"/>
      <c r="J2658" s="251"/>
      <c r="K2658" s="250"/>
      <c r="L2658" s="249"/>
    </row>
    <row r="2659" spans="3:12" s="244" customFormat="1" x14ac:dyDescent="0.25">
      <c r="C2659" s="251"/>
      <c r="D2659" s="251"/>
      <c r="E2659" s="251"/>
      <c r="F2659" s="251"/>
      <c r="G2659" s="249"/>
      <c r="H2659" s="252"/>
      <c r="I2659" s="251"/>
      <c r="J2659" s="251"/>
      <c r="K2659" s="250"/>
      <c r="L2659" s="249"/>
    </row>
    <row r="2660" spans="3:12" s="244" customFormat="1" x14ac:dyDescent="0.25">
      <c r="C2660" s="251"/>
      <c r="D2660" s="251"/>
      <c r="E2660" s="251"/>
      <c r="F2660" s="251"/>
      <c r="G2660" s="249"/>
      <c r="H2660" s="252"/>
      <c r="I2660" s="251"/>
      <c r="J2660" s="251"/>
      <c r="K2660" s="250"/>
      <c r="L2660" s="249"/>
    </row>
    <row r="2661" spans="3:12" s="244" customFormat="1" x14ac:dyDescent="0.25">
      <c r="C2661" s="251"/>
      <c r="D2661" s="251"/>
      <c r="E2661" s="251"/>
      <c r="F2661" s="251"/>
      <c r="G2661" s="249"/>
      <c r="H2661" s="252"/>
      <c r="I2661" s="251"/>
      <c r="J2661" s="251"/>
      <c r="K2661" s="250"/>
      <c r="L2661" s="249"/>
    </row>
    <row r="2662" spans="3:12" s="244" customFormat="1" x14ac:dyDescent="0.25">
      <c r="C2662" s="251"/>
      <c r="D2662" s="251"/>
      <c r="E2662" s="251"/>
      <c r="F2662" s="251"/>
      <c r="G2662" s="249"/>
      <c r="H2662" s="252"/>
      <c r="I2662" s="251"/>
      <c r="J2662" s="251"/>
      <c r="K2662" s="250"/>
      <c r="L2662" s="249"/>
    </row>
    <row r="2663" spans="3:12" s="244" customFormat="1" x14ac:dyDescent="0.25">
      <c r="C2663" s="251"/>
      <c r="D2663" s="251"/>
      <c r="E2663" s="251"/>
      <c r="F2663" s="251"/>
      <c r="G2663" s="249"/>
      <c r="H2663" s="252"/>
      <c r="I2663" s="251"/>
      <c r="J2663" s="251"/>
      <c r="K2663" s="250"/>
      <c r="L2663" s="249"/>
    </row>
    <row r="2664" spans="3:12" s="244" customFormat="1" x14ac:dyDescent="0.25">
      <c r="C2664" s="251"/>
      <c r="D2664" s="251"/>
      <c r="E2664" s="251"/>
      <c r="F2664" s="251"/>
      <c r="G2664" s="249"/>
      <c r="H2664" s="252"/>
      <c r="I2664" s="251"/>
      <c r="J2664" s="251"/>
      <c r="K2664" s="250"/>
      <c r="L2664" s="249"/>
    </row>
    <row r="2665" spans="3:12" s="244" customFormat="1" x14ac:dyDescent="0.25">
      <c r="C2665" s="251"/>
      <c r="D2665" s="251"/>
      <c r="E2665" s="251"/>
      <c r="F2665" s="251"/>
      <c r="G2665" s="249"/>
      <c r="H2665" s="252"/>
      <c r="I2665" s="251"/>
      <c r="J2665" s="251"/>
      <c r="K2665" s="250"/>
      <c r="L2665" s="249"/>
    </row>
    <row r="2666" spans="3:12" s="244" customFormat="1" x14ac:dyDescent="0.25">
      <c r="C2666" s="251"/>
      <c r="D2666" s="251"/>
      <c r="E2666" s="251"/>
      <c r="F2666" s="251"/>
      <c r="G2666" s="249"/>
      <c r="H2666" s="252"/>
      <c r="I2666" s="251"/>
      <c r="J2666" s="251"/>
      <c r="K2666" s="250"/>
      <c r="L2666" s="249"/>
    </row>
    <row r="2667" spans="3:12" s="244" customFormat="1" x14ac:dyDescent="0.25">
      <c r="C2667" s="251"/>
      <c r="D2667" s="251"/>
      <c r="E2667" s="251"/>
      <c r="F2667" s="251"/>
      <c r="G2667" s="249"/>
      <c r="H2667" s="252"/>
      <c r="I2667" s="251"/>
      <c r="J2667" s="251"/>
      <c r="K2667" s="250"/>
      <c r="L2667" s="249"/>
    </row>
    <row r="2668" spans="3:12" s="244" customFormat="1" x14ac:dyDescent="0.25">
      <c r="C2668" s="251"/>
      <c r="D2668" s="251"/>
      <c r="E2668" s="251"/>
      <c r="F2668" s="251"/>
      <c r="G2668" s="249"/>
      <c r="H2668" s="252"/>
      <c r="I2668" s="251"/>
      <c r="J2668" s="251"/>
      <c r="K2668" s="250"/>
      <c r="L2668" s="249"/>
    </row>
    <row r="2669" spans="3:12" s="244" customFormat="1" x14ac:dyDescent="0.25">
      <c r="C2669" s="251"/>
      <c r="D2669" s="251"/>
      <c r="E2669" s="251"/>
      <c r="F2669" s="251"/>
      <c r="G2669" s="249"/>
      <c r="H2669" s="252"/>
      <c r="I2669" s="251"/>
      <c r="J2669" s="251"/>
      <c r="K2669" s="250"/>
      <c r="L2669" s="249"/>
    </row>
    <row r="2670" spans="3:12" s="244" customFormat="1" x14ac:dyDescent="0.25">
      <c r="C2670" s="251"/>
      <c r="D2670" s="251"/>
      <c r="E2670" s="251"/>
      <c r="F2670" s="251"/>
      <c r="G2670" s="249"/>
      <c r="H2670" s="252"/>
      <c r="I2670" s="251"/>
      <c r="J2670" s="251"/>
      <c r="K2670" s="250"/>
      <c r="L2670" s="249"/>
    </row>
    <row r="2671" spans="3:12" s="244" customFormat="1" x14ac:dyDescent="0.25">
      <c r="C2671" s="251"/>
      <c r="D2671" s="251"/>
      <c r="E2671" s="251"/>
      <c r="F2671" s="251"/>
      <c r="G2671" s="249"/>
      <c r="H2671" s="252"/>
      <c r="I2671" s="251"/>
      <c r="J2671" s="251"/>
      <c r="K2671" s="250"/>
      <c r="L2671" s="249"/>
    </row>
    <row r="2672" spans="3:12" s="244" customFormat="1" x14ac:dyDescent="0.25">
      <c r="C2672" s="251"/>
      <c r="D2672" s="251"/>
      <c r="E2672" s="251"/>
      <c r="F2672" s="251"/>
      <c r="G2672" s="249"/>
      <c r="H2672" s="252"/>
      <c r="I2672" s="251"/>
      <c r="J2672" s="251"/>
      <c r="K2672" s="250"/>
      <c r="L2672" s="249"/>
    </row>
    <row r="2673" spans="3:12" s="244" customFormat="1" x14ac:dyDescent="0.25">
      <c r="C2673" s="251"/>
      <c r="D2673" s="251"/>
      <c r="E2673" s="251"/>
      <c r="F2673" s="251"/>
      <c r="G2673" s="249"/>
      <c r="H2673" s="252"/>
      <c r="I2673" s="251"/>
      <c r="J2673" s="251"/>
      <c r="K2673" s="250"/>
      <c r="L2673" s="249"/>
    </row>
    <row r="2674" spans="3:12" s="244" customFormat="1" x14ac:dyDescent="0.25">
      <c r="C2674" s="251"/>
      <c r="D2674" s="251"/>
      <c r="E2674" s="251"/>
      <c r="F2674" s="251"/>
      <c r="G2674" s="249"/>
      <c r="H2674" s="252"/>
      <c r="I2674" s="251"/>
      <c r="J2674" s="251"/>
      <c r="K2674" s="250"/>
      <c r="L2674" s="249"/>
    </row>
    <row r="2675" spans="3:12" s="244" customFormat="1" x14ac:dyDescent="0.25">
      <c r="C2675" s="251"/>
      <c r="D2675" s="251"/>
      <c r="E2675" s="251"/>
      <c r="F2675" s="251"/>
      <c r="G2675" s="249"/>
      <c r="H2675" s="252"/>
      <c r="I2675" s="251"/>
      <c r="J2675" s="251"/>
      <c r="K2675" s="250"/>
      <c r="L2675" s="249"/>
    </row>
    <row r="2676" spans="3:12" s="244" customFormat="1" x14ac:dyDescent="0.25">
      <c r="C2676" s="251"/>
      <c r="D2676" s="251"/>
      <c r="E2676" s="251"/>
      <c r="F2676" s="251"/>
      <c r="G2676" s="249"/>
      <c r="H2676" s="252"/>
      <c r="I2676" s="251"/>
      <c r="J2676" s="251"/>
      <c r="K2676" s="250"/>
      <c r="L2676" s="249"/>
    </row>
    <row r="2677" spans="3:12" s="244" customFormat="1" x14ac:dyDescent="0.25">
      <c r="C2677" s="251"/>
      <c r="D2677" s="251"/>
      <c r="E2677" s="251"/>
      <c r="F2677" s="251"/>
      <c r="G2677" s="249"/>
      <c r="H2677" s="252"/>
      <c r="I2677" s="251"/>
      <c r="J2677" s="251"/>
      <c r="K2677" s="250"/>
      <c r="L2677" s="249"/>
    </row>
    <row r="2678" spans="3:12" s="244" customFormat="1" x14ac:dyDescent="0.25">
      <c r="C2678" s="251"/>
      <c r="D2678" s="251"/>
      <c r="E2678" s="251"/>
      <c r="F2678" s="251"/>
      <c r="G2678" s="249"/>
      <c r="H2678" s="252"/>
      <c r="I2678" s="251"/>
      <c r="J2678" s="251"/>
      <c r="K2678" s="250"/>
      <c r="L2678" s="249"/>
    </row>
    <row r="2679" spans="3:12" s="244" customFormat="1" x14ac:dyDescent="0.25">
      <c r="C2679" s="251"/>
      <c r="D2679" s="251"/>
      <c r="E2679" s="251"/>
      <c r="F2679" s="251"/>
      <c r="G2679" s="249"/>
      <c r="H2679" s="252"/>
      <c r="I2679" s="251"/>
      <c r="J2679" s="251"/>
      <c r="K2679" s="250"/>
      <c r="L2679" s="249"/>
    </row>
    <row r="2680" spans="3:12" s="244" customFormat="1" x14ac:dyDescent="0.25">
      <c r="C2680" s="251"/>
      <c r="D2680" s="251"/>
      <c r="E2680" s="251"/>
      <c r="F2680" s="251"/>
      <c r="G2680" s="249"/>
      <c r="H2680" s="252"/>
      <c r="I2680" s="251"/>
      <c r="J2680" s="251"/>
      <c r="K2680" s="250"/>
      <c r="L2680" s="249"/>
    </row>
    <row r="2681" spans="3:12" s="244" customFormat="1" x14ac:dyDescent="0.25">
      <c r="C2681" s="251"/>
      <c r="D2681" s="251"/>
      <c r="E2681" s="251"/>
      <c r="F2681" s="251"/>
      <c r="G2681" s="249"/>
      <c r="H2681" s="252"/>
      <c r="I2681" s="251"/>
      <c r="J2681" s="251"/>
      <c r="K2681" s="250"/>
      <c r="L2681" s="249"/>
    </row>
    <row r="2682" spans="3:12" s="244" customFormat="1" x14ac:dyDescent="0.25">
      <c r="C2682" s="251"/>
      <c r="D2682" s="251"/>
      <c r="E2682" s="251"/>
      <c r="F2682" s="251"/>
      <c r="G2682" s="249"/>
      <c r="H2682" s="252"/>
      <c r="I2682" s="251"/>
      <c r="J2682" s="251"/>
      <c r="K2682" s="250"/>
      <c r="L2682" s="249"/>
    </row>
    <row r="2683" spans="3:12" s="244" customFormat="1" x14ac:dyDescent="0.25">
      <c r="C2683" s="251"/>
      <c r="D2683" s="251"/>
      <c r="E2683" s="251"/>
      <c r="F2683" s="251"/>
      <c r="G2683" s="249"/>
      <c r="H2683" s="252"/>
      <c r="I2683" s="251"/>
      <c r="J2683" s="251"/>
      <c r="K2683" s="250"/>
      <c r="L2683" s="249"/>
    </row>
    <row r="2684" spans="3:12" s="244" customFormat="1" x14ac:dyDescent="0.25">
      <c r="C2684" s="251"/>
      <c r="D2684" s="251"/>
      <c r="E2684" s="251"/>
      <c r="F2684" s="251"/>
      <c r="G2684" s="249"/>
      <c r="H2684" s="252"/>
      <c r="I2684" s="251"/>
      <c r="J2684" s="251"/>
      <c r="K2684" s="250"/>
      <c r="L2684" s="249"/>
    </row>
    <row r="2685" spans="3:12" s="244" customFormat="1" x14ac:dyDescent="0.25">
      <c r="C2685" s="251"/>
      <c r="D2685" s="251"/>
      <c r="E2685" s="251"/>
      <c r="F2685" s="251"/>
      <c r="G2685" s="249"/>
      <c r="H2685" s="252"/>
      <c r="I2685" s="251"/>
      <c r="J2685" s="251"/>
      <c r="K2685" s="250"/>
      <c r="L2685" s="249"/>
    </row>
    <row r="2686" spans="3:12" s="244" customFormat="1" x14ac:dyDescent="0.25">
      <c r="C2686" s="251"/>
      <c r="D2686" s="251"/>
      <c r="E2686" s="251"/>
      <c r="F2686" s="251"/>
      <c r="G2686" s="249"/>
      <c r="H2686" s="252"/>
      <c r="I2686" s="251"/>
      <c r="J2686" s="251"/>
      <c r="K2686" s="250"/>
      <c r="L2686" s="249"/>
    </row>
    <row r="2687" spans="3:12" s="244" customFormat="1" x14ac:dyDescent="0.25">
      <c r="C2687" s="251"/>
      <c r="D2687" s="251"/>
      <c r="E2687" s="251"/>
      <c r="F2687" s="251"/>
      <c r="G2687" s="249"/>
      <c r="H2687" s="252"/>
      <c r="I2687" s="251"/>
      <c r="J2687" s="251"/>
      <c r="K2687" s="250"/>
      <c r="L2687" s="249"/>
    </row>
    <row r="2688" spans="3:12" s="244" customFormat="1" x14ac:dyDescent="0.25">
      <c r="C2688" s="251"/>
      <c r="D2688" s="251"/>
      <c r="E2688" s="251"/>
      <c r="F2688" s="251"/>
      <c r="G2688" s="249"/>
      <c r="H2688" s="252"/>
      <c r="I2688" s="251"/>
      <c r="J2688" s="251"/>
      <c r="K2688" s="250"/>
      <c r="L2688" s="249"/>
    </row>
    <row r="2689" spans="3:12" s="244" customFormat="1" x14ac:dyDescent="0.25">
      <c r="C2689" s="251"/>
      <c r="D2689" s="251"/>
      <c r="E2689" s="251"/>
      <c r="F2689" s="251"/>
      <c r="G2689" s="249"/>
      <c r="H2689" s="252"/>
      <c r="I2689" s="251"/>
      <c r="J2689" s="251"/>
      <c r="K2689" s="250"/>
      <c r="L2689" s="249"/>
    </row>
    <row r="2690" spans="3:12" s="244" customFormat="1" x14ac:dyDescent="0.25">
      <c r="C2690" s="251"/>
      <c r="D2690" s="251"/>
      <c r="E2690" s="251"/>
      <c r="F2690" s="251"/>
      <c r="G2690" s="249"/>
      <c r="H2690" s="252"/>
      <c r="I2690" s="251"/>
      <c r="J2690" s="251"/>
      <c r="K2690" s="250"/>
      <c r="L2690" s="249"/>
    </row>
    <row r="2691" spans="3:12" s="244" customFormat="1" x14ac:dyDescent="0.25">
      <c r="C2691" s="251"/>
      <c r="D2691" s="251"/>
      <c r="E2691" s="251"/>
      <c r="F2691" s="251"/>
      <c r="G2691" s="249"/>
      <c r="H2691" s="252"/>
      <c r="I2691" s="251"/>
      <c r="J2691" s="251"/>
      <c r="K2691" s="250"/>
      <c r="L2691" s="249"/>
    </row>
    <row r="2692" spans="3:12" s="244" customFormat="1" x14ac:dyDescent="0.25">
      <c r="C2692" s="251"/>
      <c r="D2692" s="251"/>
      <c r="E2692" s="251"/>
      <c r="F2692" s="251"/>
      <c r="G2692" s="249"/>
      <c r="H2692" s="252"/>
      <c r="I2692" s="251"/>
      <c r="J2692" s="251"/>
      <c r="K2692" s="250"/>
      <c r="L2692" s="249"/>
    </row>
    <row r="2693" spans="3:12" s="244" customFormat="1" x14ac:dyDescent="0.25">
      <c r="C2693" s="251"/>
      <c r="D2693" s="251"/>
      <c r="E2693" s="251"/>
      <c r="F2693" s="251"/>
      <c r="G2693" s="249"/>
      <c r="H2693" s="252"/>
      <c r="I2693" s="251"/>
      <c r="J2693" s="251"/>
      <c r="K2693" s="250"/>
      <c r="L2693" s="249"/>
    </row>
    <row r="2694" spans="3:12" s="244" customFormat="1" x14ac:dyDescent="0.25">
      <c r="C2694" s="251"/>
      <c r="D2694" s="251"/>
      <c r="E2694" s="251"/>
      <c r="F2694" s="251"/>
      <c r="G2694" s="249"/>
      <c r="H2694" s="252"/>
      <c r="I2694" s="251"/>
      <c r="J2694" s="251"/>
      <c r="K2694" s="250"/>
      <c r="L2694" s="249"/>
    </row>
    <row r="2695" spans="3:12" s="244" customFormat="1" x14ac:dyDescent="0.25">
      <c r="C2695" s="251"/>
      <c r="D2695" s="251"/>
      <c r="E2695" s="251"/>
      <c r="F2695" s="251"/>
      <c r="G2695" s="249"/>
      <c r="H2695" s="252"/>
      <c r="I2695" s="251"/>
      <c r="J2695" s="251"/>
      <c r="K2695" s="250"/>
      <c r="L2695" s="249"/>
    </row>
    <row r="2696" spans="3:12" s="244" customFormat="1" x14ac:dyDescent="0.25">
      <c r="C2696" s="251"/>
      <c r="D2696" s="251"/>
      <c r="E2696" s="251"/>
      <c r="F2696" s="251"/>
      <c r="G2696" s="249"/>
      <c r="H2696" s="252"/>
      <c r="I2696" s="251"/>
      <c r="J2696" s="251"/>
      <c r="K2696" s="250"/>
      <c r="L2696" s="249"/>
    </row>
    <row r="2697" spans="3:12" s="244" customFormat="1" x14ac:dyDescent="0.25">
      <c r="C2697" s="251"/>
      <c r="D2697" s="251"/>
      <c r="E2697" s="251"/>
      <c r="F2697" s="251"/>
      <c r="G2697" s="249"/>
      <c r="H2697" s="252"/>
      <c r="I2697" s="251"/>
      <c r="J2697" s="251"/>
      <c r="K2697" s="250"/>
      <c r="L2697" s="249"/>
    </row>
    <row r="2698" spans="3:12" s="244" customFormat="1" x14ac:dyDescent="0.25">
      <c r="C2698" s="251"/>
      <c r="D2698" s="251"/>
      <c r="E2698" s="251"/>
      <c r="F2698" s="251"/>
      <c r="G2698" s="249"/>
      <c r="H2698" s="252"/>
      <c r="I2698" s="251"/>
      <c r="J2698" s="251"/>
      <c r="K2698" s="250"/>
      <c r="L2698" s="249"/>
    </row>
    <row r="2699" spans="3:12" s="244" customFormat="1" x14ac:dyDescent="0.25">
      <c r="C2699" s="251"/>
      <c r="D2699" s="251"/>
      <c r="E2699" s="251"/>
      <c r="F2699" s="251"/>
      <c r="G2699" s="249"/>
      <c r="H2699" s="252"/>
      <c r="I2699" s="251"/>
      <c r="J2699" s="251"/>
      <c r="K2699" s="250"/>
      <c r="L2699" s="249"/>
    </row>
    <row r="2700" spans="3:12" s="244" customFormat="1" x14ac:dyDescent="0.25">
      <c r="C2700" s="251"/>
      <c r="D2700" s="251"/>
      <c r="E2700" s="251"/>
      <c r="F2700" s="251"/>
      <c r="G2700" s="249"/>
      <c r="H2700" s="252"/>
      <c r="I2700" s="251"/>
      <c r="J2700" s="251"/>
      <c r="K2700" s="250"/>
      <c r="L2700" s="249"/>
    </row>
    <row r="2701" spans="3:12" s="244" customFormat="1" x14ac:dyDescent="0.25">
      <c r="C2701" s="251"/>
      <c r="D2701" s="251"/>
      <c r="E2701" s="251"/>
      <c r="F2701" s="251"/>
      <c r="G2701" s="249"/>
      <c r="H2701" s="252"/>
      <c r="I2701" s="251"/>
      <c r="J2701" s="251"/>
      <c r="K2701" s="250"/>
      <c r="L2701" s="249"/>
    </row>
    <row r="2702" spans="3:12" s="244" customFormat="1" x14ac:dyDescent="0.25">
      <c r="C2702" s="251"/>
      <c r="D2702" s="251"/>
      <c r="E2702" s="251"/>
      <c r="F2702" s="251"/>
      <c r="G2702" s="249"/>
      <c r="H2702" s="252"/>
      <c r="I2702" s="251"/>
      <c r="J2702" s="251"/>
      <c r="K2702" s="250"/>
      <c r="L2702" s="249"/>
    </row>
    <row r="2703" spans="3:12" s="244" customFormat="1" x14ac:dyDescent="0.25">
      <c r="C2703" s="251"/>
      <c r="D2703" s="251"/>
      <c r="E2703" s="251"/>
      <c r="F2703" s="251"/>
      <c r="G2703" s="249"/>
      <c r="H2703" s="252"/>
      <c r="I2703" s="251"/>
      <c r="J2703" s="251"/>
      <c r="K2703" s="250"/>
      <c r="L2703" s="249"/>
    </row>
    <row r="2704" spans="3:12" s="244" customFormat="1" x14ac:dyDescent="0.25">
      <c r="C2704" s="251"/>
      <c r="D2704" s="251"/>
      <c r="E2704" s="251"/>
      <c r="F2704" s="251"/>
      <c r="G2704" s="249"/>
      <c r="H2704" s="252"/>
      <c r="I2704" s="251"/>
      <c r="J2704" s="251"/>
      <c r="K2704" s="250"/>
      <c r="L2704" s="249"/>
    </row>
    <row r="2705" spans="3:12" s="244" customFormat="1" x14ac:dyDescent="0.25">
      <c r="C2705" s="251"/>
      <c r="D2705" s="251"/>
      <c r="E2705" s="251"/>
      <c r="F2705" s="251"/>
      <c r="G2705" s="249"/>
      <c r="H2705" s="252"/>
      <c r="I2705" s="251"/>
      <c r="J2705" s="251"/>
      <c r="K2705" s="250"/>
      <c r="L2705" s="249"/>
    </row>
    <row r="2706" spans="3:12" s="244" customFormat="1" x14ac:dyDescent="0.25">
      <c r="C2706" s="251"/>
      <c r="D2706" s="251"/>
      <c r="E2706" s="251"/>
      <c r="F2706" s="251"/>
      <c r="G2706" s="249"/>
      <c r="H2706" s="252"/>
      <c r="I2706" s="251"/>
      <c r="J2706" s="251"/>
      <c r="K2706" s="250"/>
      <c r="L2706" s="249"/>
    </row>
    <row r="2707" spans="3:12" s="244" customFormat="1" x14ac:dyDescent="0.25">
      <c r="C2707" s="251"/>
      <c r="D2707" s="251"/>
      <c r="E2707" s="251"/>
      <c r="F2707" s="251"/>
      <c r="G2707" s="249"/>
      <c r="H2707" s="252"/>
      <c r="I2707" s="251"/>
      <c r="J2707" s="251"/>
      <c r="K2707" s="250"/>
      <c r="L2707" s="249"/>
    </row>
    <row r="2708" spans="3:12" s="244" customFormat="1" x14ac:dyDescent="0.25">
      <c r="C2708" s="251"/>
      <c r="D2708" s="251"/>
      <c r="E2708" s="251"/>
      <c r="F2708" s="251"/>
      <c r="G2708" s="249"/>
      <c r="H2708" s="252"/>
      <c r="I2708" s="251"/>
      <c r="J2708" s="251"/>
      <c r="K2708" s="250"/>
      <c r="L2708" s="249"/>
    </row>
    <row r="2709" spans="3:12" s="244" customFormat="1" x14ac:dyDescent="0.25">
      <c r="C2709" s="251"/>
      <c r="D2709" s="251"/>
      <c r="E2709" s="251"/>
      <c r="F2709" s="251"/>
      <c r="G2709" s="249"/>
      <c r="H2709" s="252"/>
      <c r="I2709" s="251"/>
      <c r="J2709" s="251"/>
      <c r="K2709" s="250"/>
      <c r="L2709" s="249"/>
    </row>
    <row r="2710" spans="3:12" s="244" customFormat="1" x14ac:dyDescent="0.25">
      <c r="C2710" s="251"/>
      <c r="D2710" s="251"/>
      <c r="E2710" s="251"/>
      <c r="F2710" s="251"/>
      <c r="G2710" s="249"/>
      <c r="H2710" s="252"/>
      <c r="I2710" s="251"/>
      <c r="J2710" s="251"/>
      <c r="K2710" s="250"/>
      <c r="L2710" s="249"/>
    </row>
    <row r="2711" spans="3:12" s="244" customFormat="1" x14ac:dyDescent="0.25">
      <c r="C2711" s="251"/>
      <c r="D2711" s="251"/>
      <c r="E2711" s="251"/>
      <c r="F2711" s="251"/>
      <c r="G2711" s="249"/>
      <c r="H2711" s="252"/>
      <c r="I2711" s="251"/>
      <c r="J2711" s="251"/>
      <c r="K2711" s="250"/>
      <c r="L2711" s="249"/>
    </row>
    <row r="2712" spans="3:12" s="244" customFormat="1" x14ac:dyDescent="0.25">
      <c r="C2712" s="251"/>
      <c r="D2712" s="251"/>
      <c r="E2712" s="251"/>
      <c r="F2712" s="251"/>
      <c r="G2712" s="249"/>
      <c r="H2712" s="252"/>
      <c r="I2712" s="251"/>
      <c r="J2712" s="251"/>
      <c r="K2712" s="250"/>
      <c r="L2712" s="249"/>
    </row>
    <row r="2713" spans="3:12" s="244" customFormat="1" x14ac:dyDescent="0.25">
      <c r="C2713" s="251"/>
      <c r="D2713" s="251"/>
      <c r="E2713" s="251"/>
      <c r="F2713" s="251"/>
      <c r="G2713" s="249"/>
      <c r="H2713" s="252"/>
      <c r="I2713" s="251"/>
      <c r="J2713" s="251"/>
      <c r="K2713" s="250"/>
      <c r="L2713" s="249"/>
    </row>
    <row r="2714" spans="3:12" s="244" customFormat="1" x14ac:dyDescent="0.25">
      <c r="C2714" s="251"/>
      <c r="D2714" s="251"/>
      <c r="E2714" s="251"/>
      <c r="F2714" s="251"/>
      <c r="G2714" s="249"/>
      <c r="H2714" s="252"/>
      <c r="I2714" s="251"/>
      <c r="J2714" s="251"/>
      <c r="K2714" s="250"/>
      <c r="L2714" s="249"/>
    </row>
    <row r="2715" spans="3:12" s="244" customFormat="1" x14ac:dyDescent="0.25">
      <c r="C2715" s="251"/>
      <c r="D2715" s="251"/>
      <c r="E2715" s="251"/>
      <c r="F2715" s="251"/>
      <c r="G2715" s="249"/>
      <c r="H2715" s="252"/>
      <c r="I2715" s="251"/>
      <c r="J2715" s="251"/>
      <c r="K2715" s="250"/>
      <c r="L2715" s="249"/>
    </row>
    <row r="2716" spans="3:12" s="244" customFormat="1" x14ac:dyDescent="0.25">
      <c r="C2716" s="251"/>
      <c r="D2716" s="251"/>
      <c r="E2716" s="251"/>
      <c r="F2716" s="251"/>
      <c r="G2716" s="249"/>
      <c r="H2716" s="252"/>
      <c r="I2716" s="251"/>
      <c r="J2716" s="251"/>
      <c r="K2716" s="250"/>
      <c r="L2716" s="249"/>
    </row>
    <row r="2717" spans="3:12" s="244" customFormat="1" x14ac:dyDescent="0.25">
      <c r="C2717" s="251"/>
      <c r="D2717" s="251"/>
      <c r="E2717" s="251"/>
      <c r="F2717" s="251"/>
      <c r="G2717" s="249"/>
      <c r="H2717" s="252"/>
      <c r="I2717" s="251"/>
      <c r="J2717" s="251"/>
      <c r="K2717" s="250"/>
      <c r="L2717" s="249"/>
    </row>
    <row r="2718" spans="3:12" s="244" customFormat="1" x14ac:dyDescent="0.25">
      <c r="C2718" s="251"/>
      <c r="D2718" s="251"/>
      <c r="E2718" s="251"/>
      <c r="F2718" s="251"/>
      <c r="G2718" s="249"/>
      <c r="H2718" s="252"/>
      <c r="I2718" s="251"/>
      <c r="J2718" s="251"/>
      <c r="K2718" s="250"/>
      <c r="L2718" s="249"/>
    </row>
    <row r="2719" spans="3:12" s="244" customFormat="1" x14ac:dyDescent="0.25">
      <c r="C2719" s="251"/>
      <c r="D2719" s="251"/>
      <c r="E2719" s="251"/>
      <c r="F2719" s="251"/>
      <c r="G2719" s="249"/>
      <c r="H2719" s="252"/>
      <c r="I2719" s="251"/>
      <c r="J2719" s="251"/>
      <c r="K2719" s="250"/>
      <c r="L2719" s="249"/>
    </row>
    <row r="2720" spans="3:12" s="244" customFormat="1" x14ac:dyDescent="0.25">
      <c r="C2720" s="251"/>
      <c r="D2720" s="251"/>
      <c r="E2720" s="251"/>
      <c r="F2720" s="251"/>
      <c r="G2720" s="249"/>
      <c r="H2720" s="252"/>
      <c r="I2720" s="251"/>
      <c r="J2720" s="251"/>
      <c r="K2720" s="250"/>
      <c r="L2720" s="249"/>
    </row>
    <row r="2721" spans="3:12" s="244" customFormat="1" x14ac:dyDescent="0.25">
      <c r="C2721" s="251"/>
      <c r="D2721" s="251"/>
      <c r="E2721" s="251"/>
      <c r="F2721" s="251"/>
      <c r="G2721" s="249"/>
      <c r="H2721" s="252"/>
      <c r="I2721" s="251"/>
      <c r="J2721" s="251"/>
      <c r="K2721" s="250"/>
      <c r="L2721" s="249"/>
    </row>
    <row r="2722" spans="3:12" s="244" customFormat="1" x14ac:dyDescent="0.25">
      <c r="C2722" s="251"/>
      <c r="D2722" s="251"/>
      <c r="E2722" s="251"/>
      <c r="F2722" s="251"/>
      <c r="G2722" s="249"/>
      <c r="H2722" s="252"/>
      <c r="I2722" s="251"/>
      <c r="J2722" s="251"/>
      <c r="K2722" s="250"/>
      <c r="L2722" s="249"/>
    </row>
    <row r="2723" spans="3:12" s="244" customFormat="1" x14ac:dyDescent="0.25">
      <c r="C2723" s="251"/>
      <c r="D2723" s="251"/>
      <c r="E2723" s="251"/>
      <c r="F2723" s="251"/>
      <c r="G2723" s="249"/>
      <c r="H2723" s="252"/>
      <c r="I2723" s="251"/>
      <c r="J2723" s="251"/>
      <c r="K2723" s="250"/>
      <c r="L2723" s="249"/>
    </row>
    <row r="2724" spans="3:12" s="244" customFormat="1" x14ac:dyDescent="0.25">
      <c r="C2724" s="251"/>
      <c r="D2724" s="251"/>
      <c r="E2724" s="251"/>
      <c r="F2724" s="251"/>
      <c r="G2724" s="249"/>
      <c r="H2724" s="252"/>
      <c r="I2724" s="251"/>
      <c r="J2724" s="251"/>
      <c r="K2724" s="250"/>
      <c r="L2724" s="249"/>
    </row>
    <row r="2725" spans="3:12" s="244" customFormat="1" x14ac:dyDescent="0.25">
      <c r="C2725" s="251"/>
      <c r="D2725" s="251"/>
      <c r="E2725" s="251"/>
      <c r="F2725" s="251"/>
      <c r="G2725" s="249"/>
      <c r="H2725" s="252"/>
      <c r="I2725" s="251"/>
      <c r="J2725" s="251"/>
      <c r="K2725" s="250"/>
      <c r="L2725" s="249"/>
    </row>
    <row r="2726" spans="3:12" s="244" customFormat="1" x14ac:dyDescent="0.25">
      <c r="C2726" s="251"/>
      <c r="D2726" s="251"/>
      <c r="E2726" s="251"/>
      <c r="F2726" s="251"/>
      <c r="G2726" s="249"/>
      <c r="H2726" s="252"/>
      <c r="I2726" s="251"/>
      <c r="J2726" s="251"/>
      <c r="K2726" s="250"/>
      <c r="L2726" s="249"/>
    </row>
    <row r="2727" spans="3:12" s="244" customFormat="1" x14ac:dyDescent="0.25">
      <c r="C2727" s="251"/>
      <c r="D2727" s="251"/>
      <c r="E2727" s="251"/>
      <c r="F2727" s="251"/>
      <c r="G2727" s="249"/>
      <c r="H2727" s="252"/>
      <c r="I2727" s="251"/>
      <c r="J2727" s="251"/>
      <c r="K2727" s="250"/>
      <c r="L2727" s="249"/>
    </row>
    <row r="2728" spans="3:12" s="244" customFormat="1" x14ac:dyDescent="0.25">
      <c r="C2728" s="251"/>
      <c r="D2728" s="251"/>
      <c r="E2728" s="251"/>
      <c r="F2728" s="251"/>
      <c r="G2728" s="249"/>
      <c r="H2728" s="252"/>
      <c r="I2728" s="251"/>
      <c r="J2728" s="251"/>
      <c r="K2728" s="250"/>
      <c r="L2728" s="249"/>
    </row>
    <row r="2729" spans="3:12" s="244" customFormat="1" x14ac:dyDescent="0.25">
      <c r="C2729" s="251"/>
      <c r="D2729" s="251"/>
      <c r="E2729" s="251"/>
      <c r="F2729" s="251"/>
      <c r="G2729" s="249"/>
      <c r="H2729" s="252"/>
      <c r="I2729" s="251"/>
      <c r="J2729" s="251"/>
      <c r="K2729" s="250"/>
      <c r="L2729" s="249"/>
    </row>
    <row r="2730" spans="3:12" s="244" customFormat="1" x14ac:dyDescent="0.25">
      <c r="C2730" s="251"/>
      <c r="D2730" s="251"/>
      <c r="E2730" s="251"/>
      <c r="F2730" s="251"/>
      <c r="G2730" s="249"/>
      <c r="H2730" s="252"/>
      <c r="I2730" s="251"/>
      <c r="J2730" s="251"/>
      <c r="K2730" s="250"/>
      <c r="L2730" s="249"/>
    </row>
    <row r="2731" spans="3:12" s="244" customFormat="1" x14ac:dyDescent="0.25">
      <c r="C2731" s="251"/>
      <c r="D2731" s="251"/>
      <c r="E2731" s="251"/>
      <c r="F2731" s="251"/>
      <c r="G2731" s="249"/>
      <c r="H2731" s="252"/>
      <c r="I2731" s="251"/>
      <c r="J2731" s="251"/>
      <c r="K2731" s="250"/>
      <c r="L2731" s="249"/>
    </row>
    <row r="2732" spans="3:12" s="244" customFormat="1" x14ac:dyDescent="0.25">
      <c r="C2732" s="251"/>
      <c r="D2732" s="251"/>
      <c r="E2732" s="251"/>
      <c r="F2732" s="251"/>
      <c r="G2732" s="249"/>
      <c r="H2732" s="252"/>
      <c r="I2732" s="251"/>
      <c r="J2732" s="251"/>
      <c r="K2732" s="250"/>
      <c r="L2732" s="249"/>
    </row>
    <row r="2733" spans="3:12" s="244" customFormat="1" x14ac:dyDescent="0.25">
      <c r="C2733" s="251"/>
      <c r="D2733" s="251"/>
      <c r="E2733" s="251"/>
      <c r="F2733" s="251"/>
      <c r="G2733" s="249"/>
      <c r="H2733" s="252"/>
      <c r="I2733" s="251"/>
      <c r="J2733" s="251"/>
      <c r="K2733" s="250"/>
      <c r="L2733" s="249"/>
    </row>
    <row r="2734" spans="3:12" s="244" customFormat="1" x14ac:dyDescent="0.25">
      <c r="C2734" s="251"/>
      <c r="D2734" s="251"/>
      <c r="E2734" s="251"/>
      <c r="F2734" s="251"/>
      <c r="G2734" s="249"/>
      <c r="H2734" s="252"/>
      <c r="I2734" s="251"/>
      <c r="J2734" s="251"/>
      <c r="K2734" s="250"/>
      <c r="L2734" s="249"/>
    </row>
    <row r="2735" spans="3:12" s="244" customFormat="1" x14ac:dyDescent="0.25">
      <c r="C2735" s="251"/>
      <c r="D2735" s="251"/>
      <c r="E2735" s="251"/>
      <c r="F2735" s="251"/>
      <c r="G2735" s="249"/>
      <c r="H2735" s="252"/>
      <c r="I2735" s="251"/>
      <c r="J2735" s="251"/>
      <c r="K2735" s="250"/>
      <c r="L2735" s="249"/>
    </row>
    <row r="2736" spans="3:12" s="244" customFormat="1" x14ac:dyDescent="0.25">
      <c r="C2736" s="251"/>
      <c r="D2736" s="251"/>
      <c r="E2736" s="251"/>
      <c r="F2736" s="251"/>
      <c r="G2736" s="249"/>
      <c r="H2736" s="252"/>
      <c r="I2736" s="251"/>
      <c r="J2736" s="251"/>
      <c r="K2736" s="250"/>
      <c r="L2736" s="249"/>
    </row>
    <row r="2737" spans="3:12" s="244" customFormat="1" x14ac:dyDescent="0.25">
      <c r="C2737" s="251"/>
      <c r="D2737" s="251"/>
      <c r="E2737" s="251"/>
      <c r="F2737" s="251"/>
      <c r="G2737" s="249"/>
      <c r="H2737" s="252"/>
      <c r="I2737" s="251"/>
      <c r="J2737" s="251"/>
      <c r="K2737" s="250"/>
      <c r="L2737" s="249"/>
    </row>
    <row r="2738" spans="3:12" s="244" customFormat="1" x14ac:dyDescent="0.25">
      <c r="C2738" s="251"/>
      <c r="D2738" s="251"/>
      <c r="E2738" s="251"/>
      <c r="F2738" s="251"/>
      <c r="G2738" s="249"/>
      <c r="H2738" s="252"/>
      <c r="I2738" s="251"/>
      <c r="J2738" s="251"/>
      <c r="K2738" s="250"/>
      <c r="L2738" s="249"/>
    </row>
    <row r="2739" spans="3:12" s="244" customFormat="1" x14ac:dyDescent="0.25">
      <c r="C2739" s="251"/>
      <c r="D2739" s="251"/>
      <c r="E2739" s="251"/>
      <c r="F2739" s="251"/>
      <c r="G2739" s="249"/>
      <c r="H2739" s="252"/>
      <c r="I2739" s="251"/>
      <c r="J2739" s="251"/>
      <c r="K2739" s="250"/>
      <c r="L2739" s="249"/>
    </row>
    <row r="2740" spans="3:12" s="244" customFormat="1" x14ac:dyDescent="0.25">
      <c r="C2740" s="251"/>
      <c r="D2740" s="251"/>
      <c r="E2740" s="251"/>
      <c r="F2740" s="251"/>
      <c r="G2740" s="249"/>
      <c r="H2740" s="252"/>
      <c r="I2740" s="251"/>
      <c r="J2740" s="251"/>
      <c r="K2740" s="250"/>
      <c r="L2740" s="249"/>
    </row>
    <row r="2741" spans="3:12" s="244" customFormat="1" x14ac:dyDescent="0.25">
      <c r="C2741" s="251"/>
      <c r="D2741" s="251"/>
      <c r="E2741" s="251"/>
      <c r="F2741" s="251"/>
      <c r="G2741" s="249"/>
      <c r="H2741" s="252"/>
      <c r="I2741" s="251"/>
      <c r="J2741" s="251"/>
      <c r="K2741" s="250"/>
      <c r="L2741" s="249"/>
    </row>
    <row r="2742" spans="3:12" s="244" customFormat="1" x14ac:dyDescent="0.25">
      <c r="C2742" s="251"/>
      <c r="D2742" s="251"/>
      <c r="E2742" s="251"/>
      <c r="F2742" s="251"/>
      <c r="G2742" s="249"/>
      <c r="H2742" s="252"/>
      <c r="I2742" s="251"/>
      <c r="J2742" s="251"/>
      <c r="K2742" s="250"/>
      <c r="L2742" s="249"/>
    </row>
    <row r="2743" spans="3:12" s="244" customFormat="1" x14ac:dyDescent="0.25">
      <c r="C2743" s="251"/>
      <c r="D2743" s="251"/>
      <c r="E2743" s="251"/>
      <c r="F2743" s="251"/>
      <c r="G2743" s="249"/>
      <c r="H2743" s="252"/>
      <c r="I2743" s="251"/>
      <c r="J2743" s="251"/>
      <c r="K2743" s="250"/>
      <c r="L2743" s="249"/>
    </row>
    <row r="2744" spans="3:12" s="244" customFormat="1" x14ac:dyDescent="0.25">
      <c r="C2744" s="251"/>
      <c r="D2744" s="251"/>
      <c r="E2744" s="251"/>
      <c r="F2744" s="251"/>
      <c r="G2744" s="249"/>
      <c r="H2744" s="252"/>
      <c r="I2744" s="251"/>
      <c r="J2744" s="251"/>
      <c r="K2744" s="250"/>
      <c r="L2744" s="249"/>
    </row>
    <row r="2745" spans="3:12" s="244" customFormat="1" x14ac:dyDescent="0.25">
      <c r="C2745" s="251"/>
      <c r="D2745" s="251"/>
      <c r="E2745" s="251"/>
      <c r="F2745" s="251"/>
      <c r="G2745" s="249"/>
      <c r="H2745" s="252"/>
      <c r="I2745" s="251"/>
      <c r="J2745" s="251"/>
      <c r="K2745" s="250"/>
      <c r="L2745" s="249"/>
    </row>
    <row r="2746" spans="3:12" s="244" customFormat="1" x14ac:dyDescent="0.25">
      <c r="C2746" s="251"/>
      <c r="D2746" s="251"/>
      <c r="E2746" s="251"/>
      <c r="F2746" s="251"/>
      <c r="G2746" s="249"/>
      <c r="H2746" s="252"/>
      <c r="I2746" s="251"/>
      <c r="J2746" s="251"/>
      <c r="K2746" s="250"/>
      <c r="L2746" s="249"/>
    </row>
    <row r="2747" spans="3:12" s="244" customFormat="1" x14ac:dyDescent="0.25">
      <c r="C2747" s="251"/>
      <c r="D2747" s="251"/>
      <c r="E2747" s="251"/>
      <c r="F2747" s="251"/>
      <c r="G2747" s="249"/>
      <c r="H2747" s="252"/>
      <c r="I2747" s="251"/>
      <c r="J2747" s="251"/>
      <c r="K2747" s="250"/>
      <c r="L2747" s="249"/>
    </row>
    <row r="2748" spans="3:12" s="244" customFormat="1" x14ac:dyDescent="0.25">
      <c r="C2748" s="251"/>
      <c r="D2748" s="251"/>
      <c r="E2748" s="251"/>
      <c r="F2748" s="251"/>
      <c r="G2748" s="249"/>
      <c r="H2748" s="252"/>
      <c r="I2748" s="251"/>
      <c r="J2748" s="251"/>
      <c r="K2748" s="250"/>
      <c r="L2748" s="249"/>
    </row>
    <row r="2749" spans="3:12" s="244" customFormat="1" x14ac:dyDescent="0.25">
      <c r="C2749" s="251"/>
      <c r="D2749" s="251"/>
      <c r="E2749" s="251"/>
      <c r="F2749" s="251"/>
      <c r="G2749" s="249"/>
      <c r="H2749" s="252"/>
      <c r="I2749" s="251"/>
      <c r="J2749" s="251"/>
      <c r="K2749" s="250"/>
      <c r="L2749" s="249"/>
    </row>
    <row r="2750" spans="3:12" s="244" customFormat="1" x14ac:dyDescent="0.25">
      <c r="C2750" s="251"/>
      <c r="D2750" s="251"/>
      <c r="E2750" s="251"/>
      <c r="F2750" s="251"/>
      <c r="G2750" s="249"/>
      <c r="H2750" s="252"/>
      <c r="I2750" s="251"/>
      <c r="J2750" s="251"/>
      <c r="K2750" s="250"/>
      <c r="L2750" s="249"/>
    </row>
    <row r="2751" spans="3:12" s="244" customFormat="1" x14ac:dyDescent="0.25">
      <c r="C2751" s="251"/>
      <c r="D2751" s="251"/>
      <c r="E2751" s="251"/>
      <c r="F2751" s="251"/>
      <c r="G2751" s="249"/>
      <c r="H2751" s="252"/>
      <c r="I2751" s="251"/>
      <c r="J2751" s="251"/>
      <c r="K2751" s="250"/>
      <c r="L2751" s="249"/>
    </row>
    <row r="2752" spans="3:12" s="244" customFormat="1" x14ac:dyDescent="0.25">
      <c r="C2752" s="251"/>
      <c r="D2752" s="251"/>
      <c r="E2752" s="251"/>
      <c r="F2752" s="251"/>
      <c r="G2752" s="249"/>
      <c r="H2752" s="252"/>
      <c r="I2752" s="251"/>
      <c r="J2752" s="251"/>
      <c r="K2752" s="250"/>
      <c r="L2752" s="249"/>
    </row>
    <row r="2753" spans="3:12" s="244" customFormat="1" x14ac:dyDescent="0.25">
      <c r="C2753" s="251"/>
      <c r="D2753" s="251"/>
      <c r="E2753" s="251"/>
      <c r="F2753" s="251"/>
      <c r="G2753" s="249"/>
      <c r="H2753" s="252"/>
      <c r="I2753" s="251"/>
      <c r="J2753" s="251"/>
      <c r="K2753" s="250"/>
      <c r="L2753" s="249"/>
    </row>
    <row r="2754" spans="3:12" s="244" customFormat="1" x14ac:dyDescent="0.25">
      <c r="C2754" s="251"/>
      <c r="D2754" s="251"/>
      <c r="E2754" s="251"/>
      <c r="F2754" s="251"/>
      <c r="G2754" s="249"/>
      <c r="H2754" s="252"/>
      <c r="I2754" s="251"/>
      <c r="J2754" s="251"/>
      <c r="K2754" s="250"/>
      <c r="L2754" s="249"/>
    </row>
    <row r="2755" spans="3:12" s="244" customFormat="1" x14ac:dyDescent="0.25">
      <c r="C2755" s="251"/>
      <c r="D2755" s="251"/>
      <c r="E2755" s="251"/>
      <c r="F2755" s="251"/>
      <c r="G2755" s="249"/>
      <c r="H2755" s="252"/>
      <c r="I2755" s="251"/>
      <c r="J2755" s="251"/>
      <c r="K2755" s="250"/>
      <c r="L2755" s="249"/>
    </row>
    <row r="2756" spans="3:12" s="244" customFormat="1" x14ac:dyDescent="0.25">
      <c r="C2756" s="251"/>
      <c r="D2756" s="251"/>
      <c r="E2756" s="251"/>
      <c r="F2756" s="251"/>
      <c r="G2756" s="249"/>
      <c r="H2756" s="252"/>
      <c r="I2756" s="251"/>
      <c r="J2756" s="251"/>
      <c r="K2756" s="250"/>
      <c r="L2756" s="249"/>
    </row>
    <row r="2757" spans="3:12" s="244" customFormat="1" x14ac:dyDescent="0.25">
      <c r="C2757" s="251"/>
      <c r="D2757" s="251"/>
      <c r="E2757" s="251"/>
      <c r="F2757" s="251"/>
      <c r="G2757" s="249"/>
      <c r="H2757" s="252"/>
      <c r="I2757" s="251"/>
      <c r="J2757" s="251"/>
      <c r="K2757" s="250"/>
      <c r="L2757" s="249"/>
    </row>
    <row r="2758" spans="3:12" s="244" customFormat="1" x14ac:dyDescent="0.25">
      <c r="C2758" s="251"/>
      <c r="D2758" s="251"/>
      <c r="E2758" s="251"/>
      <c r="F2758" s="251"/>
      <c r="G2758" s="249"/>
      <c r="H2758" s="252"/>
      <c r="I2758" s="251"/>
      <c r="J2758" s="251"/>
      <c r="K2758" s="250"/>
      <c r="L2758" s="249"/>
    </row>
    <row r="2759" spans="3:12" s="244" customFormat="1" x14ac:dyDescent="0.25">
      <c r="C2759" s="251"/>
      <c r="D2759" s="251"/>
      <c r="E2759" s="251"/>
      <c r="F2759" s="251"/>
      <c r="G2759" s="249"/>
      <c r="H2759" s="252"/>
      <c r="I2759" s="251"/>
      <c r="J2759" s="251"/>
      <c r="K2759" s="250"/>
      <c r="L2759" s="249"/>
    </row>
    <row r="2760" spans="3:12" s="244" customFormat="1" x14ac:dyDescent="0.25">
      <c r="C2760" s="251"/>
      <c r="D2760" s="251"/>
      <c r="E2760" s="251"/>
      <c r="F2760" s="251"/>
      <c r="G2760" s="249"/>
      <c r="H2760" s="252"/>
      <c r="I2760" s="251"/>
      <c r="J2760" s="251"/>
      <c r="K2760" s="250"/>
      <c r="L2760" s="249"/>
    </row>
    <row r="2761" spans="3:12" s="244" customFormat="1" x14ac:dyDescent="0.25">
      <c r="C2761" s="251"/>
      <c r="D2761" s="251"/>
      <c r="E2761" s="251"/>
      <c r="F2761" s="251"/>
      <c r="G2761" s="249"/>
      <c r="H2761" s="252"/>
      <c r="I2761" s="251"/>
      <c r="J2761" s="251"/>
      <c r="K2761" s="250"/>
      <c r="L2761" s="249"/>
    </row>
    <row r="2762" spans="3:12" s="244" customFormat="1" x14ac:dyDescent="0.25">
      <c r="C2762" s="251"/>
      <c r="D2762" s="251"/>
      <c r="E2762" s="251"/>
      <c r="F2762" s="251"/>
      <c r="G2762" s="249"/>
      <c r="H2762" s="252"/>
      <c r="I2762" s="251"/>
      <c r="J2762" s="251"/>
      <c r="K2762" s="250"/>
      <c r="L2762" s="249"/>
    </row>
    <row r="2763" spans="3:12" s="244" customFormat="1" x14ac:dyDescent="0.25">
      <c r="C2763" s="251"/>
      <c r="D2763" s="251"/>
      <c r="E2763" s="251"/>
      <c r="F2763" s="251"/>
      <c r="G2763" s="249"/>
      <c r="H2763" s="252"/>
      <c r="I2763" s="251"/>
      <c r="J2763" s="251"/>
      <c r="K2763" s="250"/>
      <c r="L2763" s="249"/>
    </row>
    <row r="2764" spans="3:12" s="244" customFormat="1" x14ac:dyDescent="0.25">
      <c r="C2764" s="251"/>
      <c r="D2764" s="251"/>
      <c r="E2764" s="251"/>
      <c r="F2764" s="251"/>
      <c r="G2764" s="249"/>
      <c r="H2764" s="252"/>
      <c r="I2764" s="251"/>
      <c r="J2764" s="251"/>
      <c r="K2764" s="250"/>
      <c r="L2764" s="249"/>
    </row>
    <row r="2765" spans="3:12" s="244" customFormat="1" x14ac:dyDescent="0.25">
      <c r="C2765" s="251"/>
      <c r="D2765" s="251"/>
      <c r="E2765" s="251"/>
      <c r="F2765" s="251"/>
      <c r="G2765" s="249"/>
      <c r="H2765" s="252"/>
      <c r="I2765" s="251"/>
      <c r="J2765" s="251"/>
      <c r="K2765" s="250"/>
      <c r="L2765" s="249"/>
    </row>
    <row r="2766" spans="3:12" s="244" customFormat="1" x14ac:dyDescent="0.25">
      <c r="C2766" s="251"/>
      <c r="D2766" s="251"/>
      <c r="E2766" s="251"/>
      <c r="F2766" s="251"/>
      <c r="G2766" s="249"/>
      <c r="H2766" s="252"/>
      <c r="I2766" s="251"/>
      <c r="J2766" s="251"/>
      <c r="K2766" s="250"/>
      <c r="L2766" s="249"/>
    </row>
    <row r="2767" spans="3:12" s="244" customFormat="1" x14ac:dyDescent="0.25">
      <c r="C2767" s="251"/>
      <c r="D2767" s="251"/>
      <c r="E2767" s="251"/>
      <c r="F2767" s="251"/>
      <c r="G2767" s="249"/>
      <c r="H2767" s="252"/>
      <c r="I2767" s="251"/>
      <c r="J2767" s="251"/>
      <c r="K2767" s="250"/>
      <c r="L2767" s="249"/>
    </row>
    <row r="2768" spans="3:12" s="244" customFormat="1" x14ac:dyDescent="0.25">
      <c r="C2768" s="251"/>
      <c r="D2768" s="251"/>
      <c r="E2768" s="251"/>
      <c r="F2768" s="251"/>
      <c r="G2768" s="249"/>
      <c r="H2768" s="252"/>
      <c r="I2768" s="251"/>
      <c r="J2768" s="251"/>
      <c r="K2768" s="250"/>
      <c r="L2768" s="249"/>
    </row>
    <row r="2769" spans="3:12" s="244" customFormat="1" x14ac:dyDescent="0.25">
      <c r="C2769" s="251"/>
      <c r="D2769" s="251"/>
      <c r="E2769" s="251"/>
      <c r="F2769" s="251"/>
      <c r="G2769" s="249"/>
      <c r="H2769" s="252"/>
      <c r="I2769" s="251"/>
      <c r="J2769" s="251"/>
      <c r="K2769" s="250"/>
      <c r="L2769" s="249"/>
    </row>
    <row r="2770" spans="3:12" s="244" customFormat="1" x14ac:dyDescent="0.25">
      <c r="C2770" s="251"/>
      <c r="D2770" s="251"/>
      <c r="E2770" s="251"/>
      <c r="F2770" s="251"/>
      <c r="G2770" s="249"/>
      <c r="H2770" s="252"/>
      <c r="I2770" s="251"/>
      <c r="J2770" s="251"/>
      <c r="K2770" s="250"/>
      <c r="L2770" s="249"/>
    </row>
    <row r="2771" spans="3:12" s="244" customFormat="1" x14ac:dyDescent="0.25">
      <c r="C2771" s="251"/>
      <c r="D2771" s="251"/>
      <c r="E2771" s="251"/>
      <c r="F2771" s="251"/>
      <c r="G2771" s="249"/>
      <c r="H2771" s="252"/>
      <c r="I2771" s="251"/>
      <c r="J2771" s="251"/>
      <c r="K2771" s="250"/>
      <c r="L2771" s="249"/>
    </row>
    <row r="2772" spans="3:12" s="244" customFormat="1" x14ac:dyDescent="0.25">
      <c r="C2772" s="251"/>
      <c r="D2772" s="251"/>
      <c r="E2772" s="251"/>
      <c r="F2772" s="251"/>
      <c r="G2772" s="249"/>
      <c r="H2772" s="252"/>
      <c r="I2772" s="251"/>
      <c r="J2772" s="251"/>
      <c r="K2772" s="250"/>
      <c r="L2772" s="249"/>
    </row>
    <row r="2773" spans="3:12" s="244" customFormat="1" x14ac:dyDescent="0.25">
      <c r="C2773" s="251"/>
      <c r="D2773" s="251"/>
      <c r="E2773" s="251"/>
      <c r="F2773" s="251"/>
      <c r="G2773" s="249"/>
      <c r="H2773" s="252"/>
      <c r="I2773" s="251"/>
      <c r="J2773" s="251"/>
      <c r="K2773" s="250"/>
      <c r="L2773" s="249"/>
    </row>
    <row r="2774" spans="3:12" s="244" customFormat="1" x14ac:dyDescent="0.25">
      <c r="C2774" s="251"/>
      <c r="D2774" s="251"/>
      <c r="E2774" s="251"/>
      <c r="F2774" s="251"/>
      <c r="G2774" s="249"/>
      <c r="H2774" s="252"/>
      <c r="I2774" s="251"/>
      <c r="J2774" s="251"/>
      <c r="K2774" s="250"/>
      <c r="L2774" s="249"/>
    </row>
    <row r="2775" spans="3:12" s="244" customFormat="1" x14ac:dyDescent="0.25">
      <c r="C2775" s="251"/>
      <c r="D2775" s="251"/>
      <c r="E2775" s="251"/>
      <c r="F2775" s="251"/>
      <c r="G2775" s="249"/>
      <c r="H2775" s="252"/>
      <c r="I2775" s="251"/>
      <c r="J2775" s="251"/>
      <c r="K2775" s="250"/>
      <c r="L2775" s="249"/>
    </row>
    <row r="2776" spans="3:12" s="244" customFormat="1" x14ac:dyDescent="0.25">
      <c r="C2776" s="251"/>
      <c r="D2776" s="251"/>
      <c r="E2776" s="251"/>
      <c r="F2776" s="251"/>
      <c r="G2776" s="249"/>
      <c r="H2776" s="252"/>
      <c r="I2776" s="251"/>
      <c r="J2776" s="251"/>
      <c r="K2776" s="250"/>
      <c r="L2776" s="249"/>
    </row>
    <row r="2777" spans="3:12" s="244" customFormat="1" x14ac:dyDescent="0.25">
      <c r="C2777" s="251"/>
      <c r="D2777" s="251"/>
      <c r="E2777" s="251"/>
      <c r="F2777" s="251"/>
      <c r="G2777" s="249"/>
      <c r="H2777" s="252"/>
      <c r="I2777" s="251"/>
      <c r="J2777" s="251"/>
      <c r="K2777" s="250"/>
      <c r="L2777" s="249"/>
    </row>
    <row r="2778" spans="3:12" s="244" customFormat="1" x14ac:dyDescent="0.25">
      <c r="C2778" s="251"/>
      <c r="D2778" s="251"/>
      <c r="E2778" s="251"/>
      <c r="F2778" s="251"/>
      <c r="G2778" s="249"/>
      <c r="H2778" s="252"/>
      <c r="I2778" s="251"/>
      <c r="J2778" s="251"/>
      <c r="K2778" s="250"/>
      <c r="L2778" s="249"/>
    </row>
    <row r="2779" spans="3:12" s="244" customFormat="1" x14ac:dyDescent="0.25">
      <c r="C2779" s="251"/>
      <c r="D2779" s="251"/>
      <c r="E2779" s="251"/>
      <c r="F2779" s="251"/>
      <c r="G2779" s="249"/>
      <c r="H2779" s="252"/>
      <c r="I2779" s="251"/>
      <c r="J2779" s="251"/>
      <c r="K2779" s="250"/>
      <c r="L2779" s="249"/>
    </row>
    <row r="2780" spans="3:12" s="244" customFormat="1" x14ac:dyDescent="0.25">
      <c r="C2780" s="251"/>
      <c r="D2780" s="251"/>
      <c r="E2780" s="251"/>
      <c r="F2780" s="251"/>
      <c r="G2780" s="249"/>
      <c r="H2780" s="252"/>
      <c r="I2780" s="251"/>
      <c r="J2780" s="251"/>
      <c r="K2780" s="250"/>
      <c r="L2780" s="249"/>
    </row>
    <row r="2781" spans="3:12" s="244" customFormat="1" x14ac:dyDescent="0.25">
      <c r="C2781" s="251"/>
      <c r="D2781" s="251"/>
      <c r="E2781" s="251"/>
      <c r="F2781" s="251"/>
      <c r="G2781" s="249"/>
      <c r="H2781" s="252"/>
      <c r="I2781" s="251"/>
      <c r="J2781" s="251"/>
      <c r="K2781" s="250"/>
      <c r="L2781" s="249"/>
    </row>
    <row r="2782" spans="3:12" s="244" customFormat="1" x14ac:dyDescent="0.25">
      <c r="C2782" s="251"/>
      <c r="D2782" s="251"/>
      <c r="E2782" s="251"/>
      <c r="F2782" s="251"/>
      <c r="G2782" s="249"/>
      <c r="H2782" s="252"/>
      <c r="I2782" s="251"/>
      <c r="J2782" s="251"/>
      <c r="K2782" s="250"/>
      <c r="L2782" s="249"/>
    </row>
    <row r="2783" spans="3:12" s="244" customFormat="1" x14ac:dyDescent="0.25">
      <c r="C2783" s="251"/>
      <c r="D2783" s="251"/>
      <c r="E2783" s="251"/>
      <c r="F2783" s="251"/>
      <c r="G2783" s="249"/>
      <c r="H2783" s="252"/>
      <c r="I2783" s="251"/>
      <c r="J2783" s="251"/>
      <c r="K2783" s="250"/>
      <c r="L2783" s="249"/>
    </row>
    <row r="2784" spans="3:12" s="244" customFormat="1" x14ac:dyDescent="0.25">
      <c r="C2784" s="251"/>
      <c r="D2784" s="251"/>
      <c r="E2784" s="251"/>
      <c r="F2784" s="251"/>
      <c r="G2784" s="249"/>
      <c r="H2784" s="252"/>
      <c r="I2784" s="251"/>
      <c r="J2784" s="251"/>
      <c r="K2784" s="250"/>
      <c r="L2784" s="249"/>
    </row>
    <row r="2785" spans="3:12" s="244" customFormat="1" x14ac:dyDescent="0.25">
      <c r="C2785" s="251"/>
      <c r="D2785" s="251"/>
      <c r="E2785" s="251"/>
      <c r="F2785" s="251"/>
      <c r="G2785" s="249"/>
      <c r="H2785" s="252"/>
      <c r="I2785" s="251"/>
      <c r="J2785" s="251"/>
      <c r="K2785" s="250"/>
      <c r="L2785" s="249"/>
    </row>
    <row r="2786" spans="3:12" s="244" customFormat="1" x14ac:dyDescent="0.25">
      <c r="C2786" s="251"/>
      <c r="D2786" s="251"/>
      <c r="E2786" s="251"/>
      <c r="F2786" s="251"/>
      <c r="G2786" s="249"/>
      <c r="H2786" s="252"/>
      <c r="I2786" s="251"/>
      <c r="J2786" s="251"/>
      <c r="K2786" s="250"/>
      <c r="L2786" s="249"/>
    </row>
    <row r="2787" spans="3:12" s="244" customFormat="1" x14ac:dyDescent="0.25">
      <c r="C2787" s="251"/>
      <c r="D2787" s="251"/>
      <c r="E2787" s="251"/>
      <c r="F2787" s="251"/>
      <c r="G2787" s="249"/>
      <c r="H2787" s="252"/>
      <c r="I2787" s="251"/>
      <c r="J2787" s="251"/>
      <c r="K2787" s="250"/>
      <c r="L2787" s="249"/>
    </row>
    <row r="2788" spans="3:12" s="244" customFormat="1" x14ac:dyDescent="0.25">
      <c r="C2788" s="251"/>
      <c r="D2788" s="251"/>
      <c r="E2788" s="251"/>
      <c r="F2788" s="251"/>
      <c r="G2788" s="249"/>
      <c r="H2788" s="252"/>
      <c r="I2788" s="251"/>
      <c r="J2788" s="251"/>
      <c r="K2788" s="250"/>
      <c r="L2788" s="249"/>
    </row>
    <row r="2789" spans="3:12" s="244" customFormat="1" x14ac:dyDescent="0.25">
      <c r="C2789" s="251"/>
      <c r="D2789" s="251"/>
      <c r="E2789" s="251"/>
      <c r="F2789" s="251"/>
      <c r="G2789" s="249"/>
      <c r="H2789" s="252"/>
      <c r="I2789" s="251"/>
      <c r="J2789" s="251"/>
      <c r="K2789" s="250"/>
      <c r="L2789" s="249"/>
    </row>
    <row r="2790" spans="3:12" s="244" customFormat="1" x14ac:dyDescent="0.25">
      <c r="C2790" s="251"/>
      <c r="D2790" s="251"/>
      <c r="E2790" s="251"/>
      <c r="F2790" s="251"/>
      <c r="G2790" s="249"/>
      <c r="H2790" s="252"/>
      <c r="I2790" s="251"/>
      <c r="J2790" s="251"/>
      <c r="K2790" s="250"/>
      <c r="L2790" s="249"/>
    </row>
    <row r="2791" spans="3:12" s="244" customFormat="1" x14ac:dyDescent="0.25">
      <c r="C2791" s="251"/>
      <c r="D2791" s="251"/>
      <c r="E2791" s="251"/>
      <c r="F2791" s="251"/>
      <c r="G2791" s="249"/>
      <c r="H2791" s="252"/>
      <c r="I2791" s="251"/>
      <c r="J2791" s="251"/>
      <c r="K2791" s="250"/>
      <c r="L2791" s="249"/>
    </row>
    <row r="2792" spans="3:12" s="244" customFormat="1" x14ac:dyDescent="0.25">
      <c r="C2792" s="251"/>
      <c r="D2792" s="251"/>
      <c r="E2792" s="251"/>
      <c r="F2792" s="251"/>
      <c r="G2792" s="249"/>
      <c r="H2792" s="252"/>
      <c r="I2792" s="251"/>
      <c r="J2792" s="251"/>
      <c r="K2792" s="250"/>
      <c r="L2792" s="249"/>
    </row>
    <row r="2793" spans="3:12" s="244" customFormat="1" x14ac:dyDescent="0.25">
      <c r="C2793" s="251"/>
      <c r="D2793" s="251"/>
      <c r="E2793" s="251"/>
      <c r="F2793" s="251"/>
      <c r="G2793" s="249"/>
      <c r="H2793" s="252"/>
      <c r="I2793" s="251"/>
      <c r="J2793" s="251"/>
      <c r="K2793" s="250"/>
      <c r="L2793" s="249"/>
    </row>
    <row r="2794" spans="3:12" s="244" customFormat="1" x14ac:dyDescent="0.25">
      <c r="C2794" s="251"/>
      <c r="D2794" s="251"/>
      <c r="E2794" s="251"/>
      <c r="F2794" s="251"/>
      <c r="G2794" s="249"/>
      <c r="H2794" s="252"/>
      <c r="I2794" s="251"/>
      <c r="J2794" s="251"/>
      <c r="K2794" s="250"/>
      <c r="L2794" s="249"/>
    </row>
    <row r="2795" spans="3:12" s="244" customFormat="1" x14ac:dyDescent="0.25">
      <c r="C2795" s="251"/>
      <c r="D2795" s="251"/>
      <c r="E2795" s="251"/>
      <c r="F2795" s="251"/>
      <c r="G2795" s="249"/>
      <c r="H2795" s="252"/>
      <c r="I2795" s="251"/>
      <c r="J2795" s="251"/>
      <c r="K2795" s="250"/>
      <c r="L2795" s="249"/>
    </row>
    <row r="2796" spans="3:12" s="244" customFormat="1" x14ac:dyDescent="0.25">
      <c r="C2796" s="251"/>
      <c r="D2796" s="251"/>
      <c r="E2796" s="251"/>
      <c r="F2796" s="251"/>
      <c r="G2796" s="249"/>
      <c r="H2796" s="252"/>
      <c r="I2796" s="251"/>
      <c r="J2796" s="251"/>
      <c r="K2796" s="250"/>
      <c r="L2796" s="249"/>
    </row>
    <row r="2797" spans="3:12" s="244" customFormat="1" x14ac:dyDescent="0.25">
      <c r="C2797" s="251"/>
      <c r="D2797" s="251"/>
      <c r="E2797" s="251"/>
      <c r="F2797" s="251"/>
      <c r="G2797" s="249"/>
      <c r="H2797" s="252"/>
      <c r="I2797" s="251"/>
      <c r="J2797" s="251"/>
      <c r="K2797" s="250"/>
      <c r="L2797" s="249"/>
    </row>
    <row r="2798" spans="3:12" s="244" customFormat="1" x14ac:dyDescent="0.25">
      <c r="C2798" s="251"/>
      <c r="D2798" s="251"/>
      <c r="E2798" s="251"/>
      <c r="F2798" s="251"/>
      <c r="G2798" s="249"/>
      <c r="H2798" s="252"/>
      <c r="I2798" s="251"/>
      <c r="J2798" s="251"/>
      <c r="K2798" s="250"/>
      <c r="L2798" s="249"/>
    </row>
    <row r="2799" spans="3:12" s="244" customFormat="1" x14ac:dyDescent="0.25">
      <c r="C2799" s="251"/>
      <c r="D2799" s="251"/>
      <c r="E2799" s="251"/>
      <c r="F2799" s="251"/>
      <c r="G2799" s="249"/>
      <c r="H2799" s="252"/>
      <c r="I2799" s="251"/>
      <c r="J2799" s="251"/>
      <c r="K2799" s="250"/>
      <c r="L2799" s="249"/>
    </row>
    <row r="2800" spans="3:12" s="244" customFormat="1" x14ac:dyDescent="0.25">
      <c r="C2800" s="251"/>
      <c r="D2800" s="251"/>
      <c r="E2800" s="251"/>
      <c r="F2800" s="251"/>
      <c r="G2800" s="249"/>
      <c r="H2800" s="252"/>
      <c r="I2800" s="251"/>
      <c r="J2800" s="251"/>
      <c r="K2800" s="250"/>
      <c r="L2800" s="249"/>
    </row>
    <row r="2801" spans="3:12" s="244" customFormat="1" x14ac:dyDescent="0.25">
      <c r="C2801" s="251"/>
      <c r="D2801" s="251"/>
      <c r="E2801" s="251"/>
      <c r="F2801" s="251"/>
      <c r="G2801" s="249"/>
      <c r="H2801" s="252"/>
      <c r="I2801" s="251"/>
      <c r="J2801" s="251"/>
      <c r="K2801" s="250"/>
      <c r="L2801" s="249"/>
    </row>
    <row r="2802" spans="3:12" s="244" customFormat="1" x14ac:dyDescent="0.25">
      <c r="C2802" s="251"/>
      <c r="D2802" s="251"/>
      <c r="E2802" s="251"/>
      <c r="F2802" s="251"/>
      <c r="G2802" s="249"/>
      <c r="H2802" s="252"/>
      <c r="I2802" s="251"/>
      <c r="J2802" s="251"/>
      <c r="K2802" s="250"/>
      <c r="L2802" s="249"/>
    </row>
    <row r="2803" spans="3:12" s="244" customFormat="1" x14ac:dyDescent="0.25">
      <c r="C2803" s="251"/>
      <c r="D2803" s="251"/>
      <c r="E2803" s="251"/>
      <c r="F2803" s="251"/>
      <c r="G2803" s="249"/>
      <c r="H2803" s="252"/>
      <c r="I2803" s="251"/>
      <c r="J2803" s="251"/>
      <c r="K2803" s="250"/>
      <c r="L2803" s="249"/>
    </row>
    <row r="2804" spans="3:12" s="244" customFormat="1" x14ac:dyDescent="0.25">
      <c r="C2804" s="251"/>
      <c r="D2804" s="251"/>
      <c r="E2804" s="251"/>
      <c r="F2804" s="251"/>
      <c r="G2804" s="249"/>
      <c r="H2804" s="252"/>
      <c r="I2804" s="251"/>
      <c r="J2804" s="251"/>
      <c r="K2804" s="250"/>
      <c r="L2804" s="249"/>
    </row>
    <row r="2805" spans="3:12" s="244" customFormat="1" x14ac:dyDescent="0.25">
      <c r="C2805" s="251"/>
      <c r="D2805" s="251"/>
      <c r="E2805" s="251"/>
      <c r="F2805" s="251"/>
      <c r="G2805" s="249"/>
      <c r="H2805" s="252"/>
      <c r="I2805" s="251"/>
      <c r="J2805" s="251"/>
      <c r="K2805" s="250"/>
      <c r="L2805" s="249"/>
    </row>
    <row r="2806" spans="3:12" s="244" customFormat="1" x14ac:dyDescent="0.25">
      <c r="C2806" s="251"/>
      <c r="D2806" s="251"/>
      <c r="E2806" s="251"/>
      <c r="F2806" s="251"/>
      <c r="G2806" s="249"/>
      <c r="H2806" s="252"/>
      <c r="I2806" s="251"/>
      <c r="J2806" s="251"/>
      <c r="K2806" s="250"/>
      <c r="L2806" s="249"/>
    </row>
    <row r="2807" spans="3:12" s="244" customFormat="1" x14ac:dyDescent="0.25">
      <c r="C2807" s="251"/>
      <c r="D2807" s="251"/>
      <c r="E2807" s="251"/>
      <c r="F2807" s="251"/>
      <c r="G2807" s="249"/>
      <c r="H2807" s="252"/>
      <c r="I2807" s="251"/>
      <c r="J2807" s="251"/>
      <c r="K2807" s="250"/>
      <c r="L2807" s="249"/>
    </row>
    <row r="2808" spans="3:12" s="244" customFormat="1" x14ac:dyDescent="0.25">
      <c r="C2808" s="251"/>
      <c r="D2808" s="251"/>
      <c r="E2808" s="251"/>
      <c r="F2808" s="251"/>
      <c r="G2808" s="249"/>
      <c r="H2808" s="252"/>
      <c r="I2808" s="251"/>
      <c r="J2808" s="251"/>
      <c r="K2808" s="250"/>
      <c r="L2808" s="249"/>
    </row>
    <row r="2809" spans="3:12" s="244" customFormat="1" x14ac:dyDescent="0.25">
      <c r="C2809" s="251"/>
      <c r="D2809" s="251"/>
      <c r="E2809" s="251"/>
      <c r="F2809" s="251"/>
      <c r="G2809" s="249"/>
      <c r="H2809" s="252"/>
      <c r="I2809" s="251"/>
      <c r="J2809" s="251"/>
      <c r="K2809" s="250"/>
      <c r="L2809" s="249"/>
    </row>
    <row r="2810" spans="3:12" s="244" customFormat="1" x14ac:dyDescent="0.25">
      <c r="C2810" s="251"/>
      <c r="D2810" s="251"/>
      <c r="E2810" s="251"/>
      <c r="F2810" s="251"/>
      <c r="G2810" s="249"/>
      <c r="H2810" s="252"/>
      <c r="I2810" s="251"/>
      <c r="J2810" s="251"/>
      <c r="K2810" s="250"/>
      <c r="L2810" s="249"/>
    </row>
    <row r="2811" spans="3:12" s="244" customFormat="1" x14ac:dyDescent="0.25">
      <c r="C2811" s="251"/>
      <c r="D2811" s="251"/>
      <c r="E2811" s="251"/>
      <c r="F2811" s="251"/>
      <c r="G2811" s="249"/>
      <c r="H2811" s="252"/>
      <c r="I2811" s="251"/>
      <c r="J2811" s="251"/>
      <c r="K2811" s="250"/>
      <c r="L2811" s="249"/>
    </row>
    <row r="2812" spans="3:12" s="244" customFormat="1" x14ac:dyDescent="0.25">
      <c r="C2812" s="251"/>
      <c r="D2812" s="251"/>
      <c r="E2812" s="251"/>
      <c r="F2812" s="251"/>
      <c r="G2812" s="249"/>
      <c r="H2812" s="252"/>
      <c r="I2812" s="251"/>
      <c r="J2812" s="251"/>
      <c r="K2812" s="250"/>
      <c r="L2812" s="249"/>
    </row>
    <row r="2813" spans="3:12" s="244" customFormat="1" x14ac:dyDescent="0.25">
      <c r="C2813" s="251"/>
      <c r="D2813" s="251"/>
      <c r="E2813" s="251"/>
      <c r="F2813" s="251"/>
      <c r="G2813" s="249"/>
      <c r="H2813" s="252"/>
      <c r="I2813" s="251"/>
      <c r="J2813" s="251"/>
      <c r="K2813" s="250"/>
      <c r="L2813" s="249"/>
    </row>
    <row r="2814" spans="3:12" s="244" customFormat="1" x14ac:dyDescent="0.25">
      <c r="C2814" s="251"/>
      <c r="D2814" s="251"/>
      <c r="E2814" s="251"/>
      <c r="F2814" s="251"/>
      <c r="G2814" s="249"/>
      <c r="H2814" s="252"/>
      <c r="I2814" s="251"/>
      <c r="J2814" s="251"/>
      <c r="K2814" s="250"/>
      <c r="L2814" s="249"/>
    </row>
    <row r="2815" spans="3:12" s="244" customFormat="1" x14ac:dyDescent="0.25">
      <c r="C2815" s="251"/>
      <c r="D2815" s="251"/>
      <c r="E2815" s="251"/>
      <c r="F2815" s="251"/>
      <c r="G2815" s="249"/>
      <c r="H2815" s="252"/>
      <c r="I2815" s="251"/>
      <c r="J2815" s="251"/>
      <c r="K2815" s="250"/>
      <c r="L2815" s="249"/>
    </row>
    <row r="2816" spans="3:12" s="244" customFormat="1" x14ac:dyDescent="0.25">
      <c r="C2816" s="251"/>
      <c r="D2816" s="251"/>
      <c r="E2816" s="251"/>
      <c r="F2816" s="251"/>
      <c r="G2816" s="249"/>
      <c r="H2816" s="252"/>
      <c r="I2816" s="251"/>
      <c r="J2816" s="251"/>
      <c r="K2816" s="250"/>
      <c r="L2816" s="249"/>
    </row>
    <row r="2817" spans="3:12" s="244" customFormat="1" x14ac:dyDescent="0.25">
      <c r="C2817" s="251"/>
      <c r="D2817" s="251"/>
      <c r="E2817" s="251"/>
      <c r="F2817" s="251"/>
      <c r="G2817" s="249"/>
      <c r="H2817" s="252"/>
      <c r="I2817" s="251"/>
      <c r="J2817" s="251"/>
      <c r="K2817" s="250"/>
      <c r="L2817" s="249"/>
    </row>
    <row r="2818" spans="3:12" s="244" customFormat="1" x14ac:dyDescent="0.25">
      <c r="C2818" s="251"/>
      <c r="D2818" s="251"/>
      <c r="E2818" s="251"/>
      <c r="F2818" s="251"/>
      <c r="G2818" s="249"/>
      <c r="H2818" s="252"/>
      <c r="I2818" s="251"/>
      <c r="J2818" s="251"/>
      <c r="K2818" s="250"/>
      <c r="L2818" s="249"/>
    </row>
    <row r="2819" spans="3:12" s="244" customFormat="1" x14ac:dyDescent="0.25">
      <c r="C2819" s="251"/>
      <c r="D2819" s="251"/>
      <c r="E2819" s="251"/>
      <c r="F2819" s="251"/>
      <c r="G2819" s="249"/>
      <c r="H2819" s="252"/>
      <c r="I2819" s="251"/>
      <c r="J2819" s="251"/>
      <c r="K2819" s="250"/>
      <c r="L2819" s="249"/>
    </row>
    <row r="2820" spans="3:12" s="244" customFormat="1" x14ac:dyDescent="0.25">
      <c r="C2820" s="251"/>
      <c r="D2820" s="251"/>
      <c r="E2820" s="251"/>
      <c r="F2820" s="251"/>
      <c r="G2820" s="249"/>
      <c r="H2820" s="252"/>
      <c r="I2820" s="251"/>
      <c r="J2820" s="251"/>
      <c r="K2820" s="250"/>
      <c r="L2820" s="249"/>
    </row>
    <row r="2821" spans="3:12" s="244" customFormat="1" x14ac:dyDescent="0.25">
      <c r="C2821" s="251"/>
      <c r="D2821" s="251"/>
      <c r="E2821" s="251"/>
      <c r="F2821" s="251"/>
      <c r="G2821" s="249"/>
      <c r="H2821" s="252"/>
      <c r="I2821" s="251"/>
      <c r="J2821" s="251"/>
      <c r="K2821" s="250"/>
      <c r="L2821" s="249"/>
    </row>
    <row r="2822" spans="3:12" s="244" customFormat="1" x14ac:dyDescent="0.25">
      <c r="C2822" s="251"/>
      <c r="D2822" s="251"/>
      <c r="E2822" s="251"/>
      <c r="F2822" s="251"/>
      <c r="G2822" s="249"/>
      <c r="H2822" s="252"/>
      <c r="I2822" s="251"/>
      <c r="J2822" s="251"/>
      <c r="K2822" s="250"/>
      <c r="L2822" s="249"/>
    </row>
    <row r="2823" spans="3:12" s="244" customFormat="1" x14ac:dyDescent="0.25">
      <c r="C2823" s="251"/>
      <c r="D2823" s="251"/>
      <c r="E2823" s="251"/>
      <c r="F2823" s="251"/>
      <c r="G2823" s="249"/>
      <c r="H2823" s="252"/>
      <c r="I2823" s="251"/>
      <c r="J2823" s="251"/>
      <c r="K2823" s="250"/>
      <c r="L2823" s="249"/>
    </row>
    <row r="2824" spans="3:12" s="244" customFormat="1" x14ac:dyDescent="0.25">
      <c r="C2824" s="251"/>
      <c r="D2824" s="251"/>
      <c r="E2824" s="251"/>
      <c r="F2824" s="251"/>
      <c r="G2824" s="249"/>
      <c r="H2824" s="252"/>
      <c r="I2824" s="251"/>
      <c r="J2824" s="251"/>
      <c r="K2824" s="250"/>
      <c r="L2824" s="249"/>
    </row>
    <row r="2825" spans="3:12" s="244" customFormat="1" x14ac:dyDescent="0.25">
      <c r="C2825" s="251"/>
      <c r="D2825" s="251"/>
      <c r="E2825" s="251"/>
      <c r="F2825" s="251"/>
      <c r="G2825" s="249"/>
      <c r="H2825" s="252"/>
      <c r="I2825" s="251"/>
      <c r="J2825" s="251"/>
      <c r="K2825" s="250"/>
      <c r="L2825" s="249"/>
    </row>
    <row r="2826" spans="3:12" s="244" customFormat="1" x14ac:dyDescent="0.25">
      <c r="C2826" s="251"/>
      <c r="D2826" s="251"/>
      <c r="E2826" s="251"/>
      <c r="F2826" s="251"/>
      <c r="G2826" s="249"/>
      <c r="H2826" s="252"/>
      <c r="I2826" s="251"/>
      <c r="J2826" s="251"/>
      <c r="K2826" s="250"/>
      <c r="L2826" s="249"/>
    </row>
    <row r="2827" spans="3:12" s="244" customFormat="1" x14ac:dyDescent="0.25">
      <c r="C2827" s="251"/>
      <c r="D2827" s="251"/>
      <c r="E2827" s="251"/>
      <c r="F2827" s="251"/>
      <c r="G2827" s="249"/>
      <c r="H2827" s="252"/>
      <c r="I2827" s="251"/>
      <c r="J2827" s="251"/>
      <c r="K2827" s="250"/>
      <c r="L2827" s="249"/>
    </row>
    <row r="2828" spans="3:12" s="244" customFormat="1" x14ac:dyDescent="0.25">
      <c r="C2828" s="251"/>
      <c r="D2828" s="251"/>
      <c r="E2828" s="251"/>
      <c r="F2828" s="251"/>
      <c r="G2828" s="249"/>
      <c r="H2828" s="252"/>
      <c r="I2828" s="251"/>
      <c r="J2828" s="251"/>
      <c r="K2828" s="250"/>
      <c r="L2828" s="249"/>
    </row>
    <row r="2829" spans="3:12" s="244" customFormat="1" x14ac:dyDescent="0.25">
      <c r="C2829" s="251"/>
      <c r="D2829" s="251"/>
      <c r="E2829" s="251"/>
      <c r="F2829" s="251"/>
      <c r="G2829" s="249"/>
      <c r="H2829" s="252"/>
      <c r="I2829" s="251"/>
      <c r="J2829" s="251"/>
      <c r="K2829" s="250"/>
      <c r="L2829" s="249"/>
    </row>
    <row r="2830" spans="3:12" s="244" customFormat="1" x14ac:dyDescent="0.25">
      <c r="C2830" s="251"/>
      <c r="D2830" s="251"/>
      <c r="E2830" s="251"/>
      <c r="F2830" s="251"/>
      <c r="G2830" s="249"/>
      <c r="H2830" s="252"/>
      <c r="I2830" s="251"/>
      <c r="J2830" s="251"/>
      <c r="K2830" s="250"/>
      <c r="L2830" s="249"/>
    </row>
    <row r="2831" spans="3:12" s="244" customFormat="1" x14ac:dyDescent="0.25">
      <c r="C2831" s="251"/>
      <c r="D2831" s="251"/>
      <c r="E2831" s="251"/>
      <c r="F2831" s="251"/>
      <c r="G2831" s="249"/>
      <c r="H2831" s="252"/>
      <c r="I2831" s="251"/>
      <c r="J2831" s="251"/>
      <c r="K2831" s="250"/>
      <c r="L2831" s="249"/>
    </row>
    <row r="2832" spans="3:12" s="244" customFormat="1" x14ac:dyDescent="0.25">
      <c r="C2832" s="251"/>
      <c r="D2832" s="251"/>
      <c r="E2832" s="251"/>
      <c r="F2832" s="251"/>
      <c r="G2832" s="249"/>
      <c r="H2832" s="252"/>
      <c r="I2832" s="251"/>
      <c r="J2832" s="251"/>
      <c r="K2832" s="250"/>
      <c r="L2832" s="249"/>
    </row>
    <row r="2833" spans="3:12" s="244" customFormat="1" x14ac:dyDescent="0.25">
      <c r="C2833" s="251"/>
      <c r="D2833" s="251"/>
      <c r="E2833" s="251"/>
      <c r="F2833" s="251"/>
      <c r="G2833" s="249"/>
      <c r="H2833" s="252"/>
      <c r="I2833" s="251"/>
      <c r="J2833" s="251"/>
      <c r="K2833" s="250"/>
      <c r="L2833" s="249"/>
    </row>
    <row r="2834" spans="3:12" s="244" customFormat="1" x14ac:dyDescent="0.25">
      <c r="C2834" s="251"/>
      <c r="D2834" s="251"/>
      <c r="E2834" s="251"/>
      <c r="F2834" s="251"/>
      <c r="G2834" s="249"/>
      <c r="H2834" s="252"/>
      <c r="I2834" s="251"/>
      <c r="J2834" s="251"/>
      <c r="K2834" s="250"/>
      <c r="L2834" s="249"/>
    </row>
    <row r="2835" spans="3:12" s="244" customFormat="1" x14ac:dyDescent="0.25">
      <c r="C2835" s="251"/>
      <c r="D2835" s="251"/>
      <c r="E2835" s="251"/>
      <c r="F2835" s="251"/>
      <c r="G2835" s="249"/>
      <c r="H2835" s="252"/>
      <c r="I2835" s="251"/>
      <c r="J2835" s="251"/>
      <c r="K2835" s="250"/>
      <c r="L2835" s="249"/>
    </row>
    <row r="2836" spans="3:12" s="244" customFormat="1" x14ac:dyDescent="0.25">
      <c r="C2836" s="251"/>
      <c r="D2836" s="251"/>
      <c r="E2836" s="251"/>
      <c r="F2836" s="251"/>
      <c r="G2836" s="249"/>
      <c r="H2836" s="252"/>
      <c r="I2836" s="251"/>
      <c r="J2836" s="251"/>
      <c r="K2836" s="250"/>
      <c r="L2836" s="249"/>
    </row>
    <row r="2837" spans="3:12" s="244" customFormat="1" x14ac:dyDescent="0.25">
      <c r="C2837" s="251"/>
      <c r="D2837" s="251"/>
      <c r="E2837" s="251"/>
      <c r="F2837" s="251"/>
      <c r="G2837" s="249"/>
      <c r="H2837" s="252"/>
      <c r="I2837" s="251"/>
      <c r="J2837" s="251"/>
      <c r="K2837" s="250"/>
      <c r="L2837" s="249"/>
    </row>
    <row r="2838" spans="3:12" s="244" customFormat="1" x14ac:dyDescent="0.25">
      <c r="C2838" s="251"/>
      <c r="D2838" s="251"/>
      <c r="E2838" s="251"/>
      <c r="F2838" s="251"/>
      <c r="G2838" s="249"/>
      <c r="H2838" s="252"/>
      <c r="I2838" s="251"/>
      <c r="J2838" s="251"/>
      <c r="K2838" s="250"/>
      <c r="L2838" s="249"/>
    </row>
    <row r="2839" spans="3:12" s="244" customFormat="1" x14ac:dyDescent="0.25">
      <c r="C2839" s="251"/>
      <c r="D2839" s="251"/>
      <c r="E2839" s="251"/>
      <c r="F2839" s="251"/>
      <c r="G2839" s="249"/>
      <c r="H2839" s="252"/>
      <c r="I2839" s="251"/>
      <c r="J2839" s="251"/>
      <c r="K2839" s="250"/>
      <c r="L2839" s="249"/>
    </row>
    <row r="2840" spans="3:12" s="244" customFormat="1" x14ac:dyDescent="0.25">
      <c r="C2840" s="251"/>
      <c r="D2840" s="251"/>
      <c r="E2840" s="251"/>
      <c r="F2840" s="251"/>
      <c r="G2840" s="249"/>
      <c r="H2840" s="252"/>
      <c r="I2840" s="251"/>
      <c r="J2840" s="251"/>
      <c r="K2840" s="250"/>
      <c r="L2840" s="249"/>
    </row>
    <row r="2841" spans="3:12" s="244" customFormat="1" x14ac:dyDescent="0.25">
      <c r="C2841" s="251"/>
      <c r="D2841" s="251"/>
      <c r="E2841" s="251"/>
      <c r="F2841" s="251"/>
      <c r="G2841" s="249"/>
      <c r="H2841" s="252"/>
      <c r="I2841" s="251"/>
      <c r="J2841" s="251"/>
      <c r="K2841" s="250"/>
      <c r="L2841" s="249"/>
    </row>
    <row r="2842" spans="3:12" s="244" customFormat="1" x14ac:dyDescent="0.25">
      <c r="C2842" s="251"/>
      <c r="D2842" s="251"/>
      <c r="E2842" s="251"/>
      <c r="F2842" s="251"/>
      <c r="G2842" s="249"/>
      <c r="H2842" s="252"/>
      <c r="I2842" s="251"/>
      <c r="J2842" s="251"/>
      <c r="K2842" s="250"/>
      <c r="L2842" s="249"/>
    </row>
    <row r="2843" spans="3:12" s="244" customFormat="1" x14ac:dyDescent="0.25">
      <c r="C2843" s="251"/>
      <c r="D2843" s="251"/>
      <c r="E2843" s="251"/>
      <c r="F2843" s="251"/>
      <c r="G2843" s="249"/>
      <c r="H2843" s="252"/>
      <c r="I2843" s="251"/>
      <c r="J2843" s="251"/>
      <c r="K2843" s="250"/>
      <c r="L2843" s="249"/>
    </row>
    <row r="2844" spans="3:12" s="244" customFormat="1" x14ac:dyDescent="0.25">
      <c r="C2844" s="251"/>
      <c r="D2844" s="251"/>
      <c r="E2844" s="251"/>
      <c r="F2844" s="251"/>
      <c r="G2844" s="249"/>
      <c r="H2844" s="252"/>
      <c r="I2844" s="251"/>
      <c r="J2844" s="251"/>
      <c r="K2844" s="250"/>
      <c r="L2844" s="249"/>
    </row>
    <row r="2845" spans="3:12" s="244" customFormat="1" x14ac:dyDescent="0.25">
      <c r="C2845" s="251"/>
      <c r="D2845" s="251"/>
      <c r="E2845" s="251"/>
      <c r="F2845" s="251"/>
      <c r="G2845" s="249"/>
      <c r="H2845" s="252"/>
      <c r="I2845" s="251"/>
      <c r="J2845" s="251"/>
      <c r="K2845" s="250"/>
      <c r="L2845" s="249"/>
    </row>
    <row r="2846" spans="3:12" s="244" customFormat="1" x14ac:dyDescent="0.25">
      <c r="C2846" s="251"/>
      <c r="D2846" s="251"/>
      <c r="E2846" s="251"/>
      <c r="F2846" s="251"/>
      <c r="G2846" s="249"/>
      <c r="H2846" s="252"/>
      <c r="I2846" s="251"/>
      <c r="J2846" s="251"/>
      <c r="K2846" s="250"/>
      <c r="L2846" s="249"/>
    </row>
    <row r="2847" spans="3:12" s="244" customFormat="1" x14ac:dyDescent="0.25">
      <c r="C2847" s="251"/>
      <c r="D2847" s="251"/>
      <c r="E2847" s="251"/>
      <c r="F2847" s="251"/>
      <c r="G2847" s="249"/>
      <c r="H2847" s="252"/>
      <c r="I2847" s="251"/>
      <c r="J2847" s="251"/>
      <c r="K2847" s="250"/>
      <c r="L2847" s="249"/>
    </row>
    <row r="2848" spans="3:12" s="244" customFormat="1" x14ac:dyDescent="0.25">
      <c r="C2848" s="251"/>
      <c r="D2848" s="251"/>
      <c r="E2848" s="251"/>
      <c r="F2848" s="251"/>
      <c r="G2848" s="249"/>
      <c r="H2848" s="252"/>
      <c r="I2848" s="251"/>
      <c r="J2848" s="251"/>
      <c r="K2848" s="250"/>
      <c r="L2848" s="249"/>
    </row>
    <row r="2849" spans="3:12" s="244" customFormat="1" x14ac:dyDescent="0.25">
      <c r="C2849" s="251"/>
      <c r="D2849" s="251"/>
      <c r="E2849" s="251"/>
      <c r="F2849" s="251"/>
      <c r="G2849" s="249"/>
      <c r="H2849" s="252"/>
      <c r="I2849" s="251"/>
      <c r="J2849" s="251"/>
      <c r="K2849" s="250"/>
      <c r="L2849" s="249"/>
    </row>
    <row r="2850" spans="3:12" s="244" customFormat="1" x14ac:dyDescent="0.25">
      <c r="C2850" s="251"/>
      <c r="D2850" s="251"/>
      <c r="E2850" s="251"/>
      <c r="F2850" s="251"/>
      <c r="G2850" s="249"/>
      <c r="H2850" s="252"/>
      <c r="I2850" s="251"/>
      <c r="J2850" s="251"/>
      <c r="K2850" s="250"/>
      <c r="L2850" s="249"/>
    </row>
    <row r="2851" spans="3:12" s="244" customFormat="1" x14ac:dyDescent="0.25">
      <c r="C2851" s="251"/>
      <c r="D2851" s="251"/>
      <c r="E2851" s="251"/>
      <c r="F2851" s="251"/>
      <c r="G2851" s="249"/>
      <c r="H2851" s="252"/>
      <c r="I2851" s="251"/>
      <c r="J2851" s="251"/>
      <c r="K2851" s="250"/>
      <c r="L2851" s="249"/>
    </row>
    <row r="2852" spans="3:12" s="244" customFormat="1" x14ac:dyDescent="0.25">
      <c r="C2852" s="251"/>
      <c r="D2852" s="251"/>
      <c r="E2852" s="251"/>
      <c r="F2852" s="251"/>
      <c r="G2852" s="249"/>
      <c r="H2852" s="252"/>
      <c r="I2852" s="251"/>
      <c r="J2852" s="251"/>
      <c r="K2852" s="250"/>
      <c r="L2852" s="249"/>
    </row>
    <row r="2853" spans="3:12" s="244" customFormat="1" x14ac:dyDescent="0.25">
      <c r="C2853" s="251"/>
      <c r="D2853" s="251"/>
      <c r="E2853" s="251"/>
      <c r="F2853" s="251"/>
      <c r="G2853" s="249"/>
      <c r="H2853" s="252"/>
      <c r="I2853" s="251"/>
      <c r="J2853" s="251"/>
      <c r="K2853" s="250"/>
      <c r="L2853" s="249"/>
    </row>
    <row r="2854" spans="3:12" s="244" customFormat="1" x14ac:dyDescent="0.25">
      <c r="C2854" s="251"/>
      <c r="D2854" s="251"/>
      <c r="E2854" s="251"/>
      <c r="F2854" s="251"/>
      <c r="G2854" s="249"/>
      <c r="H2854" s="252"/>
      <c r="I2854" s="251"/>
      <c r="J2854" s="251"/>
      <c r="K2854" s="250"/>
      <c r="L2854" s="249"/>
    </row>
    <row r="2855" spans="3:12" s="244" customFormat="1" x14ac:dyDescent="0.25">
      <c r="C2855" s="251"/>
      <c r="D2855" s="251"/>
      <c r="E2855" s="251"/>
      <c r="F2855" s="251"/>
      <c r="G2855" s="249"/>
      <c r="H2855" s="252"/>
      <c r="I2855" s="251"/>
      <c r="J2855" s="251"/>
      <c r="K2855" s="250"/>
      <c r="L2855" s="249"/>
    </row>
    <row r="2856" spans="3:12" s="244" customFormat="1" x14ac:dyDescent="0.25">
      <c r="C2856" s="251"/>
      <c r="D2856" s="251"/>
      <c r="E2856" s="251"/>
      <c r="F2856" s="251"/>
      <c r="G2856" s="249"/>
      <c r="H2856" s="252"/>
      <c r="I2856" s="251"/>
      <c r="J2856" s="251"/>
      <c r="K2856" s="250"/>
      <c r="L2856" s="249"/>
    </row>
    <row r="2857" spans="3:12" s="244" customFormat="1" x14ac:dyDescent="0.25">
      <c r="C2857" s="251"/>
      <c r="D2857" s="251"/>
      <c r="E2857" s="251"/>
      <c r="F2857" s="251"/>
      <c r="G2857" s="249"/>
      <c r="H2857" s="252"/>
      <c r="I2857" s="251"/>
      <c r="J2857" s="251"/>
      <c r="K2857" s="250"/>
      <c r="L2857" s="249"/>
    </row>
    <row r="2858" spans="3:12" s="244" customFormat="1" x14ac:dyDescent="0.25">
      <c r="C2858" s="251"/>
      <c r="D2858" s="251"/>
      <c r="E2858" s="251"/>
      <c r="F2858" s="251"/>
      <c r="G2858" s="249"/>
      <c r="H2858" s="252"/>
      <c r="I2858" s="251"/>
      <c r="J2858" s="251"/>
      <c r="K2858" s="250"/>
      <c r="L2858" s="249"/>
    </row>
    <row r="2859" spans="3:12" s="244" customFormat="1" x14ac:dyDescent="0.25">
      <c r="C2859" s="251"/>
      <c r="D2859" s="251"/>
      <c r="E2859" s="251"/>
      <c r="F2859" s="251"/>
      <c r="G2859" s="249"/>
      <c r="H2859" s="252"/>
      <c r="I2859" s="251"/>
      <c r="J2859" s="251"/>
      <c r="K2859" s="250"/>
      <c r="L2859" s="249"/>
    </row>
    <row r="2860" spans="3:12" s="244" customFormat="1" x14ac:dyDescent="0.25">
      <c r="C2860" s="251"/>
      <c r="D2860" s="251"/>
      <c r="E2860" s="251"/>
      <c r="F2860" s="251"/>
      <c r="G2860" s="249"/>
      <c r="H2860" s="252"/>
      <c r="I2860" s="251"/>
      <c r="J2860" s="251"/>
      <c r="K2860" s="250"/>
      <c r="L2860" s="249"/>
    </row>
    <row r="2861" spans="3:12" s="244" customFormat="1" x14ac:dyDescent="0.25">
      <c r="C2861" s="251"/>
      <c r="D2861" s="251"/>
      <c r="E2861" s="251"/>
      <c r="F2861" s="251"/>
      <c r="G2861" s="249"/>
      <c r="H2861" s="252"/>
      <c r="I2861" s="251"/>
      <c r="J2861" s="251"/>
      <c r="K2861" s="250"/>
      <c r="L2861" s="249"/>
    </row>
    <row r="2862" spans="3:12" s="244" customFormat="1" x14ac:dyDescent="0.25">
      <c r="C2862" s="251"/>
      <c r="D2862" s="251"/>
      <c r="E2862" s="251"/>
      <c r="F2862" s="251"/>
      <c r="G2862" s="249"/>
      <c r="H2862" s="252"/>
      <c r="I2862" s="251"/>
      <c r="J2862" s="251"/>
      <c r="K2862" s="250"/>
      <c r="L2862" s="249"/>
    </row>
    <row r="2863" spans="3:12" s="244" customFormat="1" x14ac:dyDescent="0.25">
      <c r="C2863" s="251"/>
      <c r="D2863" s="251"/>
      <c r="E2863" s="251"/>
      <c r="F2863" s="251"/>
      <c r="G2863" s="249"/>
      <c r="H2863" s="252"/>
      <c r="I2863" s="251"/>
      <c r="J2863" s="251"/>
      <c r="K2863" s="250"/>
      <c r="L2863" s="249"/>
    </row>
    <row r="2864" spans="3:12" s="244" customFormat="1" x14ac:dyDescent="0.25">
      <c r="C2864" s="251"/>
      <c r="D2864" s="251"/>
      <c r="E2864" s="251"/>
      <c r="F2864" s="251"/>
      <c r="G2864" s="249"/>
      <c r="H2864" s="252"/>
      <c r="I2864" s="251"/>
      <c r="J2864" s="251"/>
      <c r="K2864" s="250"/>
      <c r="L2864" s="249"/>
    </row>
    <row r="2865" spans="3:12" s="244" customFormat="1" x14ac:dyDescent="0.25">
      <c r="C2865" s="251"/>
      <c r="D2865" s="251"/>
      <c r="E2865" s="251"/>
      <c r="F2865" s="251"/>
      <c r="G2865" s="249"/>
      <c r="H2865" s="252"/>
      <c r="I2865" s="251"/>
      <c r="J2865" s="251"/>
      <c r="K2865" s="250"/>
      <c r="L2865" s="249"/>
    </row>
    <row r="2866" spans="3:12" s="244" customFormat="1" x14ac:dyDescent="0.25">
      <c r="C2866" s="251"/>
      <c r="D2866" s="251"/>
      <c r="E2866" s="251"/>
      <c r="F2866" s="251"/>
      <c r="G2866" s="249"/>
      <c r="H2866" s="252"/>
      <c r="I2866" s="251"/>
      <c r="J2866" s="251"/>
      <c r="K2866" s="250"/>
      <c r="L2866" s="249"/>
    </row>
    <row r="2867" spans="3:12" s="244" customFormat="1" x14ac:dyDescent="0.25">
      <c r="C2867" s="251"/>
      <c r="D2867" s="251"/>
      <c r="E2867" s="251"/>
      <c r="F2867" s="251"/>
      <c r="G2867" s="249"/>
      <c r="H2867" s="252"/>
      <c r="I2867" s="251"/>
      <c r="J2867" s="251"/>
      <c r="K2867" s="250"/>
      <c r="L2867" s="249"/>
    </row>
    <row r="2868" spans="3:12" s="244" customFormat="1" x14ac:dyDescent="0.25">
      <c r="C2868" s="251"/>
      <c r="D2868" s="251"/>
      <c r="E2868" s="251"/>
      <c r="F2868" s="251"/>
      <c r="G2868" s="249"/>
      <c r="H2868" s="252"/>
      <c r="I2868" s="251"/>
      <c r="J2868" s="251"/>
      <c r="K2868" s="250"/>
      <c r="L2868" s="249"/>
    </row>
    <row r="2869" spans="3:12" s="244" customFormat="1" x14ac:dyDescent="0.25">
      <c r="C2869" s="251"/>
      <c r="D2869" s="251"/>
      <c r="E2869" s="251"/>
      <c r="F2869" s="251"/>
      <c r="G2869" s="249"/>
      <c r="H2869" s="252"/>
      <c r="I2869" s="251"/>
      <c r="J2869" s="251"/>
      <c r="K2869" s="250"/>
      <c r="L2869" s="249"/>
    </row>
    <row r="2870" spans="3:12" s="244" customFormat="1" x14ac:dyDescent="0.25">
      <c r="C2870" s="251"/>
      <c r="D2870" s="251"/>
      <c r="E2870" s="251"/>
      <c r="F2870" s="251"/>
      <c r="G2870" s="249"/>
      <c r="H2870" s="252"/>
      <c r="I2870" s="251"/>
      <c r="J2870" s="251"/>
      <c r="K2870" s="250"/>
      <c r="L2870" s="249"/>
    </row>
    <row r="2871" spans="3:12" s="244" customFormat="1" x14ac:dyDescent="0.25">
      <c r="C2871" s="251"/>
      <c r="D2871" s="251"/>
      <c r="E2871" s="251"/>
      <c r="F2871" s="251"/>
      <c r="G2871" s="249"/>
      <c r="H2871" s="252"/>
      <c r="I2871" s="251"/>
      <c r="J2871" s="251"/>
      <c r="K2871" s="250"/>
      <c r="L2871" s="249"/>
    </row>
    <row r="2872" spans="3:12" s="244" customFormat="1" x14ac:dyDescent="0.25">
      <c r="C2872" s="251"/>
      <c r="D2872" s="251"/>
      <c r="E2872" s="251"/>
      <c r="F2872" s="251"/>
      <c r="G2872" s="249"/>
      <c r="H2872" s="252"/>
      <c r="I2872" s="251"/>
      <c r="J2872" s="251"/>
      <c r="K2872" s="250"/>
      <c r="L2872" s="249"/>
    </row>
    <row r="2873" spans="3:12" s="244" customFormat="1" x14ac:dyDescent="0.25">
      <c r="C2873" s="251"/>
      <c r="D2873" s="251"/>
      <c r="E2873" s="251"/>
      <c r="F2873" s="251"/>
      <c r="G2873" s="249"/>
      <c r="H2873" s="252"/>
      <c r="I2873" s="251"/>
      <c r="J2873" s="251"/>
      <c r="K2873" s="250"/>
      <c r="L2873" s="249"/>
    </row>
    <row r="2874" spans="3:12" s="244" customFormat="1" x14ac:dyDescent="0.25">
      <c r="C2874" s="251"/>
      <c r="D2874" s="251"/>
      <c r="E2874" s="251"/>
      <c r="F2874" s="251"/>
      <c r="G2874" s="249"/>
      <c r="H2874" s="252"/>
      <c r="I2874" s="251"/>
      <c r="J2874" s="251"/>
      <c r="K2874" s="250"/>
      <c r="L2874" s="249"/>
    </row>
    <row r="2875" spans="3:12" s="244" customFormat="1" x14ac:dyDescent="0.25">
      <c r="C2875" s="251"/>
      <c r="D2875" s="251"/>
      <c r="E2875" s="251"/>
      <c r="F2875" s="251"/>
      <c r="G2875" s="249"/>
      <c r="H2875" s="252"/>
      <c r="I2875" s="251"/>
      <c r="J2875" s="251"/>
      <c r="K2875" s="250"/>
      <c r="L2875" s="249"/>
    </row>
    <row r="2876" spans="3:12" s="244" customFormat="1" x14ac:dyDescent="0.25">
      <c r="C2876" s="251"/>
      <c r="D2876" s="251"/>
      <c r="E2876" s="251"/>
      <c r="F2876" s="251"/>
      <c r="G2876" s="249"/>
      <c r="H2876" s="252"/>
      <c r="I2876" s="251"/>
      <c r="J2876" s="251"/>
      <c r="K2876" s="250"/>
      <c r="L2876" s="249"/>
    </row>
    <row r="2877" spans="3:12" s="244" customFormat="1" x14ac:dyDescent="0.25">
      <c r="C2877" s="251"/>
      <c r="D2877" s="251"/>
      <c r="E2877" s="251"/>
      <c r="F2877" s="251"/>
      <c r="G2877" s="249"/>
      <c r="H2877" s="252"/>
      <c r="I2877" s="251"/>
      <c r="J2877" s="251"/>
      <c r="K2877" s="250"/>
      <c r="L2877" s="249"/>
    </row>
    <row r="2878" spans="3:12" s="244" customFormat="1" x14ac:dyDescent="0.25">
      <c r="C2878" s="251"/>
      <c r="D2878" s="251"/>
      <c r="E2878" s="251"/>
      <c r="F2878" s="251"/>
      <c r="G2878" s="249"/>
      <c r="H2878" s="252"/>
      <c r="I2878" s="251"/>
      <c r="J2878" s="251"/>
      <c r="K2878" s="250"/>
      <c r="L2878" s="249"/>
    </row>
    <row r="2879" spans="3:12" s="244" customFormat="1" x14ac:dyDescent="0.25">
      <c r="C2879" s="251"/>
      <c r="D2879" s="251"/>
      <c r="E2879" s="251"/>
      <c r="F2879" s="251"/>
      <c r="G2879" s="249"/>
      <c r="H2879" s="252"/>
      <c r="I2879" s="251"/>
      <c r="J2879" s="251"/>
      <c r="K2879" s="250"/>
      <c r="L2879" s="249"/>
    </row>
    <row r="2880" spans="3:12" s="244" customFormat="1" x14ac:dyDescent="0.25">
      <c r="C2880" s="251"/>
      <c r="D2880" s="251"/>
      <c r="E2880" s="251"/>
      <c r="F2880" s="251"/>
      <c r="G2880" s="249"/>
      <c r="H2880" s="252"/>
      <c r="I2880" s="251"/>
      <c r="J2880" s="251"/>
      <c r="K2880" s="250"/>
      <c r="L2880" s="249"/>
    </row>
    <row r="2881" spans="3:12" s="244" customFormat="1" x14ac:dyDescent="0.25">
      <c r="C2881" s="251"/>
      <c r="D2881" s="251"/>
      <c r="E2881" s="251"/>
      <c r="F2881" s="251"/>
      <c r="G2881" s="249"/>
      <c r="H2881" s="252"/>
      <c r="I2881" s="251"/>
      <c r="J2881" s="251"/>
      <c r="K2881" s="250"/>
      <c r="L2881" s="249"/>
    </row>
    <row r="2882" spans="3:12" s="244" customFormat="1" x14ac:dyDescent="0.25">
      <c r="C2882" s="251"/>
      <c r="D2882" s="251"/>
      <c r="E2882" s="251"/>
      <c r="F2882" s="251"/>
      <c r="G2882" s="249"/>
      <c r="H2882" s="252"/>
      <c r="I2882" s="251"/>
      <c r="J2882" s="251"/>
      <c r="K2882" s="250"/>
      <c r="L2882" s="249"/>
    </row>
    <row r="2883" spans="3:12" s="244" customFormat="1" x14ac:dyDescent="0.25">
      <c r="C2883" s="251"/>
      <c r="D2883" s="251"/>
      <c r="E2883" s="251"/>
      <c r="F2883" s="251"/>
      <c r="G2883" s="249"/>
      <c r="H2883" s="252"/>
      <c r="I2883" s="251"/>
      <c r="J2883" s="251"/>
      <c r="K2883" s="250"/>
      <c r="L2883" s="249"/>
    </row>
    <row r="2884" spans="3:12" s="244" customFormat="1" x14ac:dyDescent="0.25">
      <c r="C2884" s="251"/>
      <c r="D2884" s="251"/>
      <c r="E2884" s="251"/>
      <c r="F2884" s="251"/>
      <c r="G2884" s="249"/>
      <c r="H2884" s="252"/>
      <c r="I2884" s="251"/>
      <c r="J2884" s="251"/>
      <c r="K2884" s="250"/>
      <c r="L2884" s="249"/>
    </row>
    <row r="2885" spans="3:12" s="244" customFormat="1" x14ac:dyDescent="0.25">
      <c r="C2885" s="251"/>
      <c r="D2885" s="251"/>
      <c r="E2885" s="251"/>
      <c r="F2885" s="251"/>
      <c r="G2885" s="249"/>
      <c r="H2885" s="252"/>
      <c r="I2885" s="251"/>
      <c r="J2885" s="251"/>
      <c r="K2885" s="250"/>
      <c r="L2885" s="249"/>
    </row>
    <row r="2886" spans="3:12" s="244" customFormat="1" x14ac:dyDescent="0.25">
      <c r="C2886" s="251"/>
      <c r="D2886" s="251"/>
      <c r="E2886" s="251"/>
      <c r="F2886" s="251"/>
      <c r="G2886" s="249"/>
      <c r="H2886" s="252"/>
      <c r="I2886" s="251"/>
      <c r="J2886" s="251"/>
      <c r="K2886" s="250"/>
      <c r="L2886" s="249"/>
    </row>
    <row r="2887" spans="3:12" s="244" customFormat="1" x14ac:dyDescent="0.25">
      <c r="C2887" s="251"/>
      <c r="D2887" s="251"/>
      <c r="E2887" s="251"/>
      <c r="F2887" s="251"/>
      <c r="G2887" s="249"/>
      <c r="H2887" s="252"/>
      <c r="I2887" s="251"/>
      <c r="J2887" s="251"/>
      <c r="K2887" s="250"/>
      <c r="L2887" s="249"/>
    </row>
    <row r="2888" spans="3:12" s="244" customFormat="1" x14ac:dyDescent="0.25">
      <c r="C2888" s="251"/>
      <c r="D2888" s="251"/>
      <c r="E2888" s="251"/>
      <c r="F2888" s="251"/>
      <c r="G2888" s="249"/>
      <c r="H2888" s="252"/>
      <c r="I2888" s="251"/>
      <c r="J2888" s="251"/>
      <c r="K2888" s="250"/>
      <c r="L2888" s="249"/>
    </row>
    <row r="2889" spans="3:12" s="244" customFormat="1" x14ac:dyDescent="0.25">
      <c r="C2889" s="251"/>
      <c r="D2889" s="251"/>
      <c r="E2889" s="251"/>
      <c r="F2889" s="251"/>
      <c r="G2889" s="249"/>
      <c r="H2889" s="252"/>
      <c r="I2889" s="251"/>
      <c r="J2889" s="251"/>
      <c r="K2889" s="250"/>
      <c r="L2889" s="249"/>
    </row>
    <row r="2890" spans="3:12" s="244" customFormat="1" x14ac:dyDescent="0.25">
      <c r="C2890" s="251"/>
      <c r="D2890" s="251"/>
      <c r="E2890" s="251"/>
      <c r="F2890" s="251"/>
      <c r="G2890" s="249"/>
      <c r="H2890" s="252"/>
      <c r="I2890" s="251"/>
      <c r="J2890" s="251"/>
      <c r="K2890" s="250"/>
      <c r="L2890" s="249"/>
    </row>
    <row r="2891" spans="3:12" s="244" customFormat="1" x14ac:dyDescent="0.25">
      <c r="C2891" s="251"/>
      <c r="D2891" s="251"/>
      <c r="E2891" s="251"/>
      <c r="F2891" s="251"/>
      <c r="G2891" s="249"/>
      <c r="H2891" s="252"/>
      <c r="I2891" s="251"/>
      <c r="J2891" s="251"/>
      <c r="K2891" s="250"/>
      <c r="L2891" s="249"/>
    </row>
    <row r="2892" spans="3:12" s="244" customFormat="1" x14ac:dyDescent="0.25">
      <c r="C2892" s="251"/>
      <c r="D2892" s="251"/>
      <c r="E2892" s="251"/>
      <c r="F2892" s="251"/>
      <c r="G2892" s="249"/>
      <c r="H2892" s="252"/>
      <c r="I2892" s="251"/>
      <c r="J2892" s="251"/>
      <c r="K2892" s="250"/>
      <c r="L2892" s="249"/>
    </row>
    <row r="2893" spans="3:12" s="244" customFormat="1" x14ac:dyDescent="0.25">
      <c r="C2893" s="251"/>
      <c r="D2893" s="251"/>
      <c r="E2893" s="251"/>
      <c r="F2893" s="251"/>
      <c r="G2893" s="249"/>
      <c r="H2893" s="252"/>
      <c r="I2893" s="251"/>
      <c r="J2893" s="251"/>
      <c r="K2893" s="250"/>
      <c r="L2893" s="249"/>
    </row>
    <row r="2894" spans="3:12" s="244" customFormat="1" x14ac:dyDescent="0.25">
      <c r="C2894" s="251"/>
      <c r="D2894" s="251"/>
      <c r="E2894" s="251"/>
      <c r="F2894" s="251"/>
      <c r="G2894" s="249"/>
      <c r="H2894" s="252"/>
      <c r="I2894" s="251"/>
      <c r="J2894" s="251"/>
      <c r="K2894" s="250"/>
      <c r="L2894" s="249"/>
    </row>
    <row r="2895" spans="3:12" s="244" customFormat="1" x14ac:dyDescent="0.25">
      <c r="C2895" s="251"/>
      <c r="D2895" s="251"/>
      <c r="E2895" s="251"/>
      <c r="F2895" s="251"/>
      <c r="G2895" s="249"/>
      <c r="H2895" s="252"/>
      <c r="I2895" s="251"/>
      <c r="J2895" s="251"/>
      <c r="K2895" s="250"/>
      <c r="L2895" s="249"/>
    </row>
    <row r="2896" spans="3:12" s="244" customFormat="1" x14ac:dyDescent="0.25">
      <c r="C2896" s="251"/>
      <c r="D2896" s="251"/>
      <c r="E2896" s="251"/>
      <c r="F2896" s="251"/>
      <c r="G2896" s="249"/>
      <c r="H2896" s="252"/>
      <c r="I2896" s="251"/>
      <c r="J2896" s="251"/>
      <c r="K2896" s="250"/>
      <c r="L2896" s="249"/>
    </row>
    <row r="2897" spans="3:12" s="244" customFormat="1" x14ac:dyDescent="0.25">
      <c r="C2897" s="251"/>
      <c r="D2897" s="251"/>
      <c r="E2897" s="251"/>
      <c r="F2897" s="251"/>
      <c r="G2897" s="249"/>
      <c r="H2897" s="252"/>
      <c r="I2897" s="251"/>
      <c r="J2897" s="251"/>
      <c r="K2897" s="250"/>
      <c r="L2897" s="249"/>
    </row>
    <row r="2898" spans="3:12" s="244" customFormat="1" x14ac:dyDescent="0.25">
      <c r="C2898" s="251"/>
      <c r="D2898" s="251"/>
      <c r="E2898" s="251"/>
      <c r="F2898" s="251"/>
      <c r="G2898" s="249"/>
      <c r="H2898" s="252"/>
      <c r="I2898" s="251"/>
      <c r="J2898" s="251"/>
      <c r="K2898" s="250"/>
      <c r="L2898" s="249"/>
    </row>
    <row r="2899" spans="3:12" s="244" customFormat="1" x14ac:dyDescent="0.25">
      <c r="C2899" s="251"/>
      <c r="D2899" s="251"/>
      <c r="E2899" s="251"/>
      <c r="F2899" s="251"/>
      <c r="G2899" s="249"/>
      <c r="H2899" s="252"/>
      <c r="I2899" s="251"/>
      <c r="J2899" s="251"/>
      <c r="K2899" s="250"/>
      <c r="L2899" s="249"/>
    </row>
    <row r="2900" spans="3:12" s="244" customFormat="1" x14ac:dyDescent="0.25">
      <c r="C2900" s="251"/>
      <c r="D2900" s="251"/>
      <c r="E2900" s="251"/>
      <c r="F2900" s="251"/>
      <c r="G2900" s="249"/>
      <c r="H2900" s="252"/>
      <c r="I2900" s="251"/>
      <c r="J2900" s="251"/>
      <c r="K2900" s="250"/>
      <c r="L2900" s="249"/>
    </row>
    <row r="2901" spans="3:12" s="244" customFormat="1" x14ac:dyDescent="0.25">
      <c r="C2901" s="251"/>
      <c r="D2901" s="251"/>
      <c r="E2901" s="251"/>
      <c r="F2901" s="251"/>
      <c r="G2901" s="249"/>
      <c r="H2901" s="252"/>
      <c r="I2901" s="251"/>
      <c r="J2901" s="251"/>
      <c r="K2901" s="250"/>
      <c r="L2901" s="249"/>
    </row>
    <row r="2902" spans="3:12" s="244" customFormat="1" x14ac:dyDescent="0.25">
      <c r="C2902" s="251"/>
      <c r="D2902" s="251"/>
      <c r="E2902" s="251"/>
      <c r="F2902" s="251"/>
      <c r="G2902" s="249"/>
      <c r="H2902" s="252"/>
      <c r="I2902" s="251"/>
      <c r="J2902" s="251"/>
      <c r="K2902" s="250"/>
      <c r="L2902" s="249"/>
    </row>
    <row r="2903" spans="3:12" s="244" customFormat="1" x14ac:dyDescent="0.25">
      <c r="C2903" s="251"/>
      <c r="D2903" s="251"/>
      <c r="E2903" s="251"/>
      <c r="F2903" s="251"/>
      <c r="G2903" s="249"/>
      <c r="H2903" s="252"/>
      <c r="I2903" s="251"/>
      <c r="J2903" s="251"/>
      <c r="K2903" s="250"/>
      <c r="L2903" s="249"/>
    </row>
    <row r="2904" spans="3:12" s="244" customFormat="1" x14ac:dyDescent="0.25">
      <c r="C2904" s="251"/>
      <c r="D2904" s="251"/>
      <c r="E2904" s="251"/>
      <c r="F2904" s="251"/>
      <c r="G2904" s="249"/>
      <c r="H2904" s="252"/>
      <c r="I2904" s="251"/>
      <c r="J2904" s="251"/>
      <c r="K2904" s="250"/>
      <c r="L2904" s="249"/>
    </row>
    <row r="2905" spans="3:12" s="244" customFormat="1" x14ac:dyDescent="0.25">
      <c r="C2905" s="251"/>
      <c r="D2905" s="251"/>
      <c r="E2905" s="251"/>
      <c r="F2905" s="251"/>
      <c r="G2905" s="249"/>
      <c r="H2905" s="252"/>
      <c r="I2905" s="251"/>
      <c r="J2905" s="251"/>
      <c r="K2905" s="250"/>
      <c r="L2905" s="249"/>
    </row>
    <row r="2906" spans="3:12" s="244" customFormat="1" x14ac:dyDescent="0.25">
      <c r="C2906" s="251"/>
      <c r="D2906" s="251"/>
      <c r="E2906" s="251"/>
      <c r="F2906" s="251"/>
      <c r="G2906" s="249"/>
      <c r="H2906" s="252"/>
      <c r="I2906" s="251"/>
      <c r="J2906" s="251"/>
      <c r="K2906" s="250"/>
      <c r="L2906" s="249"/>
    </row>
    <row r="2907" spans="3:12" s="244" customFormat="1" x14ac:dyDescent="0.25">
      <c r="C2907" s="251"/>
      <c r="D2907" s="251"/>
      <c r="E2907" s="251"/>
      <c r="F2907" s="251"/>
      <c r="G2907" s="249"/>
      <c r="H2907" s="252"/>
      <c r="I2907" s="251"/>
      <c r="J2907" s="251"/>
      <c r="K2907" s="250"/>
      <c r="L2907" s="249"/>
    </row>
    <row r="2908" spans="3:12" s="244" customFormat="1" x14ac:dyDescent="0.25">
      <c r="C2908" s="251"/>
      <c r="D2908" s="251"/>
      <c r="E2908" s="251"/>
      <c r="F2908" s="251"/>
      <c r="G2908" s="249"/>
      <c r="H2908" s="252"/>
      <c r="I2908" s="251"/>
      <c r="J2908" s="251"/>
      <c r="K2908" s="250"/>
      <c r="L2908" s="249"/>
    </row>
    <row r="2909" spans="3:12" s="244" customFormat="1" x14ac:dyDescent="0.25">
      <c r="C2909" s="251"/>
      <c r="D2909" s="251"/>
      <c r="E2909" s="251"/>
      <c r="F2909" s="251"/>
      <c r="G2909" s="249"/>
      <c r="H2909" s="252"/>
      <c r="I2909" s="251"/>
      <c r="J2909" s="251"/>
      <c r="K2909" s="250"/>
      <c r="L2909" s="249"/>
    </row>
    <row r="2910" spans="3:12" s="244" customFormat="1" x14ac:dyDescent="0.25">
      <c r="C2910" s="251"/>
      <c r="D2910" s="251"/>
      <c r="E2910" s="251"/>
      <c r="F2910" s="251"/>
      <c r="G2910" s="249"/>
      <c r="H2910" s="252"/>
      <c r="I2910" s="251"/>
      <c r="J2910" s="251"/>
      <c r="K2910" s="250"/>
      <c r="L2910" s="249"/>
    </row>
    <row r="2911" spans="3:12" s="244" customFormat="1" x14ac:dyDescent="0.25">
      <c r="C2911" s="251"/>
      <c r="D2911" s="251"/>
      <c r="E2911" s="251"/>
      <c r="F2911" s="251"/>
      <c r="G2911" s="249"/>
      <c r="H2911" s="252"/>
      <c r="I2911" s="251"/>
      <c r="J2911" s="251"/>
      <c r="K2911" s="250"/>
      <c r="L2911" s="249"/>
    </row>
    <row r="2912" spans="3:12" s="244" customFormat="1" x14ac:dyDescent="0.25">
      <c r="C2912" s="251"/>
      <c r="D2912" s="251"/>
      <c r="E2912" s="251"/>
      <c r="F2912" s="251"/>
      <c r="G2912" s="249"/>
      <c r="H2912" s="252"/>
      <c r="I2912" s="251"/>
      <c r="J2912" s="251"/>
      <c r="K2912" s="250"/>
      <c r="L2912" s="249"/>
    </row>
    <row r="2913" spans="3:12" s="244" customFormat="1" x14ac:dyDescent="0.25">
      <c r="C2913" s="251"/>
      <c r="D2913" s="251"/>
      <c r="E2913" s="251"/>
      <c r="F2913" s="251"/>
      <c r="G2913" s="249"/>
      <c r="H2913" s="252"/>
      <c r="I2913" s="251"/>
      <c r="J2913" s="251"/>
      <c r="K2913" s="250"/>
      <c r="L2913" s="249"/>
    </row>
    <row r="2914" spans="3:12" s="244" customFormat="1" x14ac:dyDescent="0.25">
      <c r="C2914" s="251"/>
      <c r="D2914" s="251"/>
      <c r="E2914" s="251"/>
      <c r="F2914" s="251"/>
      <c r="G2914" s="249"/>
      <c r="H2914" s="252"/>
      <c r="I2914" s="251"/>
      <c r="J2914" s="251"/>
      <c r="K2914" s="250"/>
      <c r="L2914" s="249"/>
    </row>
    <row r="2915" spans="3:12" s="244" customFormat="1" x14ac:dyDescent="0.25">
      <c r="C2915" s="251"/>
      <c r="D2915" s="251"/>
      <c r="E2915" s="251"/>
      <c r="F2915" s="251"/>
      <c r="G2915" s="249"/>
      <c r="H2915" s="252"/>
      <c r="I2915" s="251"/>
      <c r="J2915" s="251"/>
      <c r="K2915" s="250"/>
      <c r="L2915" s="249"/>
    </row>
    <row r="2916" spans="3:12" s="244" customFormat="1" x14ac:dyDescent="0.25">
      <c r="C2916" s="251"/>
      <c r="D2916" s="251"/>
      <c r="E2916" s="251"/>
      <c r="F2916" s="251"/>
      <c r="G2916" s="249"/>
      <c r="H2916" s="252"/>
      <c r="I2916" s="251"/>
      <c r="J2916" s="251"/>
      <c r="K2916" s="250"/>
      <c r="L2916" s="249"/>
    </row>
    <row r="2917" spans="3:12" s="244" customFormat="1" x14ac:dyDescent="0.25">
      <c r="C2917" s="251"/>
      <c r="D2917" s="251"/>
      <c r="E2917" s="251"/>
      <c r="F2917" s="251"/>
      <c r="G2917" s="249"/>
      <c r="H2917" s="252"/>
      <c r="I2917" s="251"/>
      <c r="J2917" s="251"/>
      <c r="K2917" s="250"/>
      <c r="L2917" s="249"/>
    </row>
    <row r="2918" spans="3:12" s="244" customFormat="1" x14ac:dyDescent="0.25">
      <c r="C2918" s="251"/>
      <c r="D2918" s="251"/>
      <c r="E2918" s="251"/>
      <c r="F2918" s="251"/>
      <c r="G2918" s="249"/>
      <c r="H2918" s="252"/>
      <c r="I2918" s="251"/>
      <c r="J2918" s="251"/>
      <c r="K2918" s="250"/>
      <c r="L2918" s="249"/>
    </row>
    <row r="2919" spans="3:12" s="244" customFormat="1" x14ac:dyDescent="0.25">
      <c r="C2919" s="251"/>
      <c r="D2919" s="251"/>
      <c r="E2919" s="251"/>
      <c r="F2919" s="251"/>
      <c r="G2919" s="249"/>
      <c r="H2919" s="252"/>
      <c r="I2919" s="251"/>
      <c r="J2919" s="251"/>
      <c r="K2919" s="250"/>
      <c r="L2919" s="249"/>
    </row>
    <row r="2920" spans="3:12" s="244" customFormat="1" x14ac:dyDescent="0.25">
      <c r="C2920" s="251"/>
      <c r="D2920" s="251"/>
      <c r="E2920" s="251"/>
      <c r="F2920" s="251"/>
      <c r="G2920" s="249"/>
      <c r="H2920" s="252"/>
      <c r="I2920" s="251"/>
      <c r="J2920" s="251"/>
      <c r="K2920" s="250"/>
      <c r="L2920" s="249"/>
    </row>
    <row r="2921" spans="3:12" s="244" customFormat="1" x14ac:dyDescent="0.25">
      <c r="C2921" s="251"/>
      <c r="D2921" s="251"/>
      <c r="E2921" s="251"/>
      <c r="F2921" s="251"/>
      <c r="G2921" s="249"/>
      <c r="H2921" s="252"/>
      <c r="I2921" s="251"/>
      <c r="J2921" s="251"/>
      <c r="K2921" s="250"/>
      <c r="L2921" s="249"/>
    </row>
    <row r="2922" spans="3:12" s="244" customFormat="1" x14ac:dyDescent="0.25">
      <c r="C2922" s="251"/>
      <c r="D2922" s="251"/>
      <c r="E2922" s="251"/>
      <c r="F2922" s="251"/>
      <c r="G2922" s="249"/>
      <c r="H2922" s="252"/>
      <c r="I2922" s="251"/>
      <c r="J2922" s="251"/>
      <c r="K2922" s="250"/>
      <c r="L2922" s="249"/>
    </row>
    <row r="2923" spans="3:12" s="244" customFormat="1" x14ac:dyDescent="0.25">
      <c r="C2923" s="251"/>
      <c r="D2923" s="251"/>
      <c r="E2923" s="251"/>
      <c r="F2923" s="251"/>
      <c r="G2923" s="249"/>
      <c r="H2923" s="252"/>
      <c r="I2923" s="251"/>
      <c r="J2923" s="251"/>
      <c r="K2923" s="250"/>
      <c r="L2923" s="249"/>
    </row>
    <row r="2924" spans="3:12" s="244" customFormat="1" x14ac:dyDescent="0.25">
      <c r="C2924" s="251"/>
      <c r="D2924" s="251"/>
      <c r="E2924" s="251"/>
      <c r="F2924" s="251"/>
      <c r="G2924" s="249"/>
      <c r="H2924" s="252"/>
      <c r="I2924" s="251"/>
      <c r="J2924" s="251"/>
      <c r="K2924" s="250"/>
      <c r="L2924" s="249"/>
    </row>
    <row r="2925" spans="3:12" s="244" customFormat="1" x14ac:dyDescent="0.25">
      <c r="C2925" s="251"/>
      <c r="D2925" s="251"/>
      <c r="E2925" s="251"/>
      <c r="F2925" s="251"/>
      <c r="G2925" s="249"/>
      <c r="H2925" s="252"/>
      <c r="I2925" s="251"/>
      <c r="J2925" s="251"/>
      <c r="K2925" s="250"/>
      <c r="L2925" s="249"/>
    </row>
    <row r="2926" spans="3:12" s="244" customFormat="1" x14ac:dyDescent="0.25">
      <c r="C2926" s="251"/>
      <c r="D2926" s="251"/>
      <c r="E2926" s="251"/>
      <c r="F2926" s="251"/>
      <c r="G2926" s="249"/>
      <c r="H2926" s="252"/>
      <c r="I2926" s="251"/>
      <c r="J2926" s="251"/>
      <c r="K2926" s="250"/>
      <c r="L2926" s="249"/>
    </row>
    <row r="2927" spans="3:12" s="244" customFormat="1" x14ac:dyDescent="0.25">
      <c r="C2927" s="251"/>
      <c r="D2927" s="251"/>
      <c r="E2927" s="251"/>
      <c r="F2927" s="251"/>
      <c r="G2927" s="249"/>
      <c r="H2927" s="252"/>
      <c r="I2927" s="251"/>
      <c r="J2927" s="251"/>
      <c r="K2927" s="250"/>
      <c r="L2927" s="249"/>
    </row>
    <row r="2928" spans="3:12" s="244" customFormat="1" x14ac:dyDescent="0.25">
      <c r="C2928" s="251"/>
      <c r="D2928" s="251"/>
      <c r="E2928" s="251"/>
      <c r="F2928" s="251"/>
      <c r="G2928" s="249"/>
      <c r="H2928" s="252"/>
      <c r="I2928" s="251"/>
      <c r="J2928" s="251"/>
      <c r="K2928" s="250"/>
      <c r="L2928" s="249"/>
    </row>
    <row r="2929" spans="3:12" s="244" customFormat="1" x14ac:dyDescent="0.25">
      <c r="C2929" s="251"/>
      <c r="D2929" s="251"/>
      <c r="E2929" s="251"/>
      <c r="F2929" s="251"/>
      <c r="G2929" s="249"/>
      <c r="H2929" s="252"/>
      <c r="I2929" s="251"/>
      <c r="J2929" s="251"/>
      <c r="K2929" s="250"/>
      <c r="L2929" s="249"/>
    </row>
    <row r="2930" spans="3:12" s="244" customFormat="1" x14ac:dyDescent="0.25">
      <c r="C2930" s="251"/>
      <c r="D2930" s="251"/>
      <c r="E2930" s="251"/>
      <c r="F2930" s="251"/>
      <c r="G2930" s="249"/>
      <c r="H2930" s="252"/>
      <c r="I2930" s="251"/>
      <c r="J2930" s="251"/>
      <c r="K2930" s="250"/>
      <c r="L2930" s="249"/>
    </row>
    <row r="2931" spans="3:12" s="244" customFormat="1" x14ac:dyDescent="0.25">
      <c r="C2931" s="251"/>
      <c r="D2931" s="251"/>
      <c r="E2931" s="251"/>
      <c r="F2931" s="251"/>
      <c r="G2931" s="249"/>
      <c r="H2931" s="252"/>
      <c r="I2931" s="251"/>
      <c r="J2931" s="251"/>
      <c r="K2931" s="250"/>
      <c r="L2931" s="249"/>
    </row>
    <row r="2932" spans="3:12" s="244" customFormat="1" x14ac:dyDescent="0.25">
      <c r="C2932" s="251"/>
      <c r="D2932" s="251"/>
      <c r="E2932" s="251"/>
      <c r="F2932" s="251"/>
      <c r="G2932" s="249"/>
      <c r="H2932" s="252"/>
      <c r="I2932" s="251"/>
      <c r="J2932" s="251"/>
      <c r="K2932" s="250"/>
      <c r="L2932" s="249"/>
    </row>
    <row r="2933" spans="3:12" s="244" customFormat="1" x14ac:dyDescent="0.25">
      <c r="C2933" s="251"/>
      <c r="D2933" s="251"/>
      <c r="E2933" s="251"/>
      <c r="F2933" s="251"/>
      <c r="G2933" s="249"/>
      <c r="H2933" s="252"/>
      <c r="I2933" s="251"/>
      <c r="J2933" s="251"/>
      <c r="K2933" s="250"/>
      <c r="L2933" s="249"/>
    </row>
    <row r="2934" spans="3:12" s="244" customFormat="1" x14ac:dyDescent="0.25">
      <c r="C2934" s="251"/>
      <c r="D2934" s="251"/>
      <c r="E2934" s="251"/>
      <c r="F2934" s="251"/>
      <c r="G2934" s="249"/>
      <c r="H2934" s="252"/>
      <c r="I2934" s="251"/>
      <c r="J2934" s="251"/>
      <c r="K2934" s="250"/>
      <c r="L2934" s="249"/>
    </row>
    <row r="2935" spans="3:12" s="244" customFormat="1" x14ac:dyDescent="0.25">
      <c r="C2935" s="251"/>
      <c r="D2935" s="251"/>
      <c r="E2935" s="251"/>
      <c r="F2935" s="251"/>
      <c r="G2935" s="249"/>
      <c r="H2935" s="252"/>
      <c r="I2935" s="251"/>
      <c r="J2935" s="251"/>
      <c r="K2935" s="250"/>
      <c r="L2935" s="249"/>
    </row>
    <row r="2936" spans="3:12" s="244" customFormat="1" x14ac:dyDescent="0.25">
      <c r="C2936" s="251"/>
      <c r="D2936" s="251"/>
      <c r="E2936" s="251"/>
      <c r="F2936" s="251"/>
      <c r="G2936" s="249"/>
      <c r="H2936" s="252"/>
      <c r="I2936" s="251"/>
      <c r="J2936" s="251"/>
      <c r="K2936" s="250"/>
      <c r="L2936" s="249"/>
    </row>
    <row r="2937" spans="3:12" s="244" customFormat="1" x14ac:dyDescent="0.25">
      <c r="C2937" s="251"/>
      <c r="D2937" s="251"/>
      <c r="E2937" s="251"/>
      <c r="F2937" s="251"/>
      <c r="G2937" s="249"/>
      <c r="H2937" s="252"/>
      <c r="I2937" s="251"/>
      <c r="J2937" s="251"/>
      <c r="K2937" s="250"/>
      <c r="L2937" s="249"/>
    </row>
    <row r="2938" spans="3:12" s="244" customFormat="1" x14ac:dyDescent="0.25">
      <c r="C2938" s="251"/>
      <c r="D2938" s="251"/>
      <c r="E2938" s="251"/>
      <c r="F2938" s="251"/>
      <c r="G2938" s="249"/>
      <c r="H2938" s="252"/>
      <c r="I2938" s="251"/>
      <c r="J2938" s="251"/>
      <c r="K2938" s="250"/>
      <c r="L2938" s="249"/>
    </row>
    <row r="2939" spans="3:12" s="244" customFormat="1" x14ac:dyDescent="0.25">
      <c r="C2939" s="251"/>
      <c r="D2939" s="251"/>
      <c r="E2939" s="251"/>
      <c r="F2939" s="251"/>
      <c r="G2939" s="249"/>
      <c r="H2939" s="252"/>
      <c r="I2939" s="251"/>
      <c r="J2939" s="251"/>
      <c r="K2939" s="250"/>
      <c r="L2939" s="249"/>
    </row>
    <row r="2940" spans="3:12" s="244" customFormat="1" x14ac:dyDescent="0.25">
      <c r="C2940" s="251"/>
      <c r="D2940" s="251"/>
      <c r="E2940" s="251"/>
      <c r="F2940" s="251"/>
      <c r="G2940" s="249"/>
      <c r="H2940" s="252"/>
      <c r="I2940" s="251"/>
      <c r="J2940" s="251"/>
      <c r="K2940" s="250"/>
      <c r="L2940" s="249"/>
    </row>
    <row r="2941" spans="3:12" s="244" customFormat="1" x14ac:dyDescent="0.25">
      <c r="C2941" s="251"/>
      <c r="D2941" s="251"/>
      <c r="E2941" s="251"/>
      <c r="F2941" s="251"/>
      <c r="G2941" s="249"/>
      <c r="H2941" s="252"/>
      <c r="I2941" s="251"/>
      <c r="J2941" s="251"/>
      <c r="K2941" s="250"/>
      <c r="L2941" s="249"/>
    </row>
    <row r="2942" spans="3:12" s="244" customFormat="1" x14ac:dyDescent="0.25">
      <c r="C2942" s="251"/>
      <c r="D2942" s="251"/>
      <c r="E2942" s="251"/>
      <c r="F2942" s="251"/>
      <c r="G2942" s="249"/>
      <c r="H2942" s="252"/>
      <c r="I2942" s="251"/>
      <c r="J2942" s="251"/>
      <c r="K2942" s="250"/>
      <c r="L2942" s="249"/>
    </row>
    <row r="2943" spans="3:12" s="244" customFormat="1" x14ac:dyDescent="0.25">
      <c r="C2943" s="251"/>
      <c r="D2943" s="251"/>
      <c r="E2943" s="251"/>
      <c r="F2943" s="251"/>
      <c r="G2943" s="249"/>
      <c r="H2943" s="252"/>
      <c r="I2943" s="251"/>
      <c r="J2943" s="251"/>
      <c r="K2943" s="250"/>
      <c r="L2943" s="249"/>
    </row>
    <row r="2944" spans="3:12" s="244" customFormat="1" x14ac:dyDescent="0.25">
      <c r="C2944" s="251"/>
      <c r="D2944" s="251"/>
      <c r="E2944" s="251"/>
      <c r="F2944" s="251"/>
      <c r="G2944" s="249"/>
      <c r="H2944" s="252"/>
      <c r="I2944" s="251"/>
      <c r="J2944" s="251"/>
      <c r="K2944" s="250"/>
      <c r="L2944" s="249"/>
    </row>
    <row r="2945" spans="3:12" s="244" customFormat="1" x14ac:dyDescent="0.25">
      <c r="C2945" s="251"/>
      <c r="D2945" s="251"/>
      <c r="E2945" s="251"/>
      <c r="F2945" s="251"/>
      <c r="G2945" s="249"/>
      <c r="H2945" s="252"/>
      <c r="I2945" s="251"/>
      <c r="J2945" s="251"/>
      <c r="K2945" s="250"/>
      <c r="L2945" s="249"/>
    </row>
    <row r="2946" spans="3:12" s="244" customFormat="1" x14ac:dyDescent="0.25">
      <c r="C2946" s="251"/>
      <c r="D2946" s="251"/>
      <c r="E2946" s="251"/>
      <c r="F2946" s="251"/>
      <c r="G2946" s="249"/>
      <c r="H2946" s="252"/>
      <c r="I2946" s="251"/>
      <c r="J2946" s="251"/>
      <c r="K2946" s="250"/>
      <c r="L2946" s="249"/>
    </row>
    <row r="2947" spans="3:12" s="244" customFormat="1" x14ac:dyDescent="0.25">
      <c r="C2947" s="251"/>
      <c r="D2947" s="251"/>
      <c r="E2947" s="251"/>
      <c r="F2947" s="251"/>
      <c r="G2947" s="249"/>
      <c r="H2947" s="252"/>
      <c r="I2947" s="251"/>
      <c r="J2947" s="251"/>
      <c r="K2947" s="250"/>
      <c r="L2947" s="249"/>
    </row>
    <row r="2948" spans="3:12" s="244" customFormat="1" x14ac:dyDescent="0.25">
      <c r="C2948" s="251"/>
      <c r="D2948" s="251"/>
      <c r="E2948" s="251"/>
      <c r="F2948" s="251"/>
      <c r="G2948" s="249"/>
      <c r="H2948" s="252"/>
      <c r="I2948" s="251"/>
      <c r="J2948" s="251"/>
      <c r="K2948" s="250"/>
      <c r="L2948" s="249"/>
    </row>
    <row r="2949" spans="3:12" s="244" customFormat="1" x14ac:dyDescent="0.25">
      <c r="C2949" s="251"/>
      <c r="D2949" s="251"/>
      <c r="E2949" s="251"/>
      <c r="F2949" s="251"/>
      <c r="G2949" s="249"/>
      <c r="H2949" s="252"/>
      <c r="I2949" s="251"/>
      <c r="J2949" s="251"/>
      <c r="K2949" s="250"/>
      <c r="L2949" s="249"/>
    </row>
    <row r="2950" spans="3:12" s="244" customFormat="1" x14ac:dyDescent="0.25">
      <c r="C2950" s="251"/>
      <c r="D2950" s="251"/>
      <c r="E2950" s="251"/>
      <c r="F2950" s="251"/>
      <c r="G2950" s="249"/>
      <c r="H2950" s="252"/>
      <c r="I2950" s="251"/>
      <c r="J2950" s="251"/>
      <c r="K2950" s="250"/>
      <c r="L2950" s="249"/>
    </row>
    <row r="2951" spans="3:12" s="244" customFormat="1" x14ac:dyDescent="0.25">
      <c r="C2951" s="251"/>
      <c r="D2951" s="251"/>
      <c r="E2951" s="251"/>
      <c r="F2951" s="251"/>
      <c r="G2951" s="249"/>
      <c r="H2951" s="252"/>
      <c r="I2951" s="251"/>
      <c r="J2951" s="251"/>
      <c r="K2951" s="250"/>
      <c r="L2951" s="249"/>
    </row>
    <row r="2952" spans="3:12" s="244" customFormat="1" x14ac:dyDescent="0.25">
      <c r="C2952" s="251"/>
      <c r="D2952" s="251"/>
      <c r="E2952" s="251"/>
      <c r="F2952" s="251"/>
      <c r="G2952" s="249"/>
      <c r="H2952" s="252"/>
      <c r="I2952" s="251"/>
      <c r="J2952" s="251"/>
      <c r="K2952" s="250"/>
      <c r="L2952" s="249"/>
    </row>
    <row r="2953" spans="3:12" s="244" customFormat="1" x14ac:dyDescent="0.25">
      <c r="C2953" s="251"/>
      <c r="D2953" s="251"/>
      <c r="E2953" s="251"/>
      <c r="F2953" s="251"/>
      <c r="G2953" s="249"/>
      <c r="H2953" s="252"/>
      <c r="I2953" s="251"/>
      <c r="J2953" s="251"/>
      <c r="K2953" s="250"/>
      <c r="L2953" s="249"/>
    </row>
    <row r="2954" spans="3:12" s="244" customFormat="1" x14ac:dyDescent="0.25">
      <c r="C2954" s="251"/>
      <c r="D2954" s="251"/>
      <c r="E2954" s="251"/>
      <c r="F2954" s="251"/>
      <c r="G2954" s="249"/>
      <c r="H2954" s="252"/>
      <c r="I2954" s="251"/>
      <c r="J2954" s="251"/>
      <c r="K2954" s="250"/>
      <c r="L2954" s="249"/>
    </row>
    <row r="2955" spans="3:12" s="244" customFormat="1" x14ac:dyDescent="0.25">
      <c r="C2955" s="251"/>
      <c r="D2955" s="251"/>
      <c r="E2955" s="251"/>
      <c r="F2955" s="251"/>
      <c r="G2955" s="249"/>
      <c r="H2955" s="252"/>
      <c r="I2955" s="251"/>
      <c r="J2955" s="251"/>
      <c r="K2955" s="250"/>
      <c r="L2955" s="249"/>
    </row>
    <row r="2956" spans="3:12" s="244" customFormat="1" x14ac:dyDescent="0.25">
      <c r="C2956" s="251"/>
      <c r="D2956" s="251"/>
      <c r="E2956" s="251"/>
      <c r="F2956" s="251"/>
      <c r="G2956" s="249"/>
      <c r="H2956" s="252"/>
      <c r="I2956" s="251"/>
      <c r="J2956" s="251"/>
      <c r="K2956" s="250"/>
      <c r="L2956" s="249"/>
    </row>
    <row r="2957" spans="3:12" s="244" customFormat="1" x14ac:dyDescent="0.25">
      <c r="C2957" s="251"/>
      <c r="D2957" s="251"/>
      <c r="E2957" s="251"/>
      <c r="F2957" s="251"/>
      <c r="G2957" s="249"/>
      <c r="H2957" s="252"/>
      <c r="I2957" s="251"/>
      <c r="J2957" s="251"/>
      <c r="K2957" s="250"/>
      <c r="L2957" s="249"/>
    </row>
    <row r="2958" spans="3:12" s="244" customFormat="1" x14ac:dyDescent="0.25">
      <c r="C2958" s="251"/>
      <c r="D2958" s="251"/>
      <c r="E2958" s="251"/>
      <c r="F2958" s="251"/>
      <c r="G2958" s="249"/>
      <c r="H2958" s="252"/>
      <c r="I2958" s="251"/>
      <c r="J2958" s="251"/>
      <c r="K2958" s="250"/>
      <c r="L2958" s="249"/>
    </row>
    <row r="2959" spans="3:12" s="244" customFormat="1" x14ac:dyDescent="0.25">
      <c r="C2959" s="251"/>
      <c r="D2959" s="251"/>
      <c r="E2959" s="251"/>
      <c r="F2959" s="251"/>
      <c r="G2959" s="249"/>
      <c r="H2959" s="252"/>
      <c r="I2959" s="251"/>
      <c r="J2959" s="251"/>
      <c r="K2959" s="250"/>
      <c r="L2959" s="249"/>
    </row>
    <row r="2960" spans="3:12" s="244" customFormat="1" x14ac:dyDescent="0.25">
      <c r="C2960" s="251"/>
      <c r="D2960" s="251"/>
      <c r="E2960" s="251"/>
      <c r="F2960" s="251"/>
      <c r="G2960" s="249"/>
      <c r="H2960" s="252"/>
      <c r="I2960" s="251"/>
      <c r="J2960" s="251"/>
      <c r="K2960" s="250"/>
      <c r="L2960" s="249"/>
    </row>
    <row r="2961" spans="3:12" s="244" customFormat="1" x14ac:dyDescent="0.25">
      <c r="C2961" s="251"/>
      <c r="D2961" s="251"/>
      <c r="E2961" s="251"/>
      <c r="F2961" s="251"/>
      <c r="G2961" s="249"/>
      <c r="H2961" s="252"/>
      <c r="I2961" s="251"/>
      <c r="J2961" s="251"/>
      <c r="K2961" s="250"/>
      <c r="L2961" s="249"/>
    </row>
    <row r="2962" spans="3:12" s="244" customFormat="1" x14ac:dyDescent="0.25">
      <c r="C2962" s="251"/>
      <c r="D2962" s="251"/>
      <c r="E2962" s="251"/>
      <c r="F2962" s="251"/>
      <c r="G2962" s="249"/>
      <c r="H2962" s="252"/>
      <c r="I2962" s="251"/>
      <c r="J2962" s="251"/>
      <c r="K2962" s="250"/>
      <c r="L2962" s="249"/>
    </row>
    <row r="2963" spans="3:12" s="244" customFormat="1" x14ac:dyDescent="0.25">
      <c r="C2963" s="251"/>
      <c r="D2963" s="251"/>
      <c r="E2963" s="251"/>
      <c r="F2963" s="251"/>
      <c r="G2963" s="249"/>
      <c r="H2963" s="252"/>
      <c r="I2963" s="251"/>
      <c r="J2963" s="251"/>
      <c r="K2963" s="250"/>
      <c r="L2963" s="249"/>
    </row>
    <row r="2964" spans="3:12" s="244" customFormat="1" x14ac:dyDescent="0.25">
      <c r="C2964" s="251"/>
      <c r="D2964" s="251"/>
      <c r="E2964" s="251"/>
      <c r="F2964" s="251"/>
      <c r="G2964" s="249"/>
      <c r="H2964" s="252"/>
      <c r="I2964" s="251"/>
      <c r="J2964" s="251"/>
      <c r="K2964" s="250"/>
      <c r="L2964" s="249"/>
    </row>
    <row r="2965" spans="3:12" s="244" customFormat="1" x14ac:dyDescent="0.25">
      <c r="C2965" s="251"/>
      <c r="D2965" s="251"/>
      <c r="E2965" s="251"/>
      <c r="F2965" s="251"/>
      <c r="G2965" s="249"/>
      <c r="H2965" s="252"/>
      <c r="I2965" s="251"/>
      <c r="J2965" s="251"/>
      <c r="K2965" s="250"/>
      <c r="L2965" s="249"/>
    </row>
    <row r="2966" spans="3:12" s="244" customFormat="1" x14ac:dyDescent="0.25">
      <c r="C2966" s="251"/>
      <c r="D2966" s="251"/>
      <c r="E2966" s="251"/>
      <c r="F2966" s="251"/>
      <c r="G2966" s="249"/>
      <c r="H2966" s="252"/>
      <c r="I2966" s="251"/>
      <c r="J2966" s="251"/>
      <c r="K2966" s="250"/>
      <c r="L2966" s="249"/>
    </row>
    <row r="2967" spans="3:12" s="244" customFormat="1" x14ac:dyDescent="0.25">
      <c r="C2967" s="251"/>
      <c r="D2967" s="251"/>
      <c r="E2967" s="251"/>
      <c r="F2967" s="251"/>
      <c r="G2967" s="249"/>
      <c r="H2967" s="252"/>
      <c r="I2967" s="251"/>
      <c r="J2967" s="251"/>
      <c r="K2967" s="250"/>
      <c r="L2967" s="249"/>
    </row>
    <row r="2968" spans="3:12" s="244" customFormat="1" x14ac:dyDescent="0.25">
      <c r="C2968" s="251"/>
      <c r="D2968" s="251"/>
      <c r="E2968" s="251"/>
      <c r="F2968" s="251"/>
      <c r="G2968" s="249"/>
      <c r="H2968" s="252"/>
      <c r="I2968" s="251"/>
      <c r="J2968" s="251"/>
      <c r="K2968" s="250"/>
      <c r="L2968" s="249"/>
    </row>
    <row r="2969" spans="3:12" s="244" customFormat="1" x14ac:dyDescent="0.25">
      <c r="C2969" s="251"/>
      <c r="D2969" s="251"/>
      <c r="E2969" s="251"/>
      <c r="F2969" s="251"/>
      <c r="G2969" s="249"/>
      <c r="H2969" s="252"/>
      <c r="I2969" s="251"/>
      <c r="J2969" s="251"/>
      <c r="K2969" s="250"/>
      <c r="L2969" s="249"/>
    </row>
    <row r="2970" spans="3:12" s="244" customFormat="1" x14ac:dyDescent="0.25">
      <c r="C2970" s="251"/>
      <c r="D2970" s="251"/>
      <c r="E2970" s="251"/>
      <c r="F2970" s="251"/>
      <c r="G2970" s="249"/>
      <c r="H2970" s="252"/>
      <c r="I2970" s="251"/>
      <c r="J2970" s="251"/>
      <c r="K2970" s="250"/>
      <c r="L2970" s="249"/>
    </row>
    <row r="2971" spans="3:12" s="244" customFormat="1" x14ac:dyDescent="0.25">
      <c r="C2971" s="251"/>
      <c r="D2971" s="251"/>
      <c r="E2971" s="251"/>
      <c r="F2971" s="251"/>
      <c r="G2971" s="249"/>
      <c r="H2971" s="252"/>
      <c r="I2971" s="251"/>
      <c r="J2971" s="251"/>
      <c r="K2971" s="250"/>
      <c r="L2971" s="249"/>
    </row>
    <row r="2972" spans="3:12" s="244" customFormat="1" x14ac:dyDescent="0.25">
      <c r="C2972" s="251"/>
      <c r="D2972" s="251"/>
      <c r="E2972" s="251"/>
      <c r="F2972" s="251"/>
      <c r="G2972" s="249"/>
      <c r="H2972" s="252"/>
      <c r="I2972" s="251"/>
      <c r="J2972" s="251"/>
      <c r="K2972" s="250"/>
      <c r="L2972" s="249"/>
    </row>
    <row r="2973" spans="3:12" s="244" customFormat="1" x14ac:dyDescent="0.25">
      <c r="C2973" s="251"/>
      <c r="D2973" s="251"/>
      <c r="E2973" s="251"/>
      <c r="F2973" s="251"/>
      <c r="G2973" s="249"/>
      <c r="H2973" s="252"/>
      <c r="I2973" s="251"/>
      <c r="J2973" s="251"/>
      <c r="K2973" s="250"/>
      <c r="L2973" s="249"/>
    </row>
    <row r="2974" spans="3:12" s="244" customFormat="1" x14ac:dyDescent="0.25">
      <c r="C2974" s="251"/>
      <c r="D2974" s="251"/>
      <c r="E2974" s="251"/>
      <c r="F2974" s="251"/>
      <c r="G2974" s="249"/>
      <c r="H2974" s="252"/>
      <c r="I2974" s="251"/>
      <c r="J2974" s="251"/>
      <c r="K2974" s="250"/>
      <c r="L2974" s="249"/>
    </row>
    <row r="2975" spans="3:12" s="244" customFormat="1" x14ac:dyDescent="0.25">
      <c r="C2975" s="251"/>
      <c r="D2975" s="251"/>
      <c r="E2975" s="251"/>
      <c r="F2975" s="251"/>
      <c r="G2975" s="249"/>
      <c r="H2975" s="252"/>
      <c r="I2975" s="251"/>
      <c r="J2975" s="251"/>
      <c r="K2975" s="250"/>
      <c r="L2975" s="249"/>
    </row>
    <row r="2976" spans="3:12" s="244" customFormat="1" x14ac:dyDescent="0.25">
      <c r="C2976" s="251"/>
      <c r="D2976" s="251"/>
      <c r="E2976" s="251"/>
      <c r="F2976" s="251"/>
      <c r="G2976" s="249"/>
      <c r="H2976" s="252"/>
      <c r="I2976" s="251"/>
      <c r="J2976" s="251"/>
      <c r="K2976" s="250"/>
      <c r="L2976" s="249"/>
    </row>
    <row r="2977" spans="3:12" s="244" customFormat="1" x14ac:dyDescent="0.25">
      <c r="C2977" s="251"/>
      <c r="D2977" s="251"/>
      <c r="E2977" s="251"/>
      <c r="F2977" s="251"/>
      <c r="G2977" s="249"/>
      <c r="H2977" s="252"/>
      <c r="I2977" s="251"/>
      <c r="J2977" s="251"/>
      <c r="K2977" s="250"/>
      <c r="L2977" s="249"/>
    </row>
    <row r="2978" spans="3:12" s="244" customFormat="1" x14ac:dyDescent="0.25">
      <c r="C2978" s="251"/>
      <c r="D2978" s="251"/>
      <c r="E2978" s="251"/>
      <c r="F2978" s="251"/>
      <c r="G2978" s="249"/>
      <c r="H2978" s="252"/>
      <c r="I2978" s="251"/>
      <c r="J2978" s="251"/>
      <c r="K2978" s="250"/>
      <c r="L2978" s="249"/>
    </row>
    <row r="2979" spans="3:12" s="244" customFormat="1" x14ac:dyDescent="0.25">
      <c r="C2979" s="251"/>
      <c r="D2979" s="251"/>
      <c r="E2979" s="251"/>
      <c r="F2979" s="251"/>
      <c r="G2979" s="249"/>
      <c r="H2979" s="252"/>
      <c r="I2979" s="251"/>
      <c r="J2979" s="251"/>
      <c r="K2979" s="250"/>
      <c r="L2979" s="249"/>
    </row>
    <row r="2980" spans="3:12" s="244" customFormat="1" x14ac:dyDescent="0.25">
      <c r="C2980" s="251"/>
      <c r="D2980" s="251"/>
      <c r="E2980" s="251"/>
      <c r="F2980" s="251"/>
      <c r="G2980" s="249"/>
      <c r="H2980" s="252"/>
      <c r="I2980" s="251"/>
      <c r="J2980" s="251"/>
      <c r="K2980" s="250"/>
      <c r="L2980" s="249"/>
    </row>
    <row r="2981" spans="3:12" s="244" customFormat="1" x14ac:dyDescent="0.25">
      <c r="C2981" s="251"/>
      <c r="D2981" s="251"/>
      <c r="E2981" s="251"/>
      <c r="F2981" s="251"/>
      <c r="G2981" s="249"/>
      <c r="H2981" s="252"/>
      <c r="I2981" s="251"/>
      <c r="J2981" s="251"/>
      <c r="K2981" s="250"/>
      <c r="L2981" s="249"/>
    </row>
    <row r="2982" spans="3:12" s="244" customFormat="1" x14ac:dyDescent="0.25">
      <c r="C2982" s="251"/>
      <c r="D2982" s="251"/>
      <c r="E2982" s="251"/>
      <c r="F2982" s="251"/>
      <c r="G2982" s="249"/>
      <c r="H2982" s="252"/>
      <c r="I2982" s="251"/>
      <c r="J2982" s="251"/>
      <c r="K2982" s="250"/>
      <c r="L2982" s="249"/>
    </row>
    <row r="2983" spans="3:12" s="244" customFormat="1" x14ac:dyDescent="0.25">
      <c r="C2983" s="251"/>
      <c r="D2983" s="251"/>
      <c r="E2983" s="251"/>
      <c r="F2983" s="251"/>
      <c r="G2983" s="249"/>
      <c r="H2983" s="252"/>
      <c r="I2983" s="251"/>
      <c r="J2983" s="251"/>
      <c r="K2983" s="250"/>
      <c r="L2983" s="249"/>
    </row>
    <row r="2984" spans="3:12" s="244" customFormat="1" x14ac:dyDescent="0.25">
      <c r="C2984" s="251"/>
      <c r="D2984" s="251"/>
      <c r="E2984" s="251"/>
      <c r="F2984" s="251"/>
      <c r="G2984" s="249"/>
      <c r="H2984" s="252"/>
      <c r="I2984" s="251"/>
      <c r="J2984" s="251"/>
      <c r="K2984" s="250"/>
      <c r="L2984" s="249"/>
    </row>
    <row r="2985" spans="3:12" s="244" customFormat="1" x14ac:dyDescent="0.25">
      <c r="C2985" s="251"/>
      <c r="D2985" s="251"/>
      <c r="E2985" s="251"/>
      <c r="F2985" s="251"/>
      <c r="G2985" s="249"/>
      <c r="H2985" s="252"/>
      <c r="I2985" s="251"/>
      <c r="J2985" s="251"/>
      <c r="K2985" s="250"/>
      <c r="L2985" s="249"/>
    </row>
    <row r="2986" spans="3:12" s="244" customFormat="1" x14ac:dyDescent="0.25">
      <c r="C2986" s="251"/>
      <c r="D2986" s="251"/>
      <c r="E2986" s="251"/>
      <c r="F2986" s="251"/>
      <c r="G2986" s="249"/>
      <c r="H2986" s="252"/>
      <c r="I2986" s="251"/>
      <c r="J2986" s="251"/>
      <c r="K2986" s="250"/>
      <c r="L2986" s="249"/>
    </row>
    <row r="2987" spans="3:12" s="244" customFormat="1" x14ac:dyDescent="0.25">
      <c r="C2987" s="251"/>
      <c r="D2987" s="251"/>
      <c r="E2987" s="251"/>
      <c r="F2987" s="251"/>
      <c r="G2987" s="249"/>
      <c r="H2987" s="252"/>
      <c r="I2987" s="251"/>
      <c r="J2987" s="251"/>
      <c r="K2987" s="250"/>
      <c r="L2987" s="249"/>
    </row>
    <row r="2988" spans="3:12" s="244" customFormat="1" x14ac:dyDescent="0.25">
      <c r="C2988" s="251"/>
      <c r="D2988" s="251"/>
      <c r="E2988" s="251"/>
      <c r="F2988" s="251"/>
      <c r="G2988" s="249"/>
      <c r="H2988" s="252"/>
      <c r="I2988" s="251"/>
      <c r="J2988" s="251"/>
      <c r="K2988" s="250"/>
      <c r="L2988" s="249"/>
    </row>
    <row r="2989" spans="3:12" s="244" customFormat="1" x14ac:dyDescent="0.25">
      <c r="C2989" s="251"/>
      <c r="D2989" s="251"/>
      <c r="E2989" s="251"/>
      <c r="F2989" s="251"/>
      <c r="G2989" s="249"/>
      <c r="H2989" s="252"/>
      <c r="I2989" s="251"/>
      <c r="J2989" s="251"/>
      <c r="K2989" s="250"/>
      <c r="L2989" s="249"/>
    </row>
    <row r="2990" spans="3:12" s="244" customFormat="1" x14ac:dyDescent="0.25">
      <c r="C2990" s="251"/>
      <c r="D2990" s="251"/>
      <c r="E2990" s="251"/>
      <c r="F2990" s="251"/>
      <c r="G2990" s="249"/>
      <c r="H2990" s="252"/>
      <c r="I2990" s="251"/>
      <c r="J2990" s="251"/>
      <c r="K2990" s="250"/>
      <c r="L2990" s="249"/>
    </row>
    <row r="2991" spans="3:12" s="244" customFormat="1" x14ac:dyDescent="0.25">
      <c r="C2991" s="251"/>
      <c r="D2991" s="251"/>
      <c r="E2991" s="251"/>
      <c r="F2991" s="251"/>
      <c r="G2991" s="249"/>
      <c r="H2991" s="252"/>
      <c r="I2991" s="251"/>
      <c r="J2991" s="251"/>
      <c r="K2991" s="250"/>
      <c r="L2991" s="249"/>
    </row>
    <row r="2992" spans="3:12" s="244" customFormat="1" x14ac:dyDescent="0.25">
      <c r="C2992" s="251"/>
      <c r="D2992" s="251"/>
      <c r="E2992" s="251"/>
      <c r="F2992" s="251"/>
      <c r="G2992" s="249"/>
      <c r="H2992" s="252"/>
      <c r="I2992" s="251"/>
      <c r="J2992" s="251"/>
      <c r="K2992" s="250"/>
      <c r="L2992" s="249"/>
    </row>
    <row r="2993" spans="3:12" s="244" customFormat="1" x14ac:dyDescent="0.25">
      <c r="C2993" s="251"/>
      <c r="D2993" s="251"/>
      <c r="E2993" s="251"/>
      <c r="F2993" s="251"/>
      <c r="G2993" s="249"/>
      <c r="H2993" s="252"/>
      <c r="I2993" s="251"/>
      <c r="J2993" s="251"/>
      <c r="K2993" s="250"/>
      <c r="L2993" s="249"/>
    </row>
    <row r="2994" spans="3:12" s="244" customFormat="1" x14ac:dyDescent="0.25">
      <c r="C2994" s="251"/>
      <c r="D2994" s="251"/>
      <c r="E2994" s="251"/>
      <c r="F2994" s="251"/>
      <c r="G2994" s="249"/>
      <c r="H2994" s="252"/>
      <c r="I2994" s="251"/>
      <c r="J2994" s="251"/>
      <c r="K2994" s="250"/>
      <c r="L2994" s="249"/>
    </row>
    <row r="2995" spans="3:12" s="244" customFormat="1" x14ac:dyDescent="0.25">
      <c r="C2995" s="251"/>
      <c r="D2995" s="251"/>
      <c r="E2995" s="251"/>
      <c r="F2995" s="251"/>
      <c r="G2995" s="249"/>
      <c r="H2995" s="252"/>
      <c r="I2995" s="251"/>
      <c r="J2995" s="251"/>
      <c r="K2995" s="250"/>
      <c r="L2995" s="249"/>
    </row>
    <row r="2996" spans="3:12" s="244" customFormat="1" x14ac:dyDescent="0.25">
      <c r="C2996" s="251"/>
      <c r="D2996" s="251"/>
      <c r="E2996" s="251"/>
      <c r="F2996" s="251"/>
      <c r="G2996" s="249"/>
      <c r="H2996" s="252"/>
      <c r="I2996" s="251"/>
      <c r="J2996" s="251"/>
      <c r="K2996" s="250"/>
      <c r="L2996" s="249"/>
    </row>
    <row r="2997" spans="3:12" s="244" customFormat="1" x14ac:dyDescent="0.25">
      <c r="C2997" s="251"/>
      <c r="D2997" s="251"/>
      <c r="E2997" s="251"/>
      <c r="F2997" s="251"/>
      <c r="G2997" s="249"/>
      <c r="H2997" s="252"/>
      <c r="I2997" s="251"/>
      <c r="J2997" s="251"/>
      <c r="K2997" s="250"/>
      <c r="L2997" s="249"/>
    </row>
    <row r="2998" spans="3:12" s="244" customFormat="1" x14ac:dyDescent="0.25">
      <c r="C2998" s="251"/>
      <c r="D2998" s="251"/>
      <c r="E2998" s="251"/>
      <c r="F2998" s="251"/>
      <c r="G2998" s="249"/>
      <c r="H2998" s="252"/>
      <c r="I2998" s="251"/>
      <c r="J2998" s="251"/>
      <c r="K2998" s="250"/>
      <c r="L2998" s="249"/>
    </row>
    <row r="2999" spans="3:12" s="244" customFormat="1" x14ac:dyDescent="0.25">
      <c r="C2999" s="251"/>
      <c r="D2999" s="251"/>
      <c r="E2999" s="251"/>
      <c r="F2999" s="251"/>
      <c r="G2999" s="249"/>
      <c r="H2999" s="252"/>
      <c r="I2999" s="251"/>
      <c r="J2999" s="251"/>
      <c r="K2999" s="250"/>
      <c r="L2999" s="249"/>
    </row>
    <row r="3000" spans="3:12" s="244" customFormat="1" x14ac:dyDescent="0.25">
      <c r="C3000" s="251"/>
      <c r="D3000" s="251"/>
      <c r="E3000" s="251"/>
      <c r="F3000" s="251"/>
      <c r="G3000" s="249"/>
      <c r="H3000" s="252"/>
      <c r="I3000" s="251"/>
      <c r="J3000" s="251"/>
      <c r="K3000" s="250"/>
      <c r="L3000" s="249"/>
    </row>
    <row r="3001" spans="3:12" s="244" customFormat="1" x14ac:dyDescent="0.25">
      <c r="C3001" s="251"/>
      <c r="D3001" s="251"/>
      <c r="E3001" s="251"/>
      <c r="F3001" s="251"/>
      <c r="G3001" s="249"/>
      <c r="H3001" s="252"/>
      <c r="I3001" s="251"/>
      <c r="J3001" s="251"/>
      <c r="K3001" s="250"/>
      <c r="L3001" s="249"/>
    </row>
    <row r="3002" spans="3:12" s="244" customFormat="1" x14ac:dyDescent="0.25">
      <c r="C3002" s="251"/>
      <c r="D3002" s="251"/>
      <c r="E3002" s="251"/>
      <c r="F3002" s="251"/>
      <c r="G3002" s="249"/>
      <c r="H3002" s="252"/>
      <c r="I3002" s="251"/>
      <c r="J3002" s="251"/>
      <c r="K3002" s="250"/>
      <c r="L3002" s="249"/>
    </row>
    <row r="3003" spans="3:12" s="244" customFormat="1" x14ac:dyDescent="0.25">
      <c r="C3003" s="251"/>
      <c r="D3003" s="251"/>
      <c r="E3003" s="251"/>
      <c r="F3003" s="251"/>
      <c r="G3003" s="249"/>
      <c r="H3003" s="252"/>
      <c r="I3003" s="251"/>
      <c r="J3003" s="251"/>
      <c r="K3003" s="250"/>
      <c r="L3003" s="249"/>
    </row>
    <row r="3004" spans="3:12" s="244" customFormat="1" x14ac:dyDescent="0.25">
      <c r="C3004" s="251"/>
      <c r="D3004" s="251"/>
      <c r="E3004" s="251"/>
      <c r="F3004" s="251"/>
      <c r="G3004" s="249"/>
      <c r="H3004" s="252"/>
      <c r="I3004" s="251"/>
      <c r="J3004" s="251"/>
      <c r="K3004" s="250"/>
      <c r="L3004" s="249"/>
    </row>
    <row r="3005" spans="3:12" s="244" customFormat="1" x14ac:dyDescent="0.25">
      <c r="C3005" s="251"/>
      <c r="D3005" s="251"/>
      <c r="E3005" s="251"/>
      <c r="F3005" s="251"/>
      <c r="G3005" s="249"/>
      <c r="H3005" s="252"/>
      <c r="I3005" s="251"/>
      <c r="J3005" s="251"/>
      <c r="K3005" s="250"/>
      <c r="L3005" s="249"/>
    </row>
    <row r="3006" spans="3:12" s="244" customFormat="1" x14ac:dyDescent="0.25">
      <c r="C3006" s="251"/>
      <c r="D3006" s="251"/>
      <c r="E3006" s="251"/>
      <c r="F3006" s="251"/>
      <c r="G3006" s="249"/>
      <c r="H3006" s="252"/>
      <c r="I3006" s="251"/>
      <c r="J3006" s="251"/>
      <c r="K3006" s="250"/>
      <c r="L3006" s="249"/>
    </row>
    <row r="3007" spans="3:12" s="244" customFormat="1" x14ac:dyDescent="0.25">
      <c r="C3007" s="251"/>
      <c r="D3007" s="251"/>
      <c r="E3007" s="251"/>
      <c r="F3007" s="251"/>
      <c r="G3007" s="249"/>
      <c r="H3007" s="252"/>
      <c r="I3007" s="251"/>
      <c r="J3007" s="251"/>
      <c r="K3007" s="250"/>
      <c r="L3007" s="249"/>
    </row>
    <row r="3008" spans="3:12" s="244" customFormat="1" x14ac:dyDescent="0.25">
      <c r="C3008" s="251"/>
      <c r="D3008" s="251"/>
      <c r="E3008" s="251"/>
      <c r="F3008" s="251"/>
      <c r="G3008" s="249"/>
      <c r="H3008" s="252"/>
      <c r="I3008" s="251"/>
      <c r="J3008" s="251"/>
      <c r="K3008" s="250"/>
      <c r="L3008" s="249"/>
    </row>
    <row r="3009" spans="3:12" s="244" customFormat="1" x14ac:dyDescent="0.25">
      <c r="C3009" s="251"/>
      <c r="D3009" s="251"/>
      <c r="E3009" s="251"/>
      <c r="F3009" s="251"/>
      <c r="G3009" s="249"/>
      <c r="H3009" s="252"/>
      <c r="I3009" s="251"/>
      <c r="J3009" s="251"/>
      <c r="K3009" s="250"/>
      <c r="L3009" s="249"/>
    </row>
    <row r="3010" spans="3:12" s="244" customFormat="1" x14ac:dyDescent="0.25">
      <c r="C3010" s="251"/>
      <c r="D3010" s="251"/>
      <c r="E3010" s="251"/>
      <c r="F3010" s="251"/>
      <c r="G3010" s="249"/>
      <c r="H3010" s="252"/>
      <c r="I3010" s="251"/>
      <c r="J3010" s="251"/>
      <c r="K3010" s="250"/>
      <c r="L3010" s="249"/>
    </row>
    <row r="3011" spans="3:12" s="244" customFormat="1" x14ac:dyDescent="0.25">
      <c r="C3011" s="251"/>
      <c r="D3011" s="251"/>
      <c r="E3011" s="251"/>
      <c r="F3011" s="251"/>
      <c r="G3011" s="249"/>
      <c r="H3011" s="252"/>
      <c r="I3011" s="251"/>
      <c r="J3011" s="251"/>
      <c r="K3011" s="250"/>
      <c r="L3011" s="249"/>
    </row>
    <row r="3012" spans="3:12" s="244" customFormat="1" x14ac:dyDescent="0.25">
      <c r="C3012" s="251"/>
      <c r="D3012" s="251"/>
      <c r="E3012" s="251"/>
      <c r="F3012" s="251"/>
      <c r="G3012" s="249"/>
      <c r="H3012" s="252"/>
      <c r="I3012" s="251"/>
      <c r="J3012" s="251"/>
      <c r="K3012" s="250"/>
      <c r="L3012" s="249"/>
    </row>
    <row r="3013" spans="3:12" s="244" customFormat="1" x14ac:dyDescent="0.25">
      <c r="C3013" s="251"/>
      <c r="D3013" s="251"/>
      <c r="E3013" s="251"/>
      <c r="F3013" s="251"/>
      <c r="G3013" s="249"/>
      <c r="H3013" s="252"/>
      <c r="I3013" s="251"/>
      <c r="J3013" s="251"/>
      <c r="K3013" s="250"/>
      <c r="L3013" s="249"/>
    </row>
    <row r="3014" spans="3:12" s="244" customFormat="1" x14ac:dyDescent="0.25">
      <c r="C3014" s="251"/>
      <c r="D3014" s="251"/>
      <c r="E3014" s="251"/>
      <c r="F3014" s="251"/>
      <c r="G3014" s="249"/>
      <c r="H3014" s="252"/>
      <c r="I3014" s="251"/>
      <c r="J3014" s="251"/>
      <c r="K3014" s="250"/>
      <c r="L3014" s="249"/>
    </row>
    <row r="3015" spans="3:12" s="244" customFormat="1" x14ac:dyDescent="0.25">
      <c r="C3015" s="251"/>
      <c r="D3015" s="251"/>
      <c r="E3015" s="251"/>
      <c r="F3015" s="251"/>
      <c r="G3015" s="249"/>
      <c r="H3015" s="252"/>
      <c r="I3015" s="251"/>
      <c r="J3015" s="251"/>
      <c r="K3015" s="250"/>
      <c r="L3015" s="249"/>
    </row>
    <row r="3016" spans="3:12" s="244" customFormat="1" x14ac:dyDescent="0.25">
      <c r="C3016" s="251"/>
      <c r="D3016" s="251"/>
      <c r="E3016" s="251"/>
      <c r="F3016" s="251"/>
      <c r="G3016" s="249"/>
      <c r="H3016" s="252"/>
      <c r="I3016" s="251"/>
      <c r="J3016" s="251"/>
      <c r="K3016" s="250"/>
      <c r="L3016" s="249"/>
    </row>
    <row r="3017" spans="3:12" s="244" customFormat="1" x14ac:dyDescent="0.25">
      <c r="C3017" s="251"/>
      <c r="D3017" s="251"/>
      <c r="E3017" s="251"/>
      <c r="F3017" s="251"/>
      <c r="G3017" s="249"/>
      <c r="H3017" s="252"/>
      <c r="I3017" s="251"/>
      <c r="J3017" s="251"/>
      <c r="K3017" s="250"/>
      <c r="L3017" s="249"/>
    </row>
    <row r="3018" spans="3:12" s="244" customFormat="1" x14ac:dyDescent="0.25">
      <c r="C3018" s="251"/>
      <c r="D3018" s="251"/>
      <c r="E3018" s="251"/>
      <c r="F3018" s="251"/>
      <c r="G3018" s="249"/>
      <c r="H3018" s="252"/>
      <c r="I3018" s="251"/>
      <c r="J3018" s="251"/>
      <c r="K3018" s="250"/>
      <c r="L3018" s="249"/>
    </row>
    <row r="3019" spans="3:12" s="244" customFormat="1" x14ac:dyDescent="0.25">
      <c r="C3019" s="251"/>
      <c r="D3019" s="251"/>
      <c r="E3019" s="251"/>
      <c r="F3019" s="251"/>
      <c r="G3019" s="249"/>
      <c r="H3019" s="252"/>
      <c r="I3019" s="251"/>
      <c r="J3019" s="251"/>
      <c r="K3019" s="250"/>
      <c r="L3019" s="249"/>
    </row>
    <row r="3020" spans="3:12" s="244" customFormat="1" x14ac:dyDescent="0.25">
      <c r="C3020" s="251"/>
      <c r="D3020" s="251"/>
      <c r="E3020" s="251"/>
      <c r="F3020" s="251"/>
      <c r="G3020" s="249"/>
      <c r="H3020" s="252"/>
      <c r="I3020" s="251"/>
      <c r="J3020" s="251"/>
      <c r="K3020" s="250"/>
      <c r="L3020" s="249"/>
    </row>
    <row r="3021" spans="3:12" s="244" customFormat="1" x14ac:dyDescent="0.25">
      <c r="C3021" s="251"/>
      <c r="D3021" s="251"/>
      <c r="E3021" s="251"/>
      <c r="F3021" s="251"/>
      <c r="G3021" s="249"/>
      <c r="H3021" s="252"/>
      <c r="I3021" s="251"/>
      <c r="J3021" s="251"/>
      <c r="K3021" s="250"/>
      <c r="L3021" s="249"/>
    </row>
    <row r="3022" spans="3:12" s="244" customFormat="1" x14ac:dyDescent="0.25">
      <c r="C3022" s="251"/>
      <c r="D3022" s="251"/>
      <c r="E3022" s="251"/>
      <c r="F3022" s="251"/>
      <c r="G3022" s="249"/>
      <c r="H3022" s="252"/>
      <c r="I3022" s="251"/>
      <c r="J3022" s="251"/>
      <c r="K3022" s="250"/>
      <c r="L3022" s="249"/>
    </row>
    <row r="3023" spans="3:12" s="244" customFormat="1" x14ac:dyDescent="0.25">
      <c r="C3023" s="251"/>
      <c r="D3023" s="251"/>
      <c r="E3023" s="251"/>
      <c r="F3023" s="251"/>
      <c r="G3023" s="249"/>
      <c r="H3023" s="252"/>
      <c r="I3023" s="251"/>
      <c r="J3023" s="251"/>
      <c r="K3023" s="250"/>
      <c r="L3023" s="249"/>
    </row>
    <row r="3024" spans="3:12" s="244" customFormat="1" x14ac:dyDescent="0.25">
      <c r="C3024" s="251"/>
      <c r="D3024" s="251"/>
      <c r="E3024" s="251"/>
      <c r="F3024" s="251"/>
      <c r="G3024" s="249"/>
      <c r="H3024" s="252"/>
      <c r="I3024" s="251"/>
      <c r="J3024" s="251"/>
      <c r="K3024" s="250"/>
      <c r="L3024" s="249"/>
    </row>
    <row r="3025" spans="3:12" s="244" customFormat="1" x14ac:dyDescent="0.25">
      <c r="C3025" s="251"/>
      <c r="D3025" s="251"/>
      <c r="E3025" s="251"/>
      <c r="F3025" s="251"/>
      <c r="G3025" s="249"/>
      <c r="H3025" s="252"/>
      <c r="I3025" s="251"/>
      <c r="J3025" s="251"/>
      <c r="K3025" s="250"/>
      <c r="L3025" s="249"/>
    </row>
    <row r="3026" spans="3:12" s="244" customFormat="1" x14ac:dyDescent="0.25">
      <c r="C3026" s="251"/>
      <c r="D3026" s="251"/>
      <c r="E3026" s="251"/>
      <c r="F3026" s="251"/>
      <c r="G3026" s="249"/>
      <c r="H3026" s="252"/>
      <c r="I3026" s="251"/>
      <c r="J3026" s="251"/>
      <c r="K3026" s="250"/>
      <c r="L3026" s="249"/>
    </row>
    <row r="3027" spans="3:12" s="244" customFormat="1" x14ac:dyDescent="0.25">
      <c r="C3027" s="251"/>
      <c r="D3027" s="251"/>
      <c r="E3027" s="251"/>
      <c r="F3027" s="251"/>
      <c r="G3027" s="249"/>
      <c r="H3027" s="252"/>
      <c r="I3027" s="251"/>
      <c r="J3027" s="251"/>
      <c r="K3027" s="250"/>
      <c r="L3027" s="249"/>
    </row>
    <row r="3028" spans="3:12" s="244" customFormat="1" x14ac:dyDescent="0.25">
      <c r="C3028" s="251"/>
      <c r="D3028" s="251"/>
      <c r="E3028" s="251"/>
      <c r="F3028" s="251"/>
      <c r="G3028" s="249"/>
      <c r="H3028" s="252"/>
      <c r="I3028" s="251"/>
      <c r="J3028" s="251"/>
      <c r="K3028" s="250"/>
      <c r="L3028" s="249"/>
    </row>
    <row r="3029" spans="3:12" s="244" customFormat="1" x14ac:dyDescent="0.25">
      <c r="C3029" s="251"/>
      <c r="D3029" s="251"/>
      <c r="E3029" s="251"/>
      <c r="F3029" s="251"/>
      <c r="G3029" s="249"/>
      <c r="H3029" s="252"/>
      <c r="I3029" s="251"/>
      <c r="J3029" s="251"/>
      <c r="K3029" s="250"/>
      <c r="L3029" s="249"/>
    </row>
    <row r="3030" spans="3:12" s="244" customFormat="1" x14ac:dyDescent="0.25">
      <c r="C3030" s="251"/>
      <c r="D3030" s="251"/>
      <c r="E3030" s="251"/>
      <c r="F3030" s="251"/>
      <c r="G3030" s="249"/>
      <c r="H3030" s="252"/>
      <c r="I3030" s="251"/>
      <c r="J3030" s="251"/>
      <c r="K3030" s="250"/>
      <c r="L3030" s="249"/>
    </row>
    <row r="3031" spans="3:12" s="244" customFormat="1" x14ac:dyDescent="0.25">
      <c r="C3031" s="251"/>
      <c r="D3031" s="251"/>
      <c r="E3031" s="251"/>
      <c r="F3031" s="251"/>
      <c r="G3031" s="249"/>
      <c r="H3031" s="252"/>
      <c r="I3031" s="251"/>
      <c r="J3031" s="251"/>
      <c r="K3031" s="250"/>
      <c r="L3031" s="249"/>
    </row>
    <row r="3032" spans="3:12" s="244" customFormat="1" x14ac:dyDescent="0.25">
      <c r="C3032" s="251"/>
      <c r="D3032" s="251"/>
      <c r="E3032" s="251"/>
      <c r="F3032" s="251"/>
      <c r="G3032" s="249"/>
      <c r="H3032" s="252"/>
      <c r="I3032" s="251"/>
      <c r="J3032" s="251"/>
      <c r="K3032" s="250"/>
      <c r="L3032" s="249"/>
    </row>
    <row r="3033" spans="3:12" s="244" customFormat="1" x14ac:dyDescent="0.25">
      <c r="C3033" s="251"/>
      <c r="D3033" s="251"/>
      <c r="E3033" s="251"/>
      <c r="F3033" s="251"/>
      <c r="G3033" s="249"/>
      <c r="H3033" s="252"/>
      <c r="I3033" s="251"/>
      <c r="J3033" s="251"/>
      <c r="K3033" s="250"/>
      <c r="L3033" s="249"/>
    </row>
    <row r="3034" spans="3:12" s="244" customFormat="1" x14ac:dyDescent="0.25">
      <c r="C3034" s="251"/>
      <c r="D3034" s="251"/>
      <c r="E3034" s="251"/>
      <c r="F3034" s="251"/>
      <c r="G3034" s="249"/>
      <c r="H3034" s="252"/>
      <c r="I3034" s="251"/>
      <c r="J3034" s="251"/>
      <c r="K3034" s="250"/>
      <c r="L3034" s="249"/>
    </row>
    <row r="3035" spans="3:12" s="244" customFormat="1" x14ac:dyDescent="0.25">
      <c r="C3035" s="251"/>
      <c r="D3035" s="251"/>
      <c r="E3035" s="251"/>
      <c r="F3035" s="251"/>
      <c r="G3035" s="249"/>
      <c r="H3035" s="252"/>
      <c r="I3035" s="251"/>
      <c r="J3035" s="251"/>
      <c r="K3035" s="250"/>
      <c r="L3035" s="249"/>
    </row>
    <row r="3036" spans="3:12" s="244" customFormat="1" x14ac:dyDescent="0.25">
      <c r="C3036" s="251"/>
      <c r="D3036" s="251"/>
      <c r="E3036" s="251"/>
      <c r="F3036" s="251"/>
      <c r="G3036" s="249"/>
      <c r="H3036" s="252"/>
      <c r="I3036" s="251"/>
      <c r="J3036" s="251"/>
      <c r="K3036" s="250"/>
      <c r="L3036" s="249"/>
    </row>
    <row r="3037" spans="3:12" s="244" customFormat="1" x14ac:dyDescent="0.25">
      <c r="C3037" s="251"/>
      <c r="D3037" s="251"/>
      <c r="E3037" s="251"/>
      <c r="F3037" s="251"/>
      <c r="G3037" s="249"/>
      <c r="H3037" s="252"/>
      <c r="I3037" s="251"/>
      <c r="J3037" s="251"/>
      <c r="K3037" s="250"/>
      <c r="L3037" s="249"/>
    </row>
    <row r="3038" spans="3:12" s="244" customFormat="1" x14ac:dyDescent="0.25">
      <c r="C3038" s="251"/>
      <c r="D3038" s="251"/>
      <c r="E3038" s="251"/>
      <c r="F3038" s="251"/>
      <c r="G3038" s="249"/>
      <c r="H3038" s="252"/>
      <c r="I3038" s="251"/>
      <c r="J3038" s="251"/>
      <c r="K3038" s="250"/>
      <c r="L3038" s="249"/>
    </row>
    <row r="3039" spans="3:12" s="244" customFormat="1" x14ac:dyDescent="0.25">
      <c r="C3039" s="251"/>
      <c r="D3039" s="251"/>
      <c r="E3039" s="251"/>
      <c r="F3039" s="251"/>
      <c r="G3039" s="249"/>
      <c r="H3039" s="252"/>
      <c r="I3039" s="251"/>
      <c r="J3039" s="251"/>
      <c r="K3039" s="250"/>
      <c r="L3039" s="249"/>
    </row>
    <row r="3040" spans="3:12" s="244" customFormat="1" x14ac:dyDescent="0.25">
      <c r="C3040" s="251"/>
      <c r="D3040" s="251"/>
      <c r="E3040" s="251"/>
      <c r="F3040" s="251"/>
      <c r="G3040" s="249"/>
      <c r="H3040" s="252"/>
      <c r="I3040" s="251"/>
      <c r="J3040" s="251"/>
      <c r="K3040" s="250"/>
      <c r="L3040" s="249"/>
    </row>
    <row r="3041" spans="3:12" s="244" customFormat="1" x14ac:dyDescent="0.25">
      <c r="C3041" s="251"/>
      <c r="D3041" s="251"/>
      <c r="E3041" s="251"/>
      <c r="F3041" s="251"/>
      <c r="G3041" s="249"/>
      <c r="H3041" s="252"/>
      <c r="I3041" s="251"/>
      <c r="J3041" s="251"/>
      <c r="K3041" s="250"/>
      <c r="L3041" s="249"/>
    </row>
    <row r="3042" spans="3:12" s="244" customFormat="1" x14ac:dyDescent="0.25">
      <c r="C3042" s="251"/>
      <c r="D3042" s="251"/>
      <c r="E3042" s="251"/>
      <c r="F3042" s="251"/>
      <c r="G3042" s="249"/>
      <c r="H3042" s="252"/>
      <c r="I3042" s="251"/>
      <c r="J3042" s="251"/>
      <c r="K3042" s="250"/>
      <c r="L3042" s="249"/>
    </row>
    <row r="3043" spans="3:12" s="244" customFormat="1" x14ac:dyDescent="0.25">
      <c r="C3043" s="251"/>
      <c r="D3043" s="251"/>
      <c r="E3043" s="251"/>
      <c r="F3043" s="251"/>
      <c r="G3043" s="249"/>
      <c r="H3043" s="252"/>
      <c r="I3043" s="251"/>
      <c r="J3043" s="251"/>
      <c r="K3043" s="250"/>
      <c r="L3043" s="249"/>
    </row>
    <row r="3044" spans="3:12" s="244" customFormat="1" x14ac:dyDescent="0.25">
      <c r="C3044" s="251"/>
      <c r="D3044" s="251"/>
      <c r="E3044" s="251"/>
      <c r="F3044" s="251"/>
      <c r="G3044" s="249"/>
      <c r="H3044" s="252"/>
      <c r="I3044" s="251"/>
      <c r="J3044" s="251"/>
      <c r="K3044" s="250"/>
      <c r="L3044" s="249"/>
    </row>
    <row r="3045" spans="3:12" s="244" customFormat="1" x14ac:dyDescent="0.25">
      <c r="C3045" s="251"/>
      <c r="D3045" s="251"/>
      <c r="E3045" s="251"/>
      <c r="F3045" s="251"/>
      <c r="G3045" s="249"/>
      <c r="H3045" s="252"/>
      <c r="I3045" s="251"/>
      <c r="J3045" s="251"/>
      <c r="K3045" s="250"/>
      <c r="L3045" s="249"/>
    </row>
    <row r="3046" spans="3:12" s="244" customFormat="1" x14ac:dyDescent="0.25">
      <c r="C3046" s="251"/>
      <c r="D3046" s="251"/>
      <c r="E3046" s="251"/>
      <c r="F3046" s="251"/>
      <c r="G3046" s="249"/>
      <c r="H3046" s="252"/>
      <c r="I3046" s="251"/>
      <c r="J3046" s="251"/>
      <c r="K3046" s="250"/>
      <c r="L3046" s="249"/>
    </row>
    <row r="3047" spans="3:12" s="244" customFormat="1" x14ac:dyDescent="0.25">
      <c r="C3047" s="251"/>
      <c r="D3047" s="251"/>
      <c r="E3047" s="251"/>
      <c r="F3047" s="251"/>
      <c r="G3047" s="249"/>
      <c r="H3047" s="252"/>
      <c r="I3047" s="251"/>
      <c r="J3047" s="251"/>
      <c r="K3047" s="250"/>
      <c r="L3047" s="249"/>
    </row>
    <row r="3048" spans="3:12" s="244" customFormat="1" x14ac:dyDescent="0.25">
      <c r="C3048" s="251"/>
      <c r="D3048" s="251"/>
      <c r="E3048" s="251"/>
      <c r="F3048" s="251"/>
      <c r="G3048" s="249"/>
      <c r="H3048" s="252"/>
      <c r="I3048" s="251"/>
      <c r="J3048" s="251"/>
      <c r="K3048" s="250"/>
      <c r="L3048" s="249"/>
    </row>
    <row r="3049" spans="3:12" s="244" customFormat="1" x14ac:dyDescent="0.25">
      <c r="C3049" s="251"/>
      <c r="D3049" s="251"/>
      <c r="E3049" s="251"/>
      <c r="F3049" s="251"/>
      <c r="G3049" s="249"/>
      <c r="H3049" s="252"/>
      <c r="I3049" s="251"/>
      <c r="J3049" s="251"/>
      <c r="K3049" s="250"/>
      <c r="L3049" s="249"/>
    </row>
    <row r="3050" spans="3:12" s="244" customFormat="1" x14ac:dyDescent="0.25">
      <c r="C3050" s="251"/>
      <c r="D3050" s="251"/>
      <c r="E3050" s="251"/>
      <c r="F3050" s="251"/>
      <c r="G3050" s="249"/>
      <c r="H3050" s="252"/>
      <c r="I3050" s="251"/>
      <c r="J3050" s="251"/>
      <c r="K3050" s="250"/>
      <c r="L3050" s="249"/>
    </row>
    <row r="3051" spans="3:12" s="244" customFormat="1" x14ac:dyDescent="0.25">
      <c r="C3051" s="251"/>
      <c r="D3051" s="251"/>
      <c r="E3051" s="251"/>
      <c r="F3051" s="251"/>
      <c r="G3051" s="249"/>
      <c r="H3051" s="252"/>
      <c r="I3051" s="251"/>
      <c r="J3051" s="251"/>
      <c r="K3051" s="250"/>
      <c r="L3051" s="249"/>
    </row>
    <row r="3052" spans="3:12" s="244" customFormat="1" x14ac:dyDescent="0.25">
      <c r="C3052" s="251"/>
      <c r="D3052" s="251"/>
      <c r="E3052" s="251"/>
      <c r="F3052" s="251"/>
      <c r="G3052" s="249"/>
      <c r="H3052" s="252"/>
      <c r="I3052" s="251"/>
      <c r="J3052" s="251"/>
      <c r="K3052" s="250"/>
      <c r="L3052" s="249"/>
    </row>
    <row r="3053" spans="3:12" s="244" customFormat="1" x14ac:dyDescent="0.25">
      <c r="C3053" s="251"/>
      <c r="D3053" s="251"/>
      <c r="E3053" s="251"/>
      <c r="F3053" s="251"/>
      <c r="G3053" s="249"/>
      <c r="H3053" s="252"/>
      <c r="I3053" s="251"/>
      <c r="J3053" s="251"/>
      <c r="K3053" s="250"/>
      <c r="L3053" s="249"/>
    </row>
    <row r="3054" spans="3:12" s="244" customFormat="1" x14ac:dyDescent="0.25">
      <c r="C3054" s="251"/>
      <c r="D3054" s="251"/>
      <c r="E3054" s="251"/>
      <c r="F3054" s="251"/>
      <c r="G3054" s="249"/>
      <c r="H3054" s="252"/>
      <c r="I3054" s="251"/>
      <c r="J3054" s="251"/>
      <c r="K3054" s="250"/>
      <c r="L3054" s="249"/>
    </row>
    <row r="3055" spans="3:12" s="244" customFormat="1" x14ac:dyDescent="0.25">
      <c r="C3055" s="251"/>
      <c r="D3055" s="251"/>
      <c r="E3055" s="251"/>
      <c r="F3055" s="251"/>
      <c r="G3055" s="249"/>
      <c r="H3055" s="252"/>
      <c r="I3055" s="251"/>
      <c r="J3055" s="251"/>
      <c r="K3055" s="250"/>
      <c r="L3055" s="249"/>
    </row>
    <row r="3056" spans="3:12" s="244" customFormat="1" x14ac:dyDescent="0.25">
      <c r="C3056" s="251"/>
      <c r="D3056" s="251"/>
      <c r="E3056" s="251"/>
      <c r="F3056" s="251"/>
      <c r="G3056" s="249"/>
      <c r="H3056" s="252"/>
      <c r="I3056" s="251"/>
      <c r="J3056" s="251"/>
      <c r="K3056" s="250"/>
      <c r="L3056" s="249"/>
    </row>
    <row r="3057" spans="3:12" s="244" customFormat="1" x14ac:dyDescent="0.25">
      <c r="C3057" s="251"/>
      <c r="D3057" s="251"/>
      <c r="E3057" s="251"/>
      <c r="F3057" s="251"/>
      <c r="G3057" s="249"/>
      <c r="H3057" s="252"/>
      <c r="I3057" s="251"/>
      <c r="J3057" s="251"/>
      <c r="K3057" s="250"/>
      <c r="L3057" s="249"/>
    </row>
    <row r="3058" spans="3:12" s="244" customFormat="1" x14ac:dyDescent="0.25">
      <c r="C3058" s="251"/>
      <c r="D3058" s="251"/>
      <c r="E3058" s="251"/>
      <c r="F3058" s="251"/>
      <c r="G3058" s="249"/>
      <c r="H3058" s="252"/>
      <c r="I3058" s="251"/>
      <c r="J3058" s="251"/>
      <c r="K3058" s="250"/>
      <c r="L3058" s="249"/>
    </row>
    <row r="3059" spans="3:12" s="244" customFormat="1" x14ac:dyDescent="0.25">
      <c r="C3059" s="251"/>
      <c r="D3059" s="251"/>
      <c r="E3059" s="251"/>
      <c r="F3059" s="251"/>
      <c r="G3059" s="249"/>
      <c r="H3059" s="252"/>
      <c r="I3059" s="251"/>
      <c r="J3059" s="251"/>
      <c r="K3059" s="250"/>
      <c r="L3059" s="249"/>
    </row>
    <row r="3060" spans="3:12" s="244" customFormat="1" x14ac:dyDescent="0.25">
      <c r="C3060" s="251"/>
      <c r="D3060" s="251"/>
      <c r="E3060" s="251"/>
      <c r="F3060" s="251"/>
      <c r="G3060" s="249"/>
      <c r="H3060" s="252"/>
      <c r="I3060" s="251"/>
      <c r="J3060" s="251"/>
      <c r="K3060" s="250"/>
      <c r="L3060" s="249"/>
    </row>
    <row r="3061" spans="3:12" s="244" customFormat="1" x14ac:dyDescent="0.25">
      <c r="C3061" s="251"/>
      <c r="D3061" s="251"/>
      <c r="E3061" s="251"/>
      <c r="F3061" s="251"/>
      <c r="G3061" s="249"/>
      <c r="H3061" s="252"/>
      <c r="I3061" s="251"/>
      <c r="J3061" s="251"/>
      <c r="K3061" s="250"/>
      <c r="L3061" s="249"/>
    </row>
    <row r="3062" spans="3:12" s="244" customFormat="1" x14ac:dyDescent="0.25">
      <c r="C3062" s="251"/>
      <c r="D3062" s="251"/>
      <c r="E3062" s="251"/>
      <c r="F3062" s="251"/>
      <c r="G3062" s="249"/>
      <c r="H3062" s="252"/>
      <c r="I3062" s="251"/>
      <c r="J3062" s="251"/>
      <c r="K3062" s="250"/>
      <c r="L3062" s="249"/>
    </row>
    <row r="3063" spans="3:12" s="244" customFormat="1" x14ac:dyDescent="0.25">
      <c r="C3063" s="251"/>
      <c r="D3063" s="251"/>
      <c r="E3063" s="251"/>
      <c r="F3063" s="251"/>
      <c r="G3063" s="249"/>
      <c r="H3063" s="252"/>
      <c r="I3063" s="251"/>
      <c r="J3063" s="251"/>
      <c r="K3063" s="250"/>
      <c r="L3063" s="249"/>
    </row>
    <row r="3064" spans="3:12" s="244" customFormat="1" x14ac:dyDescent="0.25">
      <c r="C3064" s="251"/>
      <c r="D3064" s="251"/>
      <c r="E3064" s="251"/>
      <c r="F3064" s="251"/>
      <c r="G3064" s="249"/>
      <c r="H3064" s="252"/>
      <c r="I3064" s="251"/>
      <c r="J3064" s="251"/>
      <c r="K3064" s="250"/>
      <c r="L3064" s="249"/>
    </row>
    <row r="3065" spans="3:12" s="244" customFormat="1" x14ac:dyDescent="0.25">
      <c r="C3065" s="251"/>
      <c r="D3065" s="251"/>
      <c r="E3065" s="251"/>
      <c r="F3065" s="251"/>
      <c r="G3065" s="249"/>
      <c r="H3065" s="252"/>
      <c r="I3065" s="251"/>
      <c r="J3065" s="251"/>
      <c r="K3065" s="250"/>
      <c r="L3065" s="249"/>
    </row>
    <row r="3066" spans="3:12" s="244" customFormat="1" x14ac:dyDescent="0.25">
      <c r="C3066" s="251"/>
      <c r="D3066" s="251"/>
      <c r="E3066" s="251"/>
      <c r="F3066" s="251"/>
      <c r="G3066" s="249"/>
      <c r="H3066" s="252"/>
      <c r="I3066" s="251"/>
      <c r="J3066" s="251"/>
      <c r="K3066" s="250"/>
      <c r="L3066" s="249"/>
    </row>
    <row r="3067" spans="3:12" s="244" customFormat="1" x14ac:dyDescent="0.25">
      <c r="C3067" s="251"/>
      <c r="D3067" s="251"/>
      <c r="E3067" s="251"/>
      <c r="F3067" s="251"/>
      <c r="G3067" s="249"/>
      <c r="H3067" s="252"/>
      <c r="I3067" s="251"/>
      <c r="J3067" s="251"/>
      <c r="K3067" s="250"/>
      <c r="L3067" s="249"/>
    </row>
    <row r="3068" spans="3:12" s="244" customFormat="1" x14ac:dyDescent="0.25">
      <c r="C3068" s="251"/>
      <c r="D3068" s="251"/>
      <c r="E3068" s="251"/>
      <c r="F3068" s="251"/>
      <c r="G3068" s="249"/>
      <c r="H3068" s="252"/>
      <c r="I3068" s="251"/>
      <c r="J3068" s="251"/>
      <c r="K3068" s="250"/>
      <c r="L3068" s="249"/>
    </row>
    <row r="3069" spans="3:12" s="244" customFormat="1" x14ac:dyDescent="0.25">
      <c r="C3069" s="251"/>
      <c r="D3069" s="251"/>
      <c r="E3069" s="251"/>
      <c r="F3069" s="251"/>
      <c r="G3069" s="249"/>
      <c r="H3069" s="252"/>
      <c r="I3069" s="251"/>
      <c r="J3069" s="251"/>
      <c r="K3069" s="250"/>
      <c r="L3069" s="249"/>
    </row>
    <row r="3070" spans="3:12" s="244" customFormat="1" x14ac:dyDescent="0.25">
      <c r="C3070" s="251"/>
      <c r="D3070" s="251"/>
      <c r="E3070" s="251"/>
      <c r="F3070" s="251"/>
      <c r="G3070" s="249"/>
      <c r="H3070" s="252"/>
      <c r="I3070" s="251"/>
      <c r="J3070" s="251"/>
      <c r="K3070" s="250"/>
      <c r="L3070" s="249"/>
    </row>
    <row r="3071" spans="3:12" s="244" customFormat="1" x14ac:dyDescent="0.25">
      <c r="C3071" s="251"/>
      <c r="D3071" s="251"/>
      <c r="E3071" s="251"/>
      <c r="F3071" s="251"/>
      <c r="G3071" s="249"/>
      <c r="H3071" s="252"/>
      <c r="I3071" s="251"/>
      <c r="J3071" s="251"/>
      <c r="K3071" s="250"/>
      <c r="L3071" s="249"/>
    </row>
    <row r="3072" spans="3:12" s="244" customFormat="1" x14ac:dyDescent="0.25">
      <c r="C3072" s="251"/>
      <c r="D3072" s="251"/>
      <c r="E3072" s="251"/>
      <c r="F3072" s="251"/>
      <c r="G3072" s="249"/>
      <c r="H3072" s="252"/>
      <c r="I3072" s="251"/>
      <c r="J3072" s="251"/>
      <c r="K3072" s="250"/>
      <c r="L3072" s="249"/>
    </row>
    <row r="3073" spans="3:12" s="244" customFormat="1" x14ac:dyDescent="0.25">
      <c r="C3073" s="251"/>
      <c r="D3073" s="251"/>
      <c r="E3073" s="251"/>
      <c r="F3073" s="251"/>
      <c r="G3073" s="249"/>
      <c r="H3073" s="252"/>
      <c r="I3073" s="251"/>
      <c r="J3073" s="251"/>
      <c r="K3073" s="250"/>
      <c r="L3073" s="249"/>
    </row>
    <row r="3074" spans="3:12" s="244" customFormat="1" x14ac:dyDescent="0.25">
      <c r="C3074" s="251"/>
      <c r="D3074" s="251"/>
      <c r="E3074" s="251"/>
      <c r="F3074" s="251"/>
      <c r="G3074" s="249"/>
      <c r="H3074" s="252"/>
      <c r="I3074" s="251"/>
      <c r="J3074" s="251"/>
      <c r="K3074" s="250"/>
      <c r="L3074" s="249"/>
    </row>
    <row r="3075" spans="3:12" s="244" customFormat="1" x14ac:dyDescent="0.25">
      <c r="C3075" s="251"/>
      <c r="D3075" s="251"/>
      <c r="E3075" s="251"/>
      <c r="F3075" s="251"/>
      <c r="G3075" s="249"/>
      <c r="H3075" s="252"/>
      <c r="I3075" s="251"/>
      <c r="J3075" s="251"/>
      <c r="K3075" s="250"/>
      <c r="L3075" s="249"/>
    </row>
    <row r="3076" spans="3:12" s="244" customFormat="1" x14ac:dyDescent="0.25">
      <c r="C3076" s="251"/>
      <c r="D3076" s="251"/>
      <c r="E3076" s="251"/>
      <c r="F3076" s="251"/>
      <c r="G3076" s="249"/>
      <c r="H3076" s="252"/>
      <c r="I3076" s="251"/>
      <c r="J3076" s="251"/>
      <c r="K3076" s="250"/>
      <c r="L3076" s="249"/>
    </row>
    <row r="3077" spans="3:12" s="244" customFormat="1" x14ac:dyDescent="0.25">
      <c r="C3077" s="251"/>
      <c r="D3077" s="251"/>
      <c r="E3077" s="251"/>
      <c r="F3077" s="251"/>
      <c r="G3077" s="249"/>
      <c r="H3077" s="252"/>
      <c r="I3077" s="251"/>
      <c r="J3077" s="251"/>
      <c r="K3077" s="250"/>
      <c r="L3077" s="249"/>
    </row>
    <row r="3078" spans="3:12" s="244" customFormat="1" x14ac:dyDescent="0.25">
      <c r="C3078" s="251"/>
      <c r="D3078" s="251"/>
      <c r="E3078" s="251"/>
      <c r="F3078" s="251"/>
      <c r="G3078" s="249"/>
      <c r="H3078" s="252"/>
      <c r="I3078" s="251"/>
      <c r="J3078" s="251"/>
      <c r="K3078" s="250"/>
      <c r="L3078" s="249"/>
    </row>
    <row r="3079" spans="3:12" s="244" customFormat="1" x14ac:dyDescent="0.25">
      <c r="C3079" s="251"/>
      <c r="D3079" s="251"/>
      <c r="E3079" s="251"/>
      <c r="F3079" s="251"/>
      <c r="G3079" s="249"/>
      <c r="H3079" s="252"/>
      <c r="I3079" s="251"/>
      <c r="J3079" s="251"/>
      <c r="K3079" s="250"/>
      <c r="L3079" s="249"/>
    </row>
    <row r="3080" spans="3:12" s="244" customFormat="1" x14ac:dyDescent="0.25">
      <c r="C3080" s="251"/>
      <c r="D3080" s="251"/>
      <c r="E3080" s="251"/>
      <c r="F3080" s="251"/>
      <c r="G3080" s="249"/>
      <c r="H3080" s="252"/>
      <c r="I3080" s="251"/>
      <c r="J3080" s="251"/>
      <c r="K3080" s="250"/>
      <c r="L3080" s="249"/>
    </row>
    <row r="3081" spans="3:12" s="244" customFormat="1" x14ac:dyDescent="0.25">
      <c r="C3081" s="251"/>
      <c r="D3081" s="251"/>
      <c r="E3081" s="251"/>
      <c r="F3081" s="251"/>
      <c r="G3081" s="249"/>
      <c r="H3081" s="252"/>
      <c r="I3081" s="251"/>
      <c r="J3081" s="251"/>
      <c r="K3081" s="250"/>
      <c r="L3081" s="249"/>
    </row>
    <row r="3082" spans="3:12" s="244" customFormat="1" x14ac:dyDescent="0.25">
      <c r="C3082" s="251"/>
      <c r="D3082" s="251"/>
      <c r="E3082" s="251"/>
      <c r="F3082" s="251"/>
      <c r="G3082" s="249"/>
      <c r="H3082" s="252"/>
      <c r="I3082" s="251"/>
      <c r="J3082" s="251"/>
      <c r="K3082" s="250"/>
      <c r="L3082" s="249"/>
    </row>
    <row r="3083" spans="3:12" s="244" customFormat="1" x14ac:dyDescent="0.25">
      <c r="C3083" s="251"/>
      <c r="D3083" s="251"/>
      <c r="E3083" s="251"/>
      <c r="F3083" s="251"/>
      <c r="G3083" s="249"/>
      <c r="H3083" s="252"/>
      <c r="I3083" s="251"/>
      <c r="J3083" s="251"/>
      <c r="K3083" s="250"/>
      <c r="L3083" s="249"/>
    </row>
    <row r="3084" spans="3:12" s="244" customFormat="1" x14ac:dyDescent="0.25">
      <c r="C3084" s="251"/>
      <c r="D3084" s="251"/>
      <c r="E3084" s="251"/>
      <c r="F3084" s="251"/>
      <c r="G3084" s="249"/>
      <c r="H3084" s="252"/>
      <c r="I3084" s="251"/>
      <c r="J3084" s="251"/>
      <c r="K3084" s="250"/>
      <c r="L3084" s="249"/>
    </row>
    <row r="3085" spans="3:12" s="244" customFormat="1" x14ac:dyDescent="0.25">
      <c r="C3085" s="251"/>
      <c r="D3085" s="251"/>
      <c r="E3085" s="251"/>
      <c r="F3085" s="251"/>
      <c r="G3085" s="249"/>
      <c r="H3085" s="252"/>
      <c r="I3085" s="251"/>
      <c r="J3085" s="251"/>
      <c r="K3085" s="250"/>
      <c r="L3085" s="249"/>
    </row>
    <row r="3086" spans="3:12" s="244" customFormat="1" x14ac:dyDescent="0.25">
      <c r="C3086" s="251"/>
      <c r="D3086" s="251"/>
      <c r="E3086" s="251"/>
      <c r="F3086" s="251"/>
      <c r="G3086" s="249"/>
      <c r="H3086" s="252"/>
      <c r="I3086" s="251"/>
      <c r="J3086" s="251"/>
      <c r="K3086" s="250"/>
      <c r="L3086" s="249"/>
    </row>
    <row r="3087" spans="3:12" s="244" customFormat="1" x14ac:dyDescent="0.25">
      <c r="C3087" s="251"/>
      <c r="D3087" s="251"/>
      <c r="E3087" s="251"/>
      <c r="F3087" s="251"/>
      <c r="G3087" s="249"/>
      <c r="H3087" s="252"/>
      <c r="I3087" s="251"/>
      <c r="J3087" s="251"/>
      <c r="K3087" s="250"/>
      <c r="L3087" s="249"/>
    </row>
    <row r="3088" spans="3:12" s="244" customFormat="1" x14ac:dyDescent="0.25">
      <c r="C3088" s="251"/>
      <c r="D3088" s="251"/>
      <c r="E3088" s="251"/>
      <c r="F3088" s="251"/>
      <c r="G3088" s="249"/>
      <c r="H3088" s="252"/>
      <c r="I3088" s="251"/>
      <c r="J3088" s="251"/>
      <c r="K3088" s="250"/>
      <c r="L3088" s="249"/>
    </row>
    <row r="3089" spans="3:12" s="244" customFormat="1" x14ac:dyDescent="0.25">
      <c r="C3089" s="251"/>
      <c r="D3089" s="251"/>
      <c r="E3089" s="251"/>
      <c r="F3089" s="251"/>
      <c r="G3089" s="249"/>
      <c r="H3089" s="252"/>
      <c r="I3089" s="251"/>
      <c r="J3089" s="251"/>
      <c r="K3089" s="250"/>
      <c r="L3089" s="249"/>
    </row>
    <row r="3090" spans="3:12" s="244" customFormat="1" x14ac:dyDescent="0.25">
      <c r="C3090" s="251"/>
      <c r="D3090" s="251"/>
      <c r="E3090" s="251"/>
      <c r="F3090" s="251"/>
      <c r="G3090" s="249"/>
      <c r="H3090" s="252"/>
      <c r="I3090" s="251"/>
      <c r="J3090" s="251"/>
      <c r="K3090" s="250"/>
      <c r="L3090" s="249"/>
    </row>
    <row r="3091" spans="3:12" s="244" customFormat="1" x14ac:dyDescent="0.25">
      <c r="C3091" s="251"/>
      <c r="D3091" s="251"/>
      <c r="E3091" s="251"/>
      <c r="F3091" s="251"/>
      <c r="G3091" s="249"/>
      <c r="H3091" s="252"/>
      <c r="I3091" s="251"/>
      <c r="J3091" s="251"/>
      <c r="K3091" s="250"/>
      <c r="L3091" s="249"/>
    </row>
    <row r="3092" spans="3:12" s="244" customFormat="1" x14ac:dyDescent="0.25">
      <c r="C3092" s="251"/>
      <c r="D3092" s="251"/>
      <c r="E3092" s="251"/>
      <c r="F3092" s="251"/>
      <c r="G3092" s="249"/>
      <c r="H3092" s="252"/>
      <c r="I3092" s="251"/>
      <c r="J3092" s="251"/>
      <c r="K3092" s="250"/>
      <c r="L3092" s="249"/>
    </row>
    <row r="3093" spans="3:12" s="244" customFormat="1" x14ac:dyDescent="0.25">
      <c r="C3093" s="251"/>
      <c r="D3093" s="251"/>
      <c r="E3093" s="251"/>
      <c r="F3093" s="251"/>
      <c r="G3093" s="249"/>
      <c r="H3093" s="252"/>
      <c r="I3093" s="251"/>
      <c r="J3093" s="251"/>
      <c r="K3093" s="250"/>
      <c r="L3093" s="249"/>
    </row>
    <row r="3094" spans="3:12" s="244" customFormat="1" x14ac:dyDescent="0.25">
      <c r="C3094" s="251"/>
      <c r="D3094" s="251"/>
      <c r="E3094" s="251"/>
      <c r="F3094" s="251"/>
      <c r="G3094" s="249"/>
      <c r="H3094" s="252"/>
      <c r="I3094" s="251"/>
      <c r="J3094" s="251"/>
      <c r="K3094" s="250"/>
      <c r="L3094" s="249"/>
    </row>
    <row r="3095" spans="3:12" s="244" customFormat="1" x14ac:dyDescent="0.25">
      <c r="C3095" s="251"/>
      <c r="D3095" s="251"/>
      <c r="E3095" s="251"/>
      <c r="F3095" s="251"/>
      <c r="G3095" s="249"/>
      <c r="H3095" s="252"/>
      <c r="I3095" s="251"/>
      <c r="J3095" s="251"/>
      <c r="K3095" s="250"/>
      <c r="L3095" s="249"/>
    </row>
    <row r="3096" spans="3:12" s="244" customFormat="1" x14ac:dyDescent="0.25">
      <c r="C3096" s="251"/>
      <c r="D3096" s="251"/>
      <c r="E3096" s="251"/>
      <c r="F3096" s="251"/>
      <c r="G3096" s="249"/>
      <c r="H3096" s="252"/>
      <c r="I3096" s="251"/>
      <c r="J3096" s="251"/>
      <c r="K3096" s="250"/>
      <c r="L3096" s="249"/>
    </row>
    <row r="3097" spans="3:12" s="244" customFormat="1" x14ac:dyDescent="0.25">
      <c r="C3097" s="251"/>
      <c r="D3097" s="251"/>
      <c r="E3097" s="251"/>
      <c r="F3097" s="251"/>
      <c r="G3097" s="249"/>
      <c r="H3097" s="252"/>
      <c r="I3097" s="251"/>
      <c r="J3097" s="251"/>
      <c r="K3097" s="250"/>
      <c r="L3097" s="249"/>
    </row>
    <row r="3098" spans="3:12" s="244" customFormat="1" x14ac:dyDescent="0.25">
      <c r="C3098" s="251"/>
      <c r="D3098" s="251"/>
      <c r="E3098" s="251"/>
      <c r="F3098" s="251"/>
      <c r="G3098" s="249"/>
      <c r="H3098" s="252"/>
      <c r="I3098" s="251"/>
      <c r="J3098" s="251"/>
      <c r="K3098" s="250"/>
      <c r="L3098" s="249"/>
    </row>
    <row r="3099" spans="3:12" s="244" customFormat="1" x14ac:dyDescent="0.25">
      <c r="C3099" s="251"/>
      <c r="D3099" s="251"/>
      <c r="E3099" s="251"/>
      <c r="F3099" s="251"/>
      <c r="G3099" s="249"/>
      <c r="H3099" s="252"/>
      <c r="I3099" s="251"/>
      <c r="J3099" s="251"/>
      <c r="K3099" s="250"/>
      <c r="L3099" s="249"/>
    </row>
    <row r="3100" spans="3:12" s="244" customFormat="1" x14ac:dyDescent="0.25">
      <c r="C3100" s="251"/>
      <c r="D3100" s="251"/>
      <c r="E3100" s="251"/>
      <c r="F3100" s="251"/>
      <c r="G3100" s="249"/>
      <c r="H3100" s="252"/>
      <c r="I3100" s="251"/>
      <c r="J3100" s="251"/>
      <c r="K3100" s="250"/>
      <c r="L3100" s="249"/>
    </row>
    <row r="3101" spans="3:12" s="244" customFormat="1" x14ac:dyDescent="0.25">
      <c r="C3101" s="251"/>
      <c r="D3101" s="251"/>
      <c r="E3101" s="251"/>
      <c r="F3101" s="251"/>
      <c r="G3101" s="249"/>
      <c r="H3101" s="252"/>
      <c r="I3101" s="251"/>
      <c r="J3101" s="251"/>
      <c r="K3101" s="250"/>
      <c r="L3101" s="249"/>
    </row>
    <row r="3102" spans="3:12" s="244" customFormat="1" x14ac:dyDescent="0.25">
      <c r="C3102" s="251"/>
      <c r="D3102" s="251"/>
      <c r="E3102" s="251"/>
      <c r="F3102" s="251"/>
      <c r="G3102" s="249"/>
      <c r="H3102" s="252"/>
      <c r="I3102" s="251"/>
      <c r="J3102" s="251"/>
      <c r="K3102" s="250"/>
      <c r="L3102" s="249"/>
    </row>
    <row r="3103" spans="3:12" s="244" customFormat="1" x14ac:dyDescent="0.25">
      <c r="C3103" s="251"/>
      <c r="D3103" s="251"/>
      <c r="E3103" s="251"/>
      <c r="F3103" s="251"/>
      <c r="G3103" s="249"/>
      <c r="H3103" s="252"/>
      <c r="I3103" s="251"/>
      <c r="J3103" s="251"/>
      <c r="K3103" s="250"/>
      <c r="L3103" s="249"/>
    </row>
    <row r="3104" spans="3:12" s="244" customFormat="1" x14ac:dyDescent="0.25">
      <c r="C3104" s="251"/>
      <c r="D3104" s="251"/>
      <c r="E3104" s="251"/>
      <c r="F3104" s="251"/>
      <c r="G3104" s="249"/>
      <c r="H3104" s="252"/>
      <c r="I3104" s="251"/>
      <c r="J3104" s="251"/>
      <c r="K3104" s="250"/>
      <c r="L3104" s="249"/>
    </row>
    <row r="3105" spans="3:12" s="244" customFormat="1" x14ac:dyDescent="0.25">
      <c r="C3105" s="251"/>
      <c r="D3105" s="251"/>
      <c r="E3105" s="251"/>
      <c r="F3105" s="251"/>
      <c r="G3105" s="249"/>
      <c r="H3105" s="252"/>
      <c r="I3105" s="251"/>
      <c r="J3105" s="251"/>
      <c r="K3105" s="250"/>
      <c r="L3105" s="249"/>
    </row>
    <row r="3106" spans="3:12" s="244" customFormat="1" x14ac:dyDescent="0.25">
      <c r="C3106" s="251"/>
      <c r="D3106" s="251"/>
      <c r="E3106" s="251"/>
      <c r="F3106" s="251"/>
      <c r="G3106" s="249"/>
      <c r="H3106" s="252"/>
      <c r="I3106" s="251"/>
      <c r="J3106" s="251"/>
      <c r="K3106" s="250"/>
      <c r="L3106" s="249"/>
    </row>
    <row r="3107" spans="3:12" s="244" customFormat="1" x14ac:dyDescent="0.25">
      <c r="C3107" s="251"/>
      <c r="D3107" s="251"/>
      <c r="E3107" s="251"/>
      <c r="F3107" s="251"/>
      <c r="G3107" s="249"/>
      <c r="H3107" s="252"/>
      <c r="I3107" s="251"/>
      <c r="J3107" s="251"/>
      <c r="K3107" s="250"/>
      <c r="L3107" s="249"/>
    </row>
    <row r="3108" spans="3:12" s="244" customFormat="1" x14ac:dyDescent="0.25">
      <c r="C3108" s="251"/>
      <c r="D3108" s="251"/>
      <c r="E3108" s="251"/>
      <c r="F3108" s="251"/>
      <c r="G3108" s="249"/>
      <c r="H3108" s="252"/>
      <c r="I3108" s="251"/>
      <c r="J3108" s="251"/>
      <c r="K3108" s="250"/>
      <c r="L3108" s="249"/>
    </row>
    <row r="3109" spans="3:12" s="244" customFormat="1" x14ac:dyDescent="0.25">
      <c r="C3109" s="251"/>
      <c r="D3109" s="251"/>
      <c r="E3109" s="251"/>
      <c r="F3109" s="251"/>
      <c r="G3109" s="249"/>
      <c r="H3109" s="252"/>
      <c r="I3109" s="251"/>
      <c r="J3109" s="251"/>
      <c r="K3109" s="250"/>
      <c r="L3109" s="249"/>
    </row>
    <row r="3110" spans="3:12" s="244" customFormat="1" x14ac:dyDescent="0.25">
      <c r="C3110" s="251"/>
      <c r="D3110" s="251"/>
      <c r="E3110" s="251"/>
      <c r="F3110" s="251"/>
      <c r="G3110" s="249"/>
      <c r="H3110" s="252"/>
      <c r="I3110" s="251"/>
      <c r="J3110" s="251"/>
      <c r="K3110" s="250"/>
      <c r="L3110" s="249"/>
    </row>
    <row r="3111" spans="3:12" s="244" customFormat="1" x14ac:dyDescent="0.25">
      <c r="C3111" s="251"/>
      <c r="D3111" s="251"/>
      <c r="E3111" s="251"/>
      <c r="F3111" s="251"/>
      <c r="G3111" s="249"/>
      <c r="H3111" s="252"/>
      <c r="I3111" s="251"/>
      <c r="J3111" s="251"/>
      <c r="K3111" s="250"/>
      <c r="L3111" s="249"/>
    </row>
    <row r="3112" spans="3:12" s="244" customFormat="1" x14ac:dyDescent="0.25">
      <c r="C3112" s="251"/>
      <c r="D3112" s="251"/>
      <c r="E3112" s="251"/>
      <c r="F3112" s="251"/>
      <c r="G3112" s="249"/>
      <c r="H3112" s="252"/>
      <c r="I3112" s="251"/>
      <c r="J3112" s="251"/>
      <c r="K3112" s="250"/>
      <c r="L3112" s="249"/>
    </row>
    <row r="3113" spans="3:12" s="244" customFormat="1" x14ac:dyDescent="0.25">
      <c r="C3113" s="251"/>
      <c r="D3113" s="251"/>
      <c r="E3113" s="251"/>
      <c r="F3113" s="251"/>
      <c r="G3113" s="249"/>
      <c r="H3113" s="252"/>
      <c r="I3113" s="251"/>
      <c r="J3113" s="251"/>
      <c r="K3113" s="250"/>
      <c r="L3113" s="249"/>
    </row>
    <row r="3114" spans="3:12" s="244" customFormat="1" x14ac:dyDescent="0.25">
      <c r="C3114" s="251"/>
      <c r="D3114" s="251"/>
      <c r="E3114" s="251"/>
      <c r="F3114" s="251"/>
      <c r="G3114" s="249"/>
      <c r="H3114" s="252"/>
      <c r="I3114" s="251"/>
      <c r="J3114" s="251"/>
      <c r="K3114" s="250"/>
      <c r="L3114" s="249"/>
    </row>
    <row r="3115" spans="3:12" s="244" customFormat="1" x14ac:dyDescent="0.25">
      <c r="C3115" s="251"/>
      <c r="D3115" s="251"/>
      <c r="E3115" s="251"/>
      <c r="F3115" s="251"/>
      <c r="G3115" s="249"/>
      <c r="H3115" s="252"/>
      <c r="I3115" s="251"/>
      <c r="J3115" s="251"/>
      <c r="K3115" s="250"/>
      <c r="L3115" s="249"/>
    </row>
    <row r="3116" spans="3:12" s="244" customFormat="1" x14ac:dyDescent="0.25">
      <c r="C3116" s="251"/>
      <c r="D3116" s="251"/>
      <c r="E3116" s="251"/>
      <c r="F3116" s="251"/>
      <c r="G3116" s="249"/>
      <c r="H3116" s="252"/>
      <c r="I3116" s="251"/>
      <c r="J3116" s="251"/>
      <c r="K3116" s="250"/>
      <c r="L3116" s="249"/>
    </row>
    <row r="3117" spans="3:12" s="244" customFormat="1" x14ac:dyDescent="0.25">
      <c r="C3117" s="251"/>
      <c r="D3117" s="251"/>
      <c r="E3117" s="251"/>
      <c r="F3117" s="251"/>
      <c r="G3117" s="249"/>
      <c r="H3117" s="252"/>
      <c r="I3117" s="251"/>
      <c r="J3117" s="251"/>
      <c r="K3117" s="250"/>
      <c r="L3117" s="249"/>
    </row>
    <row r="3118" spans="3:12" s="244" customFormat="1" x14ac:dyDescent="0.25">
      <c r="C3118" s="251"/>
      <c r="D3118" s="251"/>
      <c r="E3118" s="251"/>
      <c r="F3118" s="251"/>
      <c r="G3118" s="249"/>
      <c r="H3118" s="252"/>
      <c r="I3118" s="251"/>
      <c r="J3118" s="251"/>
      <c r="K3118" s="250"/>
      <c r="L3118" s="249"/>
    </row>
    <row r="3119" spans="3:12" s="244" customFormat="1" x14ac:dyDescent="0.25">
      <c r="C3119" s="251"/>
      <c r="D3119" s="251"/>
      <c r="E3119" s="251"/>
      <c r="F3119" s="251"/>
      <c r="G3119" s="249"/>
      <c r="H3119" s="252"/>
      <c r="I3119" s="251"/>
      <c r="J3119" s="251"/>
      <c r="K3119" s="250"/>
      <c r="L3119" s="249"/>
    </row>
    <row r="3120" spans="3:12" s="244" customFormat="1" x14ac:dyDescent="0.25">
      <c r="C3120" s="251"/>
      <c r="D3120" s="251"/>
      <c r="E3120" s="251"/>
      <c r="F3120" s="251"/>
      <c r="G3120" s="249"/>
      <c r="H3120" s="252"/>
      <c r="I3120" s="251"/>
      <c r="J3120" s="251"/>
      <c r="K3120" s="250"/>
      <c r="L3120" s="249"/>
    </row>
    <row r="3121" spans="3:12" s="244" customFormat="1" x14ac:dyDescent="0.25">
      <c r="C3121" s="251"/>
      <c r="D3121" s="251"/>
      <c r="E3121" s="251"/>
      <c r="F3121" s="251"/>
      <c r="G3121" s="249"/>
      <c r="H3121" s="252"/>
      <c r="I3121" s="251"/>
      <c r="J3121" s="251"/>
      <c r="K3121" s="250"/>
      <c r="L3121" s="249"/>
    </row>
    <row r="3122" spans="3:12" s="244" customFormat="1" x14ac:dyDescent="0.25">
      <c r="C3122" s="251"/>
      <c r="D3122" s="251"/>
      <c r="E3122" s="251"/>
      <c r="F3122" s="251"/>
      <c r="G3122" s="249"/>
      <c r="H3122" s="252"/>
      <c r="I3122" s="251"/>
      <c r="J3122" s="251"/>
      <c r="K3122" s="250"/>
      <c r="L3122" s="249"/>
    </row>
    <row r="3123" spans="3:12" s="244" customFormat="1" x14ac:dyDescent="0.25">
      <c r="C3123" s="251"/>
      <c r="D3123" s="251"/>
      <c r="E3123" s="251"/>
      <c r="F3123" s="251"/>
      <c r="G3123" s="249"/>
      <c r="H3123" s="252"/>
      <c r="I3123" s="251"/>
      <c r="J3123" s="251"/>
      <c r="K3123" s="250"/>
      <c r="L3123" s="249"/>
    </row>
    <row r="3124" spans="3:12" s="244" customFormat="1" x14ac:dyDescent="0.25">
      <c r="C3124" s="251"/>
      <c r="D3124" s="251"/>
      <c r="E3124" s="251"/>
      <c r="F3124" s="251"/>
      <c r="G3124" s="249"/>
      <c r="H3124" s="252"/>
      <c r="I3124" s="251"/>
      <c r="J3124" s="251"/>
      <c r="K3124" s="250"/>
      <c r="L3124" s="249"/>
    </row>
    <row r="3125" spans="3:12" s="244" customFormat="1" x14ac:dyDescent="0.25">
      <c r="C3125" s="251"/>
      <c r="D3125" s="251"/>
      <c r="E3125" s="251"/>
      <c r="F3125" s="251"/>
      <c r="G3125" s="249"/>
      <c r="H3125" s="252"/>
      <c r="I3125" s="251"/>
      <c r="J3125" s="251"/>
      <c r="K3125" s="250"/>
      <c r="L3125" s="249"/>
    </row>
    <row r="3126" spans="3:12" s="244" customFormat="1" x14ac:dyDescent="0.25">
      <c r="C3126" s="251"/>
      <c r="D3126" s="251"/>
      <c r="E3126" s="251"/>
      <c r="F3126" s="251"/>
      <c r="G3126" s="249"/>
      <c r="H3126" s="252"/>
      <c r="I3126" s="251"/>
      <c r="J3126" s="251"/>
      <c r="K3126" s="250"/>
      <c r="L3126" s="249"/>
    </row>
    <row r="3127" spans="3:12" s="244" customFormat="1" x14ac:dyDescent="0.25">
      <c r="C3127" s="251"/>
      <c r="D3127" s="251"/>
      <c r="E3127" s="251"/>
      <c r="F3127" s="251"/>
      <c r="G3127" s="249"/>
      <c r="H3127" s="252"/>
      <c r="I3127" s="251"/>
      <c r="J3127" s="251"/>
      <c r="K3127" s="250"/>
      <c r="L3127" s="249"/>
    </row>
    <row r="3128" spans="3:12" s="244" customFormat="1" x14ac:dyDescent="0.25">
      <c r="C3128" s="251"/>
      <c r="D3128" s="251"/>
      <c r="E3128" s="251"/>
      <c r="F3128" s="251"/>
      <c r="G3128" s="249"/>
      <c r="H3128" s="252"/>
      <c r="I3128" s="251"/>
      <c r="J3128" s="251"/>
      <c r="K3128" s="250"/>
      <c r="L3128" s="249"/>
    </row>
    <row r="3129" spans="3:12" s="244" customFormat="1" x14ac:dyDescent="0.25">
      <c r="C3129" s="251"/>
      <c r="D3129" s="251"/>
      <c r="E3129" s="251"/>
      <c r="F3129" s="251"/>
      <c r="G3129" s="249"/>
      <c r="H3129" s="252"/>
      <c r="I3129" s="251"/>
      <c r="J3129" s="251"/>
      <c r="K3129" s="250"/>
      <c r="L3129" s="249"/>
    </row>
    <row r="3130" spans="3:12" s="244" customFormat="1" x14ac:dyDescent="0.25">
      <c r="C3130" s="251"/>
      <c r="D3130" s="251"/>
      <c r="E3130" s="251"/>
      <c r="F3130" s="251"/>
      <c r="G3130" s="249"/>
      <c r="H3130" s="252"/>
      <c r="I3130" s="251"/>
      <c r="J3130" s="251"/>
      <c r="K3130" s="250"/>
      <c r="L3130" s="249"/>
    </row>
    <row r="3131" spans="3:12" s="244" customFormat="1" x14ac:dyDescent="0.25">
      <c r="C3131" s="251"/>
      <c r="D3131" s="251"/>
      <c r="E3131" s="251"/>
      <c r="F3131" s="251"/>
      <c r="G3131" s="249"/>
      <c r="H3131" s="252"/>
      <c r="I3131" s="251"/>
      <c r="J3131" s="251"/>
      <c r="K3131" s="250"/>
      <c r="L3131" s="249"/>
    </row>
    <row r="3132" spans="3:12" s="244" customFormat="1" x14ac:dyDescent="0.25">
      <c r="C3132" s="251"/>
      <c r="D3132" s="251"/>
      <c r="E3132" s="251"/>
      <c r="F3132" s="251"/>
      <c r="G3132" s="249"/>
      <c r="H3132" s="252"/>
      <c r="I3132" s="251"/>
      <c r="J3132" s="251"/>
      <c r="K3132" s="250"/>
      <c r="L3132" s="249"/>
    </row>
    <row r="3133" spans="3:12" s="244" customFormat="1" x14ac:dyDescent="0.25">
      <c r="C3133" s="251"/>
      <c r="D3133" s="251"/>
      <c r="E3133" s="251"/>
      <c r="F3133" s="251"/>
      <c r="G3133" s="249"/>
      <c r="H3133" s="252"/>
      <c r="I3133" s="251"/>
      <c r="J3133" s="251"/>
      <c r="K3133" s="250"/>
      <c r="L3133" s="249"/>
    </row>
    <row r="3134" spans="3:12" s="244" customFormat="1" x14ac:dyDescent="0.25">
      <c r="C3134" s="251"/>
      <c r="D3134" s="251"/>
      <c r="E3134" s="251"/>
      <c r="F3134" s="251"/>
      <c r="G3134" s="249"/>
      <c r="H3134" s="252"/>
      <c r="I3134" s="251"/>
      <c r="J3134" s="251"/>
      <c r="K3134" s="250"/>
      <c r="L3134" s="249"/>
    </row>
    <row r="3135" spans="3:12" s="244" customFormat="1" x14ac:dyDescent="0.25">
      <c r="C3135" s="251"/>
      <c r="D3135" s="251"/>
      <c r="E3135" s="251"/>
      <c r="F3135" s="251"/>
      <c r="G3135" s="249"/>
      <c r="H3135" s="252"/>
      <c r="I3135" s="251"/>
      <c r="J3135" s="251"/>
      <c r="K3135" s="250"/>
      <c r="L3135" s="249"/>
    </row>
    <row r="3136" spans="3:12" s="244" customFormat="1" x14ac:dyDescent="0.25">
      <c r="C3136" s="251"/>
      <c r="D3136" s="251"/>
      <c r="E3136" s="251"/>
      <c r="F3136" s="251"/>
      <c r="G3136" s="249"/>
      <c r="H3136" s="252"/>
      <c r="I3136" s="251"/>
      <c r="J3136" s="251"/>
      <c r="K3136" s="250"/>
      <c r="L3136" s="249"/>
    </row>
    <row r="3137" spans="3:12" s="244" customFormat="1" x14ac:dyDescent="0.25">
      <c r="C3137" s="251"/>
      <c r="D3137" s="251"/>
      <c r="E3137" s="251"/>
      <c r="F3137" s="251"/>
      <c r="G3137" s="249"/>
      <c r="H3137" s="252"/>
      <c r="I3137" s="251"/>
      <c r="J3137" s="251"/>
      <c r="K3137" s="250"/>
      <c r="L3137" s="249"/>
    </row>
    <row r="3138" spans="3:12" s="244" customFormat="1" x14ac:dyDescent="0.25">
      <c r="C3138" s="251"/>
      <c r="D3138" s="251"/>
      <c r="E3138" s="251"/>
      <c r="F3138" s="251"/>
      <c r="G3138" s="249"/>
      <c r="H3138" s="252"/>
      <c r="I3138" s="251"/>
      <c r="J3138" s="251"/>
      <c r="K3138" s="250"/>
      <c r="L3138" s="249"/>
    </row>
    <row r="3139" spans="3:12" s="244" customFormat="1" x14ac:dyDescent="0.25">
      <c r="C3139" s="251"/>
      <c r="D3139" s="251"/>
      <c r="E3139" s="251"/>
      <c r="F3139" s="251"/>
      <c r="G3139" s="249"/>
      <c r="H3139" s="252"/>
      <c r="I3139" s="251"/>
      <c r="J3139" s="251"/>
      <c r="K3139" s="250"/>
      <c r="L3139" s="249"/>
    </row>
    <row r="3140" spans="3:12" s="244" customFormat="1" x14ac:dyDescent="0.25">
      <c r="C3140" s="251"/>
      <c r="D3140" s="251"/>
      <c r="E3140" s="251"/>
      <c r="F3140" s="251"/>
      <c r="G3140" s="249"/>
      <c r="H3140" s="252"/>
      <c r="I3140" s="251"/>
      <c r="J3140" s="251"/>
      <c r="K3140" s="250"/>
      <c r="L3140" s="249"/>
    </row>
    <row r="3141" spans="3:12" s="244" customFormat="1" x14ac:dyDescent="0.25">
      <c r="C3141" s="251"/>
      <c r="D3141" s="251"/>
      <c r="E3141" s="251"/>
      <c r="F3141" s="251"/>
      <c r="G3141" s="249"/>
      <c r="H3141" s="252"/>
      <c r="I3141" s="251"/>
      <c r="J3141" s="251"/>
      <c r="K3141" s="250"/>
      <c r="L3141" s="249"/>
    </row>
    <row r="3142" spans="3:12" s="244" customFormat="1" x14ac:dyDescent="0.25">
      <c r="C3142" s="251"/>
      <c r="D3142" s="251"/>
      <c r="E3142" s="251"/>
      <c r="F3142" s="251"/>
      <c r="G3142" s="249"/>
      <c r="H3142" s="252"/>
      <c r="I3142" s="251"/>
      <c r="J3142" s="251"/>
      <c r="K3142" s="250"/>
      <c r="L3142" s="249"/>
    </row>
    <row r="3143" spans="3:12" s="244" customFormat="1" x14ac:dyDescent="0.25">
      <c r="C3143" s="251"/>
      <c r="D3143" s="251"/>
      <c r="E3143" s="251"/>
      <c r="F3143" s="251"/>
      <c r="G3143" s="249"/>
      <c r="H3143" s="252"/>
      <c r="I3143" s="251"/>
      <c r="J3143" s="251"/>
      <c r="K3143" s="250"/>
      <c r="L3143" s="249"/>
    </row>
    <row r="3144" spans="3:12" s="244" customFormat="1" x14ac:dyDescent="0.25">
      <c r="C3144" s="251"/>
      <c r="D3144" s="251"/>
      <c r="E3144" s="251"/>
      <c r="F3144" s="251"/>
      <c r="G3144" s="249"/>
      <c r="H3144" s="252"/>
      <c r="I3144" s="251"/>
      <c r="J3144" s="251"/>
      <c r="K3144" s="250"/>
      <c r="L3144" s="249"/>
    </row>
    <row r="3145" spans="3:12" s="244" customFormat="1" x14ac:dyDescent="0.25">
      <c r="C3145" s="251"/>
      <c r="D3145" s="251"/>
      <c r="E3145" s="251"/>
      <c r="F3145" s="251"/>
      <c r="G3145" s="249"/>
      <c r="H3145" s="252"/>
      <c r="I3145" s="251"/>
      <c r="J3145" s="251"/>
      <c r="K3145" s="250"/>
      <c r="L3145" s="249"/>
    </row>
    <row r="3146" spans="3:12" s="244" customFormat="1" x14ac:dyDescent="0.25">
      <c r="C3146" s="251"/>
      <c r="D3146" s="251"/>
      <c r="E3146" s="251"/>
      <c r="F3146" s="251"/>
      <c r="G3146" s="249"/>
      <c r="H3146" s="252"/>
      <c r="I3146" s="251"/>
      <c r="J3146" s="251"/>
      <c r="K3146" s="250"/>
      <c r="L3146" s="249"/>
    </row>
    <row r="3147" spans="3:12" s="244" customFormat="1" x14ac:dyDescent="0.25">
      <c r="C3147" s="251"/>
      <c r="D3147" s="251"/>
      <c r="E3147" s="251"/>
      <c r="F3147" s="251"/>
      <c r="G3147" s="249"/>
      <c r="H3147" s="252"/>
      <c r="I3147" s="251"/>
      <c r="J3147" s="251"/>
      <c r="K3147" s="250"/>
      <c r="L3147" s="249"/>
    </row>
    <row r="3148" spans="3:12" s="244" customFormat="1" x14ac:dyDescent="0.25">
      <c r="C3148" s="251"/>
      <c r="D3148" s="251"/>
      <c r="E3148" s="251"/>
      <c r="F3148" s="251"/>
      <c r="G3148" s="249"/>
      <c r="H3148" s="252"/>
      <c r="I3148" s="251"/>
      <c r="J3148" s="251"/>
      <c r="K3148" s="250"/>
      <c r="L3148" s="249"/>
    </row>
    <row r="3149" spans="3:12" s="244" customFormat="1" x14ac:dyDescent="0.25">
      <c r="C3149" s="251"/>
      <c r="D3149" s="251"/>
      <c r="E3149" s="251"/>
      <c r="F3149" s="251"/>
      <c r="G3149" s="249"/>
      <c r="H3149" s="252"/>
      <c r="I3149" s="251"/>
      <c r="J3149" s="251"/>
      <c r="K3149" s="250"/>
      <c r="L3149" s="249"/>
    </row>
    <row r="3150" spans="3:12" s="244" customFormat="1" x14ac:dyDescent="0.25">
      <c r="C3150" s="251"/>
      <c r="D3150" s="251"/>
      <c r="E3150" s="251"/>
      <c r="F3150" s="251"/>
      <c r="G3150" s="249"/>
      <c r="H3150" s="252"/>
      <c r="I3150" s="251"/>
      <c r="J3150" s="251"/>
      <c r="K3150" s="250"/>
      <c r="L3150" s="249"/>
    </row>
    <row r="3151" spans="3:12" s="244" customFormat="1" x14ac:dyDescent="0.25">
      <c r="C3151" s="251"/>
      <c r="D3151" s="251"/>
      <c r="E3151" s="251"/>
      <c r="F3151" s="251"/>
      <c r="G3151" s="249"/>
      <c r="H3151" s="252"/>
      <c r="I3151" s="251"/>
      <c r="J3151" s="251"/>
      <c r="K3151" s="250"/>
      <c r="L3151" s="249"/>
    </row>
    <row r="3152" spans="3:12" s="244" customFormat="1" x14ac:dyDescent="0.25">
      <c r="C3152" s="251"/>
      <c r="D3152" s="251"/>
      <c r="E3152" s="251"/>
      <c r="F3152" s="251"/>
      <c r="G3152" s="249"/>
      <c r="H3152" s="252"/>
      <c r="I3152" s="251"/>
      <c r="J3152" s="251"/>
      <c r="K3152" s="250"/>
      <c r="L3152" s="249"/>
    </row>
    <row r="3153" spans="3:12" s="244" customFormat="1" x14ac:dyDescent="0.25">
      <c r="C3153" s="251"/>
      <c r="D3153" s="251"/>
      <c r="E3153" s="251"/>
      <c r="F3153" s="251"/>
      <c r="G3153" s="249"/>
      <c r="H3153" s="252"/>
      <c r="I3153" s="251"/>
      <c r="J3153" s="251"/>
      <c r="K3153" s="250"/>
      <c r="L3153" s="249"/>
    </row>
    <row r="3154" spans="3:12" s="244" customFormat="1" x14ac:dyDescent="0.25">
      <c r="C3154" s="251"/>
      <c r="D3154" s="251"/>
      <c r="E3154" s="251"/>
      <c r="F3154" s="251"/>
      <c r="G3154" s="249"/>
      <c r="H3154" s="252"/>
      <c r="I3154" s="251"/>
      <c r="J3154" s="251"/>
      <c r="K3154" s="250"/>
      <c r="L3154" s="249"/>
    </row>
    <row r="3155" spans="3:12" s="244" customFormat="1" x14ac:dyDescent="0.25">
      <c r="C3155" s="251"/>
      <c r="D3155" s="251"/>
      <c r="E3155" s="251"/>
      <c r="F3155" s="251"/>
      <c r="G3155" s="249"/>
      <c r="H3155" s="252"/>
      <c r="I3155" s="251"/>
      <c r="J3155" s="251"/>
      <c r="K3155" s="250"/>
      <c r="L3155" s="249"/>
    </row>
    <row r="3156" spans="3:12" s="244" customFormat="1" x14ac:dyDescent="0.25">
      <c r="C3156" s="251"/>
      <c r="D3156" s="251"/>
      <c r="E3156" s="251"/>
      <c r="F3156" s="251"/>
      <c r="G3156" s="249"/>
      <c r="H3156" s="252"/>
      <c r="I3156" s="251"/>
      <c r="J3156" s="251"/>
      <c r="K3156" s="250"/>
      <c r="L3156" s="249"/>
    </row>
    <row r="3157" spans="3:12" s="244" customFormat="1" x14ac:dyDescent="0.25">
      <c r="C3157" s="251"/>
      <c r="D3157" s="251"/>
      <c r="E3157" s="251"/>
      <c r="F3157" s="251"/>
      <c r="G3157" s="249"/>
      <c r="H3157" s="252"/>
      <c r="I3157" s="251"/>
      <c r="J3157" s="251"/>
      <c r="K3157" s="250"/>
      <c r="L3157" s="249"/>
    </row>
    <row r="3158" spans="3:12" s="244" customFormat="1" x14ac:dyDescent="0.25">
      <c r="C3158" s="251"/>
      <c r="D3158" s="251"/>
      <c r="E3158" s="251"/>
      <c r="F3158" s="251"/>
      <c r="G3158" s="249"/>
      <c r="H3158" s="252"/>
      <c r="I3158" s="251"/>
      <c r="J3158" s="251"/>
      <c r="K3158" s="250"/>
      <c r="L3158" s="249"/>
    </row>
    <row r="3159" spans="3:12" s="244" customFormat="1" x14ac:dyDescent="0.25">
      <c r="C3159" s="251"/>
      <c r="D3159" s="251"/>
      <c r="E3159" s="251"/>
      <c r="F3159" s="251"/>
      <c r="G3159" s="249"/>
      <c r="H3159" s="252"/>
      <c r="I3159" s="251"/>
      <c r="J3159" s="251"/>
      <c r="K3159" s="250"/>
      <c r="L3159" s="249"/>
    </row>
    <row r="3160" spans="3:12" s="244" customFormat="1" x14ac:dyDescent="0.25">
      <c r="C3160" s="251"/>
      <c r="D3160" s="251"/>
      <c r="E3160" s="251"/>
      <c r="F3160" s="251"/>
      <c r="G3160" s="249"/>
      <c r="H3160" s="252"/>
      <c r="I3160" s="251"/>
      <c r="J3160" s="251"/>
      <c r="K3160" s="250"/>
      <c r="L3160" s="249"/>
    </row>
    <row r="3161" spans="3:12" s="244" customFormat="1" x14ac:dyDescent="0.25">
      <c r="C3161" s="251"/>
      <c r="D3161" s="251"/>
      <c r="E3161" s="251"/>
      <c r="F3161" s="251"/>
      <c r="G3161" s="249"/>
      <c r="H3161" s="252"/>
      <c r="I3161" s="251"/>
      <c r="J3161" s="251"/>
      <c r="K3161" s="250"/>
      <c r="L3161" s="249"/>
    </row>
    <row r="3162" spans="3:12" s="244" customFormat="1" x14ac:dyDescent="0.25">
      <c r="C3162" s="251"/>
      <c r="D3162" s="251"/>
      <c r="E3162" s="251"/>
      <c r="F3162" s="251"/>
      <c r="G3162" s="249"/>
      <c r="H3162" s="252"/>
      <c r="I3162" s="251"/>
      <c r="J3162" s="251"/>
      <c r="K3162" s="250"/>
      <c r="L3162" s="249"/>
    </row>
    <row r="3163" spans="3:12" s="244" customFormat="1" x14ac:dyDescent="0.25">
      <c r="C3163" s="251"/>
      <c r="D3163" s="251"/>
      <c r="E3163" s="251"/>
      <c r="F3163" s="251"/>
      <c r="G3163" s="249"/>
      <c r="H3163" s="252"/>
      <c r="I3163" s="251"/>
      <c r="J3163" s="251"/>
      <c r="K3163" s="250"/>
      <c r="L3163" s="249"/>
    </row>
    <row r="3164" spans="3:12" s="244" customFormat="1" x14ac:dyDescent="0.25">
      <c r="C3164" s="251"/>
      <c r="D3164" s="251"/>
      <c r="E3164" s="251"/>
      <c r="F3164" s="251"/>
      <c r="G3164" s="249"/>
      <c r="H3164" s="252"/>
      <c r="I3164" s="251"/>
      <c r="J3164" s="251"/>
      <c r="K3164" s="250"/>
      <c r="L3164" s="249"/>
    </row>
    <row r="3165" spans="3:12" s="244" customFormat="1" x14ac:dyDescent="0.25">
      <c r="C3165" s="251"/>
      <c r="D3165" s="251"/>
      <c r="E3165" s="251"/>
      <c r="F3165" s="251"/>
      <c r="G3165" s="249"/>
      <c r="H3165" s="252"/>
      <c r="I3165" s="251"/>
      <c r="J3165" s="251"/>
      <c r="K3165" s="250"/>
      <c r="L3165" s="249"/>
    </row>
    <row r="3166" spans="3:12" s="244" customFormat="1" x14ac:dyDescent="0.25">
      <c r="C3166" s="251"/>
      <c r="D3166" s="251"/>
      <c r="E3166" s="251"/>
      <c r="F3166" s="251"/>
      <c r="G3166" s="249"/>
      <c r="H3166" s="252"/>
      <c r="I3166" s="251"/>
      <c r="J3166" s="251"/>
      <c r="K3166" s="250"/>
      <c r="L3166" s="249"/>
    </row>
    <row r="3167" spans="3:12" s="244" customFormat="1" x14ac:dyDescent="0.25">
      <c r="C3167" s="251"/>
      <c r="D3167" s="251"/>
      <c r="E3167" s="251"/>
      <c r="F3167" s="251"/>
      <c r="G3167" s="249"/>
      <c r="H3167" s="252"/>
      <c r="I3167" s="251"/>
      <c r="J3167" s="251"/>
      <c r="K3167" s="250"/>
      <c r="L3167" s="249"/>
    </row>
    <row r="3168" spans="3:12" s="244" customFormat="1" x14ac:dyDescent="0.25">
      <c r="C3168" s="251"/>
      <c r="D3168" s="251"/>
      <c r="E3168" s="251"/>
      <c r="F3168" s="251"/>
      <c r="G3168" s="249"/>
      <c r="H3168" s="252"/>
      <c r="I3168" s="251"/>
      <c r="J3168" s="251"/>
      <c r="K3168" s="250"/>
      <c r="L3168" s="249"/>
    </row>
    <row r="3169" spans="3:12" s="244" customFormat="1" x14ac:dyDescent="0.25">
      <c r="C3169" s="251"/>
      <c r="D3169" s="251"/>
      <c r="E3169" s="251"/>
      <c r="F3169" s="251"/>
      <c r="G3169" s="249"/>
      <c r="H3169" s="252"/>
      <c r="I3169" s="251"/>
      <c r="J3169" s="251"/>
      <c r="K3169" s="250"/>
      <c r="L3169" s="249"/>
    </row>
    <row r="3170" spans="3:12" s="244" customFormat="1" x14ac:dyDescent="0.25">
      <c r="C3170" s="251"/>
      <c r="D3170" s="251"/>
      <c r="E3170" s="251"/>
      <c r="F3170" s="251"/>
      <c r="G3170" s="249"/>
      <c r="H3170" s="252"/>
      <c r="I3170" s="251"/>
      <c r="J3170" s="251"/>
      <c r="K3170" s="250"/>
      <c r="L3170" s="249"/>
    </row>
    <row r="3171" spans="3:12" s="244" customFormat="1" x14ac:dyDescent="0.25">
      <c r="C3171" s="251"/>
      <c r="D3171" s="251"/>
      <c r="E3171" s="251"/>
      <c r="F3171" s="251"/>
      <c r="G3171" s="249"/>
      <c r="H3171" s="252"/>
      <c r="I3171" s="251"/>
      <c r="J3171" s="251"/>
      <c r="K3171" s="250"/>
      <c r="L3171" s="249"/>
    </row>
    <row r="3172" spans="3:12" s="244" customFormat="1" x14ac:dyDescent="0.25">
      <c r="C3172" s="251"/>
      <c r="D3172" s="251"/>
      <c r="E3172" s="251"/>
      <c r="F3172" s="251"/>
      <c r="G3172" s="249"/>
      <c r="H3172" s="252"/>
      <c r="I3172" s="251"/>
      <c r="J3172" s="251"/>
      <c r="K3172" s="250"/>
      <c r="L3172" s="249"/>
    </row>
    <row r="3173" spans="3:12" s="244" customFormat="1" x14ac:dyDescent="0.25">
      <c r="C3173" s="251"/>
      <c r="D3173" s="251"/>
      <c r="E3173" s="251"/>
      <c r="F3173" s="251"/>
      <c r="G3173" s="249"/>
      <c r="H3173" s="252"/>
      <c r="I3173" s="251"/>
      <c r="J3173" s="251"/>
      <c r="K3173" s="250"/>
      <c r="L3173" s="249"/>
    </row>
    <row r="3174" spans="3:12" s="244" customFormat="1" x14ac:dyDescent="0.25">
      <c r="C3174" s="251"/>
      <c r="D3174" s="251"/>
      <c r="E3174" s="251"/>
      <c r="F3174" s="251"/>
      <c r="G3174" s="249"/>
      <c r="H3174" s="252"/>
      <c r="I3174" s="251"/>
      <c r="J3174" s="251"/>
      <c r="K3174" s="250"/>
      <c r="L3174" s="249"/>
    </row>
    <row r="3175" spans="3:12" s="244" customFormat="1" x14ac:dyDescent="0.25">
      <c r="C3175" s="251"/>
      <c r="D3175" s="251"/>
      <c r="E3175" s="251"/>
      <c r="F3175" s="251"/>
      <c r="G3175" s="249"/>
      <c r="H3175" s="252"/>
      <c r="I3175" s="251"/>
      <c r="J3175" s="251"/>
      <c r="K3175" s="250"/>
      <c r="L3175" s="249"/>
    </row>
    <row r="3176" spans="3:12" s="244" customFormat="1" x14ac:dyDescent="0.25">
      <c r="C3176" s="251"/>
      <c r="D3176" s="251"/>
      <c r="E3176" s="251"/>
      <c r="F3176" s="251"/>
      <c r="G3176" s="249"/>
      <c r="H3176" s="252"/>
      <c r="I3176" s="251"/>
      <c r="J3176" s="251"/>
      <c r="K3176" s="250"/>
      <c r="L3176" s="249"/>
    </row>
    <row r="3177" spans="3:12" s="244" customFormat="1" x14ac:dyDescent="0.25">
      <c r="C3177" s="251"/>
      <c r="D3177" s="251"/>
      <c r="E3177" s="251"/>
      <c r="F3177" s="251"/>
      <c r="G3177" s="249"/>
      <c r="H3177" s="252"/>
      <c r="I3177" s="251"/>
      <c r="J3177" s="251"/>
      <c r="K3177" s="250"/>
      <c r="L3177" s="249"/>
    </row>
    <row r="3178" spans="3:12" s="244" customFormat="1" x14ac:dyDescent="0.25">
      <c r="C3178" s="251"/>
      <c r="D3178" s="251"/>
      <c r="E3178" s="251"/>
      <c r="F3178" s="251"/>
      <c r="G3178" s="249"/>
      <c r="H3178" s="252"/>
      <c r="I3178" s="251"/>
      <c r="J3178" s="251"/>
      <c r="K3178" s="250"/>
      <c r="L3178" s="249"/>
    </row>
    <row r="3179" spans="3:12" s="244" customFormat="1" x14ac:dyDescent="0.25">
      <c r="C3179" s="251"/>
      <c r="D3179" s="251"/>
      <c r="E3179" s="251"/>
      <c r="F3179" s="251"/>
      <c r="G3179" s="249"/>
      <c r="H3179" s="252"/>
      <c r="I3179" s="251"/>
      <c r="J3179" s="251"/>
      <c r="K3179" s="250"/>
      <c r="L3179" s="249"/>
    </row>
    <row r="3180" spans="3:12" s="244" customFormat="1" x14ac:dyDescent="0.25">
      <c r="C3180" s="251"/>
      <c r="D3180" s="251"/>
      <c r="E3180" s="251"/>
      <c r="F3180" s="251"/>
      <c r="G3180" s="249"/>
      <c r="H3180" s="252"/>
      <c r="I3180" s="251"/>
      <c r="J3180" s="251"/>
      <c r="K3180" s="250"/>
      <c r="L3180" s="249"/>
    </row>
    <row r="3181" spans="3:12" s="244" customFormat="1" x14ac:dyDescent="0.25">
      <c r="C3181" s="251"/>
      <c r="D3181" s="251"/>
      <c r="E3181" s="251"/>
      <c r="F3181" s="251"/>
      <c r="G3181" s="249"/>
      <c r="H3181" s="252"/>
      <c r="I3181" s="251"/>
      <c r="J3181" s="251"/>
      <c r="K3181" s="250"/>
      <c r="L3181" s="249"/>
    </row>
    <row r="3182" spans="3:12" s="244" customFormat="1" x14ac:dyDescent="0.25">
      <c r="C3182" s="251"/>
      <c r="D3182" s="251"/>
      <c r="E3182" s="251"/>
      <c r="F3182" s="251"/>
      <c r="G3182" s="249"/>
      <c r="H3182" s="252"/>
      <c r="I3182" s="251"/>
      <c r="J3182" s="251"/>
      <c r="K3182" s="250"/>
      <c r="L3182" s="249"/>
    </row>
    <row r="3183" spans="3:12" s="244" customFormat="1" x14ac:dyDescent="0.25">
      <c r="C3183" s="251"/>
      <c r="D3183" s="251"/>
      <c r="E3183" s="251"/>
      <c r="F3183" s="251"/>
      <c r="G3183" s="249"/>
      <c r="H3183" s="252"/>
      <c r="I3183" s="251"/>
      <c r="J3183" s="251"/>
      <c r="K3183" s="250"/>
      <c r="L3183" s="249"/>
    </row>
    <row r="3184" spans="3:12" s="244" customFormat="1" x14ac:dyDescent="0.25">
      <c r="C3184" s="251"/>
      <c r="D3184" s="251"/>
      <c r="E3184" s="251"/>
      <c r="F3184" s="251"/>
      <c r="G3184" s="249"/>
      <c r="H3184" s="252"/>
      <c r="I3184" s="251"/>
      <c r="J3184" s="251"/>
      <c r="K3184" s="250"/>
      <c r="L3184" s="249"/>
    </row>
    <row r="3185" spans="3:12" s="244" customFormat="1" x14ac:dyDescent="0.25">
      <c r="C3185" s="251"/>
      <c r="D3185" s="251"/>
      <c r="E3185" s="251"/>
      <c r="F3185" s="251"/>
      <c r="G3185" s="249"/>
      <c r="H3185" s="252"/>
      <c r="I3185" s="251"/>
      <c r="J3185" s="251"/>
      <c r="K3185" s="250"/>
      <c r="L3185" s="249"/>
    </row>
    <row r="3186" spans="3:12" s="244" customFormat="1" x14ac:dyDescent="0.25">
      <c r="C3186" s="251"/>
      <c r="D3186" s="251"/>
      <c r="E3186" s="251"/>
      <c r="F3186" s="251"/>
      <c r="G3186" s="249"/>
      <c r="H3186" s="252"/>
      <c r="I3186" s="251"/>
      <c r="J3186" s="251"/>
      <c r="K3186" s="250"/>
      <c r="L3186" s="249"/>
    </row>
    <row r="3187" spans="3:12" s="244" customFormat="1" x14ac:dyDescent="0.25">
      <c r="C3187" s="251"/>
      <c r="D3187" s="251"/>
      <c r="E3187" s="251"/>
      <c r="F3187" s="251"/>
      <c r="G3187" s="249"/>
      <c r="H3187" s="252"/>
      <c r="I3187" s="251"/>
      <c r="J3187" s="251"/>
      <c r="K3187" s="250"/>
      <c r="L3187" s="249"/>
    </row>
    <row r="3188" spans="3:12" s="244" customFormat="1" x14ac:dyDescent="0.25">
      <c r="C3188" s="251"/>
      <c r="D3188" s="251"/>
      <c r="E3188" s="251"/>
      <c r="F3188" s="251"/>
      <c r="G3188" s="249"/>
      <c r="H3188" s="252"/>
      <c r="I3188" s="251"/>
      <c r="J3188" s="251"/>
      <c r="K3188" s="250"/>
      <c r="L3188" s="249"/>
    </row>
    <row r="3189" spans="3:12" s="244" customFormat="1" x14ac:dyDescent="0.25">
      <c r="C3189" s="251"/>
      <c r="D3189" s="251"/>
      <c r="E3189" s="251"/>
      <c r="F3189" s="251"/>
      <c r="G3189" s="249"/>
      <c r="H3189" s="252"/>
      <c r="I3189" s="251"/>
      <c r="J3189" s="251"/>
      <c r="K3189" s="250"/>
      <c r="L3189" s="249"/>
    </row>
    <row r="3190" spans="3:12" s="244" customFormat="1" x14ac:dyDescent="0.25">
      <c r="C3190" s="251"/>
      <c r="D3190" s="251"/>
      <c r="E3190" s="251"/>
      <c r="F3190" s="251"/>
      <c r="G3190" s="249"/>
      <c r="H3190" s="252"/>
      <c r="I3190" s="251"/>
      <c r="J3190" s="251"/>
      <c r="K3190" s="250"/>
      <c r="L3190" s="249"/>
    </row>
    <row r="3191" spans="3:12" s="244" customFormat="1" x14ac:dyDescent="0.25">
      <c r="C3191" s="251"/>
      <c r="D3191" s="251"/>
      <c r="E3191" s="251"/>
      <c r="F3191" s="251"/>
      <c r="G3191" s="249"/>
      <c r="H3191" s="252"/>
      <c r="I3191" s="251"/>
      <c r="J3191" s="251"/>
      <c r="K3191" s="250"/>
      <c r="L3191" s="249"/>
    </row>
    <row r="3192" spans="3:12" s="244" customFormat="1" x14ac:dyDescent="0.25">
      <c r="C3192" s="251"/>
      <c r="D3192" s="251"/>
      <c r="E3192" s="251"/>
      <c r="F3192" s="251"/>
      <c r="G3192" s="249"/>
      <c r="H3192" s="252"/>
      <c r="I3192" s="251"/>
      <c r="J3192" s="251"/>
      <c r="K3192" s="250"/>
      <c r="L3192" s="249"/>
    </row>
    <row r="3193" spans="3:12" s="244" customFormat="1" x14ac:dyDescent="0.25">
      <c r="C3193" s="251"/>
      <c r="D3193" s="251"/>
      <c r="E3193" s="251"/>
      <c r="F3193" s="251"/>
      <c r="G3193" s="249"/>
      <c r="H3193" s="252"/>
      <c r="I3193" s="251"/>
      <c r="J3193" s="251"/>
      <c r="K3193" s="250"/>
      <c r="L3193" s="249"/>
    </row>
    <row r="3194" spans="3:12" s="244" customFormat="1" x14ac:dyDescent="0.25">
      <c r="C3194" s="251"/>
      <c r="D3194" s="251"/>
      <c r="E3194" s="251"/>
      <c r="F3194" s="251"/>
      <c r="G3194" s="249"/>
      <c r="H3194" s="252"/>
      <c r="I3194" s="251"/>
      <c r="J3194" s="251"/>
      <c r="K3194" s="250"/>
      <c r="L3194" s="249"/>
    </row>
    <row r="3195" spans="3:12" s="244" customFormat="1" x14ac:dyDescent="0.25">
      <c r="C3195" s="251"/>
      <c r="D3195" s="251"/>
      <c r="E3195" s="251"/>
      <c r="F3195" s="251"/>
      <c r="G3195" s="249"/>
      <c r="H3195" s="252"/>
      <c r="I3195" s="251"/>
      <c r="J3195" s="251"/>
      <c r="K3195" s="250"/>
      <c r="L3195" s="249"/>
    </row>
    <row r="3196" spans="3:12" s="244" customFormat="1" x14ac:dyDescent="0.25">
      <c r="C3196" s="251"/>
      <c r="D3196" s="251"/>
      <c r="E3196" s="251"/>
      <c r="F3196" s="251"/>
      <c r="G3196" s="249"/>
      <c r="H3196" s="252"/>
      <c r="I3196" s="251"/>
      <c r="J3196" s="251"/>
      <c r="K3196" s="250"/>
      <c r="L3196" s="249"/>
    </row>
    <row r="3197" spans="3:12" s="244" customFormat="1" x14ac:dyDescent="0.25">
      <c r="C3197" s="251"/>
      <c r="D3197" s="251"/>
      <c r="E3197" s="251"/>
      <c r="F3197" s="251"/>
      <c r="G3197" s="249"/>
      <c r="H3197" s="252"/>
      <c r="I3197" s="251"/>
      <c r="J3197" s="251"/>
      <c r="K3197" s="250"/>
      <c r="L3197" s="249"/>
    </row>
    <row r="3198" spans="3:12" s="244" customFormat="1" x14ac:dyDescent="0.25">
      <c r="C3198" s="251"/>
      <c r="D3198" s="251"/>
      <c r="E3198" s="251"/>
      <c r="F3198" s="251"/>
      <c r="G3198" s="249"/>
      <c r="H3198" s="252"/>
      <c r="I3198" s="251"/>
      <c r="J3198" s="251"/>
      <c r="K3198" s="250"/>
      <c r="L3198" s="249"/>
    </row>
    <row r="3199" spans="3:12" s="244" customFormat="1" x14ac:dyDescent="0.25">
      <c r="C3199" s="251"/>
      <c r="D3199" s="251"/>
      <c r="E3199" s="251"/>
      <c r="F3199" s="251"/>
      <c r="G3199" s="249"/>
      <c r="H3199" s="252"/>
      <c r="I3199" s="251"/>
      <c r="J3199" s="251"/>
      <c r="K3199" s="250"/>
      <c r="L3199" s="249"/>
    </row>
    <row r="3200" spans="3:12" s="244" customFormat="1" x14ac:dyDescent="0.25">
      <c r="C3200" s="251"/>
      <c r="D3200" s="251"/>
      <c r="E3200" s="251"/>
      <c r="F3200" s="251"/>
      <c r="G3200" s="249"/>
      <c r="H3200" s="252"/>
      <c r="I3200" s="251"/>
      <c r="J3200" s="251"/>
      <c r="K3200" s="250"/>
      <c r="L3200" s="249"/>
    </row>
    <row r="3201" spans="3:12" s="244" customFormat="1" x14ac:dyDescent="0.25">
      <c r="C3201" s="251"/>
      <c r="D3201" s="251"/>
      <c r="E3201" s="251"/>
      <c r="F3201" s="251"/>
      <c r="G3201" s="249"/>
      <c r="H3201" s="252"/>
      <c r="I3201" s="251"/>
      <c r="J3201" s="251"/>
      <c r="K3201" s="250"/>
      <c r="L3201" s="249"/>
    </row>
    <row r="3202" spans="3:12" s="244" customFormat="1" x14ac:dyDescent="0.25">
      <c r="C3202" s="251"/>
      <c r="D3202" s="251"/>
      <c r="E3202" s="251"/>
      <c r="F3202" s="251"/>
      <c r="G3202" s="249"/>
      <c r="H3202" s="252"/>
      <c r="I3202" s="251"/>
      <c r="J3202" s="251"/>
      <c r="K3202" s="250"/>
      <c r="L3202" s="249"/>
    </row>
    <row r="3203" spans="3:12" s="244" customFormat="1" x14ac:dyDescent="0.25">
      <c r="C3203" s="251"/>
      <c r="D3203" s="251"/>
      <c r="E3203" s="251"/>
      <c r="F3203" s="251"/>
      <c r="G3203" s="249"/>
      <c r="H3203" s="252"/>
      <c r="I3203" s="251"/>
      <c r="J3203" s="251"/>
      <c r="K3203" s="250"/>
      <c r="L3203" s="249"/>
    </row>
    <row r="3204" spans="3:12" s="244" customFormat="1" x14ac:dyDescent="0.25">
      <c r="C3204" s="251"/>
      <c r="D3204" s="251"/>
      <c r="E3204" s="251"/>
      <c r="F3204" s="251"/>
      <c r="G3204" s="249"/>
      <c r="H3204" s="252"/>
      <c r="I3204" s="251"/>
      <c r="J3204" s="251"/>
      <c r="K3204" s="250"/>
      <c r="L3204" s="249"/>
    </row>
    <row r="3205" spans="3:12" s="244" customFormat="1" x14ac:dyDescent="0.25">
      <c r="C3205" s="251"/>
      <c r="D3205" s="251"/>
      <c r="E3205" s="251"/>
      <c r="F3205" s="251"/>
      <c r="G3205" s="249"/>
      <c r="H3205" s="252"/>
      <c r="I3205" s="251"/>
      <c r="J3205" s="251"/>
      <c r="K3205" s="250"/>
      <c r="L3205" s="249"/>
    </row>
    <row r="3206" spans="3:12" s="244" customFormat="1" x14ac:dyDescent="0.25">
      <c r="C3206" s="251"/>
      <c r="D3206" s="251"/>
      <c r="E3206" s="251"/>
      <c r="F3206" s="251"/>
      <c r="G3206" s="249"/>
      <c r="H3206" s="252"/>
      <c r="I3206" s="251"/>
      <c r="J3206" s="251"/>
      <c r="K3206" s="250"/>
      <c r="L3206" s="249"/>
    </row>
    <row r="3207" spans="3:12" s="244" customFormat="1" x14ac:dyDescent="0.25">
      <c r="C3207" s="251"/>
      <c r="D3207" s="251"/>
      <c r="E3207" s="251"/>
      <c r="F3207" s="251"/>
      <c r="G3207" s="249"/>
      <c r="H3207" s="252"/>
      <c r="I3207" s="251"/>
      <c r="J3207" s="251"/>
      <c r="K3207" s="250"/>
      <c r="L3207" s="249"/>
    </row>
    <row r="3208" spans="3:12" s="244" customFormat="1" x14ac:dyDescent="0.25">
      <c r="C3208" s="251"/>
      <c r="D3208" s="251"/>
      <c r="E3208" s="251"/>
      <c r="F3208" s="251"/>
      <c r="G3208" s="249"/>
      <c r="H3208" s="252"/>
      <c r="I3208" s="251"/>
      <c r="J3208" s="251"/>
      <c r="K3208" s="250"/>
      <c r="L3208" s="249"/>
    </row>
    <row r="3209" spans="3:12" s="244" customFormat="1" x14ac:dyDescent="0.25">
      <c r="C3209" s="251"/>
      <c r="D3209" s="251"/>
      <c r="E3209" s="251"/>
      <c r="F3209" s="251"/>
      <c r="G3209" s="249"/>
      <c r="H3209" s="252"/>
      <c r="I3209" s="251"/>
      <c r="J3209" s="251"/>
      <c r="K3209" s="250"/>
      <c r="L3209" s="249"/>
    </row>
    <row r="3210" spans="3:12" s="244" customFormat="1" x14ac:dyDescent="0.25">
      <c r="C3210" s="251"/>
      <c r="D3210" s="251"/>
      <c r="E3210" s="251"/>
      <c r="F3210" s="251"/>
      <c r="G3210" s="249"/>
      <c r="H3210" s="252"/>
      <c r="I3210" s="251"/>
      <c r="J3210" s="251"/>
      <c r="K3210" s="250"/>
      <c r="L3210" s="249"/>
    </row>
    <row r="3211" spans="3:12" s="244" customFormat="1" x14ac:dyDescent="0.25">
      <c r="C3211" s="251"/>
      <c r="D3211" s="251"/>
      <c r="E3211" s="251"/>
      <c r="F3211" s="251"/>
      <c r="G3211" s="249"/>
      <c r="H3211" s="252"/>
      <c r="I3211" s="251"/>
      <c r="J3211" s="251"/>
      <c r="K3211" s="250"/>
      <c r="L3211" s="249"/>
    </row>
    <row r="3212" spans="3:12" s="244" customFormat="1" x14ac:dyDescent="0.25">
      <c r="C3212" s="251"/>
      <c r="D3212" s="251"/>
      <c r="E3212" s="251"/>
      <c r="F3212" s="251"/>
      <c r="G3212" s="249"/>
      <c r="H3212" s="252"/>
      <c r="I3212" s="251"/>
      <c r="J3212" s="251"/>
      <c r="K3212" s="250"/>
      <c r="L3212" s="249"/>
    </row>
    <row r="3213" spans="3:12" s="244" customFormat="1" x14ac:dyDescent="0.25">
      <c r="C3213" s="251"/>
      <c r="D3213" s="251"/>
      <c r="E3213" s="251"/>
      <c r="F3213" s="251"/>
      <c r="G3213" s="249"/>
      <c r="H3213" s="252"/>
      <c r="I3213" s="251"/>
      <c r="J3213" s="251"/>
      <c r="K3213" s="250"/>
      <c r="L3213" s="249"/>
    </row>
    <row r="3214" spans="3:12" s="244" customFormat="1" x14ac:dyDescent="0.25">
      <c r="C3214" s="251"/>
      <c r="D3214" s="251"/>
      <c r="E3214" s="251"/>
      <c r="F3214" s="251"/>
      <c r="G3214" s="249"/>
      <c r="H3214" s="252"/>
      <c r="I3214" s="251"/>
      <c r="J3214" s="251"/>
      <c r="K3214" s="250"/>
      <c r="L3214" s="249"/>
    </row>
    <row r="3215" spans="3:12" s="244" customFormat="1" x14ac:dyDescent="0.25">
      <c r="C3215" s="251"/>
      <c r="D3215" s="251"/>
      <c r="E3215" s="251"/>
      <c r="F3215" s="251"/>
      <c r="G3215" s="249"/>
      <c r="H3215" s="252"/>
      <c r="I3215" s="251"/>
      <c r="J3215" s="251"/>
      <c r="K3215" s="250"/>
      <c r="L3215" s="249"/>
    </row>
    <row r="3216" spans="3:12" s="244" customFormat="1" x14ac:dyDescent="0.25">
      <c r="C3216" s="251"/>
      <c r="D3216" s="251"/>
      <c r="E3216" s="251"/>
      <c r="F3216" s="251"/>
      <c r="G3216" s="249"/>
      <c r="H3216" s="252"/>
      <c r="I3216" s="251"/>
      <c r="J3216" s="251"/>
      <c r="K3216" s="250"/>
      <c r="L3216" s="249"/>
    </row>
    <row r="3217" spans="3:12" s="244" customFormat="1" x14ac:dyDescent="0.25">
      <c r="C3217" s="251"/>
      <c r="D3217" s="251"/>
      <c r="E3217" s="251"/>
      <c r="F3217" s="251"/>
      <c r="G3217" s="249"/>
      <c r="H3217" s="252"/>
      <c r="I3217" s="251"/>
      <c r="J3217" s="251"/>
      <c r="K3217" s="250"/>
      <c r="L3217" s="249"/>
    </row>
    <row r="3218" spans="3:12" s="244" customFormat="1" x14ac:dyDescent="0.25">
      <c r="C3218" s="251"/>
      <c r="D3218" s="251"/>
      <c r="E3218" s="251"/>
      <c r="F3218" s="251"/>
      <c r="G3218" s="249"/>
      <c r="H3218" s="252"/>
      <c r="I3218" s="251"/>
      <c r="J3218" s="251"/>
      <c r="K3218" s="250"/>
      <c r="L3218" s="249"/>
    </row>
    <row r="3219" spans="3:12" s="244" customFormat="1" x14ac:dyDescent="0.25">
      <c r="C3219" s="251"/>
      <c r="D3219" s="251"/>
      <c r="E3219" s="251"/>
      <c r="F3219" s="251"/>
      <c r="G3219" s="249"/>
      <c r="H3219" s="252"/>
      <c r="I3219" s="251"/>
      <c r="J3219" s="251"/>
      <c r="K3219" s="250"/>
      <c r="L3219" s="249"/>
    </row>
    <row r="3220" spans="3:12" s="244" customFormat="1" x14ac:dyDescent="0.25">
      <c r="C3220" s="251"/>
      <c r="D3220" s="251"/>
      <c r="E3220" s="251"/>
      <c r="F3220" s="251"/>
      <c r="G3220" s="249"/>
      <c r="H3220" s="252"/>
      <c r="I3220" s="251"/>
      <c r="J3220" s="251"/>
      <c r="K3220" s="250"/>
      <c r="L3220" s="249"/>
    </row>
    <row r="3221" spans="3:12" s="244" customFormat="1" x14ac:dyDescent="0.25">
      <c r="C3221" s="251"/>
      <c r="D3221" s="251"/>
      <c r="E3221" s="251"/>
      <c r="F3221" s="251"/>
      <c r="G3221" s="249"/>
      <c r="H3221" s="252"/>
      <c r="I3221" s="251"/>
      <c r="J3221" s="251"/>
      <c r="K3221" s="250"/>
      <c r="L3221" s="249"/>
    </row>
    <row r="3222" spans="3:12" s="244" customFormat="1" x14ac:dyDescent="0.25">
      <c r="C3222" s="251"/>
      <c r="D3222" s="251"/>
      <c r="E3222" s="251"/>
      <c r="F3222" s="251"/>
      <c r="G3222" s="249"/>
      <c r="H3222" s="252"/>
      <c r="I3222" s="251"/>
      <c r="J3222" s="251"/>
      <c r="K3222" s="250"/>
      <c r="L3222" s="249"/>
    </row>
    <row r="3223" spans="3:12" s="244" customFormat="1" x14ac:dyDescent="0.25">
      <c r="C3223" s="251"/>
      <c r="D3223" s="251"/>
      <c r="E3223" s="251"/>
      <c r="F3223" s="251"/>
      <c r="G3223" s="249"/>
      <c r="H3223" s="252"/>
      <c r="I3223" s="251"/>
      <c r="J3223" s="251"/>
      <c r="K3223" s="250"/>
      <c r="L3223" s="249"/>
    </row>
    <row r="3224" spans="3:12" s="244" customFormat="1" x14ac:dyDescent="0.25">
      <c r="C3224" s="251"/>
      <c r="D3224" s="251"/>
      <c r="E3224" s="251"/>
      <c r="F3224" s="251"/>
      <c r="G3224" s="249"/>
      <c r="H3224" s="252"/>
      <c r="I3224" s="251"/>
      <c r="J3224" s="251"/>
      <c r="K3224" s="250"/>
      <c r="L3224" s="249"/>
    </row>
    <row r="3225" spans="3:12" s="244" customFormat="1" x14ac:dyDescent="0.25">
      <c r="C3225" s="251"/>
      <c r="D3225" s="251"/>
      <c r="E3225" s="251"/>
      <c r="F3225" s="251"/>
      <c r="G3225" s="249"/>
      <c r="H3225" s="252"/>
      <c r="I3225" s="251"/>
      <c r="J3225" s="251"/>
      <c r="K3225" s="250"/>
      <c r="L3225" s="249"/>
    </row>
    <row r="3226" spans="3:12" s="244" customFormat="1" x14ac:dyDescent="0.25">
      <c r="C3226" s="251"/>
      <c r="D3226" s="251"/>
      <c r="E3226" s="251"/>
      <c r="F3226" s="251"/>
      <c r="G3226" s="249"/>
      <c r="H3226" s="252"/>
      <c r="I3226" s="251"/>
      <c r="J3226" s="251"/>
      <c r="K3226" s="250"/>
      <c r="L3226" s="249"/>
    </row>
    <row r="3227" spans="3:12" s="244" customFormat="1" x14ac:dyDescent="0.25">
      <c r="C3227" s="251"/>
      <c r="D3227" s="251"/>
      <c r="E3227" s="251"/>
      <c r="F3227" s="251"/>
      <c r="G3227" s="249"/>
      <c r="H3227" s="252"/>
      <c r="I3227" s="251"/>
      <c r="J3227" s="251"/>
      <c r="K3227" s="250"/>
      <c r="L3227" s="249"/>
    </row>
    <row r="3228" spans="3:12" s="244" customFormat="1" x14ac:dyDescent="0.25">
      <c r="C3228" s="251"/>
      <c r="D3228" s="251"/>
      <c r="E3228" s="251"/>
      <c r="F3228" s="251"/>
      <c r="G3228" s="249"/>
      <c r="H3228" s="252"/>
      <c r="I3228" s="251"/>
      <c r="J3228" s="251"/>
      <c r="K3228" s="250"/>
      <c r="L3228" s="249"/>
    </row>
    <row r="3229" spans="3:12" s="244" customFormat="1" x14ac:dyDescent="0.25">
      <c r="C3229" s="251"/>
      <c r="D3229" s="251"/>
      <c r="E3229" s="251"/>
      <c r="F3229" s="251"/>
      <c r="G3229" s="249"/>
      <c r="H3229" s="252"/>
      <c r="I3229" s="251"/>
      <c r="J3229" s="251"/>
      <c r="K3229" s="250"/>
      <c r="L3229" s="249"/>
    </row>
    <row r="3230" spans="3:12" s="244" customFormat="1" x14ac:dyDescent="0.25">
      <c r="C3230" s="251"/>
      <c r="D3230" s="251"/>
      <c r="E3230" s="251"/>
      <c r="F3230" s="251"/>
      <c r="G3230" s="249"/>
      <c r="H3230" s="252"/>
      <c r="I3230" s="251"/>
      <c r="J3230" s="251"/>
      <c r="K3230" s="250"/>
      <c r="L3230" s="249"/>
    </row>
    <row r="3231" spans="3:12" s="244" customFormat="1" x14ac:dyDescent="0.25">
      <c r="C3231" s="251"/>
      <c r="D3231" s="251"/>
      <c r="E3231" s="251"/>
      <c r="F3231" s="251"/>
      <c r="G3231" s="249"/>
      <c r="H3231" s="252"/>
      <c r="I3231" s="251"/>
      <c r="J3231" s="251"/>
      <c r="K3231" s="250"/>
      <c r="L3231" s="249"/>
    </row>
    <row r="3232" spans="3:12" s="244" customFormat="1" x14ac:dyDescent="0.25">
      <c r="C3232" s="251"/>
      <c r="D3232" s="251"/>
      <c r="E3232" s="251"/>
      <c r="F3232" s="251"/>
      <c r="G3232" s="249"/>
      <c r="H3232" s="252"/>
      <c r="I3232" s="251"/>
      <c r="J3232" s="251"/>
      <c r="K3232" s="250"/>
      <c r="L3232" s="249"/>
    </row>
    <row r="3233" spans="3:12" s="244" customFormat="1" x14ac:dyDescent="0.25">
      <c r="C3233" s="251"/>
      <c r="D3233" s="251"/>
      <c r="E3233" s="251"/>
      <c r="F3233" s="251"/>
      <c r="G3233" s="249"/>
      <c r="H3233" s="252"/>
      <c r="I3233" s="251"/>
      <c r="J3233" s="251"/>
      <c r="K3233" s="250"/>
      <c r="L3233" s="249"/>
    </row>
    <row r="3234" spans="3:12" s="244" customFormat="1" x14ac:dyDescent="0.25">
      <c r="C3234" s="251"/>
      <c r="D3234" s="251"/>
      <c r="E3234" s="251"/>
      <c r="F3234" s="251"/>
      <c r="G3234" s="249"/>
      <c r="H3234" s="252"/>
      <c r="I3234" s="251"/>
      <c r="J3234" s="251"/>
      <c r="K3234" s="250"/>
      <c r="L3234" s="249"/>
    </row>
    <row r="3235" spans="3:12" s="244" customFormat="1" x14ac:dyDescent="0.25">
      <c r="C3235" s="251"/>
      <c r="D3235" s="251"/>
      <c r="E3235" s="251"/>
      <c r="F3235" s="251"/>
      <c r="G3235" s="249"/>
      <c r="H3235" s="252"/>
      <c r="I3235" s="251"/>
      <c r="J3235" s="251"/>
      <c r="K3235" s="250"/>
      <c r="L3235" s="249"/>
    </row>
    <row r="3236" spans="3:12" s="244" customFormat="1" x14ac:dyDescent="0.25">
      <c r="C3236" s="251"/>
      <c r="D3236" s="251"/>
      <c r="E3236" s="251"/>
      <c r="F3236" s="251"/>
      <c r="G3236" s="249"/>
      <c r="H3236" s="252"/>
      <c r="I3236" s="251"/>
      <c r="J3236" s="251"/>
      <c r="K3236" s="250"/>
      <c r="L3236" s="249"/>
    </row>
    <row r="3237" spans="3:12" s="244" customFormat="1" x14ac:dyDescent="0.25">
      <c r="C3237" s="251"/>
      <c r="D3237" s="251"/>
      <c r="E3237" s="251"/>
      <c r="F3237" s="251"/>
      <c r="G3237" s="249"/>
      <c r="H3237" s="252"/>
      <c r="I3237" s="251"/>
      <c r="J3237" s="251"/>
      <c r="K3237" s="250"/>
      <c r="L3237" s="249"/>
    </row>
    <row r="3238" spans="3:12" s="244" customFormat="1" x14ac:dyDescent="0.25">
      <c r="C3238" s="251"/>
      <c r="D3238" s="251"/>
      <c r="E3238" s="251"/>
      <c r="F3238" s="251"/>
      <c r="G3238" s="249"/>
      <c r="H3238" s="252"/>
      <c r="I3238" s="251"/>
      <c r="J3238" s="251"/>
      <c r="K3238" s="250"/>
      <c r="L3238" s="249"/>
    </row>
    <row r="3239" spans="3:12" s="244" customFormat="1" x14ac:dyDescent="0.25">
      <c r="C3239" s="251"/>
      <c r="D3239" s="251"/>
      <c r="E3239" s="251"/>
      <c r="F3239" s="251"/>
      <c r="G3239" s="249"/>
      <c r="H3239" s="252"/>
      <c r="I3239" s="251"/>
      <c r="J3239" s="251"/>
      <c r="K3239" s="250"/>
      <c r="L3239" s="249"/>
    </row>
    <row r="3240" spans="3:12" s="244" customFormat="1" x14ac:dyDescent="0.25">
      <c r="C3240" s="251"/>
      <c r="D3240" s="251"/>
      <c r="E3240" s="251"/>
      <c r="F3240" s="251"/>
      <c r="G3240" s="249"/>
      <c r="H3240" s="252"/>
      <c r="I3240" s="251"/>
      <c r="J3240" s="251"/>
      <c r="K3240" s="250"/>
      <c r="L3240" s="249"/>
    </row>
    <row r="3241" spans="3:12" s="244" customFormat="1" x14ac:dyDescent="0.25">
      <c r="C3241" s="251"/>
      <c r="D3241" s="251"/>
      <c r="E3241" s="251"/>
      <c r="F3241" s="251"/>
      <c r="G3241" s="249"/>
      <c r="H3241" s="252"/>
      <c r="I3241" s="251"/>
      <c r="J3241" s="251"/>
      <c r="K3241" s="250"/>
      <c r="L3241" s="249"/>
    </row>
    <row r="3242" spans="3:12" s="244" customFormat="1" x14ac:dyDescent="0.25">
      <c r="C3242" s="251"/>
      <c r="D3242" s="251"/>
      <c r="E3242" s="251"/>
      <c r="F3242" s="251"/>
      <c r="G3242" s="249"/>
      <c r="H3242" s="252"/>
      <c r="I3242" s="251"/>
      <c r="J3242" s="251"/>
      <c r="K3242" s="250"/>
      <c r="L3242" s="249"/>
    </row>
    <row r="3243" spans="3:12" s="244" customFormat="1" x14ac:dyDescent="0.25">
      <c r="C3243" s="251"/>
      <c r="D3243" s="251"/>
      <c r="E3243" s="251"/>
      <c r="F3243" s="251"/>
      <c r="G3243" s="249"/>
      <c r="H3243" s="252"/>
      <c r="I3243" s="251"/>
      <c r="J3243" s="251"/>
      <c r="K3243" s="250"/>
      <c r="L3243" s="249"/>
    </row>
    <row r="3244" spans="3:12" s="244" customFormat="1" x14ac:dyDescent="0.25">
      <c r="C3244" s="251"/>
      <c r="D3244" s="251"/>
      <c r="E3244" s="251"/>
      <c r="F3244" s="251"/>
      <c r="G3244" s="249"/>
      <c r="H3244" s="252"/>
      <c r="I3244" s="251"/>
      <c r="J3244" s="251"/>
      <c r="K3244" s="250"/>
      <c r="L3244" s="249"/>
    </row>
    <row r="3245" spans="3:12" s="244" customFormat="1" x14ac:dyDescent="0.25">
      <c r="C3245" s="251"/>
      <c r="D3245" s="251"/>
      <c r="E3245" s="251"/>
      <c r="F3245" s="251"/>
      <c r="G3245" s="249"/>
      <c r="H3245" s="252"/>
      <c r="I3245" s="251"/>
      <c r="J3245" s="251"/>
      <c r="K3245" s="250"/>
      <c r="L3245" s="249"/>
    </row>
    <row r="3246" spans="3:12" s="244" customFormat="1" x14ac:dyDescent="0.25">
      <c r="C3246" s="251"/>
      <c r="D3246" s="251"/>
      <c r="E3246" s="251"/>
      <c r="F3246" s="251"/>
      <c r="G3246" s="249"/>
      <c r="H3246" s="252"/>
      <c r="I3246" s="251"/>
      <c r="J3246" s="251"/>
      <c r="K3246" s="250"/>
      <c r="L3246" s="249"/>
    </row>
    <row r="3247" spans="3:12" s="244" customFormat="1" x14ac:dyDescent="0.25">
      <c r="C3247" s="251"/>
      <c r="D3247" s="251"/>
      <c r="E3247" s="251"/>
      <c r="F3247" s="251"/>
      <c r="G3247" s="249"/>
      <c r="H3247" s="252"/>
      <c r="I3247" s="251"/>
      <c r="J3247" s="251"/>
      <c r="K3247" s="250"/>
      <c r="L3247" s="249"/>
    </row>
    <row r="3248" spans="3:12" s="244" customFormat="1" x14ac:dyDescent="0.25">
      <c r="C3248" s="251"/>
      <c r="D3248" s="251"/>
      <c r="E3248" s="251"/>
      <c r="F3248" s="251"/>
      <c r="G3248" s="249"/>
      <c r="H3248" s="252"/>
      <c r="I3248" s="251"/>
      <c r="J3248" s="251"/>
      <c r="K3248" s="250"/>
      <c r="L3248" s="249"/>
    </row>
    <row r="3249" spans="3:12" s="244" customFormat="1" x14ac:dyDescent="0.25">
      <c r="C3249" s="251"/>
      <c r="D3249" s="251"/>
      <c r="E3249" s="251"/>
      <c r="F3249" s="251"/>
      <c r="G3249" s="249"/>
      <c r="H3249" s="252"/>
      <c r="I3249" s="251"/>
      <c r="J3249" s="251"/>
      <c r="K3249" s="250"/>
      <c r="L3249" s="249"/>
    </row>
    <row r="3250" spans="3:12" s="244" customFormat="1" x14ac:dyDescent="0.25">
      <c r="C3250" s="251"/>
      <c r="D3250" s="251"/>
      <c r="E3250" s="251"/>
      <c r="F3250" s="251"/>
      <c r="G3250" s="249"/>
      <c r="H3250" s="252"/>
      <c r="I3250" s="251"/>
      <c r="J3250" s="251"/>
      <c r="K3250" s="250"/>
      <c r="L3250" s="249"/>
    </row>
    <row r="3251" spans="3:12" s="244" customFormat="1" x14ac:dyDescent="0.25">
      <c r="C3251" s="251"/>
      <c r="D3251" s="251"/>
      <c r="E3251" s="251"/>
      <c r="F3251" s="251"/>
      <c r="G3251" s="249"/>
      <c r="H3251" s="252"/>
      <c r="I3251" s="251"/>
      <c r="J3251" s="251"/>
      <c r="K3251" s="250"/>
      <c r="L3251" s="249"/>
    </row>
    <row r="3252" spans="3:12" s="244" customFormat="1" x14ac:dyDescent="0.25">
      <c r="C3252" s="251"/>
      <c r="D3252" s="251"/>
      <c r="E3252" s="251"/>
      <c r="F3252" s="251"/>
      <c r="G3252" s="249"/>
      <c r="H3252" s="252"/>
      <c r="I3252" s="251"/>
      <c r="J3252" s="251"/>
      <c r="K3252" s="250"/>
      <c r="L3252" s="249"/>
    </row>
    <row r="3253" spans="3:12" s="244" customFormat="1" x14ac:dyDescent="0.25">
      <c r="C3253" s="251"/>
      <c r="D3253" s="251"/>
      <c r="E3253" s="251"/>
      <c r="F3253" s="251"/>
      <c r="G3253" s="249"/>
      <c r="H3253" s="252"/>
      <c r="I3253" s="251"/>
      <c r="J3253" s="251"/>
      <c r="K3253" s="250"/>
      <c r="L3253" s="249"/>
    </row>
    <row r="3254" spans="3:12" s="244" customFormat="1" x14ac:dyDescent="0.25">
      <c r="C3254" s="251"/>
      <c r="D3254" s="251"/>
      <c r="E3254" s="251"/>
      <c r="F3254" s="251"/>
      <c r="G3254" s="249"/>
      <c r="H3254" s="252"/>
      <c r="I3254" s="251"/>
      <c r="J3254" s="251"/>
      <c r="K3254" s="250"/>
      <c r="L3254" s="249"/>
    </row>
    <row r="3255" spans="3:12" s="244" customFormat="1" x14ac:dyDescent="0.25">
      <c r="C3255" s="251"/>
      <c r="D3255" s="251"/>
      <c r="E3255" s="251"/>
      <c r="F3255" s="251"/>
      <c r="G3255" s="249"/>
      <c r="H3255" s="252"/>
      <c r="I3255" s="251"/>
      <c r="J3255" s="251"/>
      <c r="K3255" s="250"/>
      <c r="L3255" s="249"/>
    </row>
    <row r="3256" spans="3:12" s="244" customFormat="1" x14ac:dyDescent="0.25">
      <c r="C3256" s="251"/>
      <c r="D3256" s="251"/>
      <c r="E3256" s="251"/>
      <c r="F3256" s="251"/>
      <c r="G3256" s="249"/>
      <c r="H3256" s="252"/>
      <c r="I3256" s="251"/>
      <c r="J3256" s="251"/>
      <c r="K3256" s="250"/>
      <c r="L3256" s="249"/>
    </row>
    <row r="3257" spans="3:12" s="244" customFormat="1" x14ac:dyDescent="0.25">
      <c r="C3257" s="251"/>
      <c r="D3257" s="251"/>
      <c r="E3257" s="251"/>
      <c r="F3257" s="251"/>
      <c r="G3257" s="249"/>
      <c r="H3257" s="252"/>
      <c r="I3257" s="251"/>
      <c r="J3257" s="251"/>
      <c r="K3257" s="250"/>
      <c r="L3257" s="249"/>
    </row>
    <row r="3258" spans="3:12" s="244" customFormat="1" x14ac:dyDescent="0.25">
      <c r="C3258" s="251"/>
      <c r="D3258" s="251"/>
      <c r="E3258" s="251"/>
      <c r="F3258" s="251"/>
      <c r="G3258" s="249"/>
      <c r="H3258" s="252"/>
      <c r="I3258" s="251"/>
      <c r="J3258" s="251"/>
      <c r="K3258" s="250"/>
      <c r="L3258" s="249"/>
    </row>
    <row r="3259" spans="3:12" s="244" customFormat="1" x14ac:dyDescent="0.25">
      <c r="C3259" s="251"/>
      <c r="D3259" s="251"/>
      <c r="E3259" s="251"/>
      <c r="F3259" s="251"/>
      <c r="G3259" s="249"/>
      <c r="H3259" s="252"/>
      <c r="I3259" s="251"/>
      <c r="J3259" s="251"/>
      <c r="K3259" s="250"/>
      <c r="L3259" s="249"/>
    </row>
    <row r="3260" spans="3:12" s="244" customFormat="1" x14ac:dyDescent="0.25">
      <c r="C3260" s="251"/>
      <c r="D3260" s="251"/>
      <c r="E3260" s="251"/>
      <c r="F3260" s="251"/>
      <c r="G3260" s="249"/>
      <c r="H3260" s="252"/>
      <c r="I3260" s="251"/>
      <c r="J3260" s="251"/>
      <c r="K3260" s="250"/>
      <c r="L3260" s="249"/>
    </row>
    <row r="3261" spans="3:12" s="244" customFormat="1" x14ac:dyDescent="0.25">
      <c r="C3261" s="251"/>
      <c r="D3261" s="251"/>
      <c r="E3261" s="251"/>
      <c r="F3261" s="251"/>
      <c r="G3261" s="249"/>
      <c r="H3261" s="252"/>
      <c r="I3261" s="251"/>
      <c r="J3261" s="251"/>
      <c r="K3261" s="250"/>
      <c r="L3261" s="249"/>
    </row>
    <row r="3262" spans="3:12" s="244" customFormat="1" x14ac:dyDescent="0.25">
      <c r="C3262" s="251"/>
      <c r="D3262" s="251"/>
      <c r="E3262" s="251"/>
      <c r="F3262" s="251"/>
      <c r="G3262" s="249"/>
      <c r="H3262" s="252"/>
      <c r="I3262" s="251"/>
      <c r="J3262" s="251"/>
      <c r="K3262" s="250"/>
      <c r="L3262" s="249"/>
    </row>
    <row r="3263" spans="3:12" s="244" customFormat="1" x14ac:dyDescent="0.25">
      <c r="C3263" s="251"/>
      <c r="D3263" s="251"/>
      <c r="E3263" s="251"/>
      <c r="F3263" s="251"/>
      <c r="G3263" s="249"/>
      <c r="H3263" s="252"/>
      <c r="I3263" s="251"/>
      <c r="J3263" s="251"/>
      <c r="K3263" s="250"/>
      <c r="L3263" s="249"/>
    </row>
    <row r="3264" spans="3:12" s="244" customFormat="1" x14ac:dyDescent="0.25">
      <c r="C3264" s="251"/>
      <c r="D3264" s="251"/>
      <c r="E3264" s="251"/>
      <c r="F3264" s="251"/>
      <c r="G3264" s="249"/>
      <c r="H3264" s="252"/>
      <c r="I3264" s="251"/>
      <c r="J3264" s="251"/>
      <c r="K3264" s="250"/>
      <c r="L3264" s="249"/>
    </row>
    <row r="3265" spans="3:12" s="244" customFormat="1" x14ac:dyDescent="0.25">
      <c r="C3265" s="251"/>
      <c r="D3265" s="251"/>
      <c r="E3265" s="251"/>
      <c r="F3265" s="251"/>
      <c r="G3265" s="249"/>
      <c r="H3265" s="252"/>
      <c r="I3265" s="251"/>
      <c r="J3265" s="251"/>
      <c r="K3265" s="250"/>
      <c r="L3265" s="249"/>
    </row>
    <row r="3266" spans="3:12" s="244" customFormat="1" x14ac:dyDescent="0.25">
      <c r="C3266" s="251"/>
      <c r="D3266" s="251"/>
      <c r="E3266" s="251"/>
      <c r="F3266" s="251"/>
      <c r="G3266" s="249"/>
      <c r="H3266" s="252"/>
      <c r="I3266" s="251"/>
      <c r="J3266" s="251"/>
      <c r="K3266" s="250"/>
      <c r="L3266" s="249"/>
    </row>
    <row r="3267" spans="3:12" s="244" customFormat="1" x14ac:dyDescent="0.25">
      <c r="C3267" s="251"/>
      <c r="D3267" s="251"/>
      <c r="E3267" s="251"/>
      <c r="F3267" s="251"/>
      <c r="G3267" s="249"/>
      <c r="H3267" s="252"/>
      <c r="I3267" s="251"/>
      <c r="J3267" s="251"/>
      <c r="K3267" s="250"/>
      <c r="L3267" s="249"/>
    </row>
    <row r="3268" spans="3:12" s="244" customFormat="1" x14ac:dyDescent="0.25">
      <c r="C3268" s="251"/>
      <c r="D3268" s="251"/>
      <c r="E3268" s="251"/>
      <c r="F3268" s="251"/>
      <c r="G3268" s="249"/>
      <c r="H3268" s="252"/>
      <c r="I3268" s="251"/>
      <c r="J3268" s="251"/>
      <c r="K3268" s="250"/>
      <c r="L3268" s="249"/>
    </row>
    <row r="3269" spans="3:12" s="244" customFormat="1" x14ac:dyDescent="0.25">
      <c r="C3269" s="251"/>
      <c r="D3269" s="251"/>
      <c r="E3269" s="251"/>
      <c r="F3269" s="251"/>
      <c r="G3269" s="249"/>
      <c r="H3269" s="252"/>
      <c r="I3269" s="251"/>
      <c r="J3269" s="251"/>
      <c r="K3269" s="250"/>
      <c r="L3269" s="249"/>
    </row>
    <row r="3270" spans="3:12" s="244" customFormat="1" x14ac:dyDescent="0.25">
      <c r="C3270" s="251"/>
      <c r="D3270" s="251"/>
      <c r="E3270" s="251"/>
      <c r="F3270" s="251"/>
      <c r="G3270" s="249"/>
      <c r="H3270" s="252"/>
      <c r="I3270" s="251"/>
      <c r="J3270" s="251"/>
      <c r="K3270" s="250"/>
      <c r="L3270" s="249"/>
    </row>
    <row r="3271" spans="3:12" s="244" customFormat="1" x14ac:dyDescent="0.25">
      <c r="C3271" s="251"/>
      <c r="D3271" s="251"/>
      <c r="E3271" s="251"/>
      <c r="F3271" s="251"/>
      <c r="G3271" s="249"/>
      <c r="H3271" s="252"/>
      <c r="I3271" s="251"/>
      <c r="J3271" s="251"/>
      <c r="K3271" s="250"/>
      <c r="L3271" s="249"/>
    </row>
    <row r="3272" spans="3:12" s="244" customFormat="1" x14ac:dyDescent="0.25">
      <c r="C3272" s="251"/>
      <c r="D3272" s="251"/>
      <c r="E3272" s="251"/>
      <c r="F3272" s="251"/>
      <c r="G3272" s="249"/>
      <c r="H3272" s="252"/>
      <c r="I3272" s="251"/>
      <c r="J3272" s="251"/>
      <c r="K3272" s="250"/>
      <c r="L3272" s="249"/>
    </row>
    <row r="3273" spans="3:12" s="244" customFormat="1" x14ac:dyDescent="0.25">
      <c r="C3273" s="251"/>
      <c r="D3273" s="251"/>
      <c r="E3273" s="251"/>
      <c r="F3273" s="251"/>
      <c r="G3273" s="249"/>
      <c r="H3273" s="252"/>
      <c r="I3273" s="251"/>
      <c r="J3273" s="251"/>
      <c r="K3273" s="250"/>
      <c r="L3273" s="249"/>
    </row>
    <row r="3274" spans="3:12" s="244" customFormat="1" x14ac:dyDescent="0.25">
      <c r="C3274" s="251"/>
      <c r="D3274" s="251"/>
      <c r="E3274" s="251"/>
      <c r="F3274" s="251"/>
      <c r="G3274" s="249"/>
      <c r="H3274" s="252"/>
      <c r="I3274" s="251"/>
      <c r="J3274" s="251"/>
      <c r="K3274" s="250"/>
      <c r="L3274" s="249"/>
    </row>
    <row r="3275" spans="3:12" s="244" customFormat="1" x14ac:dyDescent="0.25">
      <c r="C3275" s="251"/>
      <c r="D3275" s="251"/>
      <c r="E3275" s="251"/>
      <c r="F3275" s="251"/>
      <c r="G3275" s="249"/>
      <c r="H3275" s="252"/>
      <c r="I3275" s="251"/>
      <c r="J3275" s="251"/>
      <c r="K3275" s="250"/>
      <c r="L3275" s="249"/>
    </row>
    <row r="3276" spans="3:12" s="244" customFormat="1" x14ac:dyDescent="0.25">
      <c r="C3276" s="251"/>
      <c r="D3276" s="251"/>
      <c r="E3276" s="251"/>
      <c r="F3276" s="251"/>
      <c r="G3276" s="249"/>
      <c r="H3276" s="252"/>
      <c r="I3276" s="251"/>
      <c r="J3276" s="251"/>
      <c r="K3276" s="250"/>
      <c r="L3276" s="249"/>
    </row>
    <row r="3277" spans="3:12" s="244" customFormat="1" x14ac:dyDescent="0.25">
      <c r="C3277" s="251"/>
      <c r="D3277" s="251"/>
      <c r="E3277" s="251"/>
      <c r="F3277" s="251"/>
      <c r="G3277" s="249"/>
      <c r="H3277" s="252"/>
      <c r="I3277" s="251"/>
      <c r="J3277" s="251"/>
      <c r="K3277" s="250"/>
      <c r="L3277" s="249"/>
    </row>
    <row r="3278" spans="3:12" s="244" customFormat="1" x14ac:dyDescent="0.25">
      <c r="C3278" s="251"/>
      <c r="D3278" s="251"/>
      <c r="E3278" s="251"/>
      <c r="F3278" s="251"/>
      <c r="G3278" s="249"/>
      <c r="H3278" s="252"/>
      <c r="I3278" s="251"/>
      <c r="J3278" s="251"/>
      <c r="K3278" s="250"/>
      <c r="L3278" s="249"/>
    </row>
    <row r="3279" spans="3:12" s="244" customFormat="1" x14ac:dyDescent="0.25">
      <c r="C3279" s="251"/>
      <c r="D3279" s="251"/>
      <c r="E3279" s="251"/>
      <c r="F3279" s="251"/>
      <c r="G3279" s="249"/>
      <c r="H3279" s="252"/>
      <c r="I3279" s="251"/>
      <c r="J3279" s="251"/>
      <c r="K3279" s="250"/>
      <c r="L3279" s="249"/>
    </row>
    <row r="3280" spans="3:12" s="244" customFormat="1" x14ac:dyDescent="0.25">
      <c r="C3280" s="251"/>
      <c r="D3280" s="251"/>
      <c r="E3280" s="251"/>
      <c r="F3280" s="251"/>
      <c r="G3280" s="249"/>
      <c r="H3280" s="252"/>
      <c r="I3280" s="251"/>
      <c r="J3280" s="251"/>
      <c r="K3280" s="250"/>
      <c r="L3280" s="249"/>
    </row>
    <row r="3281" spans="3:12" s="244" customFormat="1" x14ac:dyDescent="0.25">
      <c r="C3281" s="251"/>
      <c r="D3281" s="251"/>
      <c r="E3281" s="251"/>
      <c r="F3281" s="251"/>
      <c r="G3281" s="249"/>
      <c r="H3281" s="252"/>
      <c r="I3281" s="251"/>
      <c r="J3281" s="251"/>
      <c r="K3281" s="250"/>
      <c r="L3281" s="249"/>
    </row>
    <row r="3282" spans="3:12" s="244" customFormat="1" x14ac:dyDescent="0.25">
      <c r="C3282" s="251"/>
      <c r="D3282" s="251"/>
      <c r="E3282" s="251"/>
      <c r="F3282" s="251"/>
      <c r="G3282" s="249"/>
      <c r="H3282" s="252"/>
      <c r="I3282" s="251"/>
      <c r="J3282" s="251"/>
      <c r="K3282" s="250"/>
      <c r="L3282" s="249"/>
    </row>
    <row r="3283" spans="3:12" s="244" customFormat="1" x14ac:dyDescent="0.25">
      <c r="C3283" s="251"/>
      <c r="D3283" s="251"/>
      <c r="E3283" s="251"/>
      <c r="F3283" s="251"/>
      <c r="G3283" s="249"/>
      <c r="H3283" s="252"/>
      <c r="I3283" s="251"/>
      <c r="J3283" s="251"/>
      <c r="K3283" s="250"/>
      <c r="L3283" s="249"/>
    </row>
    <row r="3284" spans="3:12" s="244" customFormat="1" x14ac:dyDescent="0.25">
      <c r="C3284" s="251"/>
      <c r="D3284" s="251"/>
      <c r="E3284" s="251"/>
      <c r="F3284" s="251"/>
      <c r="G3284" s="249"/>
      <c r="H3284" s="252"/>
      <c r="I3284" s="251"/>
      <c r="J3284" s="251"/>
      <c r="K3284" s="250"/>
      <c r="L3284" s="249"/>
    </row>
    <row r="3285" spans="3:12" s="244" customFormat="1" x14ac:dyDescent="0.25">
      <c r="C3285" s="251"/>
      <c r="D3285" s="251"/>
      <c r="E3285" s="251"/>
      <c r="F3285" s="251"/>
      <c r="G3285" s="249"/>
      <c r="H3285" s="252"/>
      <c r="I3285" s="251"/>
      <c r="J3285" s="251"/>
      <c r="K3285" s="250"/>
      <c r="L3285" s="249"/>
    </row>
    <row r="3286" spans="3:12" s="244" customFormat="1" x14ac:dyDescent="0.25">
      <c r="C3286" s="251"/>
      <c r="D3286" s="251"/>
      <c r="E3286" s="251"/>
      <c r="F3286" s="251"/>
      <c r="G3286" s="249"/>
      <c r="H3286" s="252"/>
      <c r="I3286" s="251"/>
      <c r="J3286" s="251"/>
      <c r="K3286" s="250"/>
      <c r="L3286" s="249"/>
    </row>
    <row r="3287" spans="3:12" s="244" customFormat="1" x14ac:dyDescent="0.25">
      <c r="C3287" s="251"/>
      <c r="D3287" s="251"/>
      <c r="E3287" s="251"/>
      <c r="F3287" s="251"/>
      <c r="G3287" s="249"/>
      <c r="H3287" s="252"/>
      <c r="I3287" s="251"/>
      <c r="J3287" s="251"/>
      <c r="K3287" s="250"/>
      <c r="L3287" s="249"/>
    </row>
    <row r="3288" spans="3:12" s="244" customFormat="1" x14ac:dyDescent="0.25">
      <c r="C3288" s="251"/>
      <c r="D3288" s="251"/>
      <c r="E3288" s="251"/>
      <c r="F3288" s="251"/>
      <c r="G3288" s="249"/>
      <c r="H3288" s="252"/>
      <c r="I3288" s="251"/>
      <c r="J3288" s="251"/>
      <c r="K3288" s="250"/>
      <c r="L3288" s="249"/>
    </row>
    <row r="3289" spans="3:12" s="244" customFormat="1" x14ac:dyDescent="0.25">
      <c r="C3289" s="251"/>
      <c r="D3289" s="251"/>
      <c r="E3289" s="251"/>
      <c r="F3289" s="251"/>
      <c r="G3289" s="249"/>
      <c r="H3289" s="252"/>
      <c r="I3289" s="251"/>
      <c r="J3289" s="251"/>
      <c r="K3289" s="250"/>
      <c r="L3289" s="249"/>
    </row>
    <row r="3290" spans="3:12" s="244" customFormat="1" x14ac:dyDescent="0.25">
      <c r="C3290" s="251"/>
      <c r="D3290" s="251"/>
      <c r="E3290" s="251"/>
      <c r="F3290" s="251"/>
      <c r="G3290" s="249"/>
      <c r="H3290" s="252"/>
      <c r="I3290" s="251"/>
      <c r="J3290" s="251"/>
      <c r="K3290" s="250"/>
      <c r="L3290" s="249"/>
    </row>
    <row r="3291" spans="3:12" s="244" customFormat="1" x14ac:dyDescent="0.25">
      <c r="C3291" s="251"/>
      <c r="D3291" s="251"/>
      <c r="E3291" s="251"/>
      <c r="F3291" s="251"/>
      <c r="G3291" s="249"/>
      <c r="H3291" s="252"/>
      <c r="I3291" s="251"/>
      <c r="J3291" s="251"/>
      <c r="K3291" s="250"/>
      <c r="L3291" s="249"/>
    </row>
    <row r="3292" spans="3:12" s="244" customFormat="1" x14ac:dyDescent="0.25">
      <c r="C3292" s="251"/>
      <c r="D3292" s="251"/>
      <c r="E3292" s="251"/>
      <c r="F3292" s="251"/>
      <c r="G3292" s="249"/>
      <c r="H3292" s="252"/>
      <c r="I3292" s="251"/>
      <c r="J3292" s="251"/>
      <c r="K3292" s="250"/>
      <c r="L3292" s="249"/>
    </row>
    <row r="3293" spans="3:12" s="244" customFormat="1" x14ac:dyDescent="0.25">
      <c r="C3293" s="251"/>
      <c r="D3293" s="251"/>
      <c r="E3293" s="251"/>
      <c r="F3293" s="251"/>
      <c r="G3293" s="249"/>
      <c r="H3293" s="252"/>
      <c r="I3293" s="251"/>
      <c r="J3293" s="251"/>
      <c r="K3293" s="250"/>
      <c r="L3293" s="249"/>
    </row>
    <row r="3294" spans="3:12" s="244" customFormat="1" x14ac:dyDescent="0.25">
      <c r="C3294" s="251"/>
      <c r="D3294" s="251"/>
      <c r="E3294" s="251"/>
      <c r="F3294" s="251"/>
      <c r="G3294" s="249"/>
      <c r="H3294" s="252"/>
      <c r="I3294" s="251"/>
      <c r="J3294" s="251"/>
      <c r="K3294" s="250"/>
      <c r="L3294" s="249"/>
    </row>
    <row r="3295" spans="3:12" s="244" customFormat="1" x14ac:dyDescent="0.25">
      <c r="C3295" s="251"/>
      <c r="D3295" s="251"/>
      <c r="E3295" s="251"/>
      <c r="F3295" s="251"/>
      <c r="G3295" s="249"/>
      <c r="H3295" s="252"/>
      <c r="I3295" s="251"/>
      <c r="J3295" s="251"/>
      <c r="K3295" s="250"/>
      <c r="L3295" s="249"/>
    </row>
    <row r="3296" spans="3:12" s="244" customFormat="1" x14ac:dyDescent="0.25">
      <c r="C3296" s="251"/>
      <c r="D3296" s="251"/>
      <c r="E3296" s="251"/>
      <c r="F3296" s="251"/>
      <c r="G3296" s="249"/>
      <c r="H3296" s="252"/>
      <c r="I3296" s="251"/>
      <c r="J3296" s="251"/>
      <c r="K3296" s="250"/>
      <c r="L3296" s="249"/>
    </row>
    <row r="3297" spans="3:12" s="244" customFormat="1" x14ac:dyDescent="0.25">
      <c r="C3297" s="251"/>
      <c r="D3297" s="251"/>
      <c r="E3297" s="251"/>
      <c r="F3297" s="251"/>
      <c r="G3297" s="249"/>
      <c r="H3297" s="252"/>
      <c r="I3297" s="251"/>
      <c r="J3297" s="251"/>
      <c r="K3297" s="250"/>
      <c r="L3297" s="249"/>
    </row>
    <row r="3298" spans="3:12" s="244" customFormat="1" x14ac:dyDescent="0.25">
      <c r="C3298" s="251"/>
      <c r="D3298" s="251"/>
      <c r="E3298" s="251"/>
      <c r="F3298" s="251"/>
      <c r="G3298" s="249"/>
      <c r="H3298" s="252"/>
      <c r="I3298" s="251"/>
      <c r="J3298" s="251"/>
      <c r="K3298" s="250"/>
      <c r="L3298" s="249"/>
    </row>
    <row r="3299" spans="3:12" s="244" customFormat="1" x14ac:dyDescent="0.25">
      <c r="C3299" s="251"/>
      <c r="D3299" s="251"/>
      <c r="E3299" s="251"/>
      <c r="F3299" s="251"/>
      <c r="G3299" s="249"/>
      <c r="H3299" s="252"/>
      <c r="I3299" s="251"/>
      <c r="J3299" s="251"/>
      <c r="K3299" s="250"/>
      <c r="L3299" s="249"/>
    </row>
    <row r="3300" spans="3:12" s="244" customFormat="1" x14ac:dyDescent="0.25">
      <c r="C3300" s="251"/>
      <c r="D3300" s="251"/>
      <c r="E3300" s="251"/>
      <c r="F3300" s="251"/>
      <c r="G3300" s="249"/>
      <c r="H3300" s="252"/>
      <c r="I3300" s="251"/>
      <c r="J3300" s="251"/>
      <c r="K3300" s="250"/>
      <c r="L3300" s="249"/>
    </row>
    <row r="3301" spans="3:12" s="244" customFormat="1" x14ac:dyDescent="0.25">
      <c r="C3301" s="251"/>
      <c r="D3301" s="251"/>
      <c r="E3301" s="251"/>
      <c r="F3301" s="251"/>
      <c r="G3301" s="249"/>
      <c r="H3301" s="252"/>
      <c r="I3301" s="251"/>
      <c r="J3301" s="251"/>
      <c r="K3301" s="250"/>
      <c r="L3301" s="249"/>
    </row>
    <row r="3302" spans="3:12" s="244" customFormat="1" x14ac:dyDescent="0.25">
      <c r="C3302" s="251"/>
      <c r="D3302" s="251"/>
      <c r="E3302" s="251"/>
      <c r="F3302" s="251"/>
      <c r="G3302" s="249"/>
      <c r="H3302" s="252"/>
      <c r="I3302" s="251"/>
      <c r="J3302" s="251"/>
      <c r="K3302" s="250"/>
      <c r="L3302" s="249"/>
    </row>
    <row r="3303" spans="3:12" s="244" customFormat="1" x14ac:dyDescent="0.25">
      <c r="C3303" s="251"/>
      <c r="D3303" s="251"/>
      <c r="E3303" s="251"/>
      <c r="F3303" s="251"/>
      <c r="G3303" s="249"/>
      <c r="H3303" s="252"/>
      <c r="I3303" s="251"/>
      <c r="J3303" s="251"/>
      <c r="K3303" s="250"/>
      <c r="L3303" s="249"/>
    </row>
    <row r="3304" spans="3:12" s="244" customFormat="1" x14ac:dyDescent="0.25">
      <c r="C3304" s="251"/>
      <c r="D3304" s="251"/>
      <c r="E3304" s="251"/>
      <c r="F3304" s="251"/>
      <c r="G3304" s="249"/>
      <c r="H3304" s="252"/>
      <c r="I3304" s="251"/>
      <c r="J3304" s="251"/>
      <c r="K3304" s="250"/>
      <c r="L3304" s="249"/>
    </row>
    <row r="3305" spans="3:12" s="244" customFormat="1" x14ac:dyDescent="0.25">
      <c r="C3305" s="251"/>
      <c r="D3305" s="251"/>
      <c r="E3305" s="251"/>
      <c r="F3305" s="251"/>
      <c r="G3305" s="249"/>
      <c r="H3305" s="252"/>
      <c r="I3305" s="251"/>
      <c r="J3305" s="251"/>
      <c r="K3305" s="250"/>
      <c r="L3305" s="249"/>
    </row>
    <row r="3306" spans="3:12" s="244" customFormat="1" x14ac:dyDescent="0.25">
      <c r="C3306" s="251"/>
      <c r="D3306" s="251"/>
      <c r="E3306" s="251"/>
      <c r="F3306" s="251"/>
      <c r="G3306" s="249"/>
      <c r="H3306" s="252"/>
      <c r="I3306" s="251"/>
      <c r="J3306" s="251"/>
      <c r="K3306" s="250"/>
      <c r="L3306" s="249"/>
    </row>
    <row r="3307" spans="3:12" s="244" customFormat="1" x14ac:dyDescent="0.25">
      <c r="C3307" s="251"/>
      <c r="D3307" s="251"/>
      <c r="E3307" s="251"/>
      <c r="F3307" s="251"/>
      <c r="G3307" s="249"/>
      <c r="H3307" s="252"/>
      <c r="I3307" s="251"/>
      <c r="J3307" s="251"/>
      <c r="K3307" s="250"/>
      <c r="L3307" s="249"/>
    </row>
    <row r="3308" spans="3:12" s="244" customFormat="1" x14ac:dyDescent="0.25">
      <c r="C3308" s="251"/>
      <c r="D3308" s="251"/>
      <c r="E3308" s="251"/>
      <c r="F3308" s="251"/>
      <c r="G3308" s="249"/>
      <c r="H3308" s="252"/>
      <c r="I3308" s="251"/>
      <c r="J3308" s="251"/>
      <c r="K3308" s="250"/>
      <c r="L3308" s="249"/>
    </row>
    <row r="3309" spans="3:12" s="244" customFormat="1" x14ac:dyDescent="0.25">
      <c r="C3309" s="251"/>
      <c r="D3309" s="251"/>
      <c r="E3309" s="251"/>
      <c r="F3309" s="251"/>
      <c r="G3309" s="249"/>
      <c r="H3309" s="252"/>
      <c r="I3309" s="251"/>
      <c r="J3309" s="251"/>
      <c r="K3309" s="250"/>
      <c r="L3309" s="249"/>
    </row>
    <row r="3310" spans="3:12" s="244" customFormat="1" x14ac:dyDescent="0.25">
      <c r="C3310" s="251"/>
      <c r="D3310" s="251"/>
      <c r="E3310" s="251"/>
      <c r="F3310" s="251"/>
      <c r="G3310" s="249"/>
      <c r="H3310" s="252"/>
      <c r="I3310" s="251"/>
      <c r="J3310" s="251"/>
      <c r="K3310" s="250"/>
      <c r="L3310" s="249"/>
    </row>
    <row r="3311" spans="3:12" s="244" customFormat="1" x14ac:dyDescent="0.25">
      <c r="C3311" s="251"/>
      <c r="D3311" s="251"/>
      <c r="E3311" s="251"/>
      <c r="F3311" s="251"/>
      <c r="G3311" s="249"/>
      <c r="H3311" s="252"/>
      <c r="I3311" s="251"/>
      <c r="J3311" s="251"/>
      <c r="K3311" s="250"/>
      <c r="L3311" s="249"/>
    </row>
    <row r="3312" spans="3:12" s="244" customFormat="1" x14ac:dyDescent="0.25">
      <c r="C3312" s="251"/>
      <c r="D3312" s="251"/>
      <c r="E3312" s="251"/>
      <c r="F3312" s="251"/>
      <c r="G3312" s="249"/>
      <c r="H3312" s="252"/>
      <c r="I3312" s="251"/>
      <c r="J3312" s="251"/>
      <c r="K3312" s="250"/>
      <c r="L3312" s="249"/>
    </row>
    <row r="3313" spans="3:12" s="244" customFormat="1" x14ac:dyDescent="0.25">
      <c r="C3313" s="251"/>
      <c r="D3313" s="251"/>
      <c r="E3313" s="251"/>
      <c r="F3313" s="251"/>
      <c r="G3313" s="249"/>
      <c r="H3313" s="252"/>
      <c r="I3313" s="251"/>
      <c r="J3313" s="251"/>
      <c r="K3313" s="250"/>
      <c r="L3313" s="249"/>
    </row>
    <row r="3314" spans="3:12" s="244" customFormat="1" x14ac:dyDescent="0.25">
      <c r="C3314" s="251"/>
      <c r="D3314" s="251"/>
      <c r="E3314" s="251"/>
      <c r="F3314" s="251"/>
      <c r="G3314" s="249"/>
      <c r="H3314" s="252"/>
      <c r="I3314" s="251"/>
      <c r="J3314" s="251"/>
      <c r="K3314" s="250"/>
      <c r="L3314" s="249"/>
    </row>
    <row r="3315" spans="3:12" s="244" customFormat="1" x14ac:dyDescent="0.25">
      <c r="C3315" s="251"/>
      <c r="D3315" s="251"/>
      <c r="E3315" s="251"/>
      <c r="F3315" s="251"/>
      <c r="G3315" s="249"/>
      <c r="H3315" s="252"/>
      <c r="I3315" s="251"/>
      <c r="J3315" s="251"/>
      <c r="K3315" s="250"/>
      <c r="L3315" s="249"/>
    </row>
    <row r="3316" spans="3:12" s="244" customFormat="1" x14ac:dyDescent="0.25">
      <c r="C3316" s="251"/>
      <c r="D3316" s="251"/>
      <c r="E3316" s="251"/>
      <c r="F3316" s="251"/>
      <c r="G3316" s="249"/>
      <c r="H3316" s="252"/>
      <c r="I3316" s="251"/>
      <c r="J3316" s="251"/>
      <c r="K3316" s="250"/>
      <c r="L3316" s="249"/>
    </row>
    <row r="3317" spans="3:12" s="244" customFormat="1" x14ac:dyDescent="0.25">
      <c r="C3317" s="251"/>
      <c r="D3317" s="251"/>
      <c r="E3317" s="251"/>
      <c r="F3317" s="251"/>
      <c r="G3317" s="249"/>
      <c r="H3317" s="252"/>
      <c r="I3317" s="251"/>
      <c r="J3317" s="251"/>
      <c r="K3317" s="250"/>
      <c r="L3317" s="249"/>
    </row>
    <row r="3318" spans="3:12" s="244" customFormat="1" x14ac:dyDescent="0.25">
      <c r="C3318" s="251"/>
      <c r="D3318" s="251"/>
      <c r="E3318" s="251"/>
      <c r="F3318" s="251"/>
      <c r="G3318" s="249"/>
      <c r="H3318" s="252"/>
      <c r="I3318" s="251"/>
      <c r="J3318" s="251"/>
      <c r="K3318" s="250"/>
      <c r="L3318" s="249"/>
    </row>
    <row r="3319" spans="3:12" s="244" customFormat="1" x14ac:dyDescent="0.25">
      <c r="C3319" s="251"/>
      <c r="D3319" s="251"/>
      <c r="E3319" s="251"/>
      <c r="F3319" s="251"/>
      <c r="G3319" s="249"/>
      <c r="H3319" s="252"/>
      <c r="I3319" s="251"/>
      <c r="J3319" s="251"/>
      <c r="K3319" s="250"/>
      <c r="L3319" s="249"/>
    </row>
    <row r="3320" spans="3:12" s="244" customFormat="1" x14ac:dyDescent="0.25">
      <c r="C3320" s="251"/>
      <c r="D3320" s="251"/>
      <c r="E3320" s="251"/>
      <c r="F3320" s="251"/>
      <c r="G3320" s="249"/>
      <c r="H3320" s="252"/>
      <c r="I3320" s="251"/>
      <c r="J3320" s="251"/>
      <c r="K3320" s="250"/>
      <c r="L3320" s="249"/>
    </row>
    <row r="3321" spans="3:12" s="244" customFormat="1" x14ac:dyDescent="0.25">
      <c r="C3321" s="251"/>
      <c r="D3321" s="251"/>
      <c r="E3321" s="251"/>
      <c r="F3321" s="251"/>
      <c r="G3321" s="249"/>
      <c r="H3321" s="252"/>
      <c r="I3321" s="251"/>
      <c r="J3321" s="251"/>
      <c r="K3321" s="250"/>
      <c r="L3321" s="249"/>
    </row>
    <row r="3322" spans="3:12" s="244" customFormat="1" x14ac:dyDescent="0.25">
      <c r="C3322" s="251"/>
      <c r="D3322" s="251"/>
      <c r="E3322" s="251"/>
      <c r="F3322" s="251"/>
      <c r="G3322" s="249"/>
      <c r="H3322" s="252"/>
      <c r="I3322" s="251"/>
      <c r="J3322" s="251"/>
      <c r="K3322" s="250"/>
      <c r="L3322" s="249"/>
    </row>
    <row r="3323" spans="3:12" s="244" customFormat="1" x14ac:dyDescent="0.25">
      <c r="C3323" s="251"/>
      <c r="D3323" s="251"/>
      <c r="E3323" s="251"/>
      <c r="F3323" s="251"/>
      <c r="G3323" s="249"/>
      <c r="H3323" s="252"/>
      <c r="I3323" s="251"/>
      <c r="J3323" s="251"/>
      <c r="K3323" s="250"/>
      <c r="L3323" s="249"/>
    </row>
    <row r="3324" spans="3:12" s="244" customFormat="1" x14ac:dyDescent="0.25">
      <c r="C3324" s="251"/>
      <c r="D3324" s="251"/>
      <c r="E3324" s="251"/>
      <c r="F3324" s="251"/>
      <c r="G3324" s="249"/>
      <c r="H3324" s="252"/>
      <c r="I3324" s="251"/>
      <c r="J3324" s="251"/>
      <c r="K3324" s="250"/>
      <c r="L3324" s="249"/>
    </row>
    <row r="3325" spans="3:12" s="244" customFormat="1" x14ac:dyDescent="0.25">
      <c r="C3325" s="251"/>
      <c r="D3325" s="251"/>
      <c r="E3325" s="251"/>
      <c r="F3325" s="251"/>
      <c r="G3325" s="249"/>
      <c r="H3325" s="252"/>
      <c r="I3325" s="251"/>
      <c r="J3325" s="251"/>
      <c r="K3325" s="250"/>
      <c r="L3325" s="249"/>
    </row>
    <row r="3326" spans="3:12" s="244" customFormat="1" x14ac:dyDescent="0.25">
      <c r="C3326" s="251"/>
      <c r="D3326" s="251"/>
      <c r="E3326" s="251"/>
      <c r="F3326" s="251"/>
      <c r="G3326" s="249"/>
      <c r="H3326" s="252"/>
      <c r="I3326" s="251"/>
      <c r="J3326" s="251"/>
      <c r="K3326" s="250"/>
      <c r="L3326" s="249"/>
    </row>
    <row r="3327" spans="3:12" s="244" customFormat="1" x14ac:dyDescent="0.25">
      <c r="C3327" s="251"/>
      <c r="D3327" s="251"/>
      <c r="E3327" s="251"/>
      <c r="F3327" s="251"/>
      <c r="G3327" s="249"/>
      <c r="H3327" s="252"/>
      <c r="I3327" s="251"/>
      <c r="J3327" s="251"/>
      <c r="K3327" s="250"/>
      <c r="L3327" s="249"/>
    </row>
    <row r="3328" spans="3:12" s="244" customFormat="1" x14ac:dyDescent="0.25">
      <c r="C3328" s="251"/>
      <c r="D3328" s="251"/>
      <c r="E3328" s="251"/>
      <c r="F3328" s="251"/>
      <c r="G3328" s="249"/>
      <c r="H3328" s="252"/>
      <c r="I3328" s="251"/>
      <c r="J3328" s="251"/>
      <c r="K3328" s="250"/>
      <c r="L3328" s="249"/>
    </row>
    <row r="3329" spans="3:12" s="244" customFormat="1" x14ac:dyDescent="0.25">
      <c r="C3329" s="251"/>
      <c r="D3329" s="251"/>
      <c r="E3329" s="251"/>
      <c r="F3329" s="251"/>
      <c r="G3329" s="249"/>
      <c r="H3329" s="252"/>
      <c r="I3329" s="251"/>
      <c r="J3329" s="251"/>
      <c r="K3329" s="250"/>
      <c r="L3329" s="249"/>
    </row>
    <row r="3330" spans="3:12" s="244" customFormat="1" x14ac:dyDescent="0.25">
      <c r="C3330" s="251"/>
      <c r="D3330" s="251"/>
      <c r="E3330" s="251"/>
      <c r="F3330" s="251"/>
      <c r="G3330" s="249"/>
      <c r="H3330" s="252"/>
      <c r="I3330" s="251"/>
      <c r="J3330" s="251"/>
      <c r="K3330" s="250"/>
      <c r="L3330" s="249"/>
    </row>
    <row r="3331" spans="3:12" s="244" customFormat="1" x14ac:dyDescent="0.25">
      <c r="C3331" s="251"/>
      <c r="D3331" s="251"/>
      <c r="E3331" s="251"/>
      <c r="F3331" s="251"/>
      <c r="G3331" s="249"/>
      <c r="H3331" s="252"/>
      <c r="I3331" s="251"/>
      <c r="J3331" s="251"/>
      <c r="K3331" s="250"/>
      <c r="L3331" s="249"/>
    </row>
    <row r="3332" spans="3:12" s="244" customFormat="1" x14ac:dyDescent="0.25">
      <c r="C3332" s="251"/>
      <c r="D3332" s="251"/>
      <c r="E3332" s="251"/>
      <c r="F3332" s="251"/>
      <c r="G3332" s="249"/>
      <c r="H3332" s="252"/>
      <c r="I3332" s="251"/>
      <c r="J3332" s="251"/>
      <c r="K3332" s="250"/>
      <c r="L3332" s="249"/>
    </row>
    <row r="3333" spans="3:12" s="244" customFormat="1" x14ac:dyDescent="0.25">
      <c r="C3333" s="251"/>
      <c r="D3333" s="251"/>
      <c r="E3333" s="251"/>
      <c r="F3333" s="251"/>
      <c r="G3333" s="249"/>
      <c r="H3333" s="252"/>
      <c r="I3333" s="251"/>
      <c r="J3333" s="251"/>
      <c r="K3333" s="250"/>
      <c r="L3333" s="249"/>
    </row>
    <row r="3334" spans="3:12" s="244" customFormat="1" x14ac:dyDescent="0.25">
      <c r="C3334" s="251"/>
      <c r="D3334" s="251"/>
      <c r="E3334" s="251"/>
      <c r="F3334" s="251"/>
      <c r="G3334" s="249"/>
      <c r="H3334" s="252"/>
      <c r="I3334" s="251"/>
      <c r="J3334" s="251"/>
      <c r="K3334" s="250"/>
      <c r="L3334" s="249"/>
    </row>
    <row r="3335" spans="3:12" s="244" customFormat="1" x14ac:dyDescent="0.25">
      <c r="C3335" s="251"/>
      <c r="D3335" s="251"/>
      <c r="E3335" s="251"/>
      <c r="F3335" s="251"/>
      <c r="G3335" s="249"/>
      <c r="H3335" s="252"/>
      <c r="I3335" s="251"/>
      <c r="J3335" s="251"/>
      <c r="K3335" s="250"/>
      <c r="L3335" s="249"/>
    </row>
    <row r="3336" spans="3:12" s="244" customFormat="1" x14ac:dyDescent="0.25">
      <c r="C3336" s="251"/>
      <c r="D3336" s="251"/>
      <c r="E3336" s="251"/>
      <c r="F3336" s="251"/>
      <c r="G3336" s="249"/>
      <c r="H3336" s="252"/>
      <c r="I3336" s="251"/>
      <c r="J3336" s="251"/>
      <c r="K3336" s="250"/>
      <c r="L3336" s="249"/>
    </row>
    <row r="3337" spans="3:12" s="244" customFormat="1" x14ac:dyDescent="0.25">
      <c r="C3337" s="251"/>
      <c r="D3337" s="251"/>
      <c r="E3337" s="251"/>
      <c r="F3337" s="251"/>
      <c r="G3337" s="249"/>
      <c r="H3337" s="252"/>
      <c r="I3337" s="251"/>
      <c r="J3337" s="251"/>
      <c r="K3337" s="250"/>
      <c r="L3337" s="249"/>
    </row>
    <row r="3338" spans="3:12" s="244" customFormat="1" x14ac:dyDescent="0.25">
      <c r="C3338" s="251"/>
      <c r="D3338" s="251"/>
      <c r="E3338" s="251"/>
      <c r="F3338" s="251"/>
      <c r="G3338" s="249"/>
      <c r="H3338" s="252"/>
      <c r="I3338" s="251"/>
      <c r="J3338" s="251"/>
      <c r="K3338" s="250"/>
      <c r="L3338" s="249"/>
    </row>
    <row r="3339" spans="3:12" s="244" customFormat="1" x14ac:dyDescent="0.25">
      <c r="C3339" s="251"/>
      <c r="D3339" s="251"/>
      <c r="E3339" s="251"/>
      <c r="F3339" s="251"/>
      <c r="G3339" s="249"/>
      <c r="H3339" s="252"/>
      <c r="I3339" s="251"/>
      <c r="J3339" s="251"/>
      <c r="K3339" s="250"/>
      <c r="L3339" s="249"/>
    </row>
    <row r="3340" spans="3:12" s="244" customFormat="1" x14ac:dyDescent="0.25">
      <c r="C3340" s="251"/>
      <c r="D3340" s="251"/>
      <c r="E3340" s="251"/>
      <c r="F3340" s="251"/>
      <c r="G3340" s="249"/>
      <c r="H3340" s="252"/>
      <c r="I3340" s="251"/>
      <c r="J3340" s="251"/>
      <c r="K3340" s="250"/>
      <c r="L3340" s="249"/>
    </row>
    <row r="3341" spans="3:12" s="244" customFormat="1" x14ac:dyDescent="0.25">
      <c r="C3341" s="251"/>
      <c r="D3341" s="251"/>
      <c r="E3341" s="251"/>
      <c r="F3341" s="251"/>
      <c r="G3341" s="249"/>
      <c r="H3341" s="252"/>
      <c r="I3341" s="251"/>
      <c r="J3341" s="251"/>
      <c r="K3341" s="250"/>
      <c r="L3341" s="249"/>
    </row>
    <row r="3342" spans="3:12" s="244" customFormat="1" x14ac:dyDescent="0.25">
      <c r="C3342" s="251"/>
      <c r="D3342" s="251"/>
      <c r="E3342" s="251"/>
      <c r="F3342" s="251"/>
      <c r="G3342" s="249"/>
      <c r="H3342" s="252"/>
      <c r="I3342" s="251"/>
      <c r="J3342" s="251"/>
      <c r="K3342" s="250"/>
      <c r="L3342" s="249"/>
    </row>
    <row r="3343" spans="3:12" s="244" customFormat="1" x14ac:dyDescent="0.25">
      <c r="C3343" s="251"/>
      <c r="D3343" s="251"/>
      <c r="E3343" s="251"/>
      <c r="F3343" s="251"/>
      <c r="G3343" s="249"/>
      <c r="H3343" s="252"/>
      <c r="I3343" s="251"/>
      <c r="J3343" s="251"/>
      <c r="K3343" s="250"/>
      <c r="L3343" s="249"/>
    </row>
    <row r="3344" spans="3:12" s="244" customFormat="1" x14ac:dyDescent="0.25">
      <c r="C3344" s="251"/>
      <c r="D3344" s="251"/>
      <c r="E3344" s="251"/>
      <c r="F3344" s="251"/>
      <c r="G3344" s="249"/>
      <c r="H3344" s="252"/>
      <c r="I3344" s="251"/>
      <c r="J3344" s="251"/>
      <c r="K3344" s="250"/>
      <c r="L3344" s="249"/>
    </row>
    <row r="3345" spans="3:12" s="244" customFormat="1" x14ac:dyDescent="0.25">
      <c r="C3345" s="251"/>
      <c r="D3345" s="251"/>
      <c r="E3345" s="251"/>
      <c r="F3345" s="251"/>
      <c r="G3345" s="249"/>
      <c r="H3345" s="252"/>
      <c r="I3345" s="251"/>
      <c r="J3345" s="251"/>
      <c r="K3345" s="250"/>
      <c r="L3345" s="249"/>
    </row>
    <row r="3346" spans="3:12" s="244" customFormat="1" x14ac:dyDescent="0.25">
      <c r="C3346" s="251"/>
      <c r="D3346" s="251"/>
      <c r="E3346" s="251"/>
      <c r="F3346" s="251"/>
      <c r="G3346" s="249"/>
      <c r="H3346" s="252"/>
      <c r="I3346" s="251"/>
      <c r="J3346" s="251"/>
      <c r="K3346" s="250"/>
      <c r="L3346" s="249"/>
    </row>
    <row r="3347" spans="3:12" s="244" customFormat="1" x14ac:dyDescent="0.25">
      <c r="C3347" s="251"/>
      <c r="D3347" s="251"/>
      <c r="E3347" s="251"/>
      <c r="F3347" s="251"/>
      <c r="G3347" s="249"/>
      <c r="H3347" s="252"/>
      <c r="I3347" s="251"/>
      <c r="J3347" s="251"/>
      <c r="K3347" s="250"/>
      <c r="L3347" s="249"/>
    </row>
    <row r="3348" spans="3:12" s="244" customFormat="1" x14ac:dyDescent="0.25">
      <c r="C3348" s="251"/>
      <c r="D3348" s="251"/>
      <c r="E3348" s="251"/>
      <c r="F3348" s="251"/>
      <c r="G3348" s="249"/>
      <c r="H3348" s="252"/>
      <c r="I3348" s="251"/>
      <c r="J3348" s="251"/>
      <c r="K3348" s="250"/>
      <c r="L3348" s="249"/>
    </row>
    <row r="3349" spans="3:12" s="244" customFormat="1" x14ac:dyDescent="0.25">
      <c r="C3349" s="251"/>
      <c r="D3349" s="251"/>
      <c r="E3349" s="251"/>
      <c r="F3349" s="251"/>
      <c r="G3349" s="249"/>
      <c r="H3349" s="252"/>
      <c r="I3349" s="251"/>
      <c r="J3349" s="251"/>
      <c r="K3349" s="250"/>
      <c r="L3349" s="249"/>
    </row>
    <row r="3350" spans="3:12" s="244" customFormat="1" x14ac:dyDescent="0.25">
      <c r="C3350" s="251"/>
      <c r="D3350" s="251"/>
      <c r="E3350" s="251"/>
      <c r="F3350" s="251"/>
      <c r="G3350" s="249"/>
      <c r="H3350" s="252"/>
      <c r="I3350" s="251"/>
      <c r="J3350" s="251"/>
      <c r="K3350" s="250"/>
      <c r="L3350" s="249"/>
    </row>
    <row r="3351" spans="3:12" s="244" customFormat="1" x14ac:dyDescent="0.25">
      <c r="C3351" s="251"/>
      <c r="D3351" s="251"/>
      <c r="E3351" s="251"/>
      <c r="F3351" s="251"/>
      <c r="G3351" s="249"/>
      <c r="H3351" s="252"/>
      <c r="I3351" s="251"/>
      <c r="J3351" s="251"/>
      <c r="K3351" s="250"/>
      <c r="L3351" s="249"/>
    </row>
    <row r="3352" spans="3:12" s="244" customFormat="1" x14ac:dyDescent="0.25">
      <c r="C3352" s="251"/>
      <c r="D3352" s="251"/>
      <c r="E3352" s="251"/>
      <c r="F3352" s="251"/>
      <c r="G3352" s="249"/>
      <c r="H3352" s="252"/>
      <c r="I3352" s="251"/>
      <c r="J3352" s="251"/>
      <c r="K3352" s="250"/>
      <c r="L3352" s="249"/>
    </row>
    <row r="3353" spans="3:12" s="244" customFormat="1" x14ac:dyDescent="0.25">
      <c r="C3353" s="251"/>
      <c r="D3353" s="251"/>
      <c r="E3353" s="251"/>
      <c r="F3353" s="251"/>
      <c r="G3353" s="249"/>
      <c r="H3353" s="252"/>
      <c r="I3353" s="251"/>
      <c r="J3353" s="251"/>
      <c r="K3353" s="250"/>
      <c r="L3353" s="249"/>
    </row>
    <row r="3354" spans="3:12" s="244" customFormat="1" x14ac:dyDescent="0.25">
      <c r="C3354" s="251"/>
      <c r="D3354" s="251"/>
      <c r="E3354" s="251"/>
      <c r="F3354" s="251"/>
      <c r="G3354" s="249"/>
      <c r="H3354" s="252"/>
      <c r="I3354" s="251"/>
      <c r="J3354" s="251"/>
      <c r="K3354" s="250"/>
      <c r="L3354" s="249"/>
    </row>
    <row r="3355" spans="3:12" s="244" customFormat="1" x14ac:dyDescent="0.25">
      <c r="C3355" s="251"/>
      <c r="D3355" s="251"/>
      <c r="E3355" s="251"/>
      <c r="F3355" s="251"/>
      <c r="G3355" s="249"/>
      <c r="H3355" s="252"/>
      <c r="I3355" s="251"/>
      <c r="J3355" s="251"/>
      <c r="K3355" s="250"/>
      <c r="L3355" s="249"/>
    </row>
    <row r="3356" spans="3:12" s="244" customFormat="1" x14ac:dyDescent="0.25">
      <c r="C3356" s="251"/>
      <c r="D3356" s="251"/>
      <c r="E3356" s="251"/>
      <c r="F3356" s="251"/>
      <c r="G3356" s="249"/>
      <c r="H3356" s="252"/>
      <c r="I3356" s="251"/>
      <c r="J3356" s="251"/>
      <c r="K3356" s="250"/>
      <c r="L3356" s="249"/>
    </row>
    <row r="3357" spans="3:12" s="244" customFormat="1" x14ac:dyDescent="0.25">
      <c r="C3357" s="251"/>
      <c r="D3357" s="251"/>
      <c r="E3357" s="251"/>
      <c r="F3357" s="251"/>
      <c r="G3357" s="249"/>
      <c r="H3357" s="252"/>
      <c r="I3357" s="251"/>
      <c r="J3357" s="251"/>
      <c r="K3357" s="250"/>
      <c r="L3357" s="249"/>
    </row>
    <row r="3358" spans="3:12" s="244" customFormat="1" x14ac:dyDescent="0.25">
      <c r="C3358" s="251"/>
      <c r="D3358" s="251"/>
      <c r="E3358" s="251"/>
      <c r="F3358" s="251"/>
      <c r="G3358" s="249"/>
      <c r="H3358" s="252"/>
      <c r="I3358" s="251"/>
      <c r="J3358" s="251"/>
      <c r="K3358" s="250"/>
      <c r="L3358" s="249"/>
    </row>
    <row r="3359" spans="3:12" s="244" customFormat="1" x14ac:dyDescent="0.25">
      <c r="C3359" s="251"/>
      <c r="D3359" s="251"/>
      <c r="E3359" s="251"/>
      <c r="F3359" s="251"/>
      <c r="G3359" s="249"/>
      <c r="H3359" s="252"/>
      <c r="I3359" s="251"/>
      <c r="J3359" s="251"/>
      <c r="K3359" s="250"/>
      <c r="L3359" s="249"/>
    </row>
    <row r="3360" spans="3:12" s="244" customFormat="1" x14ac:dyDescent="0.25">
      <c r="C3360" s="251"/>
      <c r="D3360" s="251"/>
      <c r="E3360" s="251"/>
      <c r="F3360" s="251"/>
      <c r="G3360" s="249"/>
      <c r="H3360" s="252"/>
      <c r="I3360" s="251"/>
      <c r="J3360" s="251"/>
      <c r="K3360" s="250"/>
      <c r="L3360" s="249"/>
    </row>
    <row r="3361" spans="3:12" s="244" customFormat="1" x14ac:dyDescent="0.25">
      <c r="C3361" s="251"/>
      <c r="D3361" s="251"/>
      <c r="E3361" s="251"/>
      <c r="F3361" s="251"/>
      <c r="G3361" s="249"/>
      <c r="H3361" s="252"/>
      <c r="I3361" s="251"/>
      <c r="J3361" s="251"/>
      <c r="K3361" s="250"/>
      <c r="L3361" s="249"/>
    </row>
    <row r="3362" spans="3:12" s="244" customFormat="1" x14ac:dyDescent="0.25">
      <c r="C3362" s="251"/>
      <c r="D3362" s="251"/>
      <c r="E3362" s="251"/>
      <c r="F3362" s="251"/>
      <c r="G3362" s="249"/>
      <c r="H3362" s="252"/>
      <c r="I3362" s="251"/>
      <c r="J3362" s="251"/>
      <c r="K3362" s="250"/>
      <c r="L3362" s="249"/>
    </row>
    <row r="3363" spans="3:12" s="244" customFormat="1" x14ac:dyDescent="0.25">
      <c r="C3363" s="251"/>
      <c r="D3363" s="251"/>
      <c r="E3363" s="251"/>
      <c r="F3363" s="251"/>
      <c r="G3363" s="249"/>
      <c r="H3363" s="252"/>
      <c r="I3363" s="251"/>
      <c r="J3363" s="251"/>
      <c r="K3363" s="250"/>
      <c r="L3363" s="249"/>
    </row>
    <row r="3364" spans="3:12" s="244" customFormat="1" x14ac:dyDescent="0.25">
      <c r="C3364" s="251"/>
      <c r="D3364" s="251"/>
      <c r="E3364" s="251"/>
      <c r="F3364" s="251"/>
      <c r="G3364" s="249"/>
      <c r="H3364" s="252"/>
      <c r="I3364" s="251"/>
      <c r="J3364" s="251"/>
      <c r="K3364" s="250"/>
      <c r="L3364" s="249"/>
    </row>
    <row r="3365" spans="3:12" s="244" customFormat="1" x14ac:dyDescent="0.25">
      <c r="C3365" s="251"/>
      <c r="D3365" s="251"/>
      <c r="E3365" s="251"/>
      <c r="F3365" s="251"/>
      <c r="G3365" s="249"/>
      <c r="H3365" s="252"/>
      <c r="I3365" s="251"/>
      <c r="J3365" s="251"/>
      <c r="K3365" s="250"/>
      <c r="L3365" s="249"/>
    </row>
    <row r="3366" spans="3:12" s="244" customFormat="1" x14ac:dyDescent="0.25">
      <c r="C3366" s="251"/>
      <c r="D3366" s="251"/>
      <c r="E3366" s="251"/>
      <c r="F3366" s="251"/>
      <c r="G3366" s="249"/>
      <c r="H3366" s="252"/>
      <c r="I3366" s="251"/>
      <c r="J3366" s="251"/>
      <c r="K3366" s="250"/>
      <c r="L3366" s="249"/>
    </row>
    <row r="3367" spans="3:12" s="244" customFormat="1" x14ac:dyDescent="0.25">
      <c r="C3367" s="251"/>
      <c r="D3367" s="251"/>
      <c r="E3367" s="251"/>
      <c r="F3367" s="251"/>
      <c r="G3367" s="249"/>
      <c r="H3367" s="252"/>
      <c r="I3367" s="251"/>
      <c r="J3367" s="251"/>
      <c r="K3367" s="250"/>
      <c r="L3367" s="249"/>
    </row>
    <row r="3368" spans="3:12" s="244" customFormat="1" x14ac:dyDescent="0.25">
      <c r="C3368" s="251"/>
      <c r="D3368" s="251"/>
      <c r="E3368" s="251"/>
      <c r="F3368" s="251"/>
      <c r="G3368" s="249"/>
      <c r="H3368" s="252"/>
      <c r="I3368" s="251"/>
      <c r="J3368" s="251"/>
      <c r="K3368" s="250"/>
      <c r="L3368" s="249"/>
    </row>
    <row r="3369" spans="3:12" s="244" customFormat="1" x14ac:dyDescent="0.25">
      <c r="C3369" s="251"/>
      <c r="D3369" s="251"/>
      <c r="E3369" s="251"/>
      <c r="F3369" s="251"/>
      <c r="G3369" s="249"/>
      <c r="H3369" s="252"/>
      <c r="I3369" s="251"/>
      <c r="J3369" s="251"/>
      <c r="K3369" s="250"/>
      <c r="L3369" s="249"/>
    </row>
    <row r="3370" spans="3:12" s="244" customFormat="1" x14ac:dyDescent="0.25">
      <c r="C3370" s="251"/>
      <c r="D3370" s="251"/>
      <c r="E3370" s="251"/>
      <c r="F3370" s="251"/>
      <c r="G3370" s="249"/>
      <c r="H3370" s="252"/>
      <c r="I3370" s="251"/>
      <c r="J3370" s="251"/>
      <c r="K3370" s="250"/>
      <c r="L3370" s="249"/>
    </row>
    <row r="3371" spans="3:12" s="244" customFormat="1" x14ac:dyDescent="0.25">
      <c r="C3371" s="251"/>
      <c r="D3371" s="251"/>
      <c r="E3371" s="251"/>
      <c r="F3371" s="251"/>
      <c r="G3371" s="249"/>
      <c r="H3371" s="252"/>
      <c r="I3371" s="251"/>
      <c r="J3371" s="251"/>
      <c r="K3371" s="250"/>
      <c r="L3371" s="249"/>
    </row>
    <row r="3372" spans="3:12" s="244" customFormat="1" x14ac:dyDescent="0.25">
      <c r="C3372" s="251"/>
      <c r="D3372" s="251"/>
      <c r="E3372" s="251"/>
      <c r="F3372" s="251"/>
      <c r="G3372" s="249"/>
      <c r="H3372" s="252"/>
      <c r="I3372" s="251"/>
      <c r="J3372" s="251"/>
      <c r="K3372" s="250"/>
      <c r="L3372" s="249"/>
    </row>
    <row r="3373" spans="3:12" s="244" customFormat="1" x14ac:dyDescent="0.25">
      <c r="C3373" s="251"/>
      <c r="D3373" s="251"/>
      <c r="E3373" s="251"/>
      <c r="F3373" s="251"/>
      <c r="G3373" s="249"/>
      <c r="H3373" s="252"/>
      <c r="I3373" s="251"/>
      <c r="J3373" s="251"/>
      <c r="K3373" s="250"/>
      <c r="L3373" s="249"/>
    </row>
    <row r="3374" spans="3:12" s="244" customFormat="1" x14ac:dyDescent="0.25">
      <c r="C3374" s="251"/>
      <c r="D3374" s="251"/>
      <c r="E3374" s="251"/>
      <c r="F3374" s="251"/>
      <c r="G3374" s="249"/>
      <c r="H3374" s="252"/>
      <c r="I3374" s="251"/>
      <c r="J3374" s="251"/>
      <c r="K3374" s="250"/>
      <c r="L3374" s="249"/>
    </row>
    <row r="3375" spans="3:12" s="244" customFormat="1" x14ac:dyDescent="0.25">
      <c r="C3375" s="251"/>
      <c r="D3375" s="251"/>
      <c r="E3375" s="251"/>
      <c r="F3375" s="251"/>
      <c r="G3375" s="249"/>
      <c r="H3375" s="252"/>
      <c r="I3375" s="251"/>
      <c r="J3375" s="251"/>
      <c r="K3375" s="250"/>
      <c r="L3375" s="249"/>
    </row>
    <row r="3376" spans="3:12" s="244" customFormat="1" x14ac:dyDescent="0.25">
      <c r="C3376" s="251"/>
      <c r="D3376" s="251"/>
      <c r="E3376" s="251"/>
      <c r="F3376" s="251"/>
      <c r="G3376" s="249"/>
      <c r="H3376" s="252"/>
      <c r="I3376" s="251"/>
      <c r="J3376" s="251"/>
      <c r="K3376" s="250"/>
      <c r="L3376" s="249"/>
    </row>
    <row r="3377" spans="3:12" s="244" customFormat="1" x14ac:dyDescent="0.25">
      <c r="C3377" s="251"/>
      <c r="D3377" s="251"/>
      <c r="E3377" s="251"/>
      <c r="F3377" s="251"/>
      <c r="G3377" s="249"/>
      <c r="H3377" s="252"/>
      <c r="I3377" s="251"/>
      <c r="J3377" s="251"/>
      <c r="K3377" s="250"/>
      <c r="L3377" s="249"/>
    </row>
    <row r="3378" spans="3:12" s="244" customFormat="1" x14ac:dyDescent="0.25">
      <c r="C3378" s="251"/>
      <c r="D3378" s="251"/>
      <c r="E3378" s="251"/>
      <c r="F3378" s="251"/>
      <c r="G3378" s="249"/>
      <c r="H3378" s="252"/>
      <c r="I3378" s="251"/>
      <c r="J3378" s="251"/>
      <c r="K3378" s="250"/>
      <c r="L3378" s="249"/>
    </row>
    <row r="3379" spans="3:12" s="244" customFormat="1" x14ac:dyDescent="0.25">
      <c r="C3379" s="251"/>
      <c r="D3379" s="251"/>
      <c r="E3379" s="251"/>
      <c r="F3379" s="251"/>
      <c r="G3379" s="249"/>
      <c r="H3379" s="252"/>
      <c r="I3379" s="251"/>
      <c r="J3379" s="251"/>
      <c r="K3379" s="250"/>
      <c r="L3379" s="249"/>
    </row>
    <row r="3380" spans="3:12" s="244" customFormat="1" x14ac:dyDescent="0.25">
      <c r="C3380" s="251"/>
      <c r="D3380" s="251"/>
      <c r="E3380" s="251"/>
      <c r="F3380" s="251"/>
      <c r="G3380" s="249"/>
      <c r="H3380" s="252"/>
      <c r="I3380" s="251"/>
      <c r="J3380" s="251"/>
      <c r="K3380" s="250"/>
      <c r="L3380" s="249"/>
    </row>
    <row r="3381" spans="3:12" s="244" customFormat="1" x14ac:dyDescent="0.25">
      <c r="C3381" s="251"/>
      <c r="D3381" s="251"/>
      <c r="E3381" s="251"/>
      <c r="F3381" s="251"/>
      <c r="G3381" s="249"/>
      <c r="H3381" s="252"/>
      <c r="I3381" s="251"/>
      <c r="J3381" s="251"/>
      <c r="K3381" s="250"/>
      <c r="L3381" s="249"/>
    </row>
    <row r="3382" spans="3:12" s="244" customFormat="1" x14ac:dyDescent="0.25">
      <c r="C3382" s="251"/>
      <c r="D3382" s="251"/>
      <c r="E3382" s="251"/>
      <c r="F3382" s="251"/>
      <c r="G3382" s="249"/>
      <c r="H3382" s="252"/>
      <c r="I3382" s="251"/>
      <c r="J3382" s="251"/>
      <c r="K3382" s="250"/>
      <c r="L3382" s="249"/>
    </row>
    <row r="3383" spans="3:12" s="244" customFormat="1" x14ac:dyDescent="0.25">
      <c r="C3383" s="251"/>
      <c r="D3383" s="251"/>
      <c r="E3383" s="251"/>
      <c r="F3383" s="251"/>
      <c r="G3383" s="249"/>
      <c r="H3383" s="252"/>
      <c r="I3383" s="251"/>
      <c r="J3383" s="251"/>
      <c r="K3383" s="250"/>
      <c r="L3383" s="249"/>
    </row>
    <row r="3384" spans="3:12" s="244" customFormat="1" x14ac:dyDescent="0.25">
      <c r="C3384" s="251"/>
      <c r="D3384" s="251"/>
      <c r="E3384" s="251"/>
      <c r="F3384" s="251"/>
      <c r="G3384" s="249"/>
      <c r="H3384" s="252"/>
      <c r="I3384" s="251"/>
      <c r="J3384" s="251"/>
      <c r="K3384" s="250"/>
      <c r="L3384" s="249"/>
    </row>
    <row r="3385" spans="3:12" s="244" customFormat="1" x14ac:dyDescent="0.25">
      <c r="C3385" s="251"/>
      <c r="D3385" s="251"/>
      <c r="E3385" s="251"/>
      <c r="F3385" s="251"/>
      <c r="G3385" s="249"/>
      <c r="H3385" s="252"/>
      <c r="I3385" s="251"/>
      <c r="J3385" s="251"/>
      <c r="K3385" s="250"/>
      <c r="L3385" s="249"/>
    </row>
    <row r="3386" spans="3:12" s="244" customFormat="1" x14ac:dyDescent="0.25">
      <c r="C3386" s="251"/>
      <c r="D3386" s="251"/>
      <c r="E3386" s="251"/>
      <c r="F3386" s="251"/>
      <c r="G3386" s="249"/>
      <c r="H3386" s="252"/>
      <c r="I3386" s="251"/>
      <c r="J3386" s="251"/>
      <c r="K3386" s="250"/>
      <c r="L3386" s="249"/>
    </row>
    <row r="3387" spans="3:12" s="244" customFormat="1" x14ac:dyDescent="0.25">
      <c r="C3387" s="251"/>
      <c r="D3387" s="251"/>
      <c r="E3387" s="251"/>
      <c r="F3387" s="251"/>
      <c r="G3387" s="249"/>
      <c r="H3387" s="252"/>
      <c r="I3387" s="251"/>
      <c r="J3387" s="251"/>
      <c r="K3387" s="250"/>
      <c r="L3387" s="249"/>
    </row>
    <row r="3388" spans="3:12" s="244" customFormat="1" x14ac:dyDescent="0.25">
      <c r="C3388" s="251"/>
      <c r="D3388" s="251"/>
      <c r="E3388" s="251"/>
      <c r="F3388" s="251"/>
      <c r="G3388" s="249"/>
      <c r="H3388" s="252"/>
      <c r="I3388" s="251"/>
      <c r="J3388" s="251"/>
      <c r="K3388" s="250"/>
      <c r="L3388" s="249"/>
    </row>
    <row r="3389" spans="3:12" s="244" customFormat="1" x14ac:dyDescent="0.25">
      <c r="C3389" s="251"/>
      <c r="D3389" s="251"/>
      <c r="E3389" s="251"/>
      <c r="F3389" s="251"/>
      <c r="G3389" s="249"/>
      <c r="H3389" s="252"/>
      <c r="I3389" s="251"/>
      <c r="J3389" s="251"/>
      <c r="K3389" s="250"/>
      <c r="L3389" s="249"/>
    </row>
    <row r="3390" spans="3:12" s="244" customFormat="1" x14ac:dyDescent="0.25">
      <c r="C3390" s="251"/>
      <c r="D3390" s="251"/>
      <c r="E3390" s="251"/>
      <c r="F3390" s="251"/>
      <c r="G3390" s="249"/>
      <c r="H3390" s="252"/>
      <c r="I3390" s="251"/>
      <c r="J3390" s="251"/>
      <c r="K3390" s="250"/>
      <c r="L3390" s="249"/>
    </row>
    <row r="3391" spans="3:12" s="244" customFormat="1" x14ac:dyDescent="0.25">
      <c r="C3391" s="251"/>
      <c r="D3391" s="251"/>
      <c r="E3391" s="251"/>
      <c r="F3391" s="251"/>
      <c r="G3391" s="249"/>
      <c r="H3391" s="252"/>
      <c r="I3391" s="251"/>
      <c r="J3391" s="251"/>
      <c r="K3391" s="250"/>
      <c r="L3391" s="249"/>
    </row>
    <row r="3392" spans="3:12" s="244" customFormat="1" x14ac:dyDescent="0.25">
      <c r="C3392" s="251"/>
      <c r="D3392" s="251"/>
      <c r="E3392" s="251"/>
      <c r="F3392" s="251"/>
      <c r="G3392" s="249"/>
      <c r="H3392" s="252"/>
      <c r="I3392" s="251"/>
      <c r="J3392" s="251"/>
      <c r="K3392" s="250"/>
      <c r="L3392" s="249"/>
    </row>
    <row r="3393" spans="3:12" s="244" customFormat="1" x14ac:dyDescent="0.25">
      <c r="C3393" s="251"/>
      <c r="D3393" s="251"/>
      <c r="E3393" s="251"/>
      <c r="F3393" s="251"/>
      <c r="G3393" s="249"/>
      <c r="H3393" s="252"/>
      <c r="I3393" s="251"/>
      <c r="J3393" s="251"/>
      <c r="K3393" s="250"/>
      <c r="L3393" s="249"/>
    </row>
    <row r="3394" spans="3:12" s="244" customFormat="1" x14ac:dyDescent="0.25">
      <c r="C3394" s="251"/>
      <c r="D3394" s="251"/>
      <c r="E3394" s="251"/>
      <c r="F3394" s="251"/>
      <c r="G3394" s="249"/>
      <c r="H3394" s="252"/>
      <c r="I3394" s="251"/>
      <c r="J3394" s="251"/>
      <c r="K3394" s="250"/>
      <c r="L3394" s="249"/>
    </row>
    <row r="3395" spans="3:12" s="244" customFormat="1" x14ac:dyDescent="0.25">
      <c r="C3395" s="251"/>
      <c r="D3395" s="251"/>
      <c r="E3395" s="251"/>
      <c r="F3395" s="251"/>
      <c r="G3395" s="249"/>
      <c r="H3395" s="252"/>
      <c r="I3395" s="251"/>
      <c r="J3395" s="251"/>
      <c r="K3395" s="250"/>
      <c r="L3395" s="249"/>
    </row>
    <row r="3396" spans="3:12" s="244" customFormat="1" x14ac:dyDescent="0.25">
      <c r="C3396" s="251"/>
      <c r="D3396" s="251"/>
      <c r="E3396" s="251"/>
      <c r="F3396" s="251"/>
      <c r="G3396" s="249"/>
      <c r="H3396" s="252"/>
      <c r="I3396" s="251"/>
      <c r="J3396" s="251"/>
      <c r="K3396" s="250"/>
      <c r="L3396" s="249"/>
    </row>
    <row r="3397" spans="3:12" s="244" customFormat="1" x14ac:dyDescent="0.25">
      <c r="C3397" s="251"/>
      <c r="D3397" s="251"/>
      <c r="E3397" s="251"/>
      <c r="F3397" s="251"/>
      <c r="G3397" s="249"/>
      <c r="H3397" s="252"/>
      <c r="I3397" s="251"/>
      <c r="J3397" s="251"/>
      <c r="K3397" s="250"/>
      <c r="L3397" s="249"/>
    </row>
    <row r="3398" spans="3:12" s="244" customFormat="1" x14ac:dyDescent="0.25">
      <c r="C3398" s="251"/>
      <c r="D3398" s="251"/>
      <c r="E3398" s="251"/>
      <c r="F3398" s="251"/>
      <c r="G3398" s="249"/>
      <c r="H3398" s="252"/>
      <c r="I3398" s="251"/>
      <c r="J3398" s="251"/>
      <c r="K3398" s="250"/>
      <c r="L3398" s="249"/>
    </row>
    <row r="3399" spans="3:12" s="244" customFormat="1" x14ac:dyDescent="0.25">
      <c r="C3399" s="251"/>
      <c r="D3399" s="251"/>
      <c r="E3399" s="251"/>
      <c r="F3399" s="251"/>
      <c r="G3399" s="249"/>
      <c r="H3399" s="252"/>
      <c r="I3399" s="251"/>
      <c r="J3399" s="251"/>
      <c r="K3399" s="250"/>
      <c r="L3399" s="249"/>
    </row>
    <row r="3400" spans="3:12" s="244" customFormat="1" x14ac:dyDescent="0.25">
      <c r="C3400" s="251"/>
      <c r="D3400" s="251"/>
      <c r="E3400" s="251"/>
      <c r="F3400" s="251"/>
      <c r="G3400" s="249"/>
      <c r="H3400" s="252"/>
      <c r="I3400" s="251"/>
      <c r="J3400" s="251"/>
      <c r="K3400" s="250"/>
      <c r="L3400" s="249"/>
    </row>
    <row r="3401" spans="3:12" s="244" customFormat="1" x14ac:dyDescent="0.25">
      <c r="C3401" s="251"/>
      <c r="D3401" s="251"/>
      <c r="E3401" s="251"/>
      <c r="F3401" s="251"/>
      <c r="G3401" s="249"/>
      <c r="H3401" s="252"/>
      <c r="I3401" s="251"/>
      <c r="J3401" s="251"/>
      <c r="K3401" s="250"/>
      <c r="L3401" s="249"/>
    </row>
    <row r="3402" spans="3:12" s="244" customFormat="1" x14ac:dyDescent="0.25">
      <c r="C3402" s="251"/>
      <c r="D3402" s="251"/>
      <c r="E3402" s="251"/>
      <c r="F3402" s="251"/>
      <c r="G3402" s="249"/>
      <c r="H3402" s="252"/>
      <c r="I3402" s="251"/>
      <c r="J3402" s="251"/>
      <c r="K3402" s="250"/>
      <c r="L3402" s="249"/>
    </row>
    <row r="3403" spans="3:12" s="244" customFormat="1" x14ac:dyDescent="0.25">
      <c r="C3403" s="251"/>
      <c r="D3403" s="251"/>
      <c r="E3403" s="251"/>
      <c r="F3403" s="251"/>
      <c r="G3403" s="249"/>
      <c r="H3403" s="252"/>
      <c r="I3403" s="251"/>
      <c r="J3403" s="251"/>
      <c r="K3403" s="250"/>
      <c r="L3403" s="249"/>
    </row>
    <row r="3404" spans="3:12" s="244" customFormat="1" x14ac:dyDescent="0.25">
      <c r="C3404" s="251"/>
      <c r="D3404" s="251"/>
      <c r="E3404" s="251"/>
      <c r="F3404" s="251"/>
      <c r="G3404" s="249"/>
      <c r="H3404" s="252"/>
      <c r="I3404" s="251"/>
      <c r="J3404" s="251"/>
      <c r="K3404" s="250"/>
      <c r="L3404" s="249"/>
    </row>
    <row r="3405" spans="3:12" s="244" customFormat="1" x14ac:dyDescent="0.25">
      <c r="C3405" s="251"/>
      <c r="D3405" s="251"/>
      <c r="E3405" s="251"/>
      <c r="F3405" s="251"/>
      <c r="G3405" s="249"/>
      <c r="H3405" s="252"/>
      <c r="I3405" s="251"/>
      <c r="J3405" s="251"/>
      <c r="K3405" s="250"/>
      <c r="L3405" s="249"/>
    </row>
    <row r="3406" spans="3:12" s="244" customFormat="1" x14ac:dyDescent="0.25">
      <c r="C3406" s="251"/>
      <c r="D3406" s="251"/>
      <c r="E3406" s="251"/>
      <c r="F3406" s="251"/>
      <c r="G3406" s="249"/>
      <c r="H3406" s="252"/>
      <c r="I3406" s="251"/>
      <c r="J3406" s="251"/>
      <c r="K3406" s="250"/>
      <c r="L3406" s="249"/>
    </row>
    <row r="3407" spans="3:12" s="244" customFormat="1" x14ac:dyDescent="0.25">
      <c r="C3407" s="251"/>
      <c r="D3407" s="251"/>
      <c r="E3407" s="251"/>
      <c r="F3407" s="251"/>
      <c r="G3407" s="249"/>
      <c r="H3407" s="252"/>
      <c r="I3407" s="251"/>
      <c r="J3407" s="251"/>
      <c r="K3407" s="250"/>
      <c r="L3407" s="249"/>
    </row>
    <row r="3408" spans="3:12" s="244" customFormat="1" x14ac:dyDescent="0.25">
      <c r="C3408" s="251"/>
      <c r="D3408" s="251"/>
      <c r="E3408" s="251"/>
      <c r="F3408" s="251"/>
      <c r="G3408" s="249"/>
      <c r="H3408" s="252"/>
      <c r="I3408" s="251"/>
      <c r="J3408" s="251"/>
      <c r="K3408" s="250"/>
      <c r="L3408" s="249"/>
    </row>
    <row r="3409" spans="3:12" s="244" customFormat="1" x14ac:dyDescent="0.25">
      <c r="C3409" s="251"/>
      <c r="D3409" s="251"/>
      <c r="E3409" s="251"/>
      <c r="F3409" s="251"/>
      <c r="G3409" s="249"/>
      <c r="H3409" s="252"/>
      <c r="I3409" s="251"/>
      <c r="J3409" s="251"/>
      <c r="K3409" s="250"/>
      <c r="L3409" s="249"/>
    </row>
    <row r="3410" spans="3:12" s="244" customFormat="1" x14ac:dyDescent="0.25">
      <c r="C3410" s="251"/>
      <c r="D3410" s="251"/>
      <c r="E3410" s="251"/>
      <c r="F3410" s="251"/>
      <c r="G3410" s="249"/>
      <c r="H3410" s="252"/>
      <c r="I3410" s="251"/>
      <c r="J3410" s="251"/>
      <c r="K3410" s="250"/>
      <c r="L3410" s="249"/>
    </row>
    <row r="3411" spans="3:12" s="244" customFormat="1" x14ac:dyDescent="0.25">
      <c r="C3411" s="251"/>
      <c r="D3411" s="251"/>
      <c r="E3411" s="251"/>
      <c r="F3411" s="251"/>
      <c r="G3411" s="249"/>
      <c r="H3411" s="252"/>
      <c r="I3411" s="251"/>
      <c r="J3411" s="251"/>
      <c r="K3411" s="250"/>
      <c r="L3411" s="249"/>
    </row>
    <row r="3412" spans="3:12" s="244" customFormat="1" x14ac:dyDescent="0.25">
      <c r="C3412" s="251"/>
      <c r="D3412" s="251"/>
      <c r="E3412" s="251"/>
      <c r="F3412" s="251"/>
      <c r="G3412" s="249"/>
      <c r="H3412" s="252"/>
      <c r="I3412" s="251"/>
      <c r="J3412" s="251"/>
      <c r="K3412" s="250"/>
      <c r="L3412" s="249"/>
    </row>
    <row r="3413" spans="3:12" s="244" customFormat="1" x14ac:dyDescent="0.25">
      <c r="C3413" s="251"/>
      <c r="D3413" s="251"/>
      <c r="E3413" s="251"/>
      <c r="F3413" s="251"/>
      <c r="G3413" s="249"/>
      <c r="H3413" s="252"/>
      <c r="I3413" s="251"/>
      <c r="J3413" s="251"/>
      <c r="K3413" s="250"/>
      <c r="L3413" s="249"/>
    </row>
    <row r="3414" spans="3:12" s="244" customFormat="1" x14ac:dyDescent="0.25">
      <c r="C3414" s="251"/>
      <c r="D3414" s="251"/>
      <c r="E3414" s="251"/>
      <c r="F3414" s="251"/>
      <c r="G3414" s="249"/>
      <c r="H3414" s="252"/>
      <c r="I3414" s="251"/>
      <c r="J3414" s="251"/>
      <c r="K3414" s="250"/>
      <c r="L3414" s="249"/>
    </row>
    <row r="3415" spans="3:12" s="244" customFormat="1" x14ac:dyDescent="0.25">
      <c r="C3415" s="251"/>
      <c r="D3415" s="251"/>
      <c r="E3415" s="251"/>
      <c r="F3415" s="251"/>
      <c r="G3415" s="249"/>
      <c r="H3415" s="252"/>
      <c r="I3415" s="251"/>
      <c r="J3415" s="251"/>
      <c r="K3415" s="250"/>
      <c r="L3415" s="249"/>
    </row>
    <row r="3416" spans="3:12" s="244" customFormat="1" x14ac:dyDescent="0.25">
      <c r="C3416" s="251"/>
      <c r="D3416" s="251"/>
      <c r="E3416" s="251"/>
      <c r="F3416" s="251"/>
      <c r="G3416" s="249"/>
      <c r="H3416" s="252"/>
      <c r="I3416" s="251"/>
      <c r="J3416" s="251"/>
      <c r="K3416" s="250"/>
      <c r="L3416" s="249"/>
    </row>
    <row r="3417" spans="3:12" s="244" customFormat="1" x14ac:dyDescent="0.25">
      <c r="C3417" s="251"/>
      <c r="D3417" s="251"/>
      <c r="E3417" s="251"/>
      <c r="F3417" s="251"/>
      <c r="G3417" s="249"/>
      <c r="H3417" s="252"/>
      <c r="I3417" s="251"/>
      <c r="J3417" s="251"/>
      <c r="K3417" s="250"/>
      <c r="L3417" s="249"/>
    </row>
    <row r="3418" spans="3:12" s="244" customFormat="1" x14ac:dyDescent="0.25">
      <c r="C3418" s="251"/>
      <c r="D3418" s="251"/>
      <c r="E3418" s="251"/>
      <c r="F3418" s="251"/>
      <c r="G3418" s="249"/>
      <c r="H3418" s="252"/>
      <c r="I3418" s="251"/>
      <c r="J3418" s="251"/>
      <c r="K3418" s="250"/>
      <c r="L3418" s="249"/>
    </row>
    <row r="3419" spans="3:12" s="244" customFormat="1" x14ac:dyDescent="0.25">
      <c r="C3419" s="251"/>
      <c r="D3419" s="251"/>
      <c r="E3419" s="251"/>
      <c r="F3419" s="251"/>
      <c r="G3419" s="249"/>
      <c r="H3419" s="252"/>
      <c r="I3419" s="251"/>
      <c r="J3419" s="251"/>
      <c r="K3419" s="250"/>
      <c r="L3419" s="249"/>
    </row>
    <row r="3420" spans="3:12" s="244" customFormat="1" x14ac:dyDescent="0.25">
      <c r="C3420" s="251"/>
      <c r="D3420" s="251"/>
      <c r="E3420" s="251"/>
      <c r="F3420" s="251"/>
      <c r="G3420" s="249"/>
      <c r="H3420" s="252"/>
      <c r="I3420" s="251"/>
      <c r="J3420" s="251"/>
      <c r="K3420" s="250"/>
      <c r="L3420" s="249"/>
    </row>
    <row r="3421" spans="3:12" s="244" customFormat="1" x14ac:dyDescent="0.25">
      <c r="C3421" s="251"/>
      <c r="D3421" s="251"/>
      <c r="E3421" s="251"/>
      <c r="F3421" s="251"/>
      <c r="G3421" s="249"/>
      <c r="H3421" s="252"/>
      <c r="I3421" s="251"/>
      <c r="J3421" s="251"/>
      <c r="K3421" s="250"/>
      <c r="L3421" s="249"/>
    </row>
    <row r="3422" spans="3:12" s="244" customFormat="1" x14ac:dyDescent="0.25">
      <c r="C3422" s="251"/>
      <c r="D3422" s="251"/>
      <c r="E3422" s="251"/>
      <c r="F3422" s="251"/>
      <c r="G3422" s="249"/>
      <c r="H3422" s="252"/>
      <c r="I3422" s="251"/>
      <c r="J3422" s="251"/>
      <c r="K3422" s="250"/>
      <c r="L3422" s="249"/>
    </row>
    <row r="3423" spans="3:12" s="244" customFormat="1" x14ac:dyDescent="0.25">
      <c r="C3423" s="251"/>
      <c r="D3423" s="251"/>
      <c r="E3423" s="251"/>
      <c r="F3423" s="251"/>
      <c r="G3423" s="249"/>
      <c r="H3423" s="252"/>
      <c r="I3423" s="251"/>
      <c r="J3423" s="251"/>
      <c r="K3423" s="250"/>
      <c r="L3423" s="249"/>
    </row>
    <row r="3424" spans="3:12" s="244" customFormat="1" x14ac:dyDescent="0.25">
      <c r="C3424" s="251"/>
      <c r="D3424" s="251"/>
      <c r="E3424" s="251"/>
      <c r="F3424" s="251"/>
      <c r="G3424" s="249"/>
      <c r="H3424" s="252"/>
      <c r="I3424" s="251"/>
      <c r="J3424" s="251"/>
      <c r="K3424" s="250"/>
      <c r="L3424" s="249"/>
    </row>
    <row r="3425" spans="3:12" s="244" customFormat="1" x14ac:dyDescent="0.25">
      <c r="C3425" s="251"/>
      <c r="D3425" s="251"/>
      <c r="E3425" s="251"/>
      <c r="F3425" s="251"/>
      <c r="G3425" s="249"/>
      <c r="H3425" s="252"/>
      <c r="I3425" s="251"/>
      <c r="J3425" s="251"/>
      <c r="K3425" s="250"/>
      <c r="L3425" s="249"/>
    </row>
    <row r="3426" spans="3:12" s="244" customFormat="1" x14ac:dyDescent="0.25">
      <c r="C3426" s="251"/>
      <c r="D3426" s="251"/>
      <c r="E3426" s="251"/>
      <c r="F3426" s="251"/>
      <c r="G3426" s="249"/>
      <c r="H3426" s="252"/>
      <c r="I3426" s="251"/>
      <c r="J3426" s="251"/>
      <c r="K3426" s="250"/>
      <c r="L3426" s="249"/>
    </row>
    <row r="3427" spans="3:12" s="244" customFormat="1" x14ac:dyDescent="0.25">
      <c r="C3427" s="251"/>
      <c r="D3427" s="251"/>
      <c r="E3427" s="251"/>
      <c r="F3427" s="251"/>
      <c r="G3427" s="249"/>
      <c r="H3427" s="252"/>
      <c r="I3427" s="251"/>
      <c r="J3427" s="251"/>
      <c r="K3427" s="250"/>
      <c r="L3427" s="249"/>
    </row>
    <row r="3428" spans="3:12" s="244" customFormat="1" x14ac:dyDescent="0.25">
      <c r="C3428" s="251"/>
      <c r="D3428" s="251"/>
      <c r="E3428" s="251"/>
      <c r="F3428" s="251"/>
      <c r="G3428" s="249"/>
      <c r="H3428" s="252"/>
      <c r="I3428" s="251"/>
      <c r="J3428" s="251"/>
      <c r="K3428" s="250"/>
      <c r="L3428" s="249"/>
    </row>
    <row r="3429" spans="3:12" s="244" customFormat="1" x14ac:dyDescent="0.25">
      <c r="C3429" s="251"/>
      <c r="D3429" s="251"/>
      <c r="E3429" s="251"/>
      <c r="F3429" s="251"/>
      <c r="G3429" s="249"/>
      <c r="H3429" s="252"/>
      <c r="I3429" s="251"/>
      <c r="J3429" s="251"/>
      <c r="K3429" s="250"/>
      <c r="L3429" s="249"/>
    </row>
    <row r="3430" spans="3:12" s="244" customFormat="1" x14ac:dyDescent="0.25">
      <c r="C3430" s="251"/>
      <c r="D3430" s="251"/>
      <c r="E3430" s="251"/>
      <c r="F3430" s="251"/>
      <c r="G3430" s="249"/>
      <c r="H3430" s="252"/>
      <c r="I3430" s="251"/>
      <c r="J3430" s="251"/>
      <c r="K3430" s="250"/>
      <c r="L3430" s="249"/>
    </row>
    <row r="3431" spans="3:12" s="244" customFormat="1" x14ac:dyDescent="0.25">
      <c r="C3431" s="251"/>
      <c r="D3431" s="251"/>
      <c r="E3431" s="251"/>
      <c r="F3431" s="251"/>
      <c r="G3431" s="249"/>
      <c r="H3431" s="252"/>
      <c r="I3431" s="251"/>
      <c r="J3431" s="251"/>
      <c r="K3431" s="250"/>
      <c r="L3431" s="249"/>
    </row>
    <row r="3432" spans="3:12" s="244" customFormat="1" x14ac:dyDescent="0.25">
      <c r="C3432" s="251"/>
      <c r="D3432" s="251"/>
      <c r="E3432" s="251"/>
      <c r="F3432" s="251"/>
      <c r="G3432" s="249"/>
      <c r="H3432" s="252"/>
      <c r="I3432" s="251"/>
      <c r="J3432" s="251"/>
      <c r="K3432" s="250"/>
      <c r="L3432" s="249"/>
    </row>
    <row r="3433" spans="3:12" s="244" customFormat="1" x14ac:dyDescent="0.25">
      <c r="C3433" s="251"/>
      <c r="D3433" s="251"/>
      <c r="E3433" s="251"/>
      <c r="F3433" s="251"/>
      <c r="G3433" s="249"/>
      <c r="H3433" s="252"/>
      <c r="I3433" s="251"/>
      <c r="J3433" s="251"/>
      <c r="K3433" s="250"/>
      <c r="L3433" s="249"/>
    </row>
    <row r="3434" spans="3:12" s="244" customFormat="1" x14ac:dyDescent="0.25">
      <c r="C3434" s="251"/>
      <c r="D3434" s="251"/>
      <c r="E3434" s="251"/>
      <c r="F3434" s="251"/>
      <c r="G3434" s="249"/>
      <c r="H3434" s="252"/>
      <c r="I3434" s="251"/>
      <c r="J3434" s="251"/>
      <c r="K3434" s="250"/>
      <c r="L3434" s="249"/>
    </row>
    <row r="3435" spans="3:12" s="244" customFormat="1" x14ac:dyDescent="0.25">
      <c r="C3435" s="251"/>
      <c r="D3435" s="251"/>
      <c r="E3435" s="251"/>
      <c r="F3435" s="251"/>
      <c r="G3435" s="249"/>
      <c r="H3435" s="252"/>
      <c r="I3435" s="251"/>
      <c r="J3435" s="251"/>
      <c r="K3435" s="250"/>
      <c r="L3435" s="249"/>
    </row>
    <row r="3436" spans="3:12" s="244" customFormat="1" x14ac:dyDescent="0.25">
      <c r="C3436" s="251"/>
      <c r="D3436" s="251"/>
      <c r="E3436" s="251"/>
      <c r="F3436" s="251"/>
      <c r="G3436" s="249"/>
      <c r="H3436" s="252"/>
      <c r="I3436" s="251"/>
      <c r="J3436" s="251"/>
      <c r="K3436" s="250"/>
      <c r="L3436" s="249"/>
    </row>
    <row r="3437" spans="3:12" s="244" customFormat="1" x14ac:dyDescent="0.25">
      <c r="C3437" s="251"/>
      <c r="D3437" s="251"/>
      <c r="E3437" s="251"/>
      <c r="F3437" s="251"/>
      <c r="G3437" s="249"/>
      <c r="H3437" s="252"/>
      <c r="I3437" s="251"/>
      <c r="J3437" s="251"/>
      <c r="K3437" s="250"/>
      <c r="L3437" s="249"/>
    </row>
    <row r="3438" spans="3:12" s="244" customFormat="1" x14ac:dyDescent="0.25">
      <c r="C3438" s="251"/>
      <c r="D3438" s="251"/>
      <c r="E3438" s="251"/>
      <c r="F3438" s="251"/>
      <c r="G3438" s="249"/>
      <c r="H3438" s="252"/>
      <c r="I3438" s="251"/>
      <c r="J3438" s="251"/>
      <c r="K3438" s="250"/>
      <c r="L3438" s="249"/>
    </row>
    <row r="3439" spans="3:12" s="244" customFormat="1" x14ac:dyDescent="0.25">
      <c r="C3439" s="251"/>
      <c r="D3439" s="251"/>
      <c r="E3439" s="251"/>
      <c r="F3439" s="251"/>
      <c r="G3439" s="249"/>
      <c r="H3439" s="252"/>
      <c r="I3439" s="251"/>
      <c r="J3439" s="251"/>
      <c r="K3439" s="250"/>
      <c r="L3439" s="249"/>
    </row>
    <row r="3440" spans="3:12" s="244" customFormat="1" x14ac:dyDescent="0.25">
      <c r="C3440" s="251"/>
      <c r="D3440" s="251"/>
      <c r="E3440" s="251"/>
      <c r="F3440" s="251"/>
      <c r="G3440" s="249"/>
      <c r="H3440" s="252"/>
      <c r="I3440" s="251"/>
      <c r="J3440" s="251"/>
      <c r="K3440" s="250"/>
      <c r="L3440" s="249"/>
    </row>
    <row r="3441" spans="3:12" s="244" customFormat="1" x14ac:dyDescent="0.25">
      <c r="C3441" s="251"/>
      <c r="D3441" s="251"/>
      <c r="E3441" s="251"/>
      <c r="F3441" s="251"/>
      <c r="G3441" s="249"/>
      <c r="H3441" s="252"/>
      <c r="I3441" s="251"/>
      <c r="J3441" s="251"/>
      <c r="K3441" s="250"/>
      <c r="L3441" s="249"/>
    </row>
    <row r="3442" spans="3:12" s="244" customFormat="1" x14ac:dyDescent="0.25">
      <c r="C3442" s="251"/>
      <c r="D3442" s="251"/>
      <c r="E3442" s="251"/>
      <c r="F3442" s="251"/>
      <c r="G3442" s="249"/>
      <c r="H3442" s="252"/>
      <c r="I3442" s="251"/>
      <c r="J3442" s="251"/>
      <c r="K3442" s="250"/>
      <c r="L3442" s="249"/>
    </row>
    <row r="3443" spans="3:12" s="244" customFormat="1" x14ac:dyDescent="0.25">
      <c r="C3443" s="251"/>
      <c r="D3443" s="251"/>
      <c r="E3443" s="251"/>
      <c r="F3443" s="251"/>
      <c r="G3443" s="249"/>
      <c r="H3443" s="252"/>
      <c r="I3443" s="251"/>
      <c r="J3443" s="251"/>
      <c r="K3443" s="250"/>
      <c r="L3443" s="249"/>
    </row>
    <row r="3444" spans="3:12" s="244" customFormat="1" x14ac:dyDescent="0.25">
      <c r="C3444" s="251"/>
      <c r="D3444" s="251"/>
      <c r="E3444" s="251"/>
      <c r="F3444" s="251"/>
      <c r="G3444" s="249"/>
      <c r="H3444" s="252"/>
      <c r="I3444" s="251"/>
      <c r="J3444" s="251"/>
      <c r="K3444" s="250"/>
      <c r="L3444" s="249"/>
    </row>
    <row r="3445" spans="3:12" s="244" customFormat="1" x14ac:dyDescent="0.25">
      <c r="C3445" s="251"/>
      <c r="D3445" s="251"/>
      <c r="E3445" s="251"/>
      <c r="F3445" s="251"/>
      <c r="G3445" s="249"/>
      <c r="H3445" s="252"/>
      <c r="I3445" s="251"/>
      <c r="J3445" s="251"/>
      <c r="K3445" s="250"/>
      <c r="L3445" s="249"/>
    </row>
    <row r="3446" spans="3:12" s="244" customFormat="1" x14ac:dyDescent="0.25">
      <c r="C3446" s="251"/>
      <c r="D3446" s="251"/>
      <c r="E3446" s="251"/>
      <c r="F3446" s="251"/>
      <c r="G3446" s="249"/>
      <c r="H3446" s="252"/>
      <c r="I3446" s="251"/>
      <c r="J3446" s="251"/>
      <c r="K3446" s="250"/>
      <c r="L3446" s="249"/>
    </row>
    <row r="3447" spans="3:12" s="244" customFormat="1" x14ac:dyDescent="0.25">
      <c r="C3447" s="251"/>
      <c r="D3447" s="251"/>
      <c r="E3447" s="251"/>
      <c r="F3447" s="251"/>
      <c r="G3447" s="249"/>
      <c r="H3447" s="252"/>
      <c r="I3447" s="251"/>
      <c r="J3447" s="251"/>
      <c r="K3447" s="250"/>
      <c r="L3447" s="249"/>
    </row>
    <row r="3448" spans="3:12" s="244" customFormat="1" x14ac:dyDescent="0.25">
      <c r="C3448" s="251"/>
      <c r="D3448" s="251"/>
      <c r="E3448" s="251"/>
      <c r="F3448" s="251"/>
      <c r="G3448" s="249"/>
      <c r="H3448" s="252"/>
      <c r="I3448" s="251"/>
      <c r="J3448" s="251"/>
      <c r="K3448" s="250"/>
      <c r="L3448" s="249"/>
    </row>
    <row r="3449" spans="3:12" s="244" customFormat="1" x14ac:dyDescent="0.25">
      <c r="C3449" s="251"/>
      <c r="D3449" s="251"/>
      <c r="E3449" s="251"/>
      <c r="F3449" s="251"/>
      <c r="G3449" s="249"/>
      <c r="H3449" s="252"/>
      <c r="I3449" s="251"/>
      <c r="J3449" s="251"/>
      <c r="K3449" s="250"/>
      <c r="L3449" s="249"/>
    </row>
    <row r="3450" spans="3:12" s="244" customFormat="1" x14ac:dyDescent="0.25">
      <c r="C3450" s="251"/>
      <c r="D3450" s="251"/>
      <c r="E3450" s="251"/>
      <c r="F3450" s="251"/>
      <c r="G3450" s="249"/>
      <c r="H3450" s="252"/>
      <c r="I3450" s="251"/>
      <c r="J3450" s="251"/>
      <c r="K3450" s="250"/>
      <c r="L3450" s="249"/>
    </row>
    <row r="3451" spans="3:12" s="244" customFormat="1" x14ac:dyDescent="0.25">
      <c r="C3451" s="251"/>
      <c r="D3451" s="251"/>
      <c r="E3451" s="251"/>
      <c r="F3451" s="251"/>
      <c r="G3451" s="249"/>
      <c r="H3451" s="252"/>
      <c r="I3451" s="251"/>
      <c r="J3451" s="251"/>
      <c r="K3451" s="250"/>
      <c r="L3451" s="249"/>
    </row>
    <row r="3452" spans="3:12" s="244" customFormat="1" x14ac:dyDescent="0.25">
      <c r="C3452" s="251"/>
      <c r="D3452" s="251"/>
      <c r="E3452" s="251"/>
      <c r="F3452" s="251"/>
      <c r="G3452" s="249"/>
      <c r="H3452" s="252"/>
      <c r="I3452" s="251"/>
      <c r="J3452" s="251"/>
      <c r="K3452" s="250"/>
      <c r="L3452" s="249"/>
    </row>
    <row r="3453" spans="3:12" s="244" customFormat="1" x14ac:dyDescent="0.25">
      <c r="C3453" s="251"/>
      <c r="D3453" s="251"/>
      <c r="E3453" s="251"/>
      <c r="F3453" s="251"/>
      <c r="G3453" s="249"/>
      <c r="H3453" s="252"/>
      <c r="I3453" s="251"/>
      <c r="J3453" s="251"/>
      <c r="K3453" s="250"/>
      <c r="L3453" s="249"/>
    </row>
    <row r="3454" spans="3:12" s="244" customFormat="1" x14ac:dyDescent="0.25">
      <c r="C3454" s="251"/>
      <c r="D3454" s="251"/>
      <c r="E3454" s="251"/>
      <c r="F3454" s="251"/>
      <c r="G3454" s="249"/>
      <c r="H3454" s="252"/>
      <c r="I3454" s="251"/>
      <c r="J3454" s="251"/>
      <c r="K3454" s="250"/>
      <c r="L3454" s="249"/>
    </row>
    <row r="3455" spans="3:12" s="244" customFormat="1" x14ac:dyDescent="0.25">
      <c r="C3455" s="251"/>
      <c r="D3455" s="251"/>
      <c r="E3455" s="251"/>
      <c r="F3455" s="251"/>
      <c r="G3455" s="249"/>
      <c r="H3455" s="252"/>
      <c r="I3455" s="251"/>
      <c r="J3455" s="251"/>
      <c r="K3455" s="250"/>
      <c r="L3455" s="249"/>
    </row>
    <row r="3456" spans="3:12" s="244" customFormat="1" x14ac:dyDescent="0.25">
      <c r="C3456" s="251"/>
      <c r="D3456" s="251"/>
      <c r="E3456" s="251"/>
      <c r="F3456" s="251"/>
      <c r="G3456" s="249"/>
      <c r="H3456" s="252"/>
      <c r="I3456" s="251"/>
      <c r="J3456" s="251"/>
      <c r="K3456" s="250"/>
      <c r="L3456" s="249"/>
    </row>
    <row r="3457" spans="3:12" s="244" customFormat="1" x14ac:dyDescent="0.25">
      <c r="C3457" s="251"/>
      <c r="D3457" s="251"/>
      <c r="E3457" s="251"/>
      <c r="F3457" s="251"/>
      <c r="G3457" s="249"/>
      <c r="H3457" s="252"/>
      <c r="I3457" s="251"/>
      <c r="J3457" s="251"/>
      <c r="K3457" s="250"/>
      <c r="L3457" s="249"/>
    </row>
    <row r="3458" spans="3:12" s="244" customFormat="1" x14ac:dyDescent="0.25">
      <c r="C3458" s="251"/>
      <c r="D3458" s="251"/>
      <c r="E3458" s="251"/>
      <c r="F3458" s="251"/>
      <c r="G3458" s="249"/>
      <c r="H3458" s="252"/>
      <c r="I3458" s="251"/>
      <c r="J3458" s="251"/>
      <c r="K3458" s="250"/>
      <c r="L3458" s="249"/>
    </row>
    <row r="3459" spans="3:12" s="244" customFormat="1" x14ac:dyDescent="0.25">
      <c r="C3459" s="251"/>
      <c r="D3459" s="251"/>
      <c r="E3459" s="251"/>
      <c r="F3459" s="251"/>
      <c r="G3459" s="249"/>
      <c r="H3459" s="252"/>
      <c r="I3459" s="251"/>
      <c r="J3459" s="251"/>
      <c r="K3459" s="250"/>
      <c r="L3459" s="249"/>
    </row>
    <row r="3460" spans="3:12" s="244" customFormat="1" x14ac:dyDescent="0.25">
      <c r="C3460" s="251"/>
      <c r="D3460" s="251"/>
      <c r="E3460" s="251"/>
      <c r="F3460" s="251"/>
      <c r="G3460" s="249"/>
      <c r="H3460" s="252"/>
      <c r="I3460" s="251"/>
      <c r="J3460" s="251"/>
      <c r="K3460" s="250"/>
      <c r="L3460" s="249"/>
    </row>
    <row r="3461" spans="3:12" s="244" customFormat="1" x14ac:dyDescent="0.25">
      <c r="C3461" s="251"/>
      <c r="D3461" s="251"/>
      <c r="E3461" s="251"/>
      <c r="F3461" s="251"/>
      <c r="G3461" s="249"/>
      <c r="H3461" s="252"/>
      <c r="I3461" s="251"/>
      <c r="J3461" s="251"/>
      <c r="K3461" s="250"/>
      <c r="L3461" s="249"/>
    </row>
    <row r="3462" spans="3:12" s="244" customFormat="1" x14ac:dyDescent="0.25">
      <c r="C3462" s="251"/>
      <c r="D3462" s="251"/>
      <c r="E3462" s="251"/>
      <c r="F3462" s="251"/>
      <c r="G3462" s="249"/>
      <c r="H3462" s="252"/>
      <c r="I3462" s="251"/>
      <c r="J3462" s="251"/>
      <c r="K3462" s="250"/>
      <c r="L3462" s="249"/>
    </row>
    <row r="3463" spans="3:12" s="244" customFormat="1" x14ac:dyDescent="0.25">
      <c r="C3463" s="251"/>
      <c r="D3463" s="251"/>
      <c r="E3463" s="251"/>
      <c r="F3463" s="251"/>
      <c r="G3463" s="249"/>
      <c r="H3463" s="252"/>
      <c r="I3463" s="251"/>
      <c r="J3463" s="251"/>
      <c r="K3463" s="250"/>
      <c r="L3463" s="249"/>
    </row>
    <row r="3464" spans="3:12" s="244" customFormat="1" x14ac:dyDescent="0.25">
      <c r="C3464" s="251"/>
      <c r="D3464" s="251"/>
      <c r="E3464" s="251"/>
      <c r="F3464" s="251"/>
      <c r="G3464" s="249"/>
      <c r="H3464" s="252"/>
      <c r="I3464" s="251"/>
      <c r="J3464" s="251"/>
      <c r="K3464" s="250"/>
      <c r="L3464" s="249"/>
    </row>
    <row r="3465" spans="3:12" s="244" customFormat="1" x14ac:dyDescent="0.25">
      <c r="C3465" s="251"/>
      <c r="D3465" s="251"/>
      <c r="E3465" s="251"/>
      <c r="F3465" s="251"/>
      <c r="G3465" s="249"/>
      <c r="H3465" s="252"/>
      <c r="I3465" s="251"/>
      <c r="J3465" s="251"/>
      <c r="K3465" s="250"/>
      <c r="L3465" s="249"/>
    </row>
    <row r="3466" spans="3:12" s="244" customFormat="1" x14ac:dyDescent="0.25">
      <c r="C3466" s="251"/>
      <c r="D3466" s="251"/>
      <c r="E3466" s="251"/>
      <c r="F3466" s="251"/>
      <c r="G3466" s="249"/>
      <c r="H3466" s="252"/>
      <c r="I3466" s="251"/>
      <c r="J3466" s="251"/>
      <c r="K3466" s="250"/>
      <c r="L3466" s="249"/>
    </row>
    <row r="3467" spans="3:12" s="244" customFormat="1" x14ac:dyDescent="0.25">
      <c r="C3467" s="251"/>
      <c r="D3467" s="251"/>
      <c r="E3467" s="251"/>
      <c r="F3467" s="251"/>
      <c r="G3467" s="249"/>
      <c r="H3467" s="252"/>
      <c r="I3467" s="251"/>
      <c r="J3467" s="251"/>
      <c r="K3467" s="250"/>
      <c r="L3467" s="249"/>
    </row>
    <row r="3468" spans="3:12" s="244" customFormat="1" x14ac:dyDescent="0.25">
      <c r="C3468" s="251"/>
      <c r="D3468" s="251"/>
      <c r="E3468" s="251"/>
      <c r="F3468" s="251"/>
      <c r="G3468" s="249"/>
      <c r="H3468" s="252"/>
      <c r="I3468" s="251"/>
      <c r="J3468" s="251"/>
      <c r="K3468" s="250"/>
      <c r="L3468" s="249"/>
    </row>
    <row r="3469" spans="3:12" s="244" customFormat="1" x14ac:dyDescent="0.25">
      <c r="C3469" s="251"/>
      <c r="D3469" s="251"/>
      <c r="E3469" s="251"/>
      <c r="F3469" s="251"/>
      <c r="G3469" s="249"/>
      <c r="H3469" s="252"/>
      <c r="I3469" s="251"/>
      <c r="J3469" s="251"/>
      <c r="K3469" s="250"/>
      <c r="L3469" s="249"/>
    </row>
    <row r="3470" spans="3:12" s="244" customFormat="1" x14ac:dyDescent="0.25">
      <c r="C3470" s="251"/>
      <c r="D3470" s="251"/>
      <c r="E3470" s="251"/>
      <c r="F3470" s="251"/>
      <c r="G3470" s="249"/>
      <c r="H3470" s="252"/>
      <c r="I3470" s="251"/>
      <c r="J3470" s="251"/>
      <c r="K3470" s="250"/>
      <c r="L3470" s="249"/>
    </row>
    <row r="3471" spans="3:12" s="244" customFormat="1" x14ac:dyDescent="0.25">
      <c r="C3471" s="251"/>
      <c r="D3471" s="251"/>
      <c r="E3471" s="251"/>
      <c r="F3471" s="251"/>
      <c r="G3471" s="249"/>
      <c r="H3471" s="252"/>
      <c r="I3471" s="251"/>
      <c r="J3471" s="251"/>
      <c r="K3471" s="250"/>
      <c r="L3471" s="249"/>
    </row>
    <row r="3472" spans="3:12" s="244" customFormat="1" x14ac:dyDescent="0.25">
      <c r="C3472" s="251"/>
      <c r="D3472" s="251"/>
      <c r="E3472" s="251"/>
      <c r="F3472" s="251"/>
      <c r="G3472" s="249"/>
      <c r="H3472" s="252"/>
      <c r="I3472" s="251"/>
      <c r="J3472" s="251"/>
      <c r="K3472" s="250"/>
      <c r="L3472" s="249"/>
    </row>
    <row r="3473" spans="3:12" s="244" customFormat="1" x14ac:dyDescent="0.25">
      <c r="C3473" s="251"/>
      <c r="D3473" s="251"/>
      <c r="E3473" s="251"/>
      <c r="F3473" s="251"/>
      <c r="G3473" s="249"/>
      <c r="H3473" s="252"/>
      <c r="I3473" s="251"/>
      <c r="J3473" s="251"/>
      <c r="K3473" s="250"/>
      <c r="L3473" s="249"/>
    </row>
    <row r="3474" spans="3:12" s="244" customFormat="1" x14ac:dyDescent="0.25">
      <c r="C3474" s="251"/>
      <c r="D3474" s="251"/>
      <c r="E3474" s="251"/>
      <c r="F3474" s="251"/>
      <c r="G3474" s="249"/>
      <c r="H3474" s="252"/>
      <c r="I3474" s="251"/>
      <c r="J3474" s="251"/>
      <c r="K3474" s="250"/>
      <c r="L3474" s="249"/>
    </row>
    <row r="3475" spans="3:12" s="244" customFormat="1" x14ac:dyDescent="0.25">
      <c r="C3475" s="251"/>
      <c r="D3475" s="251"/>
      <c r="E3475" s="251"/>
      <c r="F3475" s="251"/>
      <c r="G3475" s="249"/>
      <c r="H3475" s="252"/>
      <c r="I3475" s="251"/>
      <c r="J3475" s="251"/>
      <c r="K3475" s="250"/>
      <c r="L3475" s="249"/>
    </row>
    <row r="3476" spans="3:12" s="244" customFormat="1" x14ac:dyDescent="0.25">
      <c r="C3476" s="251"/>
      <c r="D3476" s="251"/>
      <c r="E3476" s="251"/>
      <c r="F3476" s="251"/>
      <c r="G3476" s="249"/>
      <c r="H3476" s="252"/>
      <c r="I3476" s="251"/>
      <c r="J3476" s="251"/>
      <c r="K3476" s="250"/>
      <c r="L3476" s="249"/>
    </row>
    <row r="3477" spans="3:12" s="244" customFormat="1" x14ac:dyDescent="0.25">
      <c r="C3477" s="251"/>
      <c r="D3477" s="251"/>
      <c r="E3477" s="251"/>
      <c r="F3477" s="251"/>
      <c r="G3477" s="249"/>
      <c r="H3477" s="252"/>
      <c r="I3477" s="251"/>
      <c r="J3477" s="251"/>
      <c r="K3477" s="250"/>
      <c r="L3477" s="249"/>
    </row>
    <row r="3478" spans="3:12" s="244" customFormat="1" x14ac:dyDescent="0.25">
      <c r="C3478" s="251"/>
      <c r="D3478" s="251"/>
      <c r="E3478" s="251"/>
      <c r="F3478" s="251"/>
      <c r="G3478" s="249"/>
      <c r="H3478" s="252"/>
      <c r="I3478" s="251"/>
      <c r="J3478" s="251"/>
      <c r="K3478" s="250"/>
      <c r="L3478" s="249"/>
    </row>
    <row r="3479" spans="3:12" s="244" customFormat="1" x14ac:dyDescent="0.25">
      <c r="C3479" s="251"/>
      <c r="D3479" s="251"/>
      <c r="E3479" s="251"/>
      <c r="F3479" s="251"/>
      <c r="G3479" s="249"/>
      <c r="H3479" s="252"/>
      <c r="I3479" s="251"/>
      <c r="J3479" s="251"/>
      <c r="K3479" s="250"/>
      <c r="L3479" s="249"/>
    </row>
    <row r="3480" spans="3:12" s="244" customFormat="1" x14ac:dyDescent="0.25">
      <c r="C3480" s="251"/>
      <c r="D3480" s="251"/>
      <c r="E3480" s="251"/>
      <c r="F3480" s="251"/>
      <c r="G3480" s="249"/>
      <c r="H3480" s="252"/>
      <c r="I3480" s="251"/>
      <c r="J3480" s="251"/>
      <c r="K3480" s="250"/>
      <c r="L3480" s="249"/>
    </row>
    <row r="3481" spans="3:12" s="244" customFormat="1" x14ac:dyDescent="0.25">
      <c r="C3481" s="251"/>
      <c r="D3481" s="251"/>
      <c r="E3481" s="251"/>
      <c r="F3481" s="251"/>
      <c r="G3481" s="249"/>
      <c r="H3481" s="252"/>
      <c r="I3481" s="251"/>
      <c r="J3481" s="251"/>
      <c r="K3481" s="250"/>
      <c r="L3481" s="249"/>
    </row>
    <row r="3482" spans="3:12" s="244" customFormat="1" x14ac:dyDescent="0.25">
      <c r="C3482" s="251"/>
      <c r="D3482" s="251"/>
      <c r="E3482" s="251"/>
      <c r="F3482" s="251"/>
      <c r="G3482" s="249"/>
      <c r="H3482" s="252"/>
      <c r="I3482" s="251"/>
      <c r="J3482" s="251"/>
      <c r="K3482" s="250"/>
      <c r="L3482" s="249"/>
    </row>
    <row r="3483" spans="3:12" s="244" customFormat="1" x14ac:dyDescent="0.25">
      <c r="C3483" s="251"/>
      <c r="D3483" s="251"/>
      <c r="E3483" s="251"/>
      <c r="F3483" s="251"/>
      <c r="G3483" s="249"/>
      <c r="H3483" s="252"/>
      <c r="I3483" s="251"/>
      <c r="J3483" s="251"/>
      <c r="K3483" s="250"/>
      <c r="L3483" s="249"/>
    </row>
    <row r="3484" spans="3:12" s="244" customFormat="1" x14ac:dyDescent="0.25">
      <c r="C3484" s="251"/>
      <c r="D3484" s="251"/>
      <c r="E3484" s="251"/>
      <c r="F3484" s="251"/>
      <c r="G3484" s="249"/>
      <c r="H3484" s="252"/>
      <c r="I3484" s="251"/>
      <c r="J3484" s="251"/>
      <c r="K3484" s="250"/>
      <c r="L3484" s="249"/>
    </row>
    <row r="3485" spans="3:12" s="244" customFormat="1" x14ac:dyDescent="0.25">
      <c r="C3485" s="251"/>
      <c r="D3485" s="251"/>
      <c r="E3485" s="251"/>
      <c r="F3485" s="251"/>
      <c r="G3485" s="249"/>
      <c r="H3485" s="252"/>
      <c r="I3485" s="251"/>
      <c r="J3485" s="251"/>
      <c r="K3485" s="250"/>
      <c r="L3485" s="249"/>
    </row>
    <row r="3486" spans="3:12" s="244" customFormat="1" x14ac:dyDescent="0.25">
      <c r="C3486" s="251"/>
      <c r="D3486" s="251"/>
      <c r="E3486" s="251"/>
      <c r="F3486" s="251"/>
      <c r="G3486" s="249"/>
      <c r="H3486" s="252"/>
      <c r="I3486" s="251"/>
      <c r="J3486" s="251"/>
      <c r="K3486" s="250"/>
      <c r="L3486" s="249"/>
    </row>
    <row r="3487" spans="3:12" s="244" customFormat="1" x14ac:dyDescent="0.25">
      <c r="C3487" s="251"/>
      <c r="D3487" s="251"/>
      <c r="E3487" s="251"/>
      <c r="F3487" s="251"/>
      <c r="G3487" s="249"/>
      <c r="H3487" s="252"/>
      <c r="I3487" s="251"/>
      <c r="J3487" s="251"/>
      <c r="K3487" s="250"/>
      <c r="L3487" s="249"/>
    </row>
    <row r="3488" spans="3:12" s="244" customFormat="1" x14ac:dyDescent="0.25">
      <c r="C3488" s="251"/>
      <c r="D3488" s="251"/>
      <c r="E3488" s="251"/>
      <c r="F3488" s="251"/>
      <c r="G3488" s="249"/>
      <c r="H3488" s="252"/>
      <c r="I3488" s="251"/>
      <c r="J3488" s="251"/>
      <c r="K3488" s="250"/>
      <c r="L3488" s="249"/>
    </row>
    <row r="3489" spans="3:12" s="244" customFormat="1" x14ac:dyDescent="0.25">
      <c r="C3489" s="251"/>
      <c r="D3489" s="251"/>
      <c r="E3489" s="251"/>
      <c r="F3489" s="251"/>
      <c r="G3489" s="249"/>
      <c r="H3489" s="252"/>
      <c r="I3489" s="251"/>
      <c r="J3489" s="251"/>
      <c r="K3489" s="250"/>
      <c r="L3489" s="249"/>
    </row>
    <row r="3490" spans="3:12" s="244" customFormat="1" x14ac:dyDescent="0.25">
      <c r="C3490" s="251"/>
      <c r="D3490" s="251"/>
      <c r="E3490" s="251"/>
      <c r="F3490" s="251"/>
      <c r="G3490" s="249"/>
      <c r="H3490" s="252"/>
      <c r="I3490" s="251"/>
      <c r="J3490" s="251"/>
      <c r="K3490" s="250"/>
      <c r="L3490" s="249"/>
    </row>
    <row r="3491" spans="3:12" s="244" customFormat="1" x14ac:dyDescent="0.25">
      <c r="C3491" s="251"/>
      <c r="D3491" s="251"/>
      <c r="E3491" s="251"/>
      <c r="F3491" s="251"/>
      <c r="G3491" s="249"/>
      <c r="H3491" s="252"/>
      <c r="I3491" s="251"/>
      <c r="J3491" s="251"/>
      <c r="K3491" s="250"/>
      <c r="L3491" s="249"/>
    </row>
    <row r="3492" spans="3:12" s="244" customFormat="1" x14ac:dyDescent="0.25">
      <c r="C3492" s="251"/>
      <c r="D3492" s="251"/>
      <c r="E3492" s="251"/>
      <c r="F3492" s="251"/>
      <c r="G3492" s="249"/>
      <c r="H3492" s="252"/>
      <c r="I3492" s="251"/>
      <c r="J3492" s="251"/>
      <c r="K3492" s="250"/>
      <c r="L3492" s="249"/>
    </row>
    <row r="3493" spans="3:12" s="244" customFormat="1" x14ac:dyDescent="0.25">
      <c r="C3493" s="251"/>
      <c r="D3493" s="251"/>
      <c r="E3493" s="251"/>
      <c r="F3493" s="251"/>
      <c r="G3493" s="249"/>
      <c r="H3493" s="252"/>
      <c r="I3493" s="251"/>
      <c r="J3493" s="251"/>
      <c r="K3493" s="250"/>
      <c r="L3493" s="249"/>
    </row>
    <row r="3494" spans="3:12" s="244" customFormat="1" x14ac:dyDescent="0.25">
      <c r="C3494" s="251"/>
      <c r="D3494" s="251"/>
      <c r="E3494" s="251"/>
      <c r="F3494" s="251"/>
      <c r="G3494" s="249"/>
      <c r="H3494" s="252"/>
      <c r="I3494" s="251"/>
      <c r="J3494" s="251"/>
      <c r="K3494" s="250"/>
      <c r="L3494" s="249"/>
    </row>
    <row r="3495" spans="3:12" s="244" customFormat="1" x14ac:dyDescent="0.25">
      <c r="C3495" s="251"/>
      <c r="D3495" s="251"/>
      <c r="E3495" s="251"/>
      <c r="F3495" s="251"/>
      <c r="G3495" s="249"/>
      <c r="H3495" s="252"/>
      <c r="I3495" s="251"/>
      <c r="J3495" s="251"/>
      <c r="K3495" s="250"/>
      <c r="L3495" s="249"/>
    </row>
    <row r="3496" spans="3:12" s="244" customFormat="1" x14ac:dyDescent="0.25">
      <c r="C3496" s="251"/>
      <c r="D3496" s="251"/>
      <c r="E3496" s="251"/>
      <c r="F3496" s="251"/>
      <c r="G3496" s="249"/>
      <c r="H3496" s="252"/>
      <c r="I3496" s="251"/>
      <c r="J3496" s="251"/>
      <c r="K3496" s="250"/>
      <c r="L3496" s="249"/>
    </row>
    <row r="3497" spans="3:12" s="244" customFormat="1" x14ac:dyDescent="0.25">
      <c r="C3497" s="251"/>
      <c r="D3497" s="251"/>
      <c r="E3497" s="251"/>
      <c r="F3497" s="251"/>
      <c r="G3497" s="249"/>
      <c r="H3497" s="252"/>
      <c r="I3497" s="251"/>
      <c r="J3497" s="251"/>
      <c r="K3497" s="250"/>
      <c r="L3497" s="249"/>
    </row>
    <row r="3498" spans="3:12" s="244" customFormat="1" x14ac:dyDescent="0.25">
      <c r="C3498" s="251"/>
      <c r="D3498" s="251"/>
      <c r="E3498" s="251"/>
      <c r="F3498" s="251"/>
      <c r="G3498" s="249"/>
      <c r="H3498" s="252"/>
      <c r="I3498" s="251"/>
      <c r="J3498" s="251"/>
      <c r="K3498" s="250"/>
      <c r="L3498" s="249"/>
    </row>
    <row r="3499" spans="3:12" s="244" customFormat="1" x14ac:dyDescent="0.25">
      <c r="C3499" s="251"/>
      <c r="D3499" s="251"/>
      <c r="E3499" s="251"/>
      <c r="F3499" s="251"/>
      <c r="G3499" s="249"/>
      <c r="H3499" s="252"/>
      <c r="I3499" s="251"/>
      <c r="J3499" s="251"/>
      <c r="K3499" s="250"/>
      <c r="L3499" s="249"/>
    </row>
    <row r="3500" spans="3:12" s="244" customFormat="1" x14ac:dyDescent="0.25">
      <c r="C3500" s="251"/>
      <c r="D3500" s="251"/>
      <c r="E3500" s="251"/>
      <c r="F3500" s="251"/>
      <c r="G3500" s="249"/>
      <c r="H3500" s="252"/>
      <c r="I3500" s="251"/>
      <c r="J3500" s="251"/>
      <c r="K3500" s="250"/>
      <c r="L3500" s="249"/>
    </row>
    <row r="3501" spans="3:12" s="244" customFormat="1" x14ac:dyDescent="0.25">
      <c r="C3501" s="251"/>
      <c r="D3501" s="251"/>
      <c r="E3501" s="251"/>
      <c r="F3501" s="251"/>
      <c r="G3501" s="249"/>
      <c r="H3501" s="252"/>
      <c r="I3501" s="251"/>
      <c r="J3501" s="251"/>
      <c r="K3501" s="250"/>
      <c r="L3501" s="249"/>
    </row>
    <row r="3502" spans="3:12" s="244" customFormat="1" x14ac:dyDescent="0.25">
      <c r="C3502" s="251"/>
      <c r="D3502" s="251"/>
      <c r="E3502" s="251"/>
      <c r="F3502" s="251"/>
      <c r="G3502" s="249"/>
      <c r="H3502" s="252"/>
      <c r="I3502" s="251"/>
      <c r="J3502" s="251"/>
      <c r="K3502" s="250"/>
      <c r="L3502" s="249"/>
    </row>
    <row r="3503" spans="3:12" s="244" customFormat="1" x14ac:dyDescent="0.25">
      <c r="C3503" s="251"/>
      <c r="D3503" s="251"/>
      <c r="E3503" s="251"/>
      <c r="F3503" s="251"/>
      <c r="G3503" s="249"/>
      <c r="H3503" s="252"/>
      <c r="I3503" s="251"/>
      <c r="J3503" s="251"/>
      <c r="K3503" s="250"/>
      <c r="L3503" s="249"/>
    </row>
    <row r="3504" spans="3:12" s="244" customFormat="1" x14ac:dyDescent="0.25">
      <c r="C3504" s="251"/>
      <c r="D3504" s="251"/>
      <c r="E3504" s="251"/>
      <c r="F3504" s="251"/>
      <c r="G3504" s="249"/>
      <c r="H3504" s="252"/>
      <c r="I3504" s="251"/>
      <c r="J3504" s="251"/>
      <c r="K3504" s="250"/>
      <c r="L3504" s="249"/>
    </row>
    <row r="3505" spans="3:12" s="244" customFormat="1" x14ac:dyDescent="0.25">
      <c r="C3505" s="251"/>
      <c r="D3505" s="251"/>
      <c r="E3505" s="251"/>
      <c r="F3505" s="251"/>
      <c r="G3505" s="249"/>
      <c r="H3505" s="252"/>
      <c r="I3505" s="251"/>
      <c r="J3505" s="251"/>
      <c r="K3505" s="250"/>
      <c r="L3505" s="249"/>
    </row>
    <row r="3506" spans="3:12" s="244" customFormat="1" x14ac:dyDescent="0.25">
      <c r="C3506" s="251"/>
      <c r="D3506" s="251"/>
      <c r="E3506" s="251"/>
      <c r="F3506" s="251"/>
      <c r="G3506" s="249"/>
      <c r="H3506" s="252"/>
      <c r="I3506" s="251"/>
      <c r="J3506" s="251"/>
      <c r="K3506" s="250"/>
      <c r="L3506" s="249"/>
    </row>
    <row r="3507" spans="3:12" s="244" customFormat="1" x14ac:dyDescent="0.25">
      <c r="C3507" s="251"/>
      <c r="D3507" s="251"/>
      <c r="E3507" s="251"/>
      <c r="F3507" s="251"/>
      <c r="G3507" s="249"/>
      <c r="H3507" s="252"/>
      <c r="I3507" s="251"/>
      <c r="J3507" s="251"/>
      <c r="K3507" s="250"/>
      <c r="L3507" s="249"/>
    </row>
    <row r="3508" spans="3:12" s="244" customFormat="1" x14ac:dyDescent="0.25">
      <c r="C3508" s="251"/>
      <c r="D3508" s="251"/>
      <c r="E3508" s="251"/>
      <c r="F3508" s="251"/>
      <c r="G3508" s="249"/>
      <c r="H3508" s="252"/>
      <c r="I3508" s="251"/>
      <c r="J3508" s="251"/>
      <c r="K3508" s="250"/>
      <c r="L3508" s="249"/>
    </row>
    <row r="3509" spans="3:12" s="244" customFormat="1" x14ac:dyDescent="0.25">
      <c r="C3509" s="251"/>
      <c r="D3509" s="251"/>
      <c r="E3509" s="251"/>
      <c r="F3509" s="251"/>
      <c r="G3509" s="249"/>
      <c r="H3509" s="252"/>
      <c r="I3509" s="251"/>
      <c r="J3509" s="251"/>
      <c r="K3509" s="250"/>
      <c r="L3509" s="249"/>
    </row>
    <row r="3510" spans="3:12" s="244" customFormat="1" x14ac:dyDescent="0.25">
      <c r="C3510" s="251"/>
      <c r="D3510" s="251"/>
      <c r="E3510" s="251"/>
      <c r="F3510" s="251"/>
      <c r="G3510" s="249"/>
      <c r="H3510" s="252"/>
      <c r="I3510" s="251"/>
      <c r="J3510" s="251"/>
      <c r="K3510" s="250"/>
      <c r="L3510" s="249"/>
    </row>
    <row r="3511" spans="3:12" s="244" customFormat="1" x14ac:dyDescent="0.25">
      <c r="C3511" s="251"/>
      <c r="D3511" s="251"/>
      <c r="E3511" s="251"/>
      <c r="F3511" s="251"/>
      <c r="G3511" s="249"/>
      <c r="H3511" s="252"/>
      <c r="I3511" s="251"/>
      <c r="J3511" s="251"/>
      <c r="K3511" s="250"/>
      <c r="L3511" s="249"/>
    </row>
    <row r="3512" spans="3:12" s="244" customFormat="1" x14ac:dyDescent="0.25">
      <c r="C3512" s="251"/>
      <c r="D3512" s="251"/>
      <c r="E3512" s="251"/>
      <c r="F3512" s="251"/>
      <c r="G3512" s="249"/>
      <c r="H3512" s="252"/>
      <c r="I3512" s="251"/>
      <c r="J3512" s="251"/>
      <c r="K3512" s="250"/>
      <c r="L3512" s="249"/>
    </row>
    <row r="3513" spans="3:12" s="244" customFormat="1" x14ac:dyDescent="0.25">
      <c r="C3513" s="251"/>
      <c r="D3513" s="251"/>
      <c r="E3513" s="251"/>
      <c r="F3513" s="251"/>
      <c r="G3513" s="249"/>
      <c r="H3513" s="252"/>
      <c r="I3513" s="251"/>
      <c r="J3513" s="251"/>
      <c r="K3513" s="250"/>
      <c r="L3513" s="249"/>
    </row>
    <row r="3514" spans="3:12" s="244" customFormat="1" x14ac:dyDescent="0.25">
      <c r="C3514" s="251"/>
      <c r="D3514" s="251"/>
      <c r="E3514" s="251"/>
      <c r="F3514" s="251"/>
      <c r="G3514" s="249"/>
      <c r="H3514" s="252"/>
      <c r="I3514" s="251"/>
      <c r="J3514" s="251"/>
      <c r="K3514" s="250"/>
      <c r="L3514" s="249"/>
    </row>
    <row r="3515" spans="3:12" s="244" customFormat="1" x14ac:dyDescent="0.25">
      <c r="C3515" s="251"/>
      <c r="D3515" s="251"/>
      <c r="E3515" s="251"/>
      <c r="F3515" s="251"/>
      <c r="G3515" s="249"/>
      <c r="H3515" s="252"/>
      <c r="I3515" s="251"/>
      <c r="J3515" s="251"/>
      <c r="K3515" s="250"/>
      <c r="L3515" s="249"/>
    </row>
    <row r="3516" spans="3:12" s="244" customFormat="1" x14ac:dyDescent="0.25">
      <c r="C3516" s="251"/>
      <c r="D3516" s="251"/>
      <c r="E3516" s="251"/>
      <c r="F3516" s="251"/>
      <c r="G3516" s="249"/>
      <c r="H3516" s="252"/>
      <c r="I3516" s="251"/>
      <c r="J3516" s="251"/>
      <c r="K3516" s="250"/>
      <c r="L3516" s="249"/>
    </row>
    <row r="3517" spans="3:12" s="244" customFormat="1" x14ac:dyDescent="0.25">
      <c r="C3517" s="251"/>
      <c r="D3517" s="251"/>
      <c r="E3517" s="251"/>
      <c r="F3517" s="251"/>
      <c r="G3517" s="249"/>
      <c r="H3517" s="252"/>
      <c r="I3517" s="251"/>
      <c r="J3517" s="251"/>
      <c r="K3517" s="250"/>
      <c r="L3517" s="249"/>
    </row>
    <row r="3518" spans="3:12" s="244" customFormat="1" x14ac:dyDescent="0.25">
      <c r="C3518" s="251"/>
      <c r="D3518" s="251"/>
      <c r="E3518" s="251"/>
      <c r="F3518" s="251"/>
      <c r="G3518" s="249"/>
      <c r="H3518" s="252"/>
      <c r="I3518" s="251"/>
      <c r="J3518" s="251"/>
      <c r="K3518" s="250"/>
      <c r="L3518" s="249"/>
    </row>
    <row r="3519" spans="3:12" s="244" customFormat="1" x14ac:dyDescent="0.25">
      <c r="C3519" s="251"/>
      <c r="D3519" s="251"/>
      <c r="E3519" s="251"/>
      <c r="F3519" s="251"/>
      <c r="G3519" s="249"/>
      <c r="H3519" s="252"/>
      <c r="I3519" s="251"/>
      <c r="J3519" s="251"/>
      <c r="K3519" s="250"/>
      <c r="L3519" s="249"/>
    </row>
    <row r="3520" spans="3:12" s="244" customFormat="1" x14ac:dyDescent="0.25">
      <c r="C3520" s="251"/>
      <c r="D3520" s="251"/>
      <c r="E3520" s="251"/>
      <c r="F3520" s="251"/>
      <c r="G3520" s="249"/>
      <c r="H3520" s="252"/>
      <c r="I3520" s="251"/>
      <c r="J3520" s="251"/>
      <c r="K3520" s="250"/>
      <c r="L3520" s="249"/>
    </row>
    <row r="3521" spans="3:12" s="244" customFormat="1" x14ac:dyDescent="0.25">
      <c r="C3521" s="251"/>
      <c r="D3521" s="251"/>
      <c r="E3521" s="251"/>
      <c r="F3521" s="251"/>
      <c r="G3521" s="249"/>
      <c r="H3521" s="252"/>
      <c r="I3521" s="251"/>
      <c r="J3521" s="251"/>
      <c r="K3521" s="250"/>
      <c r="L3521" s="249"/>
    </row>
    <row r="3522" spans="3:12" s="244" customFormat="1" x14ac:dyDescent="0.25">
      <c r="C3522" s="251"/>
      <c r="D3522" s="251"/>
      <c r="E3522" s="251"/>
      <c r="F3522" s="251"/>
      <c r="G3522" s="249"/>
      <c r="H3522" s="252"/>
      <c r="I3522" s="251"/>
      <c r="J3522" s="251"/>
      <c r="K3522" s="250"/>
      <c r="L3522" s="249"/>
    </row>
    <row r="3523" spans="3:12" s="244" customFormat="1" x14ac:dyDescent="0.25">
      <c r="C3523" s="251"/>
      <c r="D3523" s="251"/>
      <c r="E3523" s="251"/>
      <c r="F3523" s="251"/>
      <c r="G3523" s="249"/>
      <c r="H3523" s="252"/>
      <c r="I3523" s="251"/>
      <c r="J3523" s="251"/>
      <c r="K3523" s="250"/>
      <c r="L3523" s="249"/>
    </row>
    <row r="3524" spans="3:12" s="244" customFormat="1" x14ac:dyDescent="0.25">
      <c r="C3524" s="251"/>
      <c r="D3524" s="251"/>
      <c r="E3524" s="251"/>
      <c r="F3524" s="251"/>
      <c r="G3524" s="249"/>
      <c r="H3524" s="252"/>
      <c r="I3524" s="251"/>
      <c r="J3524" s="251"/>
      <c r="K3524" s="250"/>
      <c r="L3524" s="249"/>
    </row>
    <row r="3525" spans="3:12" s="244" customFormat="1" x14ac:dyDescent="0.25">
      <c r="C3525" s="251"/>
      <c r="D3525" s="251"/>
      <c r="E3525" s="251"/>
      <c r="F3525" s="251"/>
      <c r="G3525" s="249"/>
      <c r="H3525" s="252"/>
      <c r="I3525" s="251"/>
      <c r="J3525" s="251"/>
      <c r="K3525" s="250"/>
      <c r="L3525" s="249"/>
    </row>
    <row r="3526" spans="3:12" s="244" customFormat="1" x14ac:dyDescent="0.25">
      <c r="C3526" s="251"/>
      <c r="D3526" s="251"/>
      <c r="E3526" s="251"/>
      <c r="F3526" s="251"/>
      <c r="G3526" s="249"/>
      <c r="H3526" s="252"/>
      <c r="I3526" s="251"/>
      <c r="J3526" s="251"/>
      <c r="K3526" s="250"/>
      <c r="L3526" s="249"/>
    </row>
    <row r="3527" spans="3:12" s="244" customFormat="1" x14ac:dyDescent="0.25">
      <c r="C3527" s="251"/>
      <c r="D3527" s="251"/>
      <c r="E3527" s="251"/>
      <c r="F3527" s="251"/>
      <c r="G3527" s="249"/>
      <c r="H3527" s="252"/>
      <c r="I3527" s="251"/>
      <c r="J3527" s="251"/>
      <c r="K3527" s="250"/>
      <c r="L3527" s="249"/>
    </row>
    <row r="3528" spans="3:12" s="244" customFormat="1" x14ac:dyDescent="0.25">
      <c r="C3528" s="251"/>
      <c r="D3528" s="251"/>
      <c r="E3528" s="251"/>
      <c r="F3528" s="251"/>
      <c r="G3528" s="249"/>
      <c r="H3528" s="252"/>
      <c r="I3528" s="251"/>
      <c r="J3528" s="251"/>
      <c r="K3528" s="250"/>
      <c r="L3528" s="249"/>
    </row>
    <row r="3529" spans="3:12" s="244" customFormat="1" x14ac:dyDescent="0.25">
      <c r="C3529" s="251"/>
      <c r="D3529" s="251"/>
      <c r="E3529" s="251"/>
      <c r="F3529" s="251"/>
      <c r="G3529" s="249"/>
      <c r="H3529" s="252"/>
      <c r="I3529" s="251"/>
      <c r="J3529" s="251"/>
      <c r="K3529" s="250"/>
      <c r="L3529" s="249"/>
    </row>
    <row r="3530" spans="3:12" s="244" customFormat="1" x14ac:dyDescent="0.25">
      <c r="C3530" s="251"/>
      <c r="D3530" s="251"/>
      <c r="E3530" s="251"/>
      <c r="F3530" s="251"/>
      <c r="G3530" s="249"/>
      <c r="H3530" s="252"/>
      <c r="I3530" s="251"/>
      <c r="J3530" s="251"/>
      <c r="K3530" s="250"/>
      <c r="L3530" s="249"/>
    </row>
    <row r="3531" spans="3:12" s="244" customFormat="1" x14ac:dyDescent="0.25">
      <c r="C3531" s="251"/>
      <c r="D3531" s="251"/>
      <c r="E3531" s="251"/>
      <c r="F3531" s="251"/>
      <c r="G3531" s="249"/>
      <c r="H3531" s="252"/>
      <c r="I3531" s="251"/>
      <c r="J3531" s="251"/>
      <c r="K3531" s="250"/>
      <c r="L3531" s="249"/>
    </row>
    <row r="3532" spans="3:12" s="244" customFormat="1" x14ac:dyDescent="0.25">
      <c r="C3532" s="251"/>
      <c r="D3532" s="251"/>
      <c r="E3532" s="251"/>
      <c r="F3532" s="251"/>
      <c r="G3532" s="249"/>
      <c r="H3532" s="252"/>
      <c r="I3532" s="251"/>
      <c r="J3532" s="251"/>
      <c r="K3532" s="250"/>
      <c r="L3532" s="249"/>
    </row>
    <row r="3533" spans="3:12" s="244" customFormat="1" x14ac:dyDescent="0.25">
      <c r="C3533" s="251"/>
      <c r="D3533" s="251"/>
      <c r="E3533" s="251"/>
      <c r="F3533" s="251"/>
      <c r="G3533" s="249"/>
      <c r="H3533" s="252"/>
      <c r="I3533" s="251"/>
      <c r="J3533" s="251"/>
      <c r="K3533" s="250"/>
      <c r="L3533" s="249"/>
    </row>
    <row r="3534" spans="3:12" s="244" customFormat="1" x14ac:dyDescent="0.25">
      <c r="C3534" s="251"/>
      <c r="D3534" s="251"/>
      <c r="E3534" s="251"/>
      <c r="F3534" s="251"/>
      <c r="G3534" s="249"/>
      <c r="H3534" s="252"/>
      <c r="I3534" s="251"/>
      <c r="J3534" s="251"/>
      <c r="K3534" s="250"/>
      <c r="L3534" s="249"/>
    </row>
    <row r="3535" spans="3:12" s="244" customFormat="1" x14ac:dyDescent="0.25">
      <c r="C3535" s="251"/>
      <c r="D3535" s="251"/>
      <c r="E3535" s="251"/>
      <c r="F3535" s="251"/>
      <c r="G3535" s="249"/>
      <c r="H3535" s="252"/>
      <c r="I3535" s="251"/>
      <c r="J3535" s="251"/>
      <c r="K3535" s="250"/>
      <c r="L3535" s="249"/>
    </row>
    <row r="3536" spans="3:12" s="244" customFormat="1" x14ac:dyDescent="0.25">
      <c r="C3536" s="251"/>
      <c r="D3536" s="251"/>
      <c r="E3536" s="251"/>
      <c r="F3536" s="251"/>
      <c r="G3536" s="249"/>
      <c r="H3536" s="252"/>
      <c r="I3536" s="251"/>
      <c r="J3536" s="251"/>
      <c r="K3536" s="250"/>
      <c r="L3536" s="249"/>
    </row>
    <row r="3537" spans="3:12" s="244" customFormat="1" x14ac:dyDescent="0.25">
      <c r="C3537" s="251"/>
      <c r="D3537" s="251"/>
      <c r="E3537" s="251"/>
      <c r="F3537" s="251"/>
      <c r="G3537" s="249"/>
      <c r="H3537" s="252"/>
      <c r="I3537" s="251"/>
      <c r="J3537" s="251"/>
      <c r="K3537" s="250"/>
      <c r="L3537" s="249"/>
    </row>
    <row r="3538" spans="3:12" s="244" customFormat="1" x14ac:dyDescent="0.25">
      <c r="C3538" s="251"/>
      <c r="D3538" s="251"/>
      <c r="E3538" s="251"/>
      <c r="F3538" s="251"/>
      <c r="G3538" s="249"/>
      <c r="H3538" s="252"/>
      <c r="I3538" s="251"/>
      <c r="J3538" s="251"/>
      <c r="K3538" s="250"/>
      <c r="L3538" s="249"/>
    </row>
    <row r="3539" spans="3:12" s="244" customFormat="1" x14ac:dyDescent="0.25">
      <c r="C3539" s="251"/>
      <c r="D3539" s="251"/>
      <c r="E3539" s="251"/>
      <c r="F3539" s="251"/>
      <c r="G3539" s="249"/>
      <c r="H3539" s="252"/>
      <c r="I3539" s="251"/>
      <c r="J3539" s="251"/>
      <c r="K3539" s="250"/>
      <c r="L3539" s="249"/>
    </row>
    <row r="3540" spans="3:12" s="244" customFormat="1" x14ac:dyDescent="0.25">
      <c r="C3540" s="251"/>
      <c r="D3540" s="251"/>
      <c r="E3540" s="251"/>
      <c r="F3540" s="251"/>
      <c r="G3540" s="249"/>
      <c r="H3540" s="252"/>
      <c r="I3540" s="251"/>
      <c r="J3540" s="251"/>
      <c r="K3540" s="250"/>
      <c r="L3540" s="249"/>
    </row>
    <row r="3541" spans="3:12" s="244" customFormat="1" x14ac:dyDescent="0.25">
      <c r="C3541" s="251"/>
      <c r="D3541" s="251"/>
      <c r="E3541" s="251"/>
      <c r="F3541" s="251"/>
      <c r="G3541" s="249"/>
      <c r="H3541" s="252"/>
      <c r="I3541" s="251"/>
      <c r="J3541" s="251"/>
      <c r="K3541" s="250"/>
      <c r="L3541" s="249"/>
    </row>
    <row r="3542" spans="3:12" s="244" customFormat="1" x14ac:dyDescent="0.25">
      <c r="C3542" s="251"/>
      <c r="D3542" s="251"/>
      <c r="E3542" s="251"/>
      <c r="F3542" s="251"/>
      <c r="G3542" s="249"/>
      <c r="H3542" s="252"/>
      <c r="I3542" s="251"/>
      <c r="J3542" s="251"/>
      <c r="K3542" s="250"/>
      <c r="L3542" s="249"/>
    </row>
    <row r="3543" spans="3:12" s="244" customFormat="1" x14ac:dyDescent="0.25">
      <c r="C3543" s="251"/>
      <c r="D3543" s="251"/>
      <c r="E3543" s="251"/>
      <c r="F3543" s="251"/>
      <c r="G3543" s="249"/>
      <c r="H3543" s="252"/>
      <c r="I3543" s="251"/>
      <c r="J3543" s="251"/>
      <c r="K3543" s="250"/>
      <c r="L3543" s="249"/>
    </row>
    <row r="3544" spans="3:12" s="244" customFormat="1" x14ac:dyDescent="0.25">
      <c r="C3544" s="251"/>
      <c r="D3544" s="251"/>
      <c r="E3544" s="251"/>
      <c r="F3544" s="251"/>
      <c r="G3544" s="249"/>
      <c r="H3544" s="252"/>
      <c r="I3544" s="251"/>
      <c r="J3544" s="251"/>
      <c r="K3544" s="250"/>
      <c r="L3544" s="249"/>
    </row>
    <row r="3545" spans="3:12" s="244" customFormat="1" x14ac:dyDescent="0.25">
      <c r="C3545" s="251"/>
      <c r="D3545" s="251"/>
      <c r="E3545" s="251"/>
      <c r="F3545" s="251"/>
      <c r="G3545" s="249"/>
      <c r="H3545" s="252"/>
      <c r="I3545" s="251"/>
      <c r="J3545" s="251"/>
      <c r="K3545" s="250"/>
      <c r="L3545" s="249"/>
    </row>
    <row r="3546" spans="3:12" s="244" customFormat="1" x14ac:dyDescent="0.25">
      <c r="C3546" s="251"/>
      <c r="D3546" s="251"/>
      <c r="E3546" s="251"/>
      <c r="F3546" s="251"/>
      <c r="G3546" s="249"/>
      <c r="H3546" s="252"/>
      <c r="I3546" s="251"/>
      <c r="J3546" s="251"/>
      <c r="K3546" s="250"/>
      <c r="L3546" s="249"/>
    </row>
    <row r="3547" spans="3:12" s="244" customFormat="1" x14ac:dyDescent="0.25">
      <c r="C3547" s="251"/>
      <c r="D3547" s="251"/>
      <c r="E3547" s="251"/>
      <c r="F3547" s="251"/>
      <c r="G3547" s="249"/>
      <c r="H3547" s="252"/>
      <c r="I3547" s="251"/>
      <c r="J3547" s="251"/>
      <c r="K3547" s="250"/>
      <c r="L3547" s="249"/>
    </row>
    <row r="3548" spans="3:12" s="244" customFormat="1" x14ac:dyDescent="0.25">
      <c r="C3548" s="251"/>
      <c r="D3548" s="251"/>
      <c r="E3548" s="251"/>
      <c r="F3548" s="251"/>
      <c r="G3548" s="249"/>
      <c r="H3548" s="252"/>
      <c r="I3548" s="251"/>
      <c r="J3548" s="251"/>
      <c r="K3548" s="250"/>
      <c r="L3548" s="249"/>
    </row>
    <row r="3549" spans="3:12" s="244" customFormat="1" x14ac:dyDescent="0.25">
      <c r="C3549" s="251"/>
      <c r="D3549" s="251"/>
      <c r="E3549" s="251"/>
      <c r="F3549" s="251"/>
      <c r="G3549" s="249"/>
      <c r="H3549" s="252"/>
      <c r="I3549" s="251"/>
      <c r="J3549" s="251"/>
      <c r="K3549" s="250"/>
      <c r="L3549" s="249"/>
    </row>
    <row r="3550" spans="3:12" s="244" customFormat="1" x14ac:dyDescent="0.25">
      <c r="C3550" s="251"/>
      <c r="D3550" s="251"/>
      <c r="E3550" s="251"/>
      <c r="F3550" s="251"/>
      <c r="G3550" s="249"/>
      <c r="H3550" s="252"/>
      <c r="I3550" s="251"/>
      <c r="J3550" s="251"/>
      <c r="K3550" s="250"/>
      <c r="L3550" s="249"/>
    </row>
    <row r="3551" spans="3:12" s="244" customFormat="1" x14ac:dyDescent="0.25">
      <c r="C3551" s="251"/>
      <c r="D3551" s="251"/>
      <c r="E3551" s="251"/>
      <c r="F3551" s="251"/>
      <c r="G3551" s="249"/>
      <c r="H3551" s="252"/>
      <c r="I3551" s="251"/>
      <c r="J3551" s="251"/>
      <c r="K3551" s="250"/>
      <c r="L3551" s="249"/>
    </row>
    <row r="3552" spans="3:12" s="244" customFormat="1" x14ac:dyDescent="0.25">
      <c r="C3552" s="251"/>
      <c r="D3552" s="251"/>
      <c r="E3552" s="251"/>
      <c r="F3552" s="251"/>
      <c r="G3552" s="249"/>
      <c r="H3552" s="252"/>
      <c r="I3552" s="251"/>
      <c r="J3552" s="251"/>
      <c r="K3552" s="250"/>
      <c r="L3552" s="249"/>
    </row>
    <row r="3553" spans="3:12" s="244" customFormat="1" x14ac:dyDescent="0.25">
      <c r="C3553" s="251"/>
      <c r="D3553" s="251"/>
      <c r="E3553" s="251"/>
      <c r="F3553" s="251"/>
      <c r="G3553" s="249"/>
      <c r="H3553" s="252"/>
      <c r="I3553" s="251"/>
      <c r="J3553" s="251"/>
      <c r="K3553" s="250"/>
      <c r="L3553" s="249"/>
    </row>
    <row r="3554" spans="3:12" s="244" customFormat="1" x14ac:dyDescent="0.25">
      <c r="C3554" s="251"/>
      <c r="D3554" s="251"/>
      <c r="E3554" s="251"/>
      <c r="F3554" s="251"/>
      <c r="G3554" s="249"/>
      <c r="H3554" s="252"/>
      <c r="I3554" s="251"/>
      <c r="J3554" s="251"/>
      <c r="K3554" s="250"/>
      <c r="L3554" s="249"/>
    </row>
    <row r="3555" spans="3:12" s="244" customFormat="1" x14ac:dyDescent="0.25">
      <c r="C3555" s="251"/>
      <c r="D3555" s="251"/>
      <c r="E3555" s="251"/>
      <c r="F3555" s="251"/>
      <c r="G3555" s="249"/>
      <c r="H3555" s="252"/>
      <c r="I3555" s="251"/>
      <c r="J3555" s="251"/>
      <c r="K3555" s="250"/>
      <c r="L3555" s="249"/>
    </row>
    <row r="3556" spans="3:12" s="244" customFormat="1" x14ac:dyDescent="0.25">
      <c r="C3556" s="251"/>
      <c r="D3556" s="251"/>
      <c r="E3556" s="251"/>
      <c r="F3556" s="251"/>
      <c r="G3556" s="249"/>
      <c r="H3556" s="252"/>
      <c r="I3556" s="251"/>
      <c r="J3556" s="251"/>
      <c r="K3556" s="250"/>
      <c r="L3556" s="249"/>
    </row>
    <row r="3557" spans="3:12" s="244" customFormat="1" x14ac:dyDescent="0.25">
      <c r="C3557" s="251"/>
      <c r="D3557" s="251"/>
      <c r="E3557" s="251"/>
      <c r="F3557" s="251"/>
      <c r="G3557" s="249"/>
      <c r="H3557" s="252"/>
      <c r="I3557" s="251"/>
      <c r="J3557" s="251"/>
      <c r="K3557" s="250"/>
      <c r="L3557" s="249"/>
    </row>
    <row r="3558" spans="3:12" s="244" customFormat="1" x14ac:dyDescent="0.25">
      <c r="C3558" s="251"/>
      <c r="D3558" s="251"/>
      <c r="E3558" s="251"/>
      <c r="F3558" s="251"/>
      <c r="G3558" s="249"/>
      <c r="H3558" s="252"/>
      <c r="I3558" s="251"/>
      <c r="J3558" s="251"/>
      <c r="K3558" s="250"/>
      <c r="L3558" s="249"/>
    </row>
    <row r="3559" spans="3:12" s="244" customFormat="1" x14ac:dyDescent="0.25">
      <c r="C3559" s="251"/>
      <c r="D3559" s="251"/>
      <c r="E3559" s="251"/>
      <c r="F3559" s="251"/>
      <c r="G3559" s="249"/>
      <c r="H3559" s="252"/>
      <c r="I3559" s="251"/>
      <c r="J3559" s="251"/>
      <c r="K3559" s="250"/>
      <c r="L3559" s="249"/>
    </row>
    <row r="3560" spans="3:12" s="244" customFormat="1" x14ac:dyDescent="0.25">
      <c r="C3560" s="251"/>
      <c r="D3560" s="251"/>
      <c r="E3560" s="251"/>
      <c r="F3560" s="251"/>
      <c r="G3560" s="249"/>
      <c r="H3560" s="252"/>
      <c r="I3560" s="251"/>
      <c r="J3560" s="251"/>
      <c r="K3560" s="250"/>
      <c r="L3560" s="249"/>
    </row>
    <row r="3561" spans="3:12" s="244" customFormat="1" x14ac:dyDescent="0.25">
      <c r="C3561" s="251"/>
      <c r="D3561" s="251"/>
      <c r="E3561" s="251"/>
      <c r="F3561" s="251"/>
      <c r="G3561" s="249"/>
      <c r="H3561" s="252"/>
      <c r="I3561" s="251"/>
      <c r="J3561" s="251"/>
      <c r="K3561" s="250"/>
      <c r="L3561" s="249"/>
    </row>
    <row r="3562" spans="3:12" s="244" customFormat="1" x14ac:dyDescent="0.25">
      <c r="C3562" s="251"/>
      <c r="D3562" s="251"/>
      <c r="E3562" s="251"/>
      <c r="F3562" s="251"/>
      <c r="G3562" s="249"/>
      <c r="H3562" s="252"/>
      <c r="I3562" s="251"/>
      <c r="J3562" s="251"/>
      <c r="K3562" s="250"/>
      <c r="L3562" s="249"/>
    </row>
    <row r="3563" spans="3:12" s="244" customFormat="1" x14ac:dyDescent="0.25">
      <c r="C3563" s="251"/>
      <c r="D3563" s="251"/>
      <c r="E3563" s="251"/>
      <c r="F3563" s="251"/>
      <c r="G3563" s="249"/>
      <c r="H3563" s="252"/>
      <c r="I3563" s="251"/>
      <c r="J3563" s="251"/>
      <c r="K3563" s="250"/>
      <c r="L3563" s="249"/>
    </row>
    <row r="3564" spans="3:12" s="244" customFormat="1" x14ac:dyDescent="0.25">
      <c r="C3564" s="251"/>
      <c r="D3564" s="251"/>
      <c r="E3564" s="251"/>
      <c r="F3564" s="251"/>
      <c r="G3564" s="249"/>
      <c r="H3564" s="252"/>
      <c r="I3564" s="251"/>
      <c r="J3564" s="251"/>
      <c r="K3564" s="250"/>
      <c r="L3564" s="249"/>
    </row>
    <row r="3565" spans="3:12" s="244" customFormat="1" x14ac:dyDescent="0.25">
      <c r="C3565" s="251"/>
      <c r="D3565" s="251"/>
      <c r="E3565" s="251"/>
      <c r="F3565" s="251"/>
      <c r="G3565" s="249"/>
      <c r="H3565" s="252"/>
      <c r="I3565" s="251"/>
      <c r="J3565" s="251"/>
      <c r="K3565" s="250"/>
      <c r="L3565" s="249"/>
    </row>
    <row r="3566" spans="3:12" s="244" customFormat="1" x14ac:dyDescent="0.25">
      <c r="C3566" s="251"/>
      <c r="D3566" s="251"/>
      <c r="E3566" s="251"/>
      <c r="F3566" s="251"/>
      <c r="G3566" s="249"/>
      <c r="H3566" s="252"/>
      <c r="I3566" s="251"/>
      <c r="J3566" s="251"/>
      <c r="K3566" s="250"/>
      <c r="L3566" s="249"/>
    </row>
    <row r="3567" spans="3:12" s="244" customFormat="1" x14ac:dyDescent="0.25">
      <c r="C3567" s="251"/>
      <c r="D3567" s="251"/>
      <c r="E3567" s="251"/>
      <c r="F3567" s="251"/>
      <c r="G3567" s="249"/>
      <c r="H3567" s="252"/>
      <c r="I3567" s="251"/>
      <c r="J3567" s="251"/>
      <c r="K3567" s="250"/>
      <c r="L3567" s="249"/>
    </row>
    <row r="3568" spans="3:12" s="244" customFormat="1" x14ac:dyDescent="0.25">
      <c r="C3568" s="251"/>
      <c r="D3568" s="251"/>
      <c r="E3568" s="251"/>
      <c r="F3568" s="251"/>
      <c r="G3568" s="249"/>
      <c r="H3568" s="252"/>
      <c r="I3568" s="251"/>
      <c r="J3568" s="251"/>
      <c r="K3568" s="250"/>
      <c r="L3568" s="249"/>
    </row>
    <row r="3569" spans="3:12" s="244" customFormat="1" x14ac:dyDescent="0.25">
      <c r="C3569" s="251"/>
      <c r="D3569" s="251"/>
      <c r="E3569" s="251"/>
      <c r="F3569" s="251"/>
      <c r="G3569" s="249"/>
      <c r="H3569" s="252"/>
      <c r="I3569" s="251"/>
      <c r="J3569" s="251"/>
      <c r="K3569" s="250"/>
      <c r="L3569" s="249"/>
    </row>
    <row r="3570" spans="3:12" s="244" customFormat="1" x14ac:dyDescent="0.25">
      <c r="C3570" s="251"/>
      <c r="D3570" s="251"/>
      <c r="E3570" s="251"/>
      <c r="F3570" s="251"/>
      <c r="G3570" s="249"/>
      <c r="H3570" s="252"/>
      <c r="I3570" s="251"/>
      <c r="J3570" s="251"/>
      <c r="K3570" s="250"/>
      <c r="L3570" s="249"/>
    </row>
    <row r="3571" spans="3:12" s="244" customFormat="1" x14ac:dyDescent="0.25">
      <c r="C3571" s="251"/>
      <c r="D3571" s="251"/>
      <c r="E3571" s="251"/>
      <c r="F3571" s="251"/>
      <c r="G3571" s="249"/>
      <c r="H3571" s="252"/>
      <c r="I3571" s="251"/>
      <c r="J3571" s="251"/>
      <c r="K3571" s="250"/>
      <c r="L3571" s="249"/>
    </row>
    <row r="3572" spans="3:12" s="244" customFormat="1" x14ac:dyDescent="0.25">
      <c r="C3572" s="251"/>
      <c r="D3572" s="251"/>
      <c r="E3572" s="251"/>
      <c r="F3572" s="251"/>
      <c r="G3572" s="249"/>
      <c r="H3572" s="252"/>
      <c r="I3572" s="251"/>
      <c r="J3572" s="251"/>
      <c r="K3572" s="250"/>
      <c r="L3572" s="249"/>
    </row>
    <row r="3573" spans="3:12" s="244" customFormat="1" x14ac:dyDescent="0.25">
      <c r="C3573" s="251"/>
      <c r="D3573" s="251"/>
      <c r="E3573" s="251"/>
      <c r="F3573" s="251"/>
      <c r="G3573" s="249"/>
      <c r="H3573" s="252"/>
      <c r="I3573" s="251"/>
      <c r="J3573" s="251"/>
      <c r="K3573" s="250"/>
      <c r="L3573" s="249"/>
    </row>
    <row r="3574" spans="3:12" s="244" customFormat="1" x14ac:dyDescent="0.25">
      <c r="C3574" s="251"/>
      <c r="D3574" s="251"/>
      <c r="E3574" s="251"/>
      <c r="F3574" s="251"/>
      <c r="G3574" s="249"/>
      <c r="H3574" s="252"/>
      <c r="I3574" s="251"/>
      <c r="J3574" s="251"/>
      <c r="K3574" s="250"/>
      <c r="L3574" s="249"/>
    </row>
    <row r="3575" spans="3:12" s="244" customFormat="1" x14ac:dyDescent="0.25">
      <c r="C3575" s="251"/>
      <c r="D3575" s="251"/>
      <c r="E3575" s="251"/>
      <c r="F3575" s="251"/>
      <c r="G3575" s="249"/>
      <c r="H3575" s="252"/>
      <c r="I3575" s="251"/>
      <c r="J3575" s="251"/>
      <c r="K3575" s="250"/>
      <c r="L3575" s="249"/>
    </row>
    <row r="3576" spans="3:12" s="244" customFormat="1" x14ac:dyDescent="0.25">
      <c r="C3576" s="251"/>
      <c r="D3576" s="251"/>
      <c r="E3576" s="251"/>
      <c r="F3576" s="251"/>
      <c r="G3576" s="249"/>
      <c r="H3576" s="252"/>
      <c r="I3576" s="251"/>
      <c r="J3576" s="251"/>
      <c r="K3576" s="250"/>
      <c r="L3576" s="249"/>
    </row>
    <row r="3577" spans="3:12" s="244" customFormat="1" x14ac:dyDescent="0.25">
      <c r="C3577" s="251"/>
      <c r="D3577" s="251"/>
      <c r="E3577" s="251"/>
      <c r="F3577" s="251"/>
      <c r="G3577" s="249"/>
      <c r="H3577" s="252"/>
      <c r="I3577" s="251"/>
      <c r="J3577" s="251"/>
      <c r="K3577" s="250"/>
      <c r="L3577" s="249"/>
    </row>
    <row r="3578" spans="3:12" s="244" customFormat="1" x14ac:dyDescent="0.25">
      <c r="C3578" s="251"/>
      <c r="D3578" s="251"/>
      <c r="E3578" s="251"/>
      <c r="F3578" s="251"/>
      <c r="G3578" s="249"/>
      <c r="H3578" s="252"/>
      <c r="I3578" s="251"/>
      <c r="J3578" s="251"/>
      <c r="K3578" s="250"/>
      <c r="L3578" s="249"/>
    </row>
    <row r="3579" spans="3:12" s="244" customFormat="1" x14ac:dyDescent="0.25">
      <c r="C3579" s="251"/>
      <c r="D3579" s="251"/>
      <c r="E3579" s="251"/>
      <c r="F3579" s="251"/>
      <c r="G3579" s="249"/>
      <c r="H3579" s="252"/>
      <c r="I3579" s="251"/>
      <c r="J3579" s="251"/>
      <c r="K3579" s="250"/>
      <c r="L3579" s="249"/>
    </row>
    <row r="3580" spans="3:12" s="244" customFormat="1" x14ac:dyDescent="0.25">
      <c r="C3580" s="251"/>
      <c r="D3580" s="251"/>
      <c r="E3580" s="251"/>
      <c r="F3580" s="251"/>
      <c r="G3580" s="249"/>
      <c r="H3580" s="252"/>
      <c r="I3580" s="251"/>
      <c r="J3580" s="251"/>
      <c r="K3580" s="250"/>
      <c r="L3580" s="249"/>
    </row>
    <row r="3581" spans="3:12" s="244" customFormat="1" x14ac:dyDescent="0.25">
      <c r="C3581" s="251"/>
      <c r="D3581" s="251"/>
      <c r="E3581" s="251"/>
      <c r="F3581" s="251"/>
      <c r="G3581" s="249"/>
      <c r="H3581" s="252"/>
      <c r="I3581" s="251"/>
      <c r="J3581" s="251"/>
      <c r="K3581" s="250"/>
      <c r="L3581" s="249"/>
    </row>
    <row r="3582" spans="3:12" s="244" customFormat="1" x14ac:dyDescent="0.25">
      <c r="C3582" s="251"/>
      <c r="D3582" s="251"/>
      <c r="E3582" s="251"/>
      <c r="F3582" s="251"/>
      <c r="G3582" s="249"/>
      <c r="H3582" s="252"/>
      <c r="I3582" s="251"/>
      <c r="J3582" s="251"/>
      <c r="K3582" s="250"/>
      <c r="L3582" s="249"/>
    </row>
    <row r="3583" spans="3:12" s="244" customFormat="1" x14ac:dyDescent="0.25">
      <c r="C3583" s="251"/>
      <c r="D3583" s="251"/>
      <c r="E3583" s="251"/>
      <c r="F3583" s="251"/>
      <c r="G3583" s="249"/>
      <c r="H3583" s="252"/>
      <c r="I3583" s="251"/>
      <c r="J3583" s="251"/>
      <c r="K3583" s="250"/>
      <c r="L3583" s="249"/>
    </row>
    <row r="3584" spans="3:12" s="244" customFormat="1" x14ac:dyDescent="0.25">
      <c r="C3584" s="251"/>
      <c r="D3584" s="251"/>
      <c r="E3584" s="251"/>
      <c r="F3584" s="251"/>
      <c r="G3584" s="249"/>
      <c r="H3584" s="252"/>
      <c r="I3584" s="251"/>
      <c r="J3584" s="251"/>
      <c r="K3584" s="250"/>
      <c r="L3584" s="249"/>
    </row>
    <row r="3585" spans="3:12" s="244" customFormat="1" x14ac:dyDescent="0.25">
      <c r="C3585" s="251"/>
      <c r="D3585" s="251"/>
      <c r="E3585" s="251"/>
      <c r="F3585" s="251"/>
      <c r="G3585" s="249"/>
      <c r="H3585" s="252"/>
      <c r="I3585" s="251"/>
      <c r="J3585" s="251"/>
      <c r="K3585" s="250"/>
      <c r="L3585" s="249"/>
    </row>
    <row r="3586" spans="3:12" s="244" customFormat="1" x14ac:dyDescent="0.25">
      <c r="C3586" s="251"/>
      <c r="D3586" s="251"/>
      <c r="E3586" s="251"/>
      <c r="F3586" s="251"/>
      <c r="G3586" s="249"/>
      <c r="H3586" s="252"/>
      <c r="I3586" s="251"/>
      <c r="J3586" s="251"/>
      <c r="K3586" s="250"/>
      <c r="L3586" s="249"/>
    </row>
    <row r="3587" spans="3:12" s="244" customFormat="1" x14ac:dyDescent="0.25">
      <c r="C3587" s="251"/>
      <c r="D3587" s="251"/>
      <c r="E3587" s="251"/>
      <c r="F3587" s="251"/>
      <c r="G3587" s="249"/>
      <c r="H3587" s="252"/>
      <c r="I3587" s="251"/>
      <c r="J3587" s="251"/>
      <c r="K3587" s="250"/>
      <c r="L3587" s="249"/>
    </row>
    <row r="3588" spans="3:12" s="244" customFormat="1" x14ac:dyDescent="0.25">
      <c r="C3588" s="251"/>
      <c r="D3588" s="251"/>
      <c r="E3588" s="251"/>
      <c r="F3588" s="251"/>
      <c r="G3588" s="249"/>
      <c r="H3588" s="252"/>
      <c r="I3588" s="251"/>
      <c r="J3588" s="251"/>
      <c r="K3588" s="250"/>
      <c r="L3588" s="249"/>
    </row>
    <row r="3589" spans="3:12" s="244" customFormat="1" x14ac:dyDescent="0.25">
      <c r="C3589" s="251"/>
      <c r="D3589" s="251"/>
      <c r="E3589" s="251"/>
      <c r="F3589" s="251"/>
      <c r="G3589" s="249"/>
      <c r="H3589" s="252"/>
      <c r="I3589" s="251"/>
      <c r="J3589" s="251"/>
      <c r="K3589" s="250"/>
      <c r="L3589" s="249"/>
    </row>
    <row r="3590" spans="3:12" s="244" customFormat="1" x14ac:dyDescent="0.25">
      <c r="C3590" s="251"/>
      <c r="D3590" s="251"/>
      <c r="E3590" s="251"/>
      <c r="F3590" s="251"/>
      <c r="G3590" s="249"/>
      <c r="H3590" s="252"/>
      <c r="I3590" s="251"/>
      <c r="J3590" s="251"/>
      <c r="K3590" s="250"/>
      <c r="L3590" s="249"/>
    </row>
    <row r="3591" spans="3:12" s="244" customFormat="1" x14ac:dyDescent="0.25">
      <c r="C3591" s="251"/>
      <c r="D3591" s="251"/>
      <c r="E3591" s="251"/>
      <c r="F3591" s="251"/>
      <c r="G3591" s="249"/>
      <c r="H3591" s="252"/>
      <c r="I3591" s="251"/>
      <c r="J3591" s="251"/>
      <c r="K3591" s="250"/>
      <c r="L3591" s="249"/>
    </row>
    <row r="3592" spans="3:12" s="244" customFormat="1" x14ac:dyDescent="0.25">
      <c r="C3592" s="251"/>
      <c r="D3592" s="251"/>
      <c r="E3592" s="251"/>
      <c r="F3592" s="251"/>
      <c r="G3592" s="249"/>
      <c r="H3592" s="252"/>
      <c r="I3592" s="251"/>
      <c r="J3592" s="251"/>
      <c r="K3592" s="250"/>
      <c r="L3592" s="249"/>
    </row>
    <row r="3593" spans="3:12" s="244" customFormat="1" x14ac:dyDescent="0.25">
      <c r="C3593" s="251"/>
      <c r="D3593" s="251"/>
      <c r="E3593" s="251"/>
      <c r="F3593" s="251"/>
      <c r="G3593" s="249"/>
      <c r="H3593" s="252"/>
      <c r="I3593" s="251"/>
      <c r="J3593" s="251"/>
      <c r="K3593" s="250"/>
      <c r="L3593" s="249"/>
    </row>
    <row r="3594" spans="3:12" s="244" customFormat="1" x14ac:dyDescent="0.25">
      <c r="C3594" s="251"/>
      <c r="D3594" s="251"/>
      <c r="E3594" s="251"/>
      <c r="F3594" s="251"/>
      <c r="G3594" s="249"/>
      <c r="H3594" s="252"/>
      <c r="I3594" s="251"/>
      <c r="J3594" s="251"/>
      <c r="K3594" s="250"/>
      <c r="L3594" s="249"/>
    </row>
    <row r="3595" spans="3:12" s="244" customFormat="1" x14ac:dyDescent="0.25">
      <c r="C3595" s="251"/>
      <c r="D3595" s="251"/>
      <c r="E3595" s="251"/>
      <c r="F3595" s="251"/>
      <c r="G3595" s="249"/>
      <c r="H3595" s="252"/>
      <c r="I3595" s="251"/>
      <c r="J3595" s="251"/>
      <c r="K3595" s="250"/>
      <c r="L3595" s="249"/>
    </row>
    <row r="3596" spans="3:12" s="244" customFormat="1" x14ac:dyDescent="0.25">
      <c r="C3596" s="251"/>
      <c r="D3596" s="251"/>
      <c r="E3596" s="251"/>
      <c r="F3596" s="251"/>
      <c r="G3596" s="249"/>
      <c r="H3596" s="252"/>
      <c r="I3596" s="251"/>
      <c r="J3596" s="251"/>
      <c r="K3596" s="250"/>
      <c r="L3596" s="249"/>
    </row>
    <row r="3597" spans="3:12" s="244" customFormat="1" x14ac:dyDescent="0.25">
      <c r="C3597" s="251"/>
      <c r="D3597" s="251"/>
      <c r="E3597" s="251"/>
      <c r="F3597" s="251"/>
      <c r="G3597" s="249"/>
      <c r="H3597" s="252"/>
      <c r="I3597" s="251"/>
      <c r="J3597" s="251"/>
      <c r="K3597" s="250"/>
      <c r="L3597" s="249"/>
    </row>
    <row r="3598" spans="3:12" s="244" customFormat="1" x14ac:dyDescent="0.25">
      <c r="C3598" s="251"/>
      <c r="D3598" s="251"/>
      <c r="E3598" s="251"/>
      <c r="F3598" s="251"/>
      <c r="G3598" s="249"/>
      <c r="H3598" s="252"/>
      <c r="I3598" s="251"/>
      <c r="J3598" s="251"/>
      <c r="K3598" s="250"/>
      <c r="L3598" s="249"/>
    </row>
    <row r="3599" spans="3:12" s="244" customFormat="1" x14ac:dyDescent="0.25">
      <c r="C3599" s="251"/>
      <c r="D3599" s="251"/>
      <c r="E3599" s="251"/>
      <c r="F3599" s="251"/>
      <c r="G3599" s="249"/>
      <c r="H3599" s="252"/>
      <c r="I3599" s="251"/>
      <c r="J3599" s="251"/>
      <c r="K3599" s="250"/>
      <c r="L3599" s="249"/>
    </row>
    <row r="3600" spans="3:12" s="244" customFormat="1" x14ac:dyDescent="0.25">
      <c r="C3600" s="251"/>
      <c r="D3600" s="251"/>
      <c r="E3600" s="251"/>
      <c r="F3600" s="251"/>
      <c r="G3600" s="249"/>
      <c r="H3600" s="252"/>
      <c r="I3600" s="251"/>
      <c r="J3600" s="251"/>
      <c r="K3600" s="250"/>
      <c r="L3600" s="249"/>
    </row>
    <row r="3601" spans="3:12" s="244" customFormat="1" x14ac:dyDescent="0.25">
      <c r="C3601" s="251"/>
      <c r="D3601" s="251"/>
      <c r="E3601" s="251"/>
      <c r="F3601" s="251"/>
      <c r="G3601" s="249"/>
      <c r="H3601" s="252"/>
      <c r="I3601" s="251"/>
      <c r="J3601" s="251"/>
      <c r="K3601" s="250"/>
      <c r="L3601" s="249"/>
    </row>
    <row r="3602" spans="3:12" s="244" customFormat="1" x14ac:dyDescent="0.25">
      <c r="C3602" s="251"/>
      <c r="D3602" s="251"/>
      <c r="E3602" s="251"/>
      <c r="F3602" s="251"/>
      <c r="G3602" s="249"/>
      <c r="H3602" s="252"/>
      <c r="I3602" s="251"/>
      <c r="J3602" s="251"/>
      <c r="K3602" s="250"/>
      <c r="L3602" s="249"/>
    </row>
    <row r="3603" spans="3:12" s="244" customFormat="1" x14ac:dyDescent="0.25">
      <c r="C3603" s="251"/>
      <c r="D3603" s="251"/>
      <c r="E3603" s="251"/>
      <c r="F3603" s="251"/>
      <c r="G3603" s="249"/>
      <c r="H3603" s="252"/>
      <c r="I3603" s="251"/>
      <c r="J3603" s="251"/>
      <c r="K3603" s="250"/>
      <c r="L3603" s="249"/>
    </row>
    <row r="3604" spans="3:12" s="244" customFormat="1" x14ac:dyDescent="0.25">
      <c r="C3604" s="251"/>
      <c r="D3604" s="251"/>
      <c r="E3604" s="251"/>
      <c r="F3604" s="251"/>
      <c r="G3604" s="249"/>
      <c r="H3604" s="252"/>
      <c r="I3604" s="251"/>
      <c r="J3604" s="251"/>
      <c r="K3604" s="250"/>
      <c r="L3604" s="249"/>
    </row>
    <row r="3605" spans="3:12" s="244" customFormat="1" x14ac:dyDescent="0.25">
      <c r="C3605" s="251"/>
      <c r="D3605" s="251"/>
      <c r="E3605" s="251"/>
      <c r="F3605" s="251"/>
      <c r="G3605" s="249"/>
      <c r="H3605" s="252"/>
      <c r="I3605" s="251"/>
      <c r="J3605" s="251"/>
      <c r="K3605" s="250"/>
      <c r="L3605" s="249"/>
    </row>
    <row r="3606" spans="3:12" s="244" customFormat="1" x14ac:dyDescent="0.25">
      <c r="C3606" s="251"/>
      <c r="D3606" s="251"/>
      <c r="E3606" s="251"/>
      <c r="F3606" s="251"/>
      <c r="G3606" s="249"/>
      <c r="H3606" s="252"/>
      <c r="I3606" s="251"/>
      <c r="J3606" s="251"/>
      <c r="K3606" s="250"/>
      <c r="L3606" s="249"/>
    </row>
    <row r="3607" spans="3:12" s="244" customFormat="1" x14ac:dyDescent="0.25">
      <c r="C3607" s="251"/>
      <c r="D3607" s="251"/>
      <c r="E3607" s="251"/>
      <c r="F3607" s="251"/>
      <c r="G3607" s="249"/>
      <c r="H3607" s="252"/>
      <c r="I3607" s="251"/>
      <c r="J3607" s="251"/>
      <c r="K3607" s="250"/>
      <c r="L3607" s="249"/>
    </row>
    <row r="3608" spans="3:12" s="244" customFormat="1" x14ac:dyDescent="0.25">
      <c r="C3608" s="251"/>
      <c r="D3608" s="251"/>
      <c r="E3608" s="251"/>
      <c r="F3608" s="251"/>
      <c r="G3608" s="249"/>
      <c r="H3608" s="252"/>
      <c r="I3608" s="251"/>
      <c r="J3608" s="251"/>
      <c r="K3608" s="250"/>
      <c r="L3608" s="249"/>
    </row>
    <row r="3609" spans="3:12" s="244" customFormat="1" x14ac:dyDescent="0.25">
      <c r="C3609" s="251"/>
      <c r="D3609" s="251"/>
      <c r="E3609" s="251"/>
      <c r="F3609" s="251"/>
      <c r="G3609" s="249"/>
      <c r="H3609" s="252"/>
      <c r="I3609" s="251"/>
      <c r="J3609" s="251"/>
      <c r="K3609" s="250"/>
      <c r="L3609" s="249"/>
    </row>
    <row r="3610" spans="3:12" s="244" customFormat="1" x14ac:dyDescent="0.25">
      <c r="C3610" s="251"/>
      <c r="D3610" s="251"/>
      <c r="E3610" s="251"/>
      <c r="F3610" s="251"/>
      <c r="G3610" s="249"/>
      <c r="H3610" s="252"/>
      <c r="I3610" s="251"/>
      <c r="J3610" s="251"/>
      <c r="K3610" s="250"/>
      <c r="L3610" s="249"/>
    </row>
    <row r="3611" spans="3:12" s="244" customFormat="1" x14ac:dyDescent="0.25">
      <c r="C3611" s="251"/>
      <c r="D3611" s="251"/>
      <c r="E3611" s="251"/>
      <c r="F3611" s="251"/>
      <c r="G3611" s="249"/>
      <c r="H3611" s="252"/>
      <c r="I3611" s="251"/>
      <c r="J3611" s="251"/>
      <c r="K3611" s="250"/>
      <c r="L3611" s="249"/>
    </row>
    <row r="3612" spans="3:12" s="244" customFormat="1" x14ac:dyDescent="0.25">
      <c r="C3612" s="251"/>
      <c r="D3612" s="251"/>
      <c r="E3612" s="251"/>
      <c r="F3612" s="251"/>
      <c r="G3612" s="249"/>
      <c r="H3612" s="252"/>
      <c r="I3612" s="251"/>
      <c r="J3612" s="251"/>
      <c r="K3612" s="250"/>
      <c r="L3612" s="249"/>
    </row>
    <row r="3613" spans="3:12" s="244" customFormat="1" x14ac:dyDescent="0.25">
      <c r="C3613" s="251"/>
      <c r="D3613" s="251"/>
      <c r="E3613" s="251"/>
      <c r="F3613" s="251"/>
      <c r="G3613" s="249"/>
      <c r="H3613" s="252"/>
      <c r="I3613" s="251"/>
      <c r="J3613" s="251"/>
      <c r="K3613" s="250"/>
      <c r="L3613" s="249"/>
    </row>
    <row r="3614" spans="3:12" s="244" customFormat="1" x14ac:dyDescent="0.25">
      <c r="C3614" s="251"/>
      <c r="D3614" s="251"/>
      <c r="E3614" s="251"/>
      <c r="F3614" s="251"/>
      <c r="G3614" s="249"/>
      <c r="H3614" s="252"/>
      <c r="I3614" s="251"/>
      <c r="J3614" s="251"/>
      <c r="K3614" s="250"/>
      <c r="L3614" s="249"/>
    </row>
    <row r="3615" spans="3:12" s="244" customFormat="1" x14ac:dyDescent="0.25">
      <c r="C3615" s="251"/>
      <c r="D3615" s="251"/>
      <c r="E3615" s="251"/>
      <c r="F3615" s="251"/>
      <c r="G3615" s="249"/>
      <c r="H3615" s="252"/>
      <c r="I3615" s="251"/>
      <c r="J3615" s="251"/>
      <c r="K3615" s="250"/>
      <c r="L3615" s="249"/>
    </row>
    <row r="3616" spans="3:12" s="244" customFormat="1" x14ac:dyDescent="0.25">
      <c r="C3616" s="251"/>
      <c r="D3616" s="251"/>
      <c r="E3616" s="251"/>
      <c r="F3616" s="251"/>
      <c r="G3616" s="249"/>
      <c r="H3616" s="252"/>
      <c r="I3616" s="251"/>
      <c r="J3616" s="251"/>
      <c r="K3616" s="250"/>
      <c r="L3616" s="249"/>
    </row>
    <row r="3617" spans="3:12" s="244" customFormat="1" x14ac:dyDescent="0.25">
      <c r="C3617" s="251"/>
      <c r="D3617" s="251"/>
      <c r="E3617" s="251"/>
      <c r="F3617" s="251"/>
      <c r="G3617" s="249"/>
      <c r="H3617" s="252"/>
      <c r="I3617" s="251"/>
      <c r="J3617" s="251"/>
      <c r="K3617" s="250"/>
      <c r="L3617" s="249"/>
    </row>
    <row r="3618" spans="3:12" s="244" customFormat="1" x14ac:dyDescent="0.25">
      <c r="C3618" s="251"/>
      <c r="D3618" s="251"/>
      <c r="E3618" s="251"/>
      <c r="F3618" s="251"/>
      <c r="G3618" s="249"/>
      <c r="H3618" s="252"/>
      <c r="I3618" s="251"/>
      <c r="J3618" s="251"/>
      <c r="K3618" s="250"/>
      <c r="L3618" s="249"/>
    </row>
    <row r="3619" spans="3:12" s="244" customFormat="1" x14ac:dyDescent="0.25">
      <c r="C3619" s="251"/>
      <c r="D3619" s="251"/>
      <c r="E3619" s="251"/>
      <c r="F3619" s="251"/>
      <c r="G3619" s="249"/>
      <c r="H3619" s="252"/>
      <c r="I3619" s="251"/>
      <c r="J3619" s="251"/>
      <c r="K3619" s="250"/>
      <c r="L3619" s="249"/>
    </row>
    <row r="3620" spans="3:12" s="244" customFormat="1" x14ac:dyDescent="0.25">
      <c r="C3620" s="251"/>
      <c r="D3620" s="251"/>
      <c r="E3620" s="251"/>
      <c r="F3620" s="251"/>
      <c r="G3620" s="249"/>
      <c r="H3620" s="252"/>
      <c r="I3620" s="251"/>
      <c r="J3620" s="251"/>
      <c r="K3620" s="250"/>
      <c r="L3620" s="249"/>
    </row>
    <row r="3621" spans="3:12" s="244" customFormat="1" x14ac:dyDescent="0.25">
      <c r="C3621" s="251"/>
      <c r="D3621" s="251"/>
      <c r="E3621" s="251"/>
      <c r="F3621" s="251"/>
      <c r="G3621" s="249"/>
      <c r="H3621" s="252"/>
      <c r="I3621" s="251"/>
      <c r="J3621" s="251"/>
      <c r="K3621" s="250"/>
      <c r="L3621" s="249"/>
    </row>
    <row r="3622" spans="3:12" s="244" customFormat="1" x14ac:dyDescent="0.25">
      <c r="C3622" s="251"/>
      <c r="D3622" s="251"/>
      <c r="E3622" s="251"/>
      <c r="F3622" s="251"/>
      <c r="G3622" s="249"/>
      <c r="H3622" s="252"/>
      <c r="I3622" s="251"/>
      <c r="J3622" s="251"/>
      <c r="K3622" s="250"/>
      <c r="L3622" s="249"/>
    </row>
    <row r="3623" spans="3:12" s="244" customFormat="1" x14ac:dyDescent="0.25">
      <c r="C3623" s="251"/>
      <c r="D3623" s="251"/>
      <c r="E3623" s="251"/>
      <c r="F3623" s="251"/>
      <c r="G3623" s="249"/>
      <c r="H3623" s="252"/>
      <c r="I3623" s="251"/>
      <c r="J3623" s="251"/>
      <c r="K3623" s="250"/>
      <c r="L3623" s="249"/>
    </row>
    <row r="3624" spans="3:12" s="244" customFormat="1" x14ac:dyDescent="0.25">
      <c r="C3624" s="251"/>
      <c r="D3624" s="251"/>
      <c r="E3624" s="251"/>
      <c r="F3624" s="251"/>
      <c r="G3624" s="249"/>
      <c r="H3624" s="252"/>
      <c r="I3624" s="251"/>
      <c r="J3624" s="251"/>
      <c r="K3624" s="250"/>
      <c r="L3624" s="249"/>
    </row>
    <row r="3625" spans="3:12" s="244" customFormat="1" x14ac:dyDescent="0.25">
      <c r="C3625" s="251"/>
      <c r="D3625" s="251"/>
      <c r="E3625" s="251"/>
      <c r="F3625" s="251"/>
      <c r="G3625" s="249"/>
      <c r="H3625" s="252"/>
      <c r="I3625" s="251"/>
      <c r="J3625" s="251"/>
      <c r="K3625" s="250"/>
      <c r="L3625" s="249"/>
    </row>
    <row r="3626" spans="3:12" s="244" customFormat="1" x14ac:dyDescent="0.25">
      <c r="C3626" s="251"/>
      <c r="D3626" s="251"/>
      <c r="E3626" s="251"/>
      <c r="F3626" s="251"/>
      <c r="G3626" s="249"/>
      <c r="H3626" s="252"/>
      <c r="I3626" s="251"/>
      <c r="J3626" s="251"/>
      <c r="K3626" s="250"/>
      <c r="L3626" s="249"/>
    </row>
    <row r="3627" spans="3:12" s="244" customFormat="1" x14ac:dyDescent="0.25">
      <c r="C3627" s="251"/>
      <c r="D3627" s="251"/>
      <c r="E3627" s="251"/>
      <c r="F3627" s="251"/>
      <c r="G3627" s="249"/>
      <c r="H3627" s="252"/>
      <c r="I3627" s="251"/>
      <c r="J3627" s="251"/>
      <c r="K3627" s="250"/>
      <c r="L3627" s="249"/>
    </row>
    <row r="3628" spans="3:12" s="244" customFormat="1" x14ac:dyDescent="0.25">
      <c r="C3628" s="251"/>
      <c r="D3628" s="251"/>
      <c r="E3628" s="251"/>
      <c r="F3628" s="251"/>
      <c r="G3628" s="249"/>
      <c r="H3628" s="252"/>
      <c r="I3628" s="251"/>
      <c r="J3628" s="251"/>
      <c r="K3628" s="250"/>
      <c r="L3628" s="249"/>
    </row>
    <row r="3629" spans="3:12" s="244" customFormat="1" x14ac:dyDescent="0.25">
      <c r="C3629" s="251"/>
      <c r="D3629" s="251"/>
      <c r="E3629" s="251"/>
      <c r="F3629" s="251"/>
      <c r="G3629" s="249"/>
      <c r="H3629" s="252"/>
      <c r="I3629" s="251"/>
      <c r="J3629" s="251"/>
      <c r="K3629" s="250"/>
      <c r="L3629" s="249"/>
    </row>
    <row r="3630" spans="3:12" s="244" customFormat="1" x14ac:dyDescent="0.25">
      <c r="C3630" s="251"/>
      <c r="D3630" s="251"/>
      <c r="E3630" s="251"/>
      <c r="F3630" s="251"/>
      <c r="G3630" s="249"/>
      <c r="H3630" s="252"/>
      <c r="I3630" s="251"/>
      <c r="J3630" s="251"/>
      <c r="K3630" s="250"/>
      <c r="L3630" s="249"/>
    </row>
    <row r="3631" spans="3:12" s="244" customFormat="1" x14ac:dyDescent="0.25">
      <c r="C3631" s="251"/>
      <c r="D3631" s="251"/>
      <c r="E3631" s="251"/>
      <c r="F3631" s="251"/>
      <c r="G3631" s="249"/>
      <c r="H3631" s="252"/>
      <c r="I3631" s="251"/>
      <c r="J3631" s="251"/>
      <c r="K3631" s="250"/>
      <c r="L3631" s="249"/>
    </row>
    <row r="3632" spans="3:12" s="244" customFormat="1" x14ac:dyDescent="0.25">
      <c r="C3632" s="251"/>
      <c r="D3632" s="251"/>
      <c r="E3632" s="251"/>
      <c r="F3632" s="251"/>
      <c r="G3632" s="249"/>
      <c r="H3632" s="252"/>
      <c r="I3632" s="251"/>
      <c r="J3632" s="251"/>
      <c r="K3632" s="250"/>
      <c r="L3632" s="249"/>
    </row>
    <row r="3633" spans="3:12" s="244" customFormat="1" x14ac:dyDescent="0.25">
      <c r="C3633" s="251"/>
      <c r="D3633" s="251"/>
      <c r="E3633" s="251"/>
      <c r="F3633" s="251"/>
      <c r="G3633" s="249"/>
      <c r="H3633" s="252"/>
      <c r="I3633" s="251"/>
      <c r="J3633" s="251"/>
      <c r="K3633" s="250"/>
      <c r="L3633" s="249"/>
    </row>
    <row r="3634" spans="3:12" s="244" customFormat="1" x14ac:dyDescent="0.25">
      <c r="C3634" s="251"/>
      <c r="D3634" s="251"/>
      <c r="E3634" s="251"/>
      <c r="F3634" s="251"/>
      <c r="G3634" s="249"/>
      <c r="H3634" s="252"/>
      <c r="I3634" s="251"/>
      <c r="J3634" s="251"/>
      <c r="K3634" s="250"/>
      <c r="L3634" s="249"/>
    </row>
    <row r="3635" spans="3:12" s="244" customFormat="1" x14ac:dyDescent="0.25">
      <c r="C3635" s="251"/>
      <c r="D3635" s="251"/>
      <c r="E3635" s="251"/>
      <c r="F3635" s="251"/>
      <c r="G3635" s="249"/>
      <c r="H3635" s="252"/>
      <c r="I3635" s="251"/>
      <c r="J3635" s="251"/>
      <c r="K3635" s="250"/>
      <c r="L3635" s="249"/>
    </row>
    <row r="3636" spans="3:12" s="244" customFormat="1" x14ac:dyDescent="0.25">
      <c r="C3636" s="251"/>
      <c r="D3636" s="251"/>
      <c r="E3636" s="251"/>
      <c r="F3636" s="251"/>
      <c r="G3636" s="249"/>
      <c r="H3636" s="252"/>
      <c r="I3636" s="251"/>
      <c r="J3636" s="251"/>
      <c r="K3636" s="250"/>
      <c r="L3636" s="249"/>
    </row>
    <row r="3637" spans="3:12" s="244" customFormat="1" x14ac:dyDescent="0.25">
      <c r="C3637" s="251"/>
      <c r="D3637" s="251"/>
      <c r="E3637" s="251"/>
      <c r="F3637" s="251"/>
      <c r="G3637" s="249"/>
      <c r="H3637" s="252"/>
      <c r="I3637" s="251"/>
      <c r="J3637" s="251"/>
      <c r="K3637" s="250"/>
      <c r="L3637" s="249"/>
    </row>
    <row r="3638" spans="3:12" s="244" customFormat="1" x14ac:dyDescent="0.25">
      <c r="C3638" s="251"/>
      <c r="D3638" s="251"/>
      <c r="E3638" s="251"/>
      <c r="F3638" s="251"/>
      <c r="G3638" s="249"/>
      <c r="H3638" s="252"/>
      <c r="I3638" s="251"/>
      <c r="J3638" s="251"/>
      <c r="K3638" s="250"/>
      <c r="L3638" s="249"/>
    </row>
    <row r="3639" spans="3:12" s="244" customFormat="1" x14ac:dyDescent="0.25">
      <c r="C3639" s="251"/>
      <c r="D3639" s="251"/>
      <c r="E3639" s="251"/>
      <c r="F3639" s="251"/>
      <c r="G3639" s="249"/>
      <c r="H3639" s="252"/>
      <c r="I3639" s="251"/>
      <c r="J3639" s="251"/>
      <c r="K3639" s="250"/>
      <c r="L3639" s="249"/>
    </row>
    <row r="3640" spans="3:12" s="244" customFormat="1" x14ac:dyDescent="0.25">
      <c r="C3640" s="251"/>
      <c r="D3640" s="251"/>
      <c r="E3640" s="251"/>
      <c r="F3640" s="251"/>
      <c r="G3640" s="249"/>
      <c r="H3640" s="252"/>
      <c r="I3640" s="251"/>
      <c r="J3640" s="251"/>
      <c r="K3640" s="250"/>
      <c r="L3640" s="249"/>
    </row>
    <row r="3641" spans="3:12" s="244" customFormat="1" x14ac:dyDescent="0.25">
      <c r="C3641" s="251"/>
      <c r="D3641" s="251"/>
      <c r="E3641" s="251"/>
      <c r="F3641" s="251"/>
      <c r="G3641" s="249"/>
      <c r="H3641" s="252"/>
      <c r="I3641" s="251"/>
      <c r="J3641" s="251"/>
      <c r="K3641" s="250"/>
      <c r="L3641" s="249"/>
    </row>
    <row r="3642" spans="3:12" s="244" customFormat="1" x14ac:dyDescent="0.25">
      <c r="C3642" s="251"/>
      <c r="D3642" s="251"/>
      <c r="E3642" s="251"/>
      <c r="F3642" s="251"/>
      <c r="G3642" s="249"/>
      <c r="H3642" s="252"/>
      <c r="I3642" s="251"/>
      <c r="J3642" s="251"/>
      <c r="K3642" s="250"/>
      <c r="L3642" s="249"/>
    </row>
    <row r="3643" spans="3:12" s="244" customFormat="1" x14ac:dyDescent="0.25">
      <c r="C3643" s="251"/>
      <c r="D3643" s="251"/>
      <c r="E3643" s="251"/>
      <c r="F3643" s="251"/>
      <c r="G3643" s="249"/>
      <c r="H3643" s="252"/>
      <c r="I3643" s="251"/>
      <c r="J3643" s="251"/>
      <c r="K3643" s="250"/>
      <c r="L3643" s="249"/>
    </row>
    <row r="3644" spans="3:12" s="244" customFormat="1" x14ac:dyDescent="0.25">
      <c r="C3644" s="251"/>
      <c r="D3644" s="251"/>
      <c r="E3644" s="251"/>
      <c r="F3644" s="251"/>
      <c r="G3644" s="249"/>
      <c r="H3644" s="252"/>
      <c r="I3644" s="251"/>
      <c r="J3644" s="251"/>
      <c r="K3644" s="250"/>
      <c r="L3644" s="249"/>
    </row>
    <row r="3645" spans="3:12" s="244" customFormat="1" x14ac:dyDescent="0.25">
      <c r="C3645" s="251"/>
      <c r="D3645" s="251"/>
      <c r="E3645" s="251"/>
      <c r="F3645" s="251"/>
      <c r="G3645" s="249"/>
      <c r="H3645" s="252"/>
      <c r="I3645" s="251"/>
      <c r="J3645" s="251"/>
      <c r="K3645" s="250"/>
      <c r="L3645" s="249"/>
    </row>
    <row r="3646" spans="3:12" s="244" customFormat="1" x14ac:dyDescent="0.25">
      <c r="C3646" s="251"/>
      <c r="D3646" s="251"/>
      <c r="E3646" s="251"/>
      <c r="F3646" s="251"/>
      <c r="G3646" s="249"/>
      <c r="H3646" s="252"/>
      <c r="I3646" s="251"/>
      <c r="J3646" s="251"/>
      <c r="K3646" s="250"/>
      <c r="L3646" s="249"/>
    </row>
    <row r="3647" spans="3:12" s="244" customFormat="1" x14ac:dyDescent="0.25">
      <c r="C3647" s="251"/>
      <c r="D3647" s="251"/>
      <c r="E3647" s="251"/>
      <c r="F3647" s="251"/>
      <c r="G3647" s="249"/>
      <c r="H3647" s="252"/>
      <c r="I3647" s="251"/>
      <c r="J3647" s="251"/>
      <c r="K3647" s="250"/>
      <c r="L3647" s="249"/>
    </row>
    <row r="3648" spans="3:12" s="244" customFormat="1" x14ac:dyDescent="0.25">
      <c r="C3648" s="251"/>
      <c r="D3648" s="251"/>
      <c r="E3648" s="251"/>
      <c r="F3648" s="251"/>
      <c r="G3648" s="249"/>
      <c r="H3648" s="252"/>
      <c r="I3648" s="251"/>
      <c r="J3648" s="251"/>
      <c r="K3648" s="250"/>
      <c r="L3648" s="249"/>
    </row>
    <row r="3649" spans="3:12" s="244" customFormat="1" x14ac:dyDescent="0.25">
      <c r="C3649" s="251"/>
      <c r="D3649" s="251"/>
      <c r="E3649" s="251"/>
      <c r="F3649" s="251"/>
      <c r="G3649" s="249"/>
      <c r="H3649" s="252"/>
      <c r="I3649" s="251"/>
      <c r="J3649" s="251"/>
      <c r="K3649" s="250"/>
      <c r="L3649" s="249"/>
    </row>
    <row r="3650" spans="3:12" s="244" customFormat="1" x14ac:dyDescent="0.25">
      <c r="C3650" s="251"/>
      <c r="D3650" s="251"/>
      <c r="E3650" s="251"/>
      <c r="F3650" s="251"/>
      <c r="G3650" s="249"/>
      <c r="H3650" s="252"/>
      <c r="I3650" s="251"/>
      <c r="J3650" s="251"/>
      <c r="K3650" s="250"/>
      <c r="L3650" s="249"/>
    </row>
    <row r="3651" spans="3:12" s="244" customFormat="1" x14ac:dyDescent="0.25">
      <c r="C3651" s="251"/>
      <c r="D3651" s="251"/>
      <c r="E3651" s="251"/>
      <c r="F3651" s="251"/>
      <c r="G3651" s="249"/>
      <c r="H3651" s="252"/>
      <c r="I3651" s="251"/>
      <c r="J3651" s="251"/>
      <c r="K3651" s="250"/>
      <c r="L3651" s="249"/>
    </row>
    <row r="3652" spans="3:12" s="244" customFormat="1" x14ac:dyDescent="0.25">
      <c r="C3652" s="251"/>
      <c r="D3652" s="251"/>
      <c r="E3652" s="251"/>
      <c r="F3652" s="251"/>
      <c r="G3652" s="249"/>
      <c r="H3652" s="252"/>
      <c r="I3652" s="251"/>
      <c r="J3652" s="251"/>
      <c r="K3652" s="250"/>
      <c r="L3652" s="249"/>
    </row>
    <row r="3653" spans="3:12" s="244" customFormat="1" x14ac:dyDescent="0.25">
      <c r="C3653" s="251"/>
      <c r="D3653" s="251"/>
      <c r="E3653" s="251"/>
      <c r="F3653" s="251"/>
      <c r="G3653" s="249"/>
      <c r="H3653" s="252"/>
      <c r="I3653" s="251"/>
      <c r="J3653" s="251"/>
      <c r="K3653" s="250"/>
      <c r="L3653" s="249"/>
    </row>
    <row r="3654" spans="3:12" s="244" customFormat="1" x14ac:dyDescent="0.25">
      <c r="C3654" s="251"/>
      <c r="D3654" s="251"/>
      <c r="E3654" s="251"/>
      <c r="F3654" s="251"/>
      <c r="G3654" s="249"/>
      <c r="H3654" s="252"/>
      <c r="I3654" s="251"/>
      <c r="J3654" s="251"/>
      <c r="K3654" s="250"/>
      <c r="L3654" s="249"/>
    </row>
    <row r="3655" spans="3:12" s="244" customFormat="1" x14ac:dyDescent="0.25">
      <c r="C3655" s="251"/>
      <c r="D3655" s="251"/>
      <c r="E3655" s="251"/>
      <c r="F3655" s="251"/>
      <c r="G3655" s="249"/>
      <c r="H3655" s="252"/>
      <c r="I3655" s="251"/>
      <c r="J3655" s="251"/>
      <c r="K3655" s="250"/>
      <c r="L3655" s="249"/>
    </row>
    <row r="3656" spans="3:12" s="244" customFormat="1" x14ac:dyDescent="0.25">
      <c r="C3656" s="251"/>
      <c r="D3656" s="251"/>
      <c r="E3656" s="251"/>
      <c r="F3656" s="251"/>
      <c r="G3656" s="249"/>
      <c r="H3656" s="252"/>
      <c r="I3656" s="251"/>
      <c r="J3656" s="251"/>
      <c r="K3656" s="250"/>
      <c r="L3656" s="249"/>
    </row>
    <row r="3657" spans="3:12" s="244" customFormat="1" x14ac:dyDescent="0.25">
      <c r="C3657" s="251"/>
      <c r="D3657" s="251"/>
      <c r="E3657" s="251"/>
      <c r="F3657" s="251"/>
      <c r="G3657" s="249"/>
      <c r="H3657" s="252"/>
      <c r="I3657" s="251"/>
      <c r="J3657" s="251"/>
      <c r="K3657" s="250"/>
      <c r="L3657" s="249"/>
    </row>
    <row r="3658" spans="3:12" s="244" customFormat="1" x14ac:dyDescent="0.25">
      <c r="C3658" s="251"/>
      <c r="D3658" s="251"/>
      <c r="E3658" s="251"/>
      <c r="F3658" s="251"/>
      <c r="G3658" s="249"/>
      <c r="H3658" s="252"/>
      <c r="I3658" s="251"/>
      <c r="J3658" s="251"/>
      <c r="K3658" s="250"/>
      <c r="L3658" s="249"/>
    </row>
    <row r="3659" spans="3:12" s="244" customFormat="1" x14ac:dyDescent="0.25">
      <c r="C3659" s="251"/>
      <c r="D3659" s="251"/>
      <c r="E3659" s="251"/>
      <c r="F3659" s="251"/>
      <c r="G3659" s="249"/>
      <c r="H3659" s="252"/>
      <c r="I3659" s="251"/>
      <c r="J3659" s="251"/>
      <c r="K3659" s="250"/>
      <c r="L3659" s="249"/>
    </row>
    <row r="3660" spans="3:12" s="244" customFormat="1" x14ac:dyDescent="0.25">
      <c r="C3660" s="251"/>
      <c r="D3660" s="251"/>
      <c r="E3660" s="251"/>
      <c r="F3660" s="251"/>
      <c r="G3660" s="249"/>
      <c r="H3660" s="252"/>
      <c r="I3660" s="251"/>
      <c r="J3660" s="251"/>
      <c r="K3660" s="250"/>
      <c r="L3660" s="249"/>
    </row>
    <row r="3661" spans="3:12" s="244" customFormat="1" x14ac:dyDescent="0.25">
      <c r="C3661" s="251"/>
      <c r="D3661" s="251"/>
      <c r="E3661" s="251"/>
      <c r="F3661" s="251"/>
      <c r="G3661" s="249"/>
      <c r="H3661" s="252"/>
      <c r="I3661" s="251"/>
      <c r="J3661" s="251"/>
      <c r="K3661" s="250"/>
      <c r="L3661" s="249"/>
    </row>
    <row r="3662" spans="3:12" s="244" customFormat="1" x14ac:dyDescent="0.25">
      <c r="C3662" s="251"/>
      <c r="D3662" s="251"/>
      <c r="E3662" s="251"/>
      <c r="F3662" s="251"/>
      <c r="G3662" s="249"/>
      <c r="H3662" s="252"/>
      <c r="I3662" s="251"/>
      <c r="J3662" s="251"/>
      <c r="K3662" s="250"/>
      <c r="L3662" s="249"/>
    </row>
    <row r="3663" spans="3:12" s="244" customFormat="1" x14ac:dyDescent="0.25">
      <c r="C3663" s="251"/>
      <c r="D3663" s="251"/>
      <c r="E3663" s="251"/>
      <c r="F3663" s="251"/>
      <c r="G3663" s="249"/>
      <c r="H3663" s="252"/>
      <c r="I3663" s="251"/>
      <c r="J3663" s="251"/>
      <c r="K3663" s="250"/>
      <c r="L3663" s="249"/>
    </row>
    <row r="3664" spans="3:12" s="244" customFormat="1" x14ac:dyDescent="0.25">
      <c r="C3664" s="251"/>
      <c r="D3664" s="251"/>
      <c r="E3664" s="251"/>
      <c r="F3664" s="251"/>
      <c r="G3664" s="249"/>
      <c r="H3664" s="252"/>
      <c r="I3664" s="251"/>
      <c r="J3664" s="251"/>
      <c r="K3664" s="250"/>
      <c r="L3664" s="249"/>
    </row>
    <row r="3665" spans="3:12" s="244" customFormat="1" x14ac:dyDescent="0.25">
      <c r="C3665" s="251"/>
      <c r="D3665" s="251"/>
      <c r="E3665" s="251"/>
      <c r="F3665" s="251"/>
      <c r="G3665" s="249"/>
      <c r="H3665" s="252"/>
      <c r="I3665" s="251"/>
      <c r="J3665" s="251"/>
      <c r="K3665" s="250"/>
      <c r="L3665" s="249"/>
    </row>
    <row r="3666" spans="3:12" s="244" customFormat="1" x14ac:dyDescent="0.25">
      <c r="C3666" s="251"/>
      <c r="D3666" s="251"/>
      <c r="E3666" s="251"/>
      <c r="F3666" s="251"/>
      <c r="G3666" s="249"/>
      <c r="H3666" s="252"/>
      <c r="I3666" s="251"/>
      <c r="J3666" s="251"/>
      <c r="K3666" s="250"/>
      <c r="L3666" s="249"/>
    </row>
    <row r="3667" spans="3:12" s="244" customFormat="1" x14ac:dyDescent="0.25">
      <c r="C3667" s="251"/>
      <c r="D3667" s="251"/>
      <c r="E3667" s="251"/>
      <c r="F3667" s="251"/>
      <c r="G3667" s="249"/>
      <c r="H3667" s="252"/>
      <c r="I3667" s="251"/>
      <c r="J3667" s="251"/>
      <c r="K3667" s="250"/>
      <c r="L3667" s="249"/>
    </row>
    <row r="3668" spans="3:12" s="244" customFormat="1" x14ac:dyDescent="0.25">
      <c r="C3668" s="251"/>
      <c r="D3668" s="251"/>
      <c r="E3668" s="251"/>
      <c r="F3668" s="251"/>
      <c r="G3668" s="249"/>
      <c r="H3668" s="252"/>
      <c r="I3668" s="251"/>
      <c r="J3668" s="251"/>
      <c r="K3668" s="250"/>
      <c r="L3668" s="249"/>
    </row>
    <row r="3669" spans="3:12" s="244" customFormat="1" x14ac:dyDescent="0.25">
      <c r="C3669" s="251"/>
      <c r="D3669" s="251"/>
      <c r="E3669" s="251"/>
      <c r="F3669" s="251"/>
      <c r="G3669" s="249"/>
      <c r="H3669" s="252"/>
      <c r="I3669" s="251"/>
      <c r="J3669" s="251"/>
      <c r="K3669" s="250"/>
      <c r="L3669" s="249"/>
    </row>
    <row r="3670" spans="3:12" s="244" customFormat="1" x14ac:dyDescent="0.25">
      <c r="C3670" s="251"/>
      <c r="D3670" s="251"/>
      <c r="E3670" s="251"/>
      <c r="F3670" s="251"/>
      <c r="G3670" s="249"/>
      <c r="H3670" s="252"/>
      <c r="I3670" s="251"/>
      <c r="J3670" s="251"/>
      <c r="K3670" s="250"/>
      <c r="L3670" s="249"/>
    </row>
    <row r="3671" spans="3:12" s="244" customFormat="1" x14ac:dyDescent="0.25">
      <c r="C3671" s="251"/>
      <c r="D3671" s="251"/>
      <c r="E3671" s="251"/>
      <c r="F3671" s="251"/>
      <c r="G3671" s="249"/>
      <c r="H3671" s="252"/>
      <c r="I3671" s="251"/>
      <c r="J3671" s="251"/>
      <c r="K3671" s="250"/>
      <c r="L3671" s="249"/>
    </row>
    <row r="3672" spans="3:12" s="244" customFormat="1" x14ac:dyDescent="0.25">
      <c r="C3672" s="251"/>
      <c r="D3672" s="251"/>
      <c r="E3672" s="251"/>
      <c r="F3672" s="251"/>
      <c r="G3672" s="249"/>
      <c r="H3672" s="252"/>
      <c r="I3672" s="251"/>
      <c r="J3672" s="251"/>
      <c r="K3672" s="250"/>
      <c r="L3672" s="249"/>
    </row>
    <row r="3673" spans="3:12" s="244" customFormat="1" x14ac:dyDescent="0.25">
      <c r="C3673" s="251"/>
      <c r="D3673" s="251"/>
      <c r="E3673" s="251"/>
      <c r="F3673" s="251"/>
      <c r="G3673" s="249"/>
      <c r="H3673" s="252"/>
      <c r="I3673" s="251"/>
      <c r="J3673" s="251"/>
      <c r="K3673" s="250"/>
      <c r="L3673" s="249"/>
    </row>
    <row r="3674" spans="3:12" s="244" customFormat="1" x14ac:dyDescent="0.25">
      <c r="C3674" s="251"/>
      <c r="D3674" s="251"/>
      <c r="E3674" s="251"/>
      <c r="F3674" s="251"/>
      <c r="G3674" s="249"/>
      <c r="H3674" s="252"/>
      <c r="I3674" s="251"/>
      <c r="J3674" s="251"/>
      <c r="K3674" s="250"/>
      <c r="L3674" s="249"/>
    </row>
    <row r="3675" spans="3:12" s="244" customFormat="1" x14ac:dyDescent="0.25">
      <c r="C3675" s="251"/>
      <c r="D3675" s="251"/>
      <c r="E3675" s="251"/>
      <c r="F3675" s="251"/>
      <c r="G3675" s="249"/>
      <c r="H3675" s="252"/>
      <c r="I3675" s="251"/>
      <c r="J3675" s="251"/>
      <c r="K3675" s="250"/>
      <c r="L3675" s="249"/>
    </row>
    <row r="3676" spans="3:12" s="244" customFormat="1" x14ac:dyDescent="0.25">
      <c r="C3676" s="251"/>
      <c r="D3676" s="251"/>
      <c r="E3676" s="251"/>
      <c r="F3676" s="251"/>
      <c r="G3676" s="249"/>
      <c r="H3676" s="252"/>
      <c r="I3676" s="251"/>
      <c r="J3676" s="251"/>
      <c r="K3676" s="250"/>
      <c r="L3676" s="249"/>
    </row>
    <row r="3677" spans="3:12" s="244" customFormat="1" x14ac:dyDescent="0.25">
      <c r="C3677" s="251"/>
      <c r="D3677" s="251"/>
      <c r="E3677" s="251"/>
      <c r="F3677" s="251"/>
      <c r="G3677" s="249"/>
      <c r="H3677" s="252"/>
      <c r="I3677" s="251"/>
      <c r="J3677" s="251"/>
      <c r="K3677" s="250"/>
      <c r="L3677" s="249"/>
    </row>
    <row r="3678" spans="3:12" s="244" customFormat="1" x14ac:dyDescent="0.25">
      <c r="C3678" s="251"/>
      <c r="D3678" s="251"/>
      <c r="E3678" s="251"/>
      <c r="F3678" s="251"/>
      <c r="G3678" s="249"/>
      <c r="H3678" s="252"/>
      <c r="I3678" s="251"/>
      <c r="J3678" s="251"/>
      <c r="K3678" s="250"/>
      <c r="L3678" s="249"/>
    </row>
    <row r="3679" spans="3:12" s="244" customFormat="1" x14ac:dyDescent="0.25">
      <c r="C3679" s="251"/>
      <c r="D3679" s="251"/>
      <c r="E3679" s="251"/>
      <c r="F3679" s="251"/>
      <c r="G3679" s="249"/>
      <c r="H3679" s="252"/>
      <c r="I3679" s="251"/>
      <c r="J3679" s="251"/>
      <c r="K3679" s="250"/>
      <c r="L3679" s="249"/>
    </row>
    <row r="3680" spans="3:12" s="244" customFormat="1" x14ac:dyDescent="0.25">
      <c r="C3680" s="251"/>
      <c r="D3680" s="251"/>
      <c r="E3680" s="251"/>
      <c r="F3680" s="251"/>
      <c r="G3680" s="249"/>
      <c r="H3680" s="252"/>
      <c r="I3680" s="251"/>
      <c r="J3680" s="251"/>
      <c r="K3680" s="250"/>
      <c r="L3680" s="249"/>
    </row>
    <row r="3681" spans="3:12" s="244" customFormat="1" x14ac:dyDescent="0.25">
      <c r="C3681" s="251"/>
      <c r="D3681" s="251"/>
      <c r="E3681" s="251"/>
      <c r="F3681" s="251"/>
      <c r="G3681" s="249"/>
      <c r="H3681" s="252"/>
      <c r="I3681" s="251"/>
      <c r="J3681" s="251"/>
      <c r="K3681" s="250"/>
      <c r="L3681" s="249"/>
    </row>
    <row r="3682" spans="3:12" s="244" customFormat="1" x14ac:dyDescent="0.25">
      <c r="C3682" s="251"/>
      <c r="D3682" s="251"/>
      <c r="E3682" s="251"/>
      <c r="F3682" s="251"/>
      <c r="G3682" s="249"/>
      <c r="H3682" s="252"/>
      <c r="I3682" s="251"/>
      <c r="J3682" s="251"/>
      <c r="K3682" s="250"/>
      <c r="L3682" s="249"/>
    </row>
    <row r="3683" spans="3:12" s="244" customFormat="1" x14ac:dyDescent="0.25">
      <c r="C3683" s="251"/>
      <c r="D3683" s="251"/>
      <c r="E3683" s="251"/>
      <c r="F3683" s="251"/>
      <c r="G3683" s="249"/>
      <c r="H3683" s="252"/>
      <c r="I3683" s="251"/>
      <c r="J3683" s="251"/>
      <c r="K3683" s="250"/>
      <c r="L3683" s="249"/>
    </row>
    <row r="3684" spans="3:12" s="244" customFormat="1" x14ac:dyDescent="0.25">
      <c r="C3684" s="251"/>
      <c r="D3684" s="251"/>
      <c r="E3684" s="251"/>
      <c r="F3684" s="251"/>
      <c r="G3684" s="249"/>
      <c r="H3684" s="252"/>
      <c r="I3684" s="251"/>
      <c r="J3684" s="251"/>
      <c r="K3684" s="250"/>
      <c r="L3684" s="249"/>
    </row>
    <row r="3685" spans="3:12" s="244" customFormat="1" x14ac:dyDescent="0.25">
      <c r="C3685" s="251"/>
      <c r="D3685" s="251"/>
      <c r="E3685" s="251"/>
      <c r="F3685" s="251"/>
      <c r="G3685" s="249"/>
      <c r="H3685" s="252"/>
      <c r="I3685" s="251"/>
      <c r="J3685" s="251"/>
      <c r="K3685" s="250"/>
      <c r="L3685" s="249"/>
    </row>
    <row r="3686" spans="3:12" s="244" customFormat="1" x14ac:dyDescent="0.25">
      <c r="C3686" s="251"/>
      <c r="D3686" s="251"/>
      <c r="E3686" s="251"/>
      <c r="F3686" s="251"/>
      <c r="G3686" s="249"/>
      <c r="H3686" s="252"/>
      <c r="I3686" s="251"/>
      <c r="J3686" s="251"/>
      <c r="K3686" s="250"/>
      <c r="L3686" s="249"/>
    </row>
    <row r="3687" spans="3:12" s="244" customFormat="1" x14ac:dyDescent="0.25">
      <c r="C3687" s="251"/>
      <c r="D3687" s="251"/>
      <c r="E3687" s="251"/>
      <c r="F3687" s="251"/>
      <c r="G3687" s="249"/>
      <c r="H3687" s="252"/>
      <c r="I3687" s="251"/>
      <c r="J3687" s="251"/>
      <c r="K3687" s="250"/>
      <c r="L3687" s="249"/>
    </row>
    <row r="3688" spans="3:12" s="244" customFormat="1" x14ac:dyDescent="0.25">
      <c r="C3688" s="251"/>
      <c r="D3688" s="251"/>
      <c r="E3688" s="251"/>
      <c r="F3688" s="251"/>
      <c r="G3688" s="249"/>
      <c r="H3688" s="252"/>
      <c r="I3688" s="251"/>
      <c r="J3688" s="251"/>
      <c r="K3688" s="250"/>
      <c r="L3688" s="249"/>
    </row>
    <row r="3689" spans="3:12" s="244" customFormat="1" x14ac:dyDescent="0.25">
      <c r="C3689" s="251"/>
      <c r="D3689" s="251"/>
      <c r="E3689" s="251"/>
      <c r="F3689" s="251"/>
      <c r="G3689" s="249"/>
      <c r="H3689" s="252"/>
      <c r="I3689" s="251"/>
      <c r="J3689" s="251"/>
      <c r="K3689" s="250"/>
      <c r="L3689" s="249"/>
    </row>
    <row r="3690" spans="3:12" s="244" customFormat="1" x14ac:dyDescent="0.25">
      <c r="C3690" s="251"/>
      <c r="D3690" s="251"/>
      <c r="E3690" s="251"/>
      <c r="F3690" s="251"/>
      <c r="G3690" s="249"/>
      <c r="H3690" s="252"/>
      <c r="I3690" s="251"/>
      <c r="J3690" s="251"/>
      <c r="K3690" s="250"/>
      <c r="L3690" s="249"/>
    </row>
    <row r="3691" spans="3:12" s="244" customFormat="1" x14ac:dyDescent="0.25">
      <c r="C3691" s="251"/>
      <c r="D3691" s="251"/>
      <c r="E3691" s="251"/>
      <c r="F3691" s="251"/>
      <c r="G3691" s="249"/>
      <c r="H3691" s="252"/>
      <c r="I3691" s="251"/>
      <c r="J3691" s="251"/>
      <c r="K3691" s="250"/>
      <c r="L3691" s="249"/>
    </row>
    <row r="3692" spans="3:12" s="244" customFormat="1" x14ac:dyDescent="0.25">
      <c r="C3692" s="251"/>
      <c r="D3692" s="251"/>
      <c r="E3692" s="251"/>
      <c r="F3692" s="251"/>
      <c r="G3692" s="249"/>
      <c r="H3692" s="252"/>
      <c r="I3692" s="251"/>
      <c r="J3692" s="251"/>
      <c r="K3692" s="250"/>
      <c r="L3692" s="249"/>
    </row>
    <row r="3693" spans="3:12" s="244" customFormat="1" x14ac:dyDescent="0.25">
      <c r="C3693" s="251"/>
      <c r="D3693" s="251"/>
      <c r="E3693" s="251"/>
      <c r="F3693" s="251"/>
      <c r="G3693" s="249"/>
      <c r="H3693" s="252"/>
      <c r="I3693" s="251"/>
      <c r="J3693" s="251"/>
      <c r="K3693" s="250"/>
      <c r="L3693" s="249"/>
    </row>
    <row r="3694" spans="3:12" s="244" customFormat="1" x14ac:dyDescent="0.25">
      <c r="C3694" s="251"/>
      <c r="D3694" s="251"/>
      <c r="E3694" s="251"/>
      <c r="F3694" s="251"/>
      <c r="G3694" s="249"/>
      <c r="H3694" s="252"/>
      <c r="I3694" s="251"/>
      <c r="J3694" s="251"/>
      <c r="K3694" s="250"/>
      <c r="L3694" s="249"/>
    </row>
    <row r="3695" spans="3:12" s="244" customFormat="1" x14ac:dyDescent="0.25">
      <c r="C3695" s="251"/>
      <c r="D3695" s="251"/>
      <c r="E3695" s="251"/>
      <c r="F3695" s="251"/>
      <c r="G3695" s="249"/>
      <c r="H3695" s="252"/>
      <c r="I3695" s="251"/>
      <c r="J3695" s="251"/>
      <c r="K3695" s="250"/>
      <c r="L3695" s="249"/>
    </row>
    <row r="3696" spans="3:12" s="244" customFormat="1" x14ac:dyDescent="0.25">
      <c r="C3696" s="251"/>
      <c r="D3696" s="251"/>
      <c r="E3696" s="251"/>
      <c r="F3696" s="251"/>
      <c r="G3696" s="249"/>
      <c r="H3696" s="252"/>
      <c r="I3696" s="251"/>
      <c r="J3696" s="251"/>
      <c r="K3696" s="250"/>
      <c r="L3696" s="249"/>
    </row>
    <row r="3697" spans="3:12" s="244" customFormat="1" x14ac:dyDescent="0.25">
      <c r="C3697" s="251"/>
      <c r="D3697" s="251"/>
      <c r="E3697" s="251"/>
      <c r="F3697" s="251"/>
      <c r="G3697" s="249"/>
      <c r="H3697" s="252"/>
      <c r="I3697" s="251"/>
      <c r="J3697" s="251"/>
      <c r="K3697" s="250"/>
      <c r="L3697" s="249"/>
    </row>
    <row r="3698" spans="3:12" s="244" customFormat="1" x14ac:dyDescent="0.25">
      <c r="C3698" s="251"/>
      <c r="D3698" s="251"/>
      <c r="E3698" s="251"/>
      <c r="F3698" s="251"/>
      <c r="G3698" s="249"/>
      <c r="H3698" s="252"/>
      <c r="I3698" s="251"/>
      <c r="J3698" s="251"/>
      <c r="K3698" s="250"/>
      <c r="L3698" s="249"/>
    </row>
    <row r="3699" spans="3:12" s="244" customFormat="1" x14ac:dyDescent="0.25">
      <c r="C3699" s="251"/>
      <c r="D3699" s="251"/>
      <c r="E3699" s="251"/>
      <c r="F3699" s="251"/>
      <c r="G3699" s="249"/>
      <c r="H3699" s="252"/>
      <c r="I3699" s="251"/>
      <c r="J3699" s="251"/>
      <c r="K3699" s="250"/>
      <c r="L3699" s="249"/>
    </row>
    <row r="3700" spans="3:12" s="244" customFormat="1" x14ac:dyDescent="0.25">
      <c r="C3700" s="251"/>
      <c r="D3700" s="251"/>
      <c r="E3700" s="251"/>
      <c r="F3700" s="251"/>
      <c r="G3700" s="249"/>
      <c r="H3700" s="252"/>
      <c r="I3700" s="251"/>
      <c r="J3700" s="251"/>
      <c r="K3700" s="250"/>
      <c r="L3700" s="249"/>
    </row>
    <row r="3701" spans="3:12" s="244" customFormat="1" x14ac:dyDescent="0.25">
      <c r="C3701" s="251"/>
      <c r="D3701" s="251"/>
      <c r="E3701" s="251"/>
      <c r="F3701" s="251"/>
      <c r="G3701" s="249"/>
      <c r="H3701" s="252"/>
      <c r="I3701" s="251"/>
      <c r="J3701" s="251"/>
      <c r="K3701" s="250"/>
      <c r="L3701" s="249"/>
    </row>
    <row r="3702" spans="3:12" s="244" customFormat="1" x14ac:dyDescent="0.25">
      <c r="C3702" s="251"/>
      <c r="D3702" s="251"/>
      <c r="E3702" s="251"/>
      <c r="F3702" s="251"/>
      <c r="G3702" s="249"/>
      <c r="H3702" s="252"/>
      <c r="I3702" s="251"/>
      <c r="J3702" s="251"/>
      <c r="K3702" s="250"/>
      <c r="L3702" s="249"/>
    </row>
    <row r="3703" spans="3:12" s="244" customFormat="1" x14ac:dyDescent="0.25">
      <c r="C3703" s="251"/>
      <c r="D3703" s="251"/>
      <c r="E3703" s="251"/>
      <c r="F3703" s="251"/>
      <c r="G3703" s="249"/>
      <c r="H3703" s="252"/>
      <c r="I3703" s="251"/>
      <c r="J3703" s="251"/>
      <c r="K3703" s="250"/>
      <c r="L3703" s="249"/>
    </row>
    <row r="3704" spans="3:12" s="244" customFormat="1" x14ac:dyDescent="0.25">
      <c r="C3704" s="251"/>
      <c r="D3704" s="251"/>
      <c r="E3704" s="251"/>
      <c r="F3704" s="251"/>
      <c r="G3704" s="249"/>
      <c r="H3704" s="252"/>
      <c r="I3704" s="251"/>
      <c r="J3704" s="251"/>
      <c r="K3704" s="250"/>
      <c r="L3704" s="249"/>
    </row>
    <row r="3705" spans="3:12" s="244" customFormat="1" x14ac:dyDescent="0.25">
      <c r="C3705" s="251"/>
      <c r="D3705" s="251"/>
      <c r="E3705" s="251"/>
      <c r="F3705" s="251"/>
      <c r="G3705" s="249"/>
      <c r="H3705" s="252"/>
      <c r="I3705" s="251"/>
      <c r="J3705" s="251"/>
      <c r="K3705" s="250"/>
      <c r="L3705" s="249"/>
    </row>
    <row r="3706" spans="3:12" s="244" customFormat="1" x14ac:dyDescent="0.25">
      <c r="C3706" s="251"/>
      <c r="D3706" s="251"/>
      <c r="E3706" s="251"/>
      <c r="F3706" s="251"/>
      <c r="G3706" s="249"/>
      <c r="H3706" s="252"/>
      <c r="I3706" s="251"/>
      <c r="J3706" s="251"/>
      <c r="K3706" s="250"/>
      <c r="L3706" s="249"/>
    </row>
    <row r="3707" spans="3:12" s="244" customFormat="1" x14ac:dyDescent="0.25">
      <c r="C3707" s="251"/>
      <c r="D3707" s="251"/>
      <c r="E3707" s="251"/>
      <c r="F3707" s="251"/>
      <c r="G3707" s="249"/>
      <c r="H3707" s="252"/>
      <c r="I3707" s="251"/>
      <c r="J3707" s="251"/>
      <c r="K3707" s="250"/>
      <c r="L3707" s="249"/>
    </row>
    <row r="3708" spans="3:12" s="244" customFormat="1" x14ac:dyDescent="0.25">
      <c r="C3708" s="251"/>
      <c r="D3708" s="251"/>
      <c r="E3708" s="251"/>
      <c r="F3708" s="251"/>
      <c r="G3708" s="249"/>
      <c r="H3708" s="252"/>
      <c r="I3708" s="251"/>
      <c r="J3708" s="251"/>
      <c r="K3708" s="250"/>
      <c r="L3708" s="249"/>
    </row>
    <row r="3709" spans="3:12" s="244" customFormat="1" x14ac:dyDescent="0.25">
      <c r="C3709" s="251"/>
      <c r="D3709" s="251"/>
      <c r="E3709" s="251"/>
      <c r="F3709" s="251"/>
      <c r="G3709" s="249"/>
      <c r="H3709" s="252"/>
      <c r="I3709" s="251"/>
      <c r="J3709" s="251"/>
      <c r="K3709" s="250"/>
      <c r="L3709" s="249"/>
    </row>
    <row r="3710" spans="3:12" s="244" customFormat="1" x14ac:dyDescent="0.25">
      <c r="C3710" s="251"/>
      <c r="D3710" s="251"/>
      <c r="E3710" s="251"/>
      <c r="F3710" s="251"/>
      <c r="G3710" s="249"/>
      <c r="H3710" s="252"/>
      <c r="I3710" s="251"/>
      <c r="J3710" s="251"/>
      <c r="K3710" s="250"/>
      <c r="L3710" s="249"/>
    </row>
    <row r="3711" spans="3:12" s="244" customFormat="1" x14ac:dyDescent="0.25">
      <c r="C3711" s="251"/>
      <c r="D3711" s="251"/>
      <c r="E3711" s="251"/>
      <c r="F3711" s="251"/>
      <c r="G3711" s="249"/>
      <c r="H3711" s="252"/>
      <c r="I3711" s="251"/>
      <c r="J3711" s="251"/>
      <c r="K3711" s="250"/>
      <c r="L3711" s="249"/>
    </row>
    <row r="3712" spans="3:12" s="244" customFormat="1" x14ac:dyDescent="0.25">
      <c r="C3712" s="251"/>
      <c r="D3712" s="251"/>
      <c r="E3712" s="251"/>
      <c r="F3712" s="251"/>
      <c r="G3712" s="249"/>
      <c r="H3712" s="252"/>
      <c r="I3712" s="251"/>
      <c r="J3712" s="251"/>
      <c r="K3712" s="250"/>
      <c r="L3712" s="249"/>
    </row>
    <row r="3713" spans="3:12" s="244" customFormat="1" x14ac:dyDescent="0.25">
      <c r="C3713" s="251"/>
      <c r="D3713" s="251"/>
      <c r="E3713" s="251"/>
      <c r="F3713" s="251"/>
      <c r="G3713" s="249"/>
      <c r="H3713" s="252"/>
      <c r="I3713" s="251"/>
      <c r="J3713" s="251"/>
      <c r="K3713" s="250"/>
      <c r="L3713" s="249"/>
    </row>
    <row r="3714" spans="3:12" s="244" customFormat="1" x14ac:dyDescent="0.25">
      <c r="C3714" s="251"/>
      <c r="D3714" s="251"/>
      <c r="E3714" s="251"/>
      <c r="F3714" s="251"/>
      <c r="G3714" s="249"/>
      <c r="H3714" s="252"/>
      <c r="I3714" s="251"/>
      <c r="J3714" s="251"/>
      <c r="K3714" s="250"/>
      <c r="L3714" s="249"/>
    </row>
    <row r="3715" spans="3:12" s="244" customFormat="1" x14ac:dyDescent="0.25">
      <c r="C3715" s="251"/>
      <c r="D3715" s="251"/>
      <c r="E3715" s="251"/>
      <c r="F3715" s="251"/>
      <c r="G3715" s="249"/>
      <c r="H3715" s="252"/>
      <c r="I3715" s="251"/>
      <c r="J3715" s="251"/>
      <c r="K3715" s="250"/>
      <c r="L3715" s="249"/>
    </row>
    <row r="3716" spans="3:12" s="244" customFormat="1" x14ac:dyDescent="0.25">
      <c r="C3716" s="251"/>
      <c r="D3716" s="251"/>
      <c r="E3716" s="251"/>
      <c r="F3716" s="251"/>
      <c r="G3716" s="249"/>
      <c r="H3716" s="252"/>
      <c r="I3716" s="251"/>
      <c r="J3716" s="251"/>
      <c r="K3716" s="250"/>
      <c r="L3716" s="249"/>
    </row>
    <row r="3717" spans="3:12" s="244" customFormat="1" x14ac:dyDescent="0.25">
      <c r="C3717" s="251"/>
      <c r="D3717" s="251"/>
      <c r="E3717" s="251"/>
      <c r="F3717" s="251"/>
      <c r="G3717" s="249"/>
      <c r="H3717" s="252"/>
      <c r="I3717" s="251"/>
      <c r="J3717" s="251"/>
      <c r="K3717" s="250"/>
      <c r="L3717" s="249"/>
    </row>
    <row r="3718" spans="3:12" s="244" customFormat="1" x14ac:dyDescent="0.25">
      <c r="C3718" s="251"/>
      <c r="D3718" s="251"/>
      <c r="E3718" s="251"/>
      <c r="F3718" s="251"/>
      <c r="G3718" s="249"/>
      <c r="H3718" s="252"/>
      <c r="I3718" s="251"/>
      <c r="J3718" s="251"/>
      <c r="K3718" s="250"/>
      <c r="L3718" s="249"/>
    </row>
    <row r="3719" spans="3:12" s="244" customFormat="1" x14ac:dyDescent="0.25">
      <c r="C3719" s="251"/>
      <c r="D3719" s="251"/>
      <c r="E3719" s="251"/>
      <c r="F3719" s="251"/>
      <c r="G3719" s="249"/>
      <c r="H3719" s="252"/>
      <c r="I3719" s="251"/>
      <c r="J3719" s="251"/>
      <c r="K3719" s="250"/>
      <c r="L3719" s="249"/>
    </row>
    <row r="3720" spans="3:12" s="244" customFormat="1" x14ac:dyDescent="0.25">
      <c r="C3720" s="251"/>
      <c r="D3720" s="251"/>
      <c r="E3720" s="251"/>
      <c r="F3720" s="251"/>
      <c r="G3720" s="249"/>
      <c r="H3720" s="252"/>
      <c r="I3720" s="251"/>
      <c r="J3720" s="251"/>
      <c r="K3720" s="250"/>
      <c r="L3720" s="249"/>
    </row>
    <row r="3721" spans="3:12" s="244" customFormat="1" x14ac:dyDescent="0.25">
      <c r="C3721" s="251"/>
      <c r="D3721" s="251"/>
      <c r="E3721" s="251"/>
      <c r="F3721" s="251"/>
      <c r="G3721" s="249"/>
      <c r="H3721" s="252"/>
      <c r="I3721" s="251"/>
      <c r="J3721" s="251"/>
      <c r="K3721" s="250"/>
      <c r="L3721" s="249"/>
    </row>
    <row r="3722" spans="3:12" s="244" customFormat="1" x14ac:dyDescent="0.25">
      <c r="C3722" s="251"/>
      <c r="D3722" s="251"/>
      <c r="E3722" s="251"/>
      <c r="F3722" s="251"/>
      <c r="G3722" s="249"/>
      <c r="H3722" s="252"/>
      <c r="I3722" s="251"/>
      <c r="J3722" s="251"/>
      <c r="K3722" s="250"/>
      <c r="L3722" s="249"/>
    </row>
    <row r="3723" spans="3:12" s="244" customFormat="1" x14ac:dyDescent="0.25">
      <c r="C3723" s="251"/>
      <c r="D3723" s="251"/>
      <c r="E3723" s="251"/>
      <c r="F3723" s="251"/>
      <c r="G3723" s="249"/>
      <c r="H3723" s="252"/>
      <c r="I3723" s="251"/>
      <c r="J3723" s="251"/>
      <c r="K3723" s="250"/>
      <c r="L3723" s="249"/>
    </row>
    <row r="3724" spans="3:12" s="244" customFormat="1" x14ac:dyDescent="0.25">
      <c r="C3724" s="251"/>
      <c r="D3724" s="251"/>
      <c r="E3724" s="251"/>
      <c r="F3724" s="251"/>
      <c r="G3724" s="249"/>
      <c r="H3724" s="252"/>
      <c r="I3724" s="251"/>
      <c r="J3724" s="251"/>
      <c r="K3724" s="250"/>
      <c r="L3724" s="249"/>
    </row>
    <row r="3725" spans="3:12" s="244" customFormat="1" x14ac:dyDescent="0.25">
      <c r="C3725" s="251"/>
      <c r="D3725" s="251"/>
      <c r="E3725" s="251"/>
      <c r="F3725" s="251"/>
      <c r="G3725" s="249"/>
      <c r="H3725" s="252"/>
      <c r="I3725" s="251"/>
      <c r="J3725" s="251"/>
      <c r="K3725" s="250"/>
      <c r="L3725" s="249"/>
    </row>
    <row r="3726" spans="3:12" s="244" customFormat="1" x14ac:dyDescent="0.25">
      <c r="C3726" s="251"/>
      <c r="D3726" s="251"/>
      <c r="E3726" s="251"/>
      <c r="F3726" s="251"/>
      <c r="G3726" s="249"/>
      <c r="H3726" s="252"/>
      <c r="I3726" s="251"/>
      <c r="J3726" s="251"/>
      <c r="K3726" s="250"/>
      <c r="L3726" s="249"/>
    </row>
    <row r="3727" spans="3:12" s="244" customFormat="1" x14ac:dyDescent="0.25">
      <c r="C3727" s="251"/>
      <c r="D3727" s="251"/>
      <c r="E3727" s="251"/>
      <c r="F3727" s="251"/>
      <c r="G3727" s="249"/>
      <c r="H3727" s="252"/>
      <c r="I3727" s="251"/>
      <c r="J3727" s="251"/>
      <c r="K3727" s="250"/>
      <c r="L3727" s="249"/>
    </row>
    <row r="3728" spans="3:12" s="244" customFormat="1" x14ac:dyDescent="0.25">
      <c r="C3728" s="251"/>
      <c r="D3728" s="251"/>
      <c r="E3728" s="251"/>
      <c r="F3728" s="251"/>
      <c r="G3728" s="249"/>
      <c r="H3728" s="252"/>
      <c r="I3728" s="251"/>
      <c r="J3728" s="251"/>
      <c r="K3728" s="250"/>
      <c r="L3728" s="249"/>
    </row>
    <row r="3729" spans="3:12" s="244" customFormat="1" x14ac:dyDescent="0.25">
      <c r="C3729" s="251"/>
      <c r="D3729" s="251"/>
      <c r="E3729" s="251"/>
      <c r="F3729" s="251"/>
      <c r="G3729" s="249"/>
      <c r="H3729" s="252"/>
      <c r="I3729" s="251"/>
      <c r="J3729" s="251"/>
      <c r="K3729" s="250"/>
      <c r="L3729" s="249"/>
    </row>
    <row r="3730" spans="3:12" s="244" customFormat="1" x14ac:dyDescent="0.25">
      <c r="C3730" s="251"/>
      <c r="D3730" s="251"/>
      <c r="E3730" s="251"/>
      <c r="F3730" s="251"/>
      <c r="G3730" s="249"/>
      <c r="H3730" s="252"/>
      <c r="I3730" s="251"/>
      <c r="J3730" s="251"/>
      <c r="K3730" s="250"/>
      <c r="L3730" s="249"/>
    </row>
    <row r="3731" spans="3:12" s="244" customFormat="1" x14ac:dyDescent="0.25">
      <c r="C3731" s="251"/>
      <c r="D3731" s="251"/>
      <c r="E3731" s="251"/>
      <c r="F3731" s="251"/>
      <c r="G3731" s="249"/>
      <c r="H3731" s="252"/>
      <c r="I3731" s="251"/>
      <c r="J3731" s="251"/>
      <c r="K3731" s="250"/>
      <c r="L3731" s="249"/>
    </row>
    <row r="3732" spans="3:12" s="244" customFormat="1" x14ac:dyDescent="0.25">
      <c r="C3732" s="251"/>
      <c r="D3732" s="251"/>
      <c r="E3732" s="251"/>
      <c r="F3732" s="251"/>
      <c r="G3732" s="249"/>
      <c r="H3732" s="252"/>
      <c r="I3732" s="251"/>
      <c r="J3732" s="251"/>
      <c r="K3732" s="250"/>
      <c r="L3732" s="249"/>
    </row>
    <row r="3733" spans="3:12" s="244" customFormat="1" x14ac:dyDescent="0.25">
      <c r="C3733" s="251"/>
      <c r="D3733" s="251"/>
      <c r="E3733" s="251"/>
      <c r="F3733" s="251"/>
      <c r="G3733" s="249"/>
      <c r="H3733" s="252"/>
      <c r="I3733" s="251"/>
      <c r="J3733" s="251"/>
      <c r="K3733" s="250"/>
      <c r="L3733" s="249"/>
    </row>
    <row r="3734" spans="3:12" s="244" customFormat="1" x14ac:dyDescent="0.25">
      <c r="C3734" s="251"/>
      <c r="D3734" s="251"/>
      <c r="E3734" s="251"/>
      <c r="F3734" s="251"/>
      <c r="G3734" s="249"/>
      <c r="H3734" s="252"/>
      <c r="I3734" s="251"/>
      <c r="J3734" s="251"/>
      <c r="K3734" s="250"/>
      <c r="L3734" s="249"/>
    </row>
    <row r="3735" spans="3:12" s="244" customFormat="1" x14ac:dyDescent="0.25">
      <c r="C3735" s="251"/>
      <c r="D3735" s="251"/>
      <c r="E3735" s="251"/>
      <c r="F3735" s="251"/>
      <c r="G3735" s="249"/>
      <c r="H3735" s="252"/>
      <c r="I3735" s="251"/>
      <c r="J3735" s="251"/>
      <c r="K3735" s="250"/>
      <c r="L3735" s="249"/>
    </row>
    <row r="3736" spans="3:12" s="244" customFormat="1" x14ac:dyDescent="0.25">
      <c r="C3736" s="251"/>
      <c r="D3736" s="251"/>
      <c r="E3736" s="251"/>
      <c r="F3736" s="251"/>
      <c r="G3736" s="249"/>
      <c r="H3736" s="252"/>
      <c r="I3736" s="251"/>
      <c r="J3736" s="251"/>
      <c r="K3736" s="250"/>
      <c r="L3736" s="249"/>
    </row>
    <row r="3737" spans="3:12" s="244" customFormat="1" x14ac:dyDescent="0.25">
      <c r="C3737" s="251"/>
      <c r="D3737" s="251"/>
      <c r="E3737" s="251"/>
      <c r="F3737" s="251"/>
      <c r="G3737" s="249"/>
      <c r="H3737" s="252"/>
      <c r="I3737" s="251"/>
      <c r="J3737" s="251"/>
      <c r="K3737" s="250"/>
      <c r="L3737" s="249"/>
    </row>
    <row r="3738" spans="3:12" s="244" customFormat="1" x14ac:dyDescent="0.25">
      <c r="C3738" s="251"/>
      <c r="D3738" s="251"/>
      <c r="E3738" s="251"/>
      <c r="F3738" s="251"/>
      <c r="G3738" s="249"/>
      <c r="H3738" s="252"/>
      <c r="I3738" s="251"/>
      <c r="J3738" s="251"/>
      <c r="K3738" s="250"/>
      <c r="L3738" s="249"/>
    </row>
    <row r="3739" spans="3:12" s="244" customFormat="1" x14ac:dyDescent="0.25">
      <c r="C3739" s="251"/>
      <c r="D3739" s="251"/>
      <c r="E3739" s="251"/>
      <c r="F3739" s="251"/>
      <c r="G3739" s="249"/>
      <c r="H3739" s="252"/>
      <c r="I3739" s="251"/>
      <c r="J3739" s="251"/>
      <c r="K3739" s="250"/>
      <c r="L3739" s="249"/>
    </row>
    <row r="3740" spans="3:12" s="244" customFormat="1" x14ac:dyDescent="0.25">
      <c r="C3740" s="251"/>
      <c r="D3740" s="251"/>
      <c r="E3740" s="251"/>
      <c r="F3740" s="251"/>
      <c r="G3740" s="249"/>
      <c r="H3740" s="252"/>
      <c r="I3740" s="251"/>
      <c r="J3740" s="251"/>
      <c r="K3740" s="250"/>
      <c r="L3740" s="249"/>
    </row>
    <row r="3741" spans="3:12" s="244" customFormat="1" x14ac:dyDescent="0.25">
      <c r="C3741" s="251"/>
      <c r="D3741" s="251"/>
      <c r="E3741" s="251"/>
      <c r="F3741" s="251"/>
      <c r="G3741" s="249"/>
      <c r="H3741" s="252"/>
      <c r="I3741" s="251"/>
      <c r="J3741" s="251"/>
      <c r="K3741" s="250"/>
      <c r="L3741" s="249"/>
    </row>
    <row r="3742" spans="3:12" s="244" customFormat="1" x14ac:dyDescent="0.25">
      <c r="C3742" s="251"/>
      <c r="D3742" s="251"/>
      <c r="E3742" s="251"/>
      <c r="F3742" s="251"/>
      <c r="G3742" s="249"/>
      <c r="H3742" s="252"/>
      <c r="I3742" s="251"/>
      <c r="J3742" s="251"/>
      <c r="K3742" s="250"/>
      <c r="L3742" s="249"/>
    </row>
    <row r="3743" spans="3:12" s="244" customFormat="1" x14ac:dyDescent="0.25">
      <c r="C3743" s="251"/>
      <c r="D3743" s="251"/>
      <c r="E3743" s="251"/>
      <c r="F3743" s="251"/>
      <c r="G3743" s="249"/>
      <c r="H3743" s="252"/>
      <c r="I3743" s="251"/>
      <c r="J3743" s="251"/>
      <c r="K3743" s="250"/>
      <c r="L3743" s="249"/>
    </row>
    <row r="3744" spans="3:12" s="244" customFormat="1" x14ac:dyDescent="0.25">
      <c r="C3744" s="251"/>
      <c r="D3744" s="251"/>
      <c r="E3744" s="251"/>
      <c r="F3744" s="251"/>
      <c r="G3744" s="249"/>
      <c r="H3744" s="252"/>
      <c r="I3744" s="251"/>
      <c r="J3744" s="251"/>
      <c r="K3744" s="250"/>
      <c r="L3744" s="249"/>
    </row>
    <row r="3745" spans="3:12" s="244" customFormat="1" x14ac:dyDescent="0.25">
      <c r="C3745" s="251"/>
      <c r="D3745" s="251"/>
      <c r="E3745" s="251"/>
      <c r="F3745" s="251"/>
      <c r="G3745" s="249"/>
      <c r="H3745" s="252"/>
      <c r="I3745" s="251"/>
      <c r="J3745" s="251"/>
      <c r="K3745" s="250"/>
      <c r="L3745" s="249"/>
    </row>
    <row r="3746" spans="3:12" s="244" customFormat="1" x14ac:dyDescent="0.25">
      <c r="C3746" s="251"/>
      <c r="D3746" s="251"/>
      <c r="E3746" s="251"/>
      <c r="F3746" s="251"/>
      <c r="G3746" s="249"/>
      <c r="H3746" s="252"/>
      <c r="I3746" s="251"/>
      <c r="J3746" s="251"/>
      <c r="K3746" s="250"/>
      <c r="L3746" s="249"/>
    </row>
    <row r="3747" spans="3:12" s="244" customFormat="1" x14ac:dyDescent="0.25">
      <c r="C3747" s="251"/>
      <c r="D3747" s="251"/>
      <c r="E3747" s="251"/>
      <c r="F3747" s="251"/>
      <c r="G3747" s="249"/>
      <c r="H3747" s="252"/>
      <c r="I3747" s="251"/>
      <c r="J3747" s="251"/>
      <c r="K3747" s="250"/>
      <c r="L3747" s="249"/>
    </row>
    <row r="3748" spans="3:12" s="244" customFormat="1" x14ac:dyDescent="0.25">
      <c r="C3748" s="251"/>
      <c r="D3748" s="251"/>
      <c r="E3748" s="251"/>
      <c r="F3748" s="251"/>
      <c r="G3748" s="249"/>
      <c r="H3748" s="252"/>
      <c r="I3748" s="251"/>
      <c r="J3748" s="251"/>
      <c r="K3748" s="250"/>
      <c r="L3748" s="249"/>
    </row>
    <row r="3749" spans="3:12" s="244" customFormat="1" x14ac:dyDescent="0.25">
      <c r="C3749" s="251"/>
      <c r="D3749" s="251"/>
      <c r="E3749" s="251"/>
      <c r="F3749" s="251"/>
      <c r="G3749" s="249"/>
      <c r="H3749" s="252"/>
      <c r="I3749" s="251"/>
      <c r="J3749" s="251"/>
      <c r="K3749" s="250"/>
      <c r="L3749" s="249"/>
    </row>
    <row r="3750" spans="3:12" s="244" customFormat="1" x14ac:dyDescent="0.25">
      <c r="C3750" s="251"/>
      <c r="D3750" s="251"/>
      <c r="E3750" s="251"/>
      <c r="F3750" s="251"/>
      <c r="G3750" s="249"/>
      <c r="H3750" s="252"/>
      <c r="I3750" s="251"/>
      <c r="J3750" s="251"/>
      <c r="K3750" s="250"/>
      <c r="L3750" s="249"/>
    </row>
    <row r="3751" spans="3:12" s="244" customFormat="1" x14ac:dyDescent="0.25">
      <c r="C3751" s="251"/>
      <c r="D3751" s="251"/>
      <c r="E3751" s="251"/>
      <c r="F3751" s="251"/>
      <c r="G3751" s="249"/>
      <c r="H3751" s="252"/>
      <c r="I3751" s="251"/>
      <c r="J3751" s="251"/>
      <c r="K3751" s="250"/>
      <c r="L3751" s="249"/>
    </row>
    <row r="3752" spans="3:12" s="244" customFormat="1" x14ac:dyDescent="0.25">
      <c r="C3752" s="251"/>
      <c r="D3752" s="251"/>
      <c r="E3752" s="251"/>
      <c r="F3752" s="251"/>
      <c r="G3752" s="249"/>
      <c r="H3752" s="252"/>
      <c r="I3752" s="251"/>
      <c r="J3752" s="251"/>
      <c r="K3752" s="250"/>
      <c r="L3752" s="249"/>
    </row>
    <row r="3753" spans="3:12" s="244" customFormat="1" x14ac:dyDescent="0.25">
      <c r="C3753" s="251"/>
      <c r="D3753" s="251"/>
      <c r="E3753" s="251"/>
      <c r="F3753" s="251"/>
      <c r="G3753" s="249"/>
      <c r="H3753" s="252"/>
      <c r="I3753" s="251"/>
      <c r="J3753" s="251"/>
      <c r="K3753" s="250"/>
      <c r="L3753" s="249"/>
    </row>
    <row r="3754" spans="3:12" s="244" customFormat="1" x14ac:dyDescent="0.25">
      <c r="C3754" s="251"/>
      <c r="D3754" s="251"/>
      <c r="E3754" s="251"/>
      <c r="F3754" s="251"/>
      <c r="G3754" s="249"/>
      <c r="H3754" s="252"/>
      <c r="I3754" s="251"/>
      <c r="J3754" s="251"/>
      <c r="K3754" s="250"/>
      <c r="L3754" s="249"/>
    </row>
    <row r="3755" spans="3:12" s="244" customFormat="1" x14ac:dyDescent="0.25">
      <c r="C3755" s="251"/>
      <c r="D3755" s="251"/>
      <c r="E3755" s="251"/>
      <c r="F3755" s="251"/>
      <c r="G3755" s="249"/>
      <c r="H3755" s="252"/>
      <c r="I3755" s="251"/>
      <c r="J3755" s="251"/>
      <c r="K3755" s="250"/>
      <c r="L3755" s="249"/>
    </row>
    <row r="3756" spans="3:12" s="244" customFormat="1" x14ac:dyDescent="0.25">
      <c r="C3756" s="251"/>
      <c r="D3756" s="251"/>
      <c r="E3756" s="251"/>
      <c r="F3756" s="251"/>
      <c r="G3756" s="249"/>
      <c r="H3756" s="252"/>
      <c r="I3756" s="251"/>
      <c r="J3756" s="251"/>
      <c r="K3756" s="250"/>
      <c r="L3756" s="249"/>
    </row>
    <row r="3757" spans="3:12" s="244" customFormat="1" x14ac:dyDescent="0.25">
      <c r="C3757" s="251"/>
      <c r="D3757" s="251"/>
      <c r="E3757" s="251"/>
      <c r="F3757" s="251"/>
      <c r="G3757" s="249"/>
      <c r="H3757" s="252"/>
      <c r="I3757" s="251"/>
      <c r="J3757" s="251"/>
      <c r="K3757" s="250"/>
      <c r="L3757" s="249"/>
    </row>
    <row r="3758" spans="3:12" s="244" customFormat="1" x14ac:dyDescent="0.25">
      <c r="C3758" s="251"/>
      <c r="D3758" s="251"/>
      <c r="E3758" s="251"/>
      <c r="F3758" s="251"/>
      <c r="G3758" s="249"/>
      <c r="H3758" s="252"/>
      <c r="I3758" s="251"/>
      <c r="J3758" s="251"/>
      <c r="K3758" s="250"/>
      <c r="L3758" s="249"/>
    </row>
    <row r="3759" spans="3:12" s="244" customFormat="1" x14ac:dyDescent="0.25">
      <c r="C3759" s="251"/>
      <c r="D3759" s="251"/>
      <c r="E3759" s="251"/>
      <c r="F3759" s="251"/>
      <c r="G3759" s="249"/>
      <c r="H3759" s="252"/>
      <c r="I3759" s="251"/>
      <c r="J3759" s="251"/>
      <c r="K3759" s="250"/>
      <c r="L3759" s="249"/>
    </row>
    <row r="3760" spans="3:12" s="244" customFormat="1" x14ac:dyDescent="0.25">
      <c r="C3760" s="251"/>
      <c r="D3760" s="251"/>
      <c r="E3760" s="251"/>
      <c r="F3760" s="251"/>
      <c r="G3760" s="249"/>
      <c r="H3760" s="252"/>
      <c r="I3760" s="251"/>
      <c r="J3760" s="251"/>
      <c r="K3760" s="250"/>
      <c r="L3760" s="249"/>
    </row>
    <row r="3761" spans="3:12" s="244" customFormat="1" x14ac:dyDescent="0.25">
      <c r="C3761" s="251"/>
      <c r="D3761" s="251"/>
      <c r="E3761" s="251"/>
      <c r="F3761" s="251"/>
      <c r="G3761" s="249"/>
      <c r="H3761" s="252"/>
      <c r="I3761" s="251"/>
      <c r="J3761" s="251"/>
      <c r="K3761" s="250"/>
      <c r="L3761" s="249"/>
    </row>
    <row r="3762" spans="3:12" s="244" customFormat="1" x14ac:dyDescent="0.25">
      <c r="C3762" s="251"/>
      <c r="D3762" s="251"/>
      <c r="E3762" s="251"/>
      <c r="F3762" s="251"/>
      <c r="G3762" s="249"/>
      <c r="H3762" s="252"/>
      <c r="I3762" s="251"/>
      <c r="J3762" s="251"/>
      <c r="K3762" s="250"/>
      <c r="L3762" s="249"/>
    </row>
    <row r="3763" spans="3:12" s="244" customFormat="1" x14ac:dyDescent="0.25">
      <c r="C3763" s="251"/>
      <c r="D3763" s="251"/>
      <c r="E3763" s="251"/>
      <c r="F3763" s="251"/>
      <c r="G3763" s="249"/>
      <c r="H3763" s="252"/>
      <c r="I3763" s="251"/>
      <c r="J3763" s="251"/>
      <c r="K3763" s="250"/>
      <c r="L3763" s="249"/>
    </row>
    <row r="3764" spans="3:12" s="244" customFormat="1" x14ac:dyDescent="0.25">
      <c r="C3764" s="251"/>
      <c r="D3764" s="251"/>
      <c r="E3764" s="251"/>
      <c r="F3764" s="251"/>
      <c r="G3764" s="249"/>
      <c r="H3764" s="252"/>
      <c r="I3764" s="251"/>
      <c r="J3764" s="251"/>
      <c r="K3764" s="250"/>
      <c r="L3764" s="249"/>
    </row>
    <row r="3765" spans="3:12" s="244" customFormat="1" x14ac:dyDescent="0.25">
      <c r="C3765" s="251"/>
      <c r="D3765" s="251"/>
      <c r="E3765" s="251"/>
      <c r="F3765" s="251"/>
      <c r="G3765" s="249"/>
      <c r="H3765" s="252"/>
      <c r="I3765" s="251"/>
      <c r="J3765" s="251"/>
      <c r="K3765" s="250"/>
      <c r="L3765" s="249"/>
    </row>
    <row r="3766" spans="3:12" s="244" customFormat="1" x14ac:dyDescent="0.25">
      <c r="C3766" s="251"/>
      <c r="D3766" s="251"/>
      <c r="E3766" s="251"/>
      <c r="F3766" s="251"/>
      <c r="G3766" s="249"/>
      <c r="H3766" s="252"/>
      <c r="I3766" s="251"/>
      <c r="J3766" s="251"/>
      <c r="K3766" s="250"/>
      <c r="L3766" s="249"/>
    </row>
    <row r="3767" spans="3:12" s="244" customFormat="1" x14ac:dyDescent="0.25">
      <c r="C3767" s="251"/>
      <c r="D3767" s="251"/>
      <c r="E3767" s="251"/>
      <c r="F3767" s="251"/>
      <c r="G3767" s="249"/>
      <c r="H3767" s="252"/>
      <c r="I3767" s="251"/>
      <c r="J3767" s="251"/>
      <c r="K3767" s="250"/>
      <c r="L3767" s="249"/>
    </row>
    <row r="3768" spans="3:12" s="244" customFormat="1" x14ac:dyDescent="0.25">
      <c r="C3768" s="251"/>
      <c r="D3768" s="251"/>
      <c r="E3768" s="251"/>
      <c r="F3768" s="251"/>
      <c r="G3768" s="249"/>
      <c r="H3768" s="252"/>
      <c r="I3768" s="251"/>
      <c r="J3768" s="251"/>
      <c r="K3768" s="250"/>
      <c r="L3768" s="249"/>
    </row>
    <row r="3769" spans="3:12" s="244" customFormat="1" x14ac:dyDescent="0.25">
      <c r="C3769" s="251"/>
      <c r="D3769" s="251"/>
      <c r="E3769" s="251"/>
      <c r="F3769" s="251"/>
      <c r="G3769" s="249"/>
      <c r="H3769" s="252"/>
      <c r="I3769" s="251"/>
      <c r="J3769" s="251"/>
      <c r="K3769" s="250"/>
      <c r="L3769" s="249"/>
    </row>
    <row r="3770" spans="3:12" s="244" customFormat="1" x14ac:dyDescent="0.25">
      <c r="C3770" s="251"/>
      <c r="D3770" s="251"/>
      <c r="E3770" s="251"/>
      <c r="F3770" s="251"/>
      <c r="G3770" s="249"/>
      <c r="H3770" s="252"/>
      <c r="I3770" s="251"/>
      <c r="J3770" s="251"/>
      <c r="K3770" s="250"/>
      <c r="L3770" s="249"/>
    </row>
    <row r="3771" spans="3:12" s="244" customFormat="1" x14ac:dyDescent="0.25">
      <c r="C3771" s="251"/>
      <c r="D3771" s="251"/>
      <c r="E3771" s="251"/>
      <c r="F3771" s="251"/>
      <c r="G3771" s="249"/>
      <c r="H3771" s="252"/>
      <c r="I3771" s="251"/>
      <c r="J3771" s="251"/>
      <c r="K3771" s="250"/>
      <c r="L3771" s="249"/>
    </row>
    <row r="3772" spans="3:12" s="244" customFormat="1" x14ac:dyDescent="0.25">
      <c r="C3772" s="251"/>
      <c r="D3772" s="251"/>
      <c r="E3772" s="251"/>
      <c r="F3772" s="251"/>
      <c r="G3772" s="249"/>
      <c r="H3772" s="252"/>
      <c r="I3772" s="251"/>
      <c r="J3772" s="251"/>
      <c r="K3772" s="250"/>
      <c r="L3772" s="249"/>
    </row>
    <row r="3773" spans="3:12" s="244" customFormat="1" x14ac:dyDescent="0.25">
      <c r="C3773" s="251"/>
      <c r="D3773" s="251"/>
      <c r="E3773" s="251"/>
      <c r="F3773" s="251"/>
      <c r="G3773" s="249"/>
      <c r="H3773" s="252"/>
      <c r="I3773" s="251"/>
      <c r="J3773" s="251"/>
      <c r="K3773" s="250"/>
      <c r="L3773" s="249"/>
    </row>
    <row r="3774" spans="3:12" s="244" customFormat="1" x14ac:dyDescent="0.25">
      <c r="C3774" s="251"/>
      <c r="D3774" s="251"/>
      <c r="E3774" s="251"/>
      <c r="F3774" s="251"/>
      <c r="G3774" s="249"/>
      <c r="H3774" s="252"/>
      <c r="I3774" s="251"/>
      <c r="J3774" s="251"/>
      <c r="K3774" s="250"/>
      <c r="L3774" s="249"/>
    </row>
    <row r="3775" spans="3:12" s="244" customFormat="1" x14ac:dyDescent="0.25">
      <c r="C3775" s="251"/>
      <c r="D3775" s="251"/>
      <c r="E3775" s="251"/>
      <c r="F3775" s="251"/>
      <c r="G3775" s="249"/>
      <c r="H3775" s="252"/>
      <c r="I3775" s="251"/>
      <c r="J3775" s="251"/>
      <c r="K3775" s="250"/>
      <c r="L3775" s="249"/>
    </row>
    <row r="3776" spans="3:12" s="244" customFormat="1" x14ac:dyDescent="0.25">
      <c r="C3776" s="251"/>
      <c r="D3776" s="251"/>
      <c r="E3776" s="251"/>
      <c r="F3776" s="251"/>
      <c r="G3776" s="249"/>
      <c r="H3776" s="252"/>
      <c r="I3776" s="251"/>
      <c r="J3776" s="251"/>
      <c r="K3776" s="250"/>
      <c r="L3776" s="249"/>
    </row>
    <row r="3777" spans="3:12" s="244" customFormat="1" x14ac:dyDescent="0.25">
      <c r="C3777" s="251"/>
      <c r="D3777" s="251"/>
      <c r="E3777" s="251"/>
      <c r="F3777" s="251"/>
      <c r="G3777" s="249"/>
      <c r="H3777" s="252"/>
      <c r="I3777" s="251"/>
      <c r="J3777" s="251"/>
      <c r="K3777" s="250"/>
      <c r="L3777" s="249"/>
    </row>
    <row r="3778" spans="3:12" s="244" customFormat="1" x14ac:dyDescent="0.25">
      <c r="C3778" s="251"/>
      <c r="D3778" s="251"/>
      <c r="E3778" s="251"/>
      <c r="F3778" s="251"/>
      <c r="G3778" s="249"/>
      <c r="H3778" s="252"/>
      <c r="I3778" s="251"/>
      <c r="J3778" s="251"/>
      <c r="K3778" s="250"/>
      <c r="L3778" s="249"/>
    </row>
    <row r="3779" spans="3:12" s="244" customFormat="1" x14ac:dyDescent="0.25">
      <c r="C3779" s="251"/>
      <c r="D3779" s="251"/>
      <c r="E3779" s="251"/>
      <c r="F3779" s="251"/>
      <c r="G3779" s="249"/>
      <c r="H3779" s="252"/>
      <c r="I3779" s="251"/>
      <c r="J3779" s="251"/>
      <c r="K3779" s="250"/>
      <c r="L3779" s="249"/>
    </row>
    <row r="3780" spans="3:12" s="244" customFormat="1" x14ac:dyDescent="0.25">
      <c r="C3780" s="251"/>
      <c r="D3780" s="251"/>
      <c r="E3780" s="251"/>
      <c r="F3780" s="251"/>
      <c r="G3780" s="249"/>
      <c r="H3780" s="252"/>
      <c r="I3780" s="251"/>
      <c r="J3780" s="251"/>
      <c r="K3780" s="250"/>
      <c r="L3780" s="249"/>
    </row>
    <row r="3781" spans="3:12" s="244" customFormat="1" x14ac:dyDescent="0.25">
      <c r="C3781" s="251"/>
      <c r="D3781" s="251"/>
      <c r="E3781" s="251"/>
      <c r="F3781" s="251"/>
      <c r="G3781" s="249"/>
      <c r="H3781" s="252"/>
      <c r="I3781" s="251"/>
      <c r="J3781" s="251"/>
      <c r="K3781" s="250"/>
      <c r="L3781" s="249"/>
    </row>
    <row r="3782" spans="3:12" s="244" customFormat="1" x14ac:dyDescent="0.25">
      <c r="C3782" s="251"/>
      <c r="D3782" s="251"/>
      <c r="E3782" s="251"/>
      <c r="F3782" s="251"/>
      <c r="G3782" s="249"/>
      <c r="H3782" s="252"/>
      <c r="I3782" s="251"/>
      <c r="J3782" s="251"/>
      <c r="K3782" s="250"/>
      <c r="L3782" s="249"/>
    </row>
    <row r="3783" spans="3:12" s="244" customFormat="1" x14ac:dyDescent="0.25">
      <c r="C3783" s="251"/>
      <c r="D3783" s="251"/>
      <c r="E3783" s="251"/>
      <c r="F3783" s="251"/>
      <c r="G3783" s="249"/>
      <c r="H3783" s="252"/>
      <c r="I3783" s="251"/>
      <c r="J3783" s="251"/>
      <c r="K3783" s="250"/>
      <c r="L3783" s="249"/>
    </row>
    <row r="3784" spans="3:12" s="244" customFormat="1" x14ac:dyDescent="0.25">
      <c r="C3784" s="251"/>
      <c r="D3784" s="251"/>
      <c r="E3784" s="251"/>
      <c r="F3784" s="251"/>
      <c r="G3784" s="249"/>
      <c r="H3784" s="252"/>
      <c r="I3784" s="251"/>
      <c r="J3784" s="251"/>
      <c r="K3784" s="250"/>
      <c r="L3784" s="249"/>
    </row>
    <row r="3785" spans="3:12" s="244" customFormat="1" x14ac:dyDescent="0.25">
      <c r="C3785" s="251"/>
      <c r="D3785" s="251"/>
      <c r="E3785" s="251"/>
      <c r="F3785" s="251"/>
      <c r="G3785" s="249"/>
      <c r="H3785" s="252"/>
      <c r="I3785" s="251"/>
      <c r="J3785" s="251"/>
      <c r="K3785" s="250"/>
      <c r="L3785" s="249"/>
    </row>
    <row r="3786" spans="3:12" s="244" customFormat="1" x14ac:dyDescent="0.25">
      <c r="C3786" s="251"/>
      <c r="D3786" s="251"/>
      <c r="E3786" s="251"/>
      <c r="F3786" s="251"/>
      <c r="G3786" s="249"/>
      <c r="H3786" s="252"/>
      <c r="I3786" s="251"/>
      <c r="J3786" s="251"/>
      <c r="K3786" s="250"/>
      <c r="L3786" s="249"/>
    </row>
    <row r="3787" spans="3:12" s="244" customFormat="1" x14ac:dyDescent="0.25">
      <c r="C3787" s="251"/>
      <c r="D3787" s="251"/>
      <c r="E3787" s="251"/>
      <c r="F3787" s="251"/>
      <c r="G3787" s="249"/>
      <c r="H3787" s="252"/>
      <c r="I3787" s="251"/>
      <c r="J3787" s="251"/>
      <c r="K3787" s="250"/>
      <c r="L3787" s="249"/>
    </row>
    <row r="3788" spans="3:12" s="244" customFormat="1" x14ac:dyDescent="0.25">
      <c r="C3788" s="251"/>
      <c r="D3788" s="251"/>
      <c r="E3788" s="251"/>
      <c r="F3788" s="251"/>
      <c r="G3788" s="249"/>
      <c r="H3788" s="252"/>
      <c r="I3788" s="251"/>
      <c r="J3788" s="251"/>
      <c r="K3788" s="250"/>
      <c r="L3788" s="249"/>
    </row>
    <row r="3789" spans="3:12" s="244" customFormat="1" x14ac:dyDescent="0.25">
      <c r="C3789" s="251"/>
      <c r="D3789" s="251"/>
      <c r="E3789" s="251"/>
      <c r="F3789" s="251"/>
      <c r="G3789" s="249"/>
      <c r="H3789" s="252"/>
      <c r="I3789" s="251"/>
      <c r="J3789" s="251"/>
      <c r="K3789" s="250"/>
      <c r="L3789" s="249"/>
    </row>
    <row r="3790" spans="3:12" s="244" customFormat="1" x14ac:dyDescent="0.25">
      <c r="C3790" s="251"/>
      <c r="D3790" s="251"/>
      <c r="E3790" s="251"/>
      <c r="F3790" s="251"/>
      <c r="G3790" s="249"/>
      <c r="H3790" s="252"/>
      <c r="I3790" s="251"/>
      <c r="J3790" s="251"/>
      <c r="K3790" s="250"/>
      <c r="L3790" s="249"/>
    </row>
    <row r="3791" spans="3:12" s="244" customFormat="1" x14ac:dyDescent="0.25">
      <c r="C3791" s="251"/>
      <c r="D3791" s="251"/>
      <c r="E3791" s="251"/>
      <c r="F3791" s="251"/>
      <c r="G3791" s="249"/>
      <c r="H3791" s="252"/>
      <c r="I3791" s="251"/>
      <c r="J3791" s="251"/>
      <c r="K3791" s="250"/>
      <c r="L3791" s="249"/>
    </row>
    <row r="3792" spans="3:12" s="244" customFormat="1" x14ac:dyDescent="0.25">
      <c r="C3792" s="251"/>
      <c r="D3792" s="251"/>
      <c r="E3792" s="251"/>
      <c r="F3792" s="251"/>
      <c r="G3792" s="249"/>
      <c r="H3792" s="252"/>
      <c r="I3792" s="251"/>
      <c r="J3792" s="251"/>
      <c r="K3792" s="250"/>
      <c r="L3792" s="249"/>
    </row>
    <row r="3793" spans="3:12" s="244" customFormat="1" x14ac:dyDescent="0.25">
      <c r="C3793" s="251"/>
      <c r="D3793" s="251"/>
      <c r="E3793" s="251"/>
      <c r="F3793" s="251"/>
      <c r="G3793" s="249"/>
      <c r="H3793" s="252"/>
      <c r="I3793" s="251"/>
      <c r="J3793" s="251"/>
      <c r="K3793" s="250"/>
      <c r="L3793" s="249"/>
    </row>
    <row r="3794" spans="3:12" s="244" customFormat="1" x14ac:dyDescent="0.25">
      <c r="C3794" s="251"/>
      <c r="D3794" s="251"/>
      <c r="E3794" s="251"/>
      <c r="F3794" s="251"/>
      <c r="G3794" s="249"/>
      <c r="H3794" s="252"/>
      <c r="I3794" s="251"/>
      <c r="J3794" s="251"/>
      <c r="K3794" s="250"/>
      <c r="L3794" s="249"/>
    </row>
    <row r="3795" spans="3:12" s="244" customFormat="1" x14ac:dyDescent="0.25">
      <c r="C3795" s="251"/>
      <c r="D3795" s="251"/>
      <c r="E3795" s="251"/>
      <c r="F3795" s="251"/>
      <c r="G3795" s="249"/>
      <c r="H3795" s="252"/>
      <c r="I3795" s="251"/>
      <c r="J3795" s="251"/>
      <c r="K3795" s="250"/>
      <c r="L3795" s="249"/>
    </row>
    <row r="3796" spans="3:12" s="244" customFormat="1" x14ac:dyDescent="0.25">
      <c r="C3796" s="251"/>
      <c r="D3796" s="251"/>
      <c r="E3796" s="251"/>
      <c r="F3796" s="251"/>
      <c r="G3796" s="249"/>
      <c r="H3796" s="252"/>
      <c r="I3796" s="251"/>
      <c r="J3796" s="251"/>
      <c r="K3796" s="250"/>
      <c r="L3796" s="249"/>
    </row>
    <row r="3797" spans="3:12" s="244" customFormat="1" x14ac:dyDescent="0.25">
      <c r="C3797" s="251"/>
      <c r="D3797" s="251"/>
      <c r="E3797" s="251"/>
      <c r="F3797" s="251"/>
      <c r="G3797" s="249"/>
      <c r="H3797" s="252"/>
      <c r="I3797" s="251"/>
      <c r="J3797" s="251"/>
      <c r="K3797" s="250"/>
      <c r="L3797" s="249"/>
    </row>
    <row r="3798" spans="3:12" s="244" customFormat="1" x14ac:dyDescent="0.25">
      <c r="C3798" s="251"/>
      <c r="D3798" s="251"/>
      <c r="E3798" s="251"/>
      <c r="F3798" s="251"/>
      <c r="G3798" s="249"/>
      <c r="H3798" s="252"/>
      <c r="I3798" s="251"/>
      <c r="J3798" s="251"/>
      <c r="K3798" s="250"/>
      <c r="L3798" s="249"/>
    </row>
    <row r="3799" spans="3:12" s="244" customFormat="1" x14ac:dyDescent="0.25">
      <c r="C3799" s="251"/>
      <c r="D3799" s="251"/>
      <c r="E3799" s="251"/>
      <c r="F3799" s="251"/>
      <c r="G3799" s="249"/>
      <c r="H3799" s="252"/>
      <c r="I3799" s="251"/>
      <c r="J3799" s="251"/>
      <c r="K3799" s="250"/>
      <c r="L3799" s="249"/>
    </row>
    <row r="3800" spans="3:12" s="244" customFormat="1" x14ac:dyDescent="0.25">
      <c r="C3800" s="251"/>
      <c r="D3800" s="251"/>
      <c r="E3800" s="251"/>
      <c r="F3800" s="251"/>
      <c r="G3800" s="249"/>
      <c r="H3800" s="252"/>
      <c r="I3800" s="251"/>
      <c r="J3800" s="251"/>
      <c r="K3800" s="250"/>
      <c r="L3800" s="249"/>
    </row>
    <row r="3801" spans="3:12" s="244" customFormat="1" x14ac:dyDescent="0.25">
      <c r="C3801" s="251"/>
      <c r="D3801" s="251"/>
      <c r="E3801" s="251"/>
      <c r="F3801" s="251"/>
      <c r="G3801" s="249"/>
      <c r="H3801" s="252"/>
      <c r="I3801" s="251"/>
      <c r="J3801" s="251"/>
      <c r="K3801" s="250"/>
      <c r="L3801" s="249"/>
    </row>
    <row r="3802" spans="3:12" s="244" customFormat="1" x14ac:dyDescent="0.25">
      <c r="C3802" s="251"/>
      <c r="D3802" s="251"/>
      <c r="E3802" s="251"/>
      <c r="F3802" s="251"/>
      <c r="G3802" s="249"/>
      <c r="H3802" s="252"/>
      <c r="I3802" s="251"/>
      <c r="J3802" s="251"/>
      <c r="K3802" s="250"/>
      <c r="L3802" s="249"/>
    </row>
    <row r="3803" spans="3:12" s="244" customFormat="1" x14ac:dyDescent="0.25">
      <c r="C3803" s="251"/>
      <c r="D3803" s="251"/>
      <c r="E3803" s="251"/>
      <c r="F3803" s="251"/>
      <c r="G3803" s="249"/>
      <c r="H3803" s="252"/>
      <c r="I3803" s="251"/>
      <c r="J3803" s="251"/>
      <c r="K3803" s="250"/>
      <c r="L3803" s="249"/>
    </row>
    <row r="3804" spans="3:12" s="244" customFormat="1" x14ac:dyDescent="0.25">
      <c r="C3804" s="251"/>
      <c r="D3804" s="251"/>
      <c r="E3804" s="251"/>
      <c r="F3804" s="251"/>
      <c r="G3804" s="249"/>
      <c r="H3804" s="252"/>
      <c r="I3804" s="251"/>
      <c r="J3804" s="251"/>
      <c r="K3804" s="250"/>
      <c r="L3804" s="249"/>
    </row>
    <row r="3805" spans="3:12" s="244" customFormat="1" x14ac:dyDescent="0.25">
      <c r="C3805" s="251"/>
      <c r="D3805" s="251"/>
      <c r="E3805" s="251"/>
      <c r="F3805" s="251"/>
      <c r="G3805" s="249"/>
      <c r="H3805" s="252"/>
      <c r="I3805" s="251"/>
      <c r="J3805" s="251"/>
      <c r="K3805" s="250"/>
      <c r="L3805" s="249"/>
    </row>
    <row r="3806" spans="3:12" s="244" customFormat="1" x14ac:dyDescent="0.25">
      <c r="C3806" s="251"/>
      <c r="D3806" s="251"/>
      <c r="E3806" s="251"/>
      <c r="F3806" s="251"/>
      <c r="G3806" s="249"/>
      <c r="H3806" s="252"/>
      <c r="I3806" s="251"/>
      <c r="J3806" s="251"/>
      <c r="K3806" s="250"/>
      <c r="L3806" s="249"/>
    </row>
    <row r="3807" spans="3:12" s="244" customFormat="1" x14ac:dyDescent="0.25">
      <c r="C3807" s="251"/>
      <c r="D3807" s="251"/>
      <c r="E3807" s="251"/>
      <c r="F3807" s="251"/>
      <c r="G3807" s="249"/>
      <c r="H3807" s="252"/>
      <c r="I3807" s="251"/>
      <c r="J3807" s="251"/>
      <c r="K3807" s="250"/>
      <c r="L3807" s="249"/>
    </row>
    <row r="3808" spans="3:12" s="244" customFormat="1" x14ac:dyDescent="0.25">
      <c r="C3808" s="251"/>
      <c r="D3808" s="251"/>
      <c r="E3808" s="251"/>
      <c r="F3808" s="251"/>
      <c r="G3808" s="249"/>
      <c r="H3808" s="252"/>
      <c r="I3808" s="251"/>
      <c r="J3808" s="251"/>
      <c r="K3808" s="250"/>
      <c r="L3808" s="249"/>
    </row>
    <row r="3809" spans="3:12" s="244" customFormat="1" x14ac:dyDescent="0.25">
      <c r="C3809" s="251"/>
      <c r="D3809" s="251"/>
      <c r="E3809" s="251"/>
      <c r="F3809" s="251"/>
      <c r="G3809" s="249"/>
      <c r="H3809" s="252"/>
      <c r="I3809" s="251"/>
      <c r="J3809" s="251"/>
      <c r="K3809" s="250"/>
      <c r="L3809" s="249"/>
    </row>
    <row r="3810" spans="3:12" s="244" customFormat="1" x14ac:dyDescent="0.25">
      <c r="C3810" s="251"/>
      <c r="D3810" s="251"/>
      <c r="E3810" s="251"/>
      <c r="F3810" s="251"/>
      <c r="G3810" s="249"/>
      <c r="H3810" s="252"/>
      <c r="I3810" s="251"/>
      <c r="J3810" s="251"/>
      <c r="K3810" s="250"/>
      <c r="L3810" s="249"/>
    </row>
    <row r="3811" spans="3:12" s="244" customFormat="1" x14ac:dyDescent="0.25">
      <c r="C3811" s="251"/>
      <c r="D3811" s="251"/>
      <c r="E3811" s="251"/>
      <c r="F3811" s="251"/>
      <c r="G3811" s="249"/>
      <c r="H3811" s="252"/>
      <c r="I3811" s="251"/>
      <c r="J3811" s="251"/>
      <c r="K3811" s="250"/>
      <c r="L3811" s="249"/>
    </row>
    <row r="3812" spans="3:12" s="244" customFormat="1" x14ac:dyDescent="0.25">
      <c r="C3812" s="251"/>
      <c r="D3812" s="251"/>
      <c r="E3812" s="251"/>
      <c r="F3812" s="251"/>
      <c r="G3812" s="249"/>
      <c r="H3812" s="252"/>
      <c r="I3812" s="251"/>
      <c r="J3812" s="251"/>
      <c r="K3812" s="250"/>
      <c r="L3812" s="249"/>
    </row>
    <row r="3813" spans="3:12" s="244" customFormat="1" x14ac:dyDescent="0.25">
      <c r="C3813" s="251"/>
      <c r="D3813" s="251"/>
      <c r="E3813" s="251"/>
      <c r="F3813" s="251"/>
      <c r="G3813" s="249"/>
      <c r="H3813" s="252"/>
      <c r="I3813" s="251"/>
      <c r="J3813" s="251"/>
      <c r="K3813" s="250"/>
      <c r="L3813" s="249"/>
    </row>
    <row r="3814" spans="3:12" s="244" customFormat="1" x14ac:dyDescent="0.25">
      <c r="C3814" s="251"/>
      <c r="D3814" s="251"/>
      <c r="E3814" s="251"/>
      <c r="F3814" s="251"/>
      <c r="G3814" s="249"/>
      <c r="H3814" s="252"/>
      <c r="I3814" s="251"/>
      <c r="J3814" s="251"/>
      <c r="K3814" s="250"/>
      <c r="L3814" s="249"/>
    </row>
    <row r="3815" spans="3:12" s="244" customFormat="1" x14ac:dyDescent="0.25">
      <c r="C3815" s="251"/>
      <c r="D3815" s="251"/>
      <c r="E3815" s="251"/>
      <c r="F3815" s="251"/>
      <c r="G3815" s="249"/>
      <c r="H3815" s="252"/>
      <c r="I3815" s="251"/>
      <c r="J3815" s="251"/>
      <c r="K3815" s="250"/>
      <c r="L3815" s="249"/>
    </row>
    <row r="3816" spans="3:12" s="244" customFormat="1" x14ac:dyDescent="0.25">
      <c r="C3816" s="251"/>
      <c r="D3816" s="251"/>
      <c r="E3816" s="251"/>
      <c r="F3816" s="251"/>
      <c r="G3816" s="249"/>
      <c r="H3816" s="252"/>
      <c r="I3816" s="251"/>
      <c r="J3816" s="251"/>
      <c r="K3816" s="250"/>
      <c r="L3816" s="249"/>
    </row>
    <row r="3817" spans="3:12" s="244" customFormat="1" x14ac:dyDescent="0.25">
      <c r="C3817" s="251"/>
      <c r="D3817" s="251"/>
      <c r="E3817" s="251"/>
      <c r="F3817" s="251"/>
      <c r="G3817" s="249"/>
      <c r="H3817" s="252"/>
      <c r="I3817" s="251"/>
      <c r="J3817" s="251"/>
      <c r="K3817" s="250"/>
      <c r="L3817" s="249"/>
    </row>
    <row r="3818" spans="3:12" s="244" customFormat="1" x14ac:dyDescent="0.25">
      <c r="C3818" s="251"/>
      <c r="D3818" s="251"/>
      <c r="E3818" s="251"/>
      <c r="F3818" s="251"/>
      <c r="G3818" s="249"/>
      <c r="H3818" s="252"/>
      <c r="I3818" s="251"/>
      <c r="J3818" s="251"/>
      <c r="K3818" s="250"/>
      <c r="L3818" s="249"/>
    </row>
    <row r="3819" spans="3:12" s="244" customFormat="1" x14ac:dyDescent="0.25">
      <c r="C3819" s="251"/>
      <c r="D3819" s="251"/>
      <c r="E3819" s="251"/>
      <c r="F3819" s="251"/>
      <c r="G3819" s="249"/>
      <c r="H3819" s="252"/>
      <c r="I3819" s="251"/>
      <c r="J3819" s="251"/>
      <c r="K3819" s="250"/>
      <c r="L3819" s="249"/>
    </row>
    <row r="3820" spans="3:12" s="244" customFormat="1" x14ac:dyDescent="0.25">
      <c r="C3820" s="251"/>
      <c r="D3820" s="251"/>
      <c r="E3820" s="251"/>
      <c r="F3820" s="251"/>
      <c r="G3820" s="249"/>
      <c r="H3820" s="252"/>
      <c r="I3820" s="251"/>
      <c r="J3820" s="251"/>
      <c r="K3820" s="250"/>
      <c r="L3820" s="249"/>
    </row>
    <row r="3821" spans="3:12" s="244" customFormat="1" x14ac:dyDescent="0.25">
      <c r="C3821" s="251"/>
      <c r="D3821" s="251"/>
      <c r="E3821" s="251"/>
      <c r="F3821" s="251"/>
      <c r="G3821" s="249"/>
      <c r="H3821" s="252"/>
      <c r="I3821" s="251"/>
      <c r="J3821" s="251"/>
      <c r="K3821" s="250"/>
      <c r="L3821" s="249"/>
    </row>
    <row r="3822" spans="3:12" s="244" customFormat="1" x14ac:dyDescent="0.25">
      <c r="C3822" s="251"/>
      <c r="D3822" s="251"/>
      <c r="E3822" s="251"/>
      <c r="F3822" s="251"/>
      <c r="G3822" s="249"/>
      <c r="H3822" s="252"/>
      <c r="I3822" s="251"/>
      <c r="J3822" s="251"/>
      <c r="K3822" s="250"/>
      <c r="L3822" s="249"/>
    </row>
    <row r="3823" spans="3:12" s="244" customFormat="1" x14ac:dyDescent="0.25">
      <c r="C3823" s="251"/>
      <c r="D3823" s="251"/>
      <c r="E3823" s="251"/>
      <c r="F3823" s="251"/>
      <c r="G3823" s="249"/>
      <c r="H3823" s="252"/>
      <c r="I3823" s="251"/>
      <c r="J3823" s="251"/>
      <c r="K3823" s="250"/>
      <c r="L3823" s="249"/>
    </row>
    <row r="3824" spans="3:12" s="244" customFormat="1" x14ac:dyDescent="0.25">
      <c r="C3824" s="251"/>
      <c r="D3824" s="251"/>
      <c r="E3824" s="251"/>
      <c r="F3824" s="251"/>
      <c r="G3824" s="249"/>
      <c r="H3824" s="252"/>
      <c r="I3824" s="251"/>
      <c r="J3824" s="251"/>
      <c r="K3824" s="250"/>
      <c r="L3824" s="249"/>
    </row>
    <row r="3825" spans="3:12" s="244" customFormat="1" x14ac:dyDescent="0.25">
      <c r="C3825" s="251"/>
      <c r="D3825" s="251"/>
      <c r="E3825" s="251"/>
      <c r="F3825" s="251"/>
      <c r="G3825" s="249"/>
      <c r="H3825" s="252"/>
      <c r="I3825" s="251"/>
      <c r="J3825" s="251"/>
      <c r="K3825" s="250"/>
      <c r="L3825" s="249"/>
    </row>
    <row r="3826" spans="3:12" s="244" customFormat="1" x14ac:dyDescent="0.25">
      <c r="C3826" s="251"/>
      <c r="D3826" s="251"/>
      <c r="E3826" s="251"/>
      <c r="F3826" s="251"/>
      <c r="G3826" s="249"/>
      <c r="H3826" s="252"/>
      <c r="I3826" s="251"/>
      <c r="J3826" s="251"/>
      <c r="K3826" s="250"/>
      <c r="L3826" s="249"/>
    </row>
    <row r="3827" spans="3:12" s="244" customFormat="1" x14ac:dyDescent="0.25">
      <c r="C3827" s="251"/>
      <c r="D3827" s="251"/>
      <c r="E3827" s="251"/>
      <c r="F3827" s="251"/>
      <c r="G3827" s="249"/>
      <c r="H3827" s="252"/>
      <c r="I3827" s="251"/>
      <c r="J3827" s="251"/>
      <c r="K3827" s="250"/>
      <c r="L3827" s="249"/>
    </row>
    <row r="3828" spans="3:12" s="244" customFormat="1" x14ac:dyDescent="0.25">
      <c r="C3828" s="251"/>
      <c r="D3828" s="251"/>
      <c r="E3828" s="251"/>
      <c r="F3828" s="251"/>
      <c r="G3828" s="249"/>
      <c r="H3828" s="252"/>
      <c r="I3828" s="251"/>
      <c r="J3828" s="251"/>
      <c r="K3828" s="250"/>
      <c r="L3828" s="249"/>
    </row>
    <row r="3829" spans="3:12" s="244" customFormat="1" x14ac:dyDescent="0.25">
      <c r="C3829" s="251"/>
      <c r="D3829" s="251"/>
      <c r="E3829" s="251"/>
      <c r="F3829" s="251"/>
      <c r="G3829" s="249"/>
      <c r="H3829" s="252"/>
      <c r="I3829" s="251"/>
      <c r="J3829" s="251"/>
      <c r="K3829" s="250"/>
      <c r="L3829" s="249"/>
    </row>
    <row r="3830" spans="3:12" s="244" customFormat="1" x14ac:dyDescent="0.25">
      <c r="C3830" s="251"/>
      <c r="D3830" s="251"/>
      <c r="E3830" s="251"/>
      <c r="F3830" s="251"/>
      <c r="G3830" s="249"/>
      <c r="H3830" s="252"/>
      <c r="I3830" s="251"/>
      <c r="J3830" s="251"/>
      <c r="K3830" s="250"/>
      <c r="L3830" s="249"/>
    </row>
    <row r="3831" spans="3:12" s="244" customFormat="1" x14ac:dyDescent="0.25">
      <c r="C3831" s="251"/>
      <c r="D3831" s="251"/>
      <c r="E3831" s="251"/>
      <c r="F3831" s="251"/>
      <c r="G3831" s="249"/>
      <c r="H3831" s="252"/>
      <c r="I3831" s="251"/>
      <c r="J3831" s="251"/>
      <c r="K3831" s="250"/>
      <c r="L3831" s="249"/>
    </row>
    <row r="3832" spans="3:12" s="244" customFormat="1" x14ac:dyDescent="0.25">
      <c r="C3832" s="251"/>
      <c r="D3832" s="251"/>
      <c r="E3832" s="251"/>
      <c r="F3832" s="251"/>
      <c r="G3832" s="249"/>
      <c r="H3832" s="252"/>
      <c r="I3832" s="251"/>
      <c r="J3832" s="251"/>
      <c r="K3832" s="250"/>
      <c r="L3832" s="249"/>
    </row>
    <row r="3833" spans="3:12" s="244" customFormat="1" x14ac:dyDescent="0.25">
      <c r="C3833" s="251"/>
      <c r="D3833" s="251"/>
      <c r="E3833" s="251"/>
      <c r="F3833" s="251"/>
      <c r="G3833" s="249"/>
      <c r="H3833" s="252"/>
      <c r="I3833" s="251"/>
      <c r="J3833" s="251"/>
      <c r="K3833" s="250"/>
      <c r="L3833" s="249"/>
    </row>
    <row r="3834" spans="3:12" s="244" customFormat="1" x14ac:dyDescent="0.25">
      <c r="C3834" s="251"/>
      <c r="D3834" s="251"/>
      <c r="E3834" s="251"/>
      <c r="F3834" s="251"/>
      <c r="G3834" s="249"/>
      <c r="H3834" s="252"/>
      <c r="I3834" s="251"/>
      <c r="J3834" s="251"/>
      <c r="K3834" s="250"/>
      <c r="L3834" s="249"/>
    </row>
    <row r="3835" spans="3:12" s="244" customFormat="1" x14ac:dyDescent="0.25">
      <c r="C3835" s="251"/>
      <c r="D3835" s="251"/>
      <c r="E3835" s="251"/>
      <c r="F3835" s="251"/>
      <c r="G3835" s="249"/>
      <c r="H3835" s="252"/>
      <c r="I3835" s="251"/>
      <c r="J3835" s="251"/>
      <c r="K3835" s="250"/>
      <c r="L3835" s="249"/>
    </row>
    <row r="3836" spans="3:12" s="244" customFormat="1" x14ac:dyDescent="0.25">
      <c r="C3836" s="251"/>
      <c r="D3836" s="251"/>
      <c r="E3836" s="251"/>
      <c r="F3836" s="251"/>
      <c r="G3836" s="249"/>
      <c r="H3836" s="252"/>
      <c r="I3836" s="251"/>
      <c r="J3836" s="251"/>
      <c r="K3836" s="250"/>
      <c r="L3836" s="249"/>
    </row>
    <row r="3837" spans="3:12" s="244" customFormat="1" x14ac:dyDescent="0.25">
      <c r="C3837" s="251"/>
      <c r="D3837" s="251"/>
      <c r="E3837" s="251"/>
      <c r="F3837" s="251"/>
      <c r="G3837" s="249"/>
      <c r="H3837" s="252"/>
      <c r="I3837" s="251"/>
      <c r="J3837" s="251"/>
      <c r="K3837" s="250"/>
      <c r="L3837" s="249"/>
    </row>
    <row r="3838" spans="3:12" s="244" customFormat="1" x14ac:dyDescent="0.25">
      <c r="C3838" s="251"/>
      <c r="D3838" s="251"/>
      <c r="E3838" s="251"/>
      <c r="F3838" s="251"/>
      <c r="G3838" s="249"/>
      <c r="H3838" s="252"/>
      <c r="I3838" s="251"/>
      <c r="J3838" s="251"/>
      <c r="K3838" s="250"/>
      <c r="L3838" s="249"/>
    </row>
    <row r="3839" spans="3:12" s="244" customFormat="1" x14ac:dyDescent="0.25">
      <c r="C3839" s="251"/>
      <c r="D3839" s="251"/>
      <c r="E3839" s="251"/>
      <c r="F3839" s="251"/>
      <c r="G3839" s="249"/>
      <c r="H3839" s="252"/>
      <c r="I3839" s="251"/>
      <c r="J3839" s="251"/>
      <c r="K3839" s="250"/>
      <c r="L3839" s="249"/>
    </row>
    <row r="3840" spans="3:12" s="244" customFormat="1" x14ac:dyDescent="0.25">
      <c r="C3840" s="251"/>
      <c r="D3840" s="251"/>
      <c r="E3840" s="251"/>
      <c r="F3840" s="251"/>
      <c r="G3840" s="249"/>
      <c r="H3840" s="252"/>
      <c r="I3840" s="251"/>
      <c r="J3840" s="251"/>
      <c r="K3840" s="250"/>
      <c r="L3840" s="249"/>
    </row>
    <row r="3841" spans="3:12" s="244" customFormat="1" x14ac:dyDescent="0.25">
      <c r="C3841" s="251"/>
      <c r="D3841" s="251"/>
      <c r="E3841" s="251"/>
      <c r="F3841" s="251"/>
      <c r="G3841" s="249"/>
      <c r="H3841" s="252"/>
      <c r="I3841" s="251"/>
      <c r="J3841" s="251"/>
      <c r="K3841" s="250"/>
      <c r="L3841" s="249"/>
    </row>
    <row r="3842" spans="3:12" s="244" customFormat="1" x14ac:dyDescent="0.25">
      <c r="C3842" s="251"/>
      <c r="D3842" s="251"/>
      <c r="E3842" s="251"/>
      <c r="F3842" s="251"/>
      <c r="G3842" s="249"/>
      <c r="H3842" s="252"/>
      <c r="I3842" s="251"/>
      <c r="J3842" s="251"/>
      <c r="K3842" s="250"/>
      <c r="L3842" s="249"/>
    </row>
    <row r="3843" spans="3:12" s="244" customFormat="1" x14ac:dyDescent="0.25">
      <c r="C3843" s="251"/>
      <c r="D3843" s="251"/>
      <c r="E3843" s="251"/>
      <c r="F3843" s="251"/>
      <c r="G3843" s="249"/>
      <c r="H3843" s="252"/>
      <c r="I3843" s="251"/>
      <c r="J3843" s="251"/>
      <c r="K3843" s="250"/>
      <c r="L3843" s="249"/>
    </row>
    <row r="3844" spans="3:12" s="244" customFormat="1" x14ac:dyDescent="0.25">
      <c r="C3844" s="251"/>
      <c r="D3844" s="251"/>
      <c r="E3844" s="251"/>
      <c r="F3844" s="251"/>
      <c r="G3844" s="249"/>
      <c r="H3844" s="252"/>
      <c r="I3844" s="251"/>
      <c r="J3844" s="251"/>
      <c r="K3844" s="250"/>
      <c r="L3844" s="249"/>
    </row>
    <row r="3845" spans="3:12" s="244" customFormat="1" x14ac:dyDescent="0.25">
      <c r="C3845" s="251"/>
      <c r="D3845" s="251"/>
      <c r="E3845" s="251"/>
      <c r="F3845" s="251"/>
      <c r="G3845" s="249"/>
      <c r="H3845" s="252"/>
      <c r="I3845" s="251"/>
      <c r="J3845" s="251"/>
      <c r="K3845" s="250"/>
      <c r="L3845" s="249"/>
    </row>
    <row r="3846" spans="3:12" s="244" customFormat="1" x14ac:dyDescent="0.25">
      <c r="C3846" s="251"/>
      <c r="D3846" s="251"/>
      <c r="E3846" s="251"/>
      <c r="F3846" s="251"/>
      <c r="G3846" s="249"/>
      <c r="H3846" s="252"/>
      <c r="I3846" s="251"/>
      <c r="J3846" s="251"/>
      <c r="K3846" s="250"/>
      <c r="L3846" s="249"/>
    </row>
    <row r="3847" spans="3:12" s="244" customFormat="1" x14ac:dyDescent="0.25">
      <c r="C3847" s="251"/>
      <c r="D3847" s="251"/>
      <c r="E3847" s="251"/>
      <c r="F3847" s="251"/>
      <c r="G3847" s="249"/>
      <c r="H3847" s="252"/>
      <c r="I3847" s="251"/>
      <c r="J3847" s="251"/>
      <c r="K3847" s="250"/>
      <c r="L3847" s="249"/>
    </row>
    <row r="3848" spans="3:12" s="244" customFormat="1" x14ac:dyDescent="0.25">
      <c r="C3848" s="251"/>
      <c r="D3848" s="251"/>
      <c r="E3848" s="251"/>
      <c r="F3848" s="251"/>
      <c r="G3848" s="249"/>
      <c r="H3848" s="252"/>
      <c r="I3848" s="251"/>
      <c r="J3848" s="251"/>
      <c r="K3848" s="250"/>
      <c r="L3848" s="249"/>
    </row>
    <row r="3849" spans="3:12" s="244" customFormat="1" x14ac:dyDescent="0.25">
      <c r="C3849" s="251"/>
      <c r="D3849" s="251"/>
      <c r="E3849" s="251"/>
      <c r="F3849" s="251"/>
      <c r="G3849" s="249"/>
      <c r="H3849" s="252"/>
      <c r="I3849" s="251"/>
      <c r="J3849" s="251"/>
      <c r="K3849" s="250"/>
      <c r="L3849" s="249"/>
    </row>
    <row r="3850" spans="3:12" s="244" customFormat="1" x14ac:dyDescent="0.25">
      <c r="C3850" s="251"/>
      <c r="D3850" s="251"/>
      <c r="E3850" s="251"/>
      <c r="F3850" s="251"/>
      <c r="G3850" s="249"/>
      <c r="H3850" s="252"/>
      <c r="I3850" s="251"/>
      <c r="J3850" s="251"/>
      <c r="K3850" s="250"/>
      <c r="L3850" s="249"/>
    </row>
    <row r="3851" spans="3:12" s="244" customFormat="1" x14ac:dyDescent="0.25">
      <c r="C3851" s="251"/>
      <c r="D3851" s="251"/>
      <c r="E3851" s="251"/>
      <c r="F3851" s="251"/>
      <c r="G3851" s="249"/>
      <c r="H3851" s="252"/>
      <c r="I3851" s="251"/>
      <c r="J3851" s="251"/>
      <c r="K3851" s="250"/>
      <c r="L3851" s="249"/>
    </row>
    <row r="3852" spans="3:12" s="244" customFormat="1" x14ac:dyDescent="0.25">
      <c r="C3852" s="251"/>
      <c r="D3852" s="251"/>
      <c r="E3852" s="251"/>
      <c r="F3852" s="251"/>
      <c r="G3852" s="249"/>
      <c r="H3852" s="252"/>
      <c r="I3852" s="251"/>
      <c r="J3852" s="251"/>
      <c r="K3852" s="250"/>
      <c r="L3852" s="249"/>
    </row>
    <row r="3853" spans="3:12" s="244" customFormat="1" x14ac:dyDescent="0.25">
      <c r="C3853" s="251"/>
      <c r="D3853" s="251"/>
      <c r="E3853" s="251"/>
      <c r="F3853" s="251"/>
      <c r="G3853" s="249"/>
      <c r="H3853" s="252"/>
      <c r="I3853" s="251"/>
      <c r="J3853" s="251"/>
      <c r="K3853" s="250"/>
      <c r="L3853" s="249"/>
    </row>
    <row r="3854" spans="3:12" s="244" customFormat="1" x14ac:dyDescent="0.25">
      <c r="C3854" s="251"/>
      <c r="D3854" s="251"/>
      <c r="E3854" s="251"/>
      <c r="F3854" s="251"/>
      <c r="G3854" s="249"/>
      <c r="H3854" s="252"/>
      <c r="I3854" s="251"/>
      <c r="J3854" s="251"/>
      <c r="K3854" s="250"/>
      <c r="L3854" s="249"/>
    </row>
    <row r="3855" spans="3:12" s="244" customFormat="1" x14ac:dyDescent="0.25">
      <c r="C3855" s="251"/>
      <c r="D3855" s="251"/>
      <c r="E3855" s="251"/>
      <c r="F3855" s="251"/>
      <c r="G3855" s="249"/>
      <c r="H3855" s="252"/>
      <c r="I3855" s="251"/>
      <c r="J3855" s="251"/>
      <c r="K3855" s="250"/>
      <c r="L3855" s="249"/>
    </row>
    <row r="3856" spans="3:12" s="244" customFormat="1" x14ac:dyDescent="0.25">
      <c r="C3856" s="251"/>
      <c r="D3856" s="251"/>
      <c r="E3856" s="251"/>
      <c r="F3856" s="251"/>
      <c r="G3856" s="249"/>
      <c r="H3856" s="252"/>
      <c r="I3856" s="251"/>
      <c r="J3856" s="251"/>
      <c r="K3856" s="250"/>
      <c r="L3856" s="249"/>
    </row>
    <row r="3857" spans="3:12" s="244" customFormat="1" x14ac:dyDescent="0.25">
      <c r="C3857" s="251"/>
      <c r="D3857" s="251"/>
      <c r="E3857" s="251"/>
      <c r="F3857" s="251"/>
      <c r="G3857" s="249"/>
      <c r="H3857" s="252"/>
      <c r="I3857" s="251"/>
      <c r="J3857" s="251"/>
      <c r="K3857" s="250"/>
      <c r="L3857" s="249"/>
    </row>
    <row r="3858" spans="3:12" s="244" customFormat="1" x14ac:dyDescent="0.25">
      <c r="C3858" s="251"/>
      <c r="D3858" s="251"/>
      <c r="E3858" s="251"/>
      <c r="F3858" s="251"/>
      <c r="G3858" s="249"/>
      <c r="H3858" s="252"/>
      <c r="I3858" s="251"/>
      <c r="J3858" s="251"/>
      <c r="K3858" s="250"/>
      <c r="L3858" s="249"/>
    </row>
    <row r="3859" spans="3:12" s="244" customFormat="1" x14ac:dyDescent="0.25">
      <c r="C3859" s="251"/>
      <c r="D3859" s="251"/>
      <c r="E3859" s="251"/>
      <c r="F3859" s="251"/>
      <c r="G3859" s="249"/>
      <c r="H3859" s="252"/>
      <c r="I3859" s="251"/>
      <c r="J3859" s="251"/>
      <c r="K3859" s="250"/>
      <c r="L3859" s="249"/>
    </row>
    <row r="3860" spans="3:12" s="244" customFormat="1" x14ac:dyDescent="0.25">
      <c r="C3860" s="251"/>
      <c r="D3860" s="251"/>
      <c r="E3860" s="251"/>
      <c r="F3860" s="251"/>
      <c r="G3860" s="249"/>
      <c r="H3860" s="252"/>
      <c r="I3860" s="251"/>
      <c r="J3860" s="251"/>
      <c r="K3860" s="250"/>
      <c r="L3860" s="249"/>
    </row>
    <row r="3861" spans="3:12" s="244" customFormat="1" x14ac:dyDescent="0.25">
      <c r="C3861" s="251"/>
      <c r="D3861" s="251"/>
      <c r="E3861" s="251"/>
      <c r="F3861" s="251"/>
      <c r="G3861" s="249"/>
      <c r="H3861" s="252"/>
      <c r="I3861" s="251"/>
      <c r="J3861" s="251"/>
      <c r="K3861" s="250"/>
      <c r="L3861" s="249"/>
    </row>
    <row r="3862" spans="3:12" s="244" customFormat="1" x14ac:dyDescent="0.25">
      <c r="C3862" s="251"/>
      <c r="D3862" s="251"/>
      <c r="E3862" s="251"/>
      <c r="F3862" s="251"/>
      <c r="G3862" s="249"/>
      <c r="H3862" s="252"/>
      <c r="I3862" s="251"/>
      <c r="J3862" s="251"/>
      <c r="K3862" s="250"/>
      <c r="L3862" s="249"/>
    </row>
    <row r="3863" spans="3:12" s="244" customFormat="1" x14ac:dyDescent="0.25">
      <c r="C3863" s="251"/>
      <c r="D3863" s="251"/>
      <c r="E3863" s="251"/>
      <c r="F3863" s="251"/>
      <c r="G3863" s="249"/>
      <c r="H3863" s="252"/>
      <c r="I3863" s="251"/>
      <c r="J3863" s="251"/>
      <c r="K3863" s="250"/>
      <c r="L3863" s="249"/>
    </row>
    <row r="3864" spans="3:12" s="244" customFormat="1" x14ac:dyDescent="0.25">
      <c r="C3864" s="251"/>
      <c r="D3864" s="251"/>
      <c r="E3864" s="251"/>
      <c r="F3864" s="251"/>
      <c r="G3864" s="249"/>
      <c r="H3864" s="252"/>
      <c r="I3864" s="251"/>
      <c r="J3864" s="251"/>
      <c r="K3864" s="250"/>
      <c r="L3864" s="249"/>
    </row>
    <row r="3865" spans="3:12" s="244" customFormat="1" x14ac:dyDescent="0.25">
      <c r="C3865" s="251"/>
      <c r="D3865" s="251"/>
      <c r="E3865" s="251"/>
      <c r="F3865" s="251"/>
      <c r="G3865" s="249"/>
      <c r="H3865" s="252"/>
      <c r="I3865" s="251"/>
      <c r="J3865" s="251"/>
      <c r="K3865" s="250"/>
      <c r="L3865" s="249"/>
    </row>
    <row r="3866" spans="3:12" s="244" customFormat="1" x14ac:dyDescent="0.25">
      <c r="C3866" s="251"/>
      <c r="D3866" s="251"/>
      <c r="E3866" s="251"/>
      <c r="F3866" s="251"/>
      <c r="G3866" s="249"/>
      <c r="H3866" s="252"/>
      <c r="I3866" s="251"/>
      <c r="J3866" s="251"/>
      <c r="K3866" s="250"/>
      <c r="L3866" s="249"/>
    </row>
    <row r="3867" spans="3:12" s="244" customFormat="1" x14ac:dyDescent="0.25">
      <c r="C3867" s="251"/>
      <c r="D3867" s="251"/>
      <c r="E3867" s="251"/>
      <c r="F3867" s="251"/>
      <c r="G3867" s="249"/>
      <c r="H3867" s="252"/>
      <c r="I3867" s="251"/>
      <c r="J3867" s="251"/>
      <c r="K3867" s="250"/>
      <c r="L3867" s="249"/>
    </row>
    <row r="3868" spans="3:12" s="244" customFormat="1" x14ac:dyDescent="0.25">
      <c r="C3868" s="251"/>
      <c r="D3868" s="251"/>
      <c r="E3868" s="251"/>
      <c r="F3868" s="251"/>
      <c r="G3868" s="249"/>
      <c r="H3868" s="252"/>
      <c r="I3868" s="251"/>
      <c r="J3868" s="251"/>
      <c r="K3868" s="250"/>
      <c r="L3868" s="249"/>
    </row>
    <row r="3869" spans="3:12" s="244" customFormat="1" x14ac:dyDescent="0.25">
      <c r="C3869" s="251"/>
      <c r="D3869" s="251"/>
      <c r="E3869" s="251"/>
      <c r="F3869" s="251"/>
      <c r="G3869" s="249"/>
      <c r="H3869" s="252"/>
      <c r="I3869" s="251"/>
      <c r="J3869" s="251"/>
      <c r="K3869" s="250"/>
      <c r="L3869" s="249"/>
    </row>
    <row r="3870" spans="3:12" s="244" customFormat="1" x14ac:dyDescent="0.25">
      <c r="C3870" s="251"/>
      <c r="D3870" s="251"/>
      <c r="E3870" s="251"/>
      <c r="F3870" s="251"/>
      <c r="G3870" s="249"/>
      <c r="H3870" s="252"/>
      <c r="I3870" s="251"/>
      <c r="J3870" s="251"/>
      <c r="K3870" s="250"/>
      <c r="L3870" s="249"/>
    </row>
    <row r="3871" spans="3:12" s="244" customFormat="1" x14ac:dyDescent="0.25">
      <c r="C3871" s="251"/>
      <c r="D3871" s="251"/>
      <c r="E3871" s="251"/>
      <c r="F3871" s="251"/>
      <c r="G3871" s="249"/>
      <c r="H3871" s="252"/>
      <c r="I3871" s="251"/>
      <c r="J3871" s="251"/>
      <c r="K3871" s="250"/>
      <c r="L3871" s="249"/>
    </row>
    <row r="3872" spans="3:12" s="244" customFormat="1" x14ac:dyDescent="0.25">
      <c r="C3872" s="251"/>
      <c r="D3872" s="251"/>
      <c r="E3872" s="251"/>
      <c r="F3872" s="251"/>
      <c r="G3872" s="249"/>
      <c r="H3872" s="252"/>
      <c r="I3872" s="251"/>
      <c r="J3872" s="251"/>
      <c r="K3872" s="250"/>
      <c r="L3872" s="249"/>
    </row>
    <row r="3873" spans="3:12" s="244" customFormat="1" x14ac:dyDescent="0.25">
      <c r="C3873" s="251"/>
      <c r="D3873" s="251"/>
      <c r="E3873" s="251"/>
      <c r="F3873" s="251"/>
      <c r="G3873" s="249"/>
      <c r="H3873" s="252"/>
      <c r="I3873" s="251"/>
      <c r="J3873" s="251"/>
      <c r="K3873" s="250"/>
      <c r="L3873" s="249"/>
    </row>
    <row r="3874" spans="3:12" s="244" customFormat="1" x14ac:dyDescent="0.25">
      <c r="C3874" s="251"/>
      <c r="D3874" s="251"/>
      <c r="E3874" s="251"/>
      <c r="F3874" s="251"/>
      <c r="G3874" s="249"/>
      <c r="H3874" s="252"/>
      <c r="I3874" s="251"/>
      <c r="J3874" s="251"/>
      <c r="K3874" s="250"/>
      <c r="L3874" s="249"/>
    </row>
    <row r="3875" spans="3:12" s="244" customFormat="1" x14ac:dyDescent="0.25">
      <c r="C3875" s="251"/>
      <c r="D3875" s="251"/>
      <c r="E3875" s="251"/>
      <c r="F3875" s="251"/>
      <c r="G3875" s="249"/>
      <c r="H3875" s="252"/>
      <c r="I3875" s="251"/>
      <c r="J3875" s="251"/>
      <c r="K3875" s="250"/>
      <c r="L3875" s="249"/>
    </row>
    <row r="3876" spans="3:12" s="244" customFormat="1" x14ac:dyDescent="0.25">
      <c r="C3876" s="251"/>
      <c r="D3876" s="251"/>
      <c r="E3876" s="251"/>
      <c r="F3876" s="251"/>
      <c r="G3876" s="249"/>
      <c r="H3876" s="252"/>
      <c r="I3876" s="251"/>
      <c r="J3876" s="251"/>
      <c r="K3876" s="250"/>
      <c r="L3876" s="249"/>
    </row>
    <row r="3877" spans="3:12" s="244" customFormat="1" x14ac:dyDescent="0.25">
      <c r="C3877" s="251"/>
      <c r="D3877" s="251"/>
      <c r="E3877" s="251"/>
      <c r="F3877" s="251"/>
      <c r="G3877" s="249"/>
      <c r="H3877" s="252"/>
      <c r="I3877" s="251"/>
      <c r="J3877" s="251"/>
      <c r="K3877" s="250"/>
      <c r="L3877" s="249"/>
    </row>
    <row r="3878" spans="3:12" s="244" customFormat="1" x14ac:dyDescent="0.25">
      <c r="C3878" s="251"/>
      <c r="D3878" s="251"/>
      <c r="E3878" s="251"/>
      <c r="F3878" s="251"/>
      <c r="G3878" s="249"/>
      <c r="H3878" s="252"/>
      <c r="I3878" s="251"/>
      <c r="J3878" s="251"/>
      <c r="K3878" s="250"/>
      <c r="L3878" s="249"/>
    </row>
    <row r="3879" spans="3:12" s="244" customFormat="1" x14ac:dyDescent="0.25">
      <c r="C3879" s="251"/>
      <c r="D3879" s="251"/>
      <c r="E3879" s="251"/>
      <c r="F3879" s="251"/>
      <c r="G3879" s="249"/>
      <c r="H3879" s="252"/>
      <c r="I3879" s="251"/>
      <c r="J3879" s="251"/>
      <c r="K3879" s="250"/>
      <c r="L3879" s="249"/>
    </row>
    <row r="3880" spans="3:12" s="244" customFormat="1" x14ac:dyDescent="0.25">
      <c r="C3880" s="251"/>
      <c r="D3880" s="251"/>
      <c r="E3880" s="251"/>
      <c r="F3880" s="251"/>
      <c r="G3880" s="249"/>
      <c r="H3880" s="252"/>
      <c r="I3880" s="251"/>
      <c r="J3880" s="251"/>
      <c r="K3880" s="250"/>
      <c r="L3880" s="249"/>
    </row>
    <row r="3881" spans="3:12" s="244" customFormat="1" x14ac:dyDescent="0.25">
      <c r="C3881" s="251"/>
      <c r="D3881" s="251"/>
      <c r="E3881" s="251"/>
      <c r="F3881" s="251"/>
      <c r="G3881" s="249"/>
      <c r="H3881" s="252"/>
      <c r="I3881" s="251"/>
      <c r="J3881" s="251"/>
      <c r="K3881" s="250"/>
      <c r="L3881" s="249"/>
    </row>
    <row r="3882" spans="3:12" s="244" customFormat="1" x14ac:dyDescent="0.25">
      <c r="C3882" s="251"/>
      <c r="D3882" s="251"/>
      <c r="E3882" s="251"/>
      <c r="F3882" s="251"/>
      <c r="G3882" s="249"/>
      <c r="H3882" s="252"/>
      <c r="I3882" s="251"/>
      <c r="J3882" s="251"/>
      <c r="K3882" s="250"/>
      <c r="L3882" s="249"/>
    </row>
    <row r="3883" spans="3:12" s="244" customFormat="1" x14ac:dyDescent="0.25">
      <c r="C3883" s="251"/>
      <c r="D3883" s="251"/>
      <c r="E3883" s="251"/>
      <c r="F3883" s="251"/>
      <c r="G3883" s="249"/>
      <c r="H3883" s="252"/>
      <c r="I3883" s="251"/>
      <c r="J3883" s="251"/>
      <c r="K3883" s="250"/>
      <c r="L3883" s="249"/>
    </row>
    <row r="3884" spans="3:12" s="244" customFormat="1" x14ac:dyDescent="0.25">
      <c r="C3884" s="251"/>
      <c r="D3884" s="251"/>
      <c r="E3884" s="251"/>
      <c r="F3884" s="251"/>
      <c r="G3884" s="249"/>
      <c r="H3884" s="252"/>
      <c r="I3884" s="251"/>
      <c r="J3884" s="251"/>
      <c r="K3884" s="250"/>
      <c r="L3884" s="249"/>
    </row>
    <row r="3885" spans="3:12" s="244" customFormat="1" x14ac:dyDescent="0.25">
      <c r="C3885" s="251"/>
      <c r="D3885" s="251"/>
      <c r="E3885" s="251"/>
      <c r="F3885" s="251"/>
      <c r="G3885" s="249"/>
      <c r="H3885" s="252"/>
      <c r="I3885" s="251"/>
      <c r="J3885" s="251"/>
      <c r="K3885" s="250"/>
      <c r="L3885" s="249"/>
    </row>
    <row r="3886" spans="3:12" s="244" customFormat="1" x14ac:dyDescent="0.25">
      <c r="C3886" s="251"/>
      <c r="D3886" s="251"/>
      <c r="E3886" s="251"/>
      <c r="F3886" s="251"/>
      <c r="G3886" s="249"/>
      <c r="H3886" s="252"/>
      <c r="I3886" s="251"/>
      <c r="J3886" s="251"/>
      <c r="K3886" s="250"/>
      <c r="L3886" s="249"/>
    </row>
    <row r="3887" spans="3:12" s="244" customFormat="1" x14ac:dyDescent="0.25">
      <c r="C3887" s="251"/>
      <c r="D3887" s="251"/>
      <c r="E3887" s="251"/>
      <c r="F3887" s="251"/>
      <c r="G3887" s="249"/>
      <c r="H3887" s="252"/>
      <c r="I3887" s="251"/>
      <c r="J3887" s="251"/>
      <c r="K3887" s="250"/>
      <c r="L3887" s="249"/>
    </row>
    <row r="3888" spans="3:12" s="244" customFormat="1" x14ac:dyDescent="0.25">
      <c r="C3888" s="251"/>
      <c r="D3888" s="251"/>
      <c r="E3888" s="251"/>
      <c r="F3888" s="251"/>
      <c r="G3888" s="249"/>
      <c r="H3888" s="252"/>
      <c r="I3888" s="251"/>
      <c r="J3888" s="251"/>
      <c r="K3888" s="250"/>
      <c r="L3888" s="249"/>
    </row>
    <row r="3889" spans="3:12" s="244" customFormat="1" x14ac:dyDescent="0.25">
      <c r="C3889" s="251"/>
      <c r="D3889" s="251"/>
      <c r="E3889" s="251"/>
      <c r="F3889" s="251"/>
      <c r="G3889" s="249"/>
      <c r="H3889" s="252"/>
      <c r="I3889" s="251"/>
      <c r="J3889" s="251"/>
      <c r="K3889" s="250"/>
      <c r="L3889" s="249"/>
    </row>
    <row r="3890" spans="3:12" s="244" customFormat="1" x14ac:dyDescent="0.25">
      <c r="C3890" s="251"/>
      <c r="D3890" s="251"/>
      <c r="E3890" s="251"/>
      <c r="F3890" s="251"/>
      <c r="G3890" s="249"/>
      <c r="H3890" s="252"/>
      <c r="I3890" s="251"/>
      <c r="J3890" s="251"/>
      <c r="K3890" s="250"/>
      <c r="L3890" s="249"/>
    </row>
    <row r="3891" spans="3:12" s="244" customFormat="1" x14ac:dyDescent="0.25">
      <c r="C3891" s="251"/>
      <c r="D3891" s="251"/>
      <c r="E3891" s="251"/>
      <c r="F3891" s="251"/>
      <c r="G3891" s="249"/>
      <c r="H3891" s="252"/>
      <c r="I3891" s="251"/>
      <c r="J3891" s="251"/>
      <c r="K3891" s="250"/>
      <c r="L3891" s="249"/>
    </row>
    <row r="3892" spans="3:12" s="244" customFormat="1" x14ac:dyDescent="0.25">
      <c r="C3892" s="251"/>
      <c r="D3892" s="251"/>
      <c r="E3892" s="251"/>
      <c r="F3892" s="251"/>
      <c r="G3892" s="249"/>
      <c r="H3892" s="252"/>
      <c r="I3892" s="251"/>
      <c r="J3892" s="251"/>
      <c r="K3892" s="250"/>
      <c r="L3892" s="249"/>
    </row>
    <row r="3893" spans="3:12" s="244" customFormat="1" x14ac:dyDescent="0.25">
      <c r="C3893" s="251"/>
      <c r="D3893" s="251"/>
      <c r="E3893" s="251"/>
      <c r="F3893" s="251"/>
      <c r="G3893" s="249"/>
      <c r="H3893" s="252"/>
      <c r="I3893" s="251"/>
      <c r="J3893" s="251"/>
      <c r="K3893" s="250"/>
      <c r="L3893" s="249"/>
    </row>
    <row r="3894" spans="3:12" s="244" customFormat="1" x14ac:dyDescent="0.25">
      <c r="C3894" s="251"/>
      <c r="D3894" s="251"/>
      <c r="E3894" s="251"/>
      <c r="F3894" s="251"/>
      <c r="G3894" s="249"/>
      <c r="H3894" s="252"/>
      <c r="I3894" s="251"/>
      <c r="J3894" s="251"/>
      <c r="K3894" s="250"/>
      <c r="L3894" s="249"/>
    </row>
    <row r="3895" spans="3:12" s="244" customFormat="1" x14ac:dyDescent="0.25">
      <c r="C3895" s="251"/>
      <c r="D3895" s="251"/>
      <c r="E3895" s="251"/>
      <c r="F3895" s="251"/>
      <c r="G3895" s="249"/>
      <c r="H3895" s="252"/>
      <c r="I3895" s="251"/>
      <c r="J3895" s="251"/>
      <c r="K3895" s="250"/>
      <c r="L3895" s="249"/>
    </row>
    <row r="3896" spans="3:12" s="244" customFormat="1" x14ac:dyDescent="0.25">
      <c r="C3896" s="251"/>
      <c r="D3896" s="251"/>
      <c r="E3896" s="251"/>
      <c r="F3896" s="251"/>
      <c r="G3896" s="249"/>
      <c r="H3896" s="252"/>
      <c r="I3896" s="251"/>
      <c r="J3896" s="251"/>
      <c r="K3896" s="250"/>
      <c r="L3896" s="249"/>
    </row>
    <row r="3897" spans="3:12" s="244" customFormat="1" x14ac:dyDescent="0.25">
      <c r="C3897" s="251"/>
      <c r="D3897" s="251"/>
      <c r="E3897" s="251"/>
      <c r="F3897" s="251"/>
      <c r="G3897" s="249"/>
      <c r="H3897" s="252"/>
      <c r="I3897" s="251"/>
      <c r="J3897" s="251"/>
      <c r="K3897" s="250"/>
      <c r="L3897" s="249"/>
    </row>
    <row r="3898" spans="3:12" s="244" customFormat="1" x14ac:dyDescent="0.25">
      <c r="C3898" s="251"/>
      <c r="D3898" s="251"/>
      <c r="E3898" s="251"/>
      <c r="F3898" s="251"/>
      <c r="G3898" s="249"/>
      <c r="H3898" s="252"/>
      <c r="I3898" s="251"/>
      <c r="J3898" s="251"/>
      <c r="K3898" s="250"/>
      <c r="L3898" s="249"/>
    </row>
    <row r="3899" spans="3:12" s="244" customFormat="1" x14ac:dyDescent="0.25">
      <c r="C3899" s="251"/>
      <c r="D3899" s="251"/>
      <c r="E3899" s="251"/>
      <c r="F3899" s="251"/>
      <c r="G3899" s="249"/>
      <c r="H3899" s="252"/>
      <c r="I3899" s="251"/>
      <c r="J3899" s="251"/>
      <c r="K3899" s="250"/>
      <c r="L3899" s="249"/>
    </row>
    <row r="3900" spans="3:12" s="244" customFormat="1" x14ac:dyDescent="0.25">
      <c r="C3900" s="251"/>
      <c r="D3900" s="251"/>
      <c r="E3900" s="251"/>
      <c r="F3900" s="251"/>
      <c r="G3900" s="249"/>
      <c r="H3900" s="252"/>
      <c r="I3900" s="251"/>
      <c r="J3900" s="251"/>
      <c r="K3900" s="250"/>
      <c r="L3900" s="249"/>
    </row>
    <row r="3901" spans="3:12" s="244" customFormat="1" x14ac:dyDescent="0.25">
      <c r="C3901" s="251"/>
      <c r="D3901" s="251"/>
      <c r="E3901" s="251"/>
      <c r="F3901" s="251"/>
      <c r="G3901" s="249"/>
      <c r="H3901" s="252"/>
      <c r="I3901" s="251"/>
      <c r="J3901" s="251"/>
      <c r="K3901" s="250"/>
      <c r="L3901" s="249"/>
    </row>
    <row r="3902" spans="3:12" s="244" customFormat="1" x14ac:dyDescent="0.25">
      <c r="C3902" s="251"/>
      <c r="D3902" s="251"/>
      <c r="E3902" s="251"/>
      <c r="F3902" s="251"/>
      <c r="G3902" s="249"/>
      <c r="H3902" s="252"/>
      <c r="I3902" s="251"/>
      <c r="J3902" s="251"/>
      <c r="K3902" s="250"/>
      <c r="L3902" s="249"/>
    </row>
    <row r="3903" spans="3:12" s="244" customFormat="1" x14ac:dyDescent="0.25">
      <c r="C3903" s="251"/>
      <c r="D3903" s="251"/>
      <c r="E3903" s="251"/>
      <c r="F3903" s="251"/>
      <c r="G3903" s="249"/>
      <c r="H3903" s="252"/>
      <c r="I3903" s="251"/>
      <c r="J3903" s="251"/>
      <c r="K3903" s="250"/>
      <c r="L3903" s="249"/>
    </row>
    <row r="3904" spans="3:12" s="244" customFormat="1" x14ac:dyDescent="0.25">
      <c r="C3904" s="251"/>
      <c r="D3904" s="251"/>
      <c r="E3904" s="251"/>
      <c r="F3904" s="251"/>
      <c r="G3904" s="249"/>
      <c r="H3904" s="252"/>
      <c r="I3904" s="251"/>
      <c r="J3904" s="251"/>
      <c r="K3904" s="250"/>
      <c r="L3904" s="249"/>
    </row>
    <row r="3905" spans="3:12" s="244" customFormat="1" x14ac:dyDescent="0.25">
      <c r="C3905" s="251"/>
      <c r="D3905" s="251"/>
      <c r="E3905" s="251"/>
      <c r="F3905" s="251"/>
      <c r="G3905" s="249"/>
      <c r="H3905" s="252"/>
      <c r="I3905" s="251"/>
      <c r="J3905" s="251"/>
      <c r="K3905" s="250"/>
      <c r="L3905" s="249"/>
    </row>
    <row r="3906" spans="3:12" s="244" customFormat="1" x14ac:dyDescent="0.25">
      <c r="C3906" s="251"/>
      <c r="D3906" s="251"/>
      <c r="E3906" s="251"/>
      <c r="F3906" s="251"/>
      <c r="G3906" s="249"/>
      <c r="H3906" s="252"/>
      <c r="I3906" s="251"/>
      <c r="J3906" s="251"/>
      <c r="K3906" s="250"/>
      <c r="L3906" s="249"/>
    </row>
    <row r="3907" spans="3:12" s="244" customFormat="1" x14ac:dyDescent="0.25">
      <c r="C3907" s="251"/>
      <c r="D3907" s="251"/>
      <c r="E3907" s="251"/>
      <c r="F3907" s="251"/>
      <c r="G3907" s="249"/>
      <c r="H3907" s="252"/>
      <c r="I3907" s="251"/>
      <c r="J3907" s="251"/>
      <c r="K3907" s="250"/>
      <c r="L3907" s="249"/>
    </row>
    <row r="3908" spans="3:12" s="244" customFormat="1" x14ac:dyDescent="0.25">
      <c r="C3908" s="251"/>
      <c r="D3908" s="251"/>
      <c r="E3908" s="251"/>
      <c r="F3908" s="251"/>
      <c r="G3908" s="249"/>
      <c r="H3908" s="252"/>
      <c r="I3908" s="251"/>
      <c r="J3908" s="251"/>
      <c r="K3908" s="250"/>
      <c r="L3908" s="249"/>
    </row>
    <row r="3909" spans="3:12" s="244" customFormat="1" x14ac:dyDescent="0.25">
      <c r="C3909" s="251"/>
      <c r="D3909" s="251"/>
      <c r="E3909" s="251"/>
      <c r="F3909" s="251"/>
      <c r="G3909" s="249"/>
      <c r="H3909" s="252"/>
      <c r="I3909" s="251"/>
      <c r="J3909" s="251"/>
      <c r="K3909" s="250"/>
      <c r="L3909" s="249"/>
    </row>
    <row r="3910" spans="3:12" s="244" customFormat="1" x14ac:dyDescent="0.25">
      <c r="C3910" s="251"/>
      <c r="D3910" s="251"/>
      <c r="E3910" s="251"/>
      <c r="F3910" s="251"/>
      <c r="G3910" s="249"/>
      <c r="H3910" s="252"/>
      <c r="I3910" s="251"/>
      <c r="J3910" s="251"/>
      <c r="K3910" s="250"/>
      <c r="L3910" s="249"/>
    </row>
    <row r="3911" spans="3:12" s="244" customFormat="1" x14ac:dyDescent="0.25">
      <c r="C3911" s="251"/>
      <c r="D3911" s="251"/>
      <c r="E3911" s="251"/>
      <c r="F3911" s="251"/>
      <c r="G3911" s="249"/>
      <c r="H3911" s="252"/>
      <c r="I3911" s="251"/>
      <c r="J3911" s="251"/>
      <c r="K3911" s="250"/>
      <c r="L3911" s="249"/>
    </row>
    <row r="3912" spans="3:12" s="244" customFormat="1" x14ac:dyDescent="0.25">
      <c r="C3912" s="251"/>
      <c r="D3912" s="251"/>
      <c r="E3912" s="251"/>
      <c r="F3912" s="251"/>
      <c r="G3912" s="249"/>
      <c r="H3912" s="252"/>
      <c r="I3912" s="251"/>
      <c r="J3912" s="251"/>
      <c r="K3912" s="250"/>
      <c r="L3912" s="249"/>
    </row>
    <row r="3913" spans="3:12" s="244" customFormat="1" x14ac:dyDescent="0.25">
      <c r="C3913" s="251"/>
      <c r="D3913" s="251"/>
      <c r="E3913" s="251"/>
      <c r="F3913" s="251"/>
      <c r="G3913" s="249"/>
      <c r="H3913" s="252"/>
      <c r="I3913" s="251"/>
      <c r="J3913" s="251"/>
      <c r="K3913" s="250"/>
      <c r="L3913" s="249"/>
    </row>
    <row r="3914" spans="3:12" s="244" customFormat="1" x14ac:dyDescent="0.25">
      <c r="C3914" s="251"/>
      <c r="D3914" s="251"/>
      <c r="E3914" s="251"/>
      <c r="F3914" s="251"/>
      <c r="G3914" s="249"/>
      <c r="H3914" s="252"/>
      <c r="I3914" s="251"/>
      <c r="J3914" s="251"/>
      <c r="K3914" s="250"/>
      <c r="L3914" s="249"/>
    </row>
    <row r="3915" spans="3:12" s="244" customFormat="1" x14ac:dyDescent="0.25">
      <c r="C3915" s="251"/>
      <c r="D3915" s="251"/>
      <c r="E3915" s="251"/>
      <c r="F3915" s="251"/>
      <c r="G3915" s="249"/>
      <c r="H3915" s="252"/>
      <c r="I3915" s="251"/>
      <c r="J3915" s="251"/>
      <c r="K3915" s="250"/>
      <c r="L3915" s="249"/>
    </row>
    <row r="3916" spans="3:12" s="244" customFormat="1" x14ac:dyDescent="0.25">
      <c r="C3916" s="251"/>
      <c r="D3916" s="251"/>
      <c r="E3916" s="251"/>
      <c r="F3916" s="251"/>
      <c r="G3916" s="249"/>
      <c r="H3916" s="252"/>
      <c r="I3916" s="251"/>
      <c r="J3916" s="251"/>
      <c r="K3916" s="250"/>
      <c r="L3916" s="249"/>
    </row>
    <row r="3917" spans="3:12" s="244" customFormat="1" x14ac:dyDescent="0.25">
      <c r="C3917" s="251"/>
      <c r="D3917" s="251"/>
      <c r="E3917" s="251"/>
      <c r="F3917" s="251"/>
      <c r="G3917" s="249"/>
      <c r="H3917" s="252"/>
      <c r="I3917" s="251"/>
      <c r="J3917" s="251"/>
      <c r="K3917" s="250"/>
      <c r="L3917" s="249"/>
    </row>
    <row r="3918" spans="3:12" s="244" customFormat="1" x14ac:dyDescent="0.25">
      <c r="C3918" s="251"/>
      <c r="D3918" s="251"/>
      <c r="E3918" s="251"/>
      <c r="F3918" s="251"/>
      <c r="G3918" s="249"/>
      <c r="H3918" s="252"/>
      <c r="I3918" s="251"/>
      <c r="J3918" s="251"/>
      <c r="K3918" s="250"/>
      <c r="L3918" s="249"/>
    </row>
    <row r="3919" spans="3:12" s="244" customFormat="1" x14ac:dyDescent="0.25">
      <c r="C3919" s="251"/>
      <c r="D3919" s="251"/>
      <c r="E3919" s="251"/>
      <c r="F3919" s="251"/>
      <c r="G3919" s="249"/>
      <c r="H3919" s="252"/>
      <c r="I3919" s="251"/>
      <c r="J3919" s="251"/>
      <c r="K3919" s="250"/>
      <c r="L3919" s="249"/>
    </row>
    <row r="3920" spans="3:12" s="244" customFormat="1" x14ac:dyDescent="0.25">
      <c r="C3920" s="251"/>
      <c r="D3920" s="251"/>
      <c r="E3920" s="251"/>
      <c r="F3920" s="251"/>
      <c r="G3920" s="249"/>
      <c r="H3920" s="252"/>
      <c r="I3920" s="251"/>
      <c r="J3920" s="251"/>
      <c r="K3920" s="250"/>
      <c r="L3920" s="249"/>
    </row>
    <row r="3921" spans="3:12" s="244" customFormat="1" x14ac:dyDescent="0.25">
      <c r="C3921" s="251"/>
      <c r="D3921" s="251"/>
      <c r="E3921" s="251"/>
      <c r="F3921" s="251"/>
      <c r="G3921" s="249"/>
      <c r="H3921" s="252"/>
      <c r="I3921" s="251"/>
      <c r="J3921" s="251"/>
      <c r="K3921" s="250"/>
      <c r="L3921" s="249"/>
    </row>
    <row r="3922" spans="3:12" s="244" customFormat="1" x14ac:dyDescent="0.25">
      <c r="C3922" s="251"/>
      <c r="D3922" s="251"/>
      <c r="E3922" s="251"/>
      <c r="F3922" s="251"/>
      <c r="G3922" s="249"/>
      <c r="H3922" s="252"/>
      <c r="I3922" s="251"/>
      <c r="J3922" s="251"/>
      <c r="K3922" s="250"/>
      <c r="L3922" s="249"/>
    </row>
    <row r="3923" spans="3:12" s="244" customFormat="1" x14ac:dyDescent="0.25">
      <c r="C3923" s="251"/>
      <c r="D3923" s="251"/>
      <c r="E3923" s="251"/>
      <c r="F3923" s="251"/>
      <c r="G3923" s="249"/>
      <c r="H3923" s="252"/>
      <c r="I3923" s="251"/>
      <c r="J3923" s="251"/>
      <c r="K3923" s="250"/>
      <c r="L3923" s="249"/>
    </row>
    <row r="3924" spans="3:12" s="244" customFormat="1" x14ac:dyDescent="0.25">
      <c r="C3924" s="251"/>
      <c r="D3924" s="251"/>
      <c r="E3924" s="251"/>
      <c r="F3924" s="251"/>
      <c r="G3924" s="249"/>
      <c r="H3924" s="252"/>
      <c r="I3924" s="251"/>
      <c r="J3924" s="251"/>
      <c r="K3924" s="250"/>
      <c r="L3924" s="249"/>
    </row>
    <row r="3925" spans="3:12" s="244" customFormat="1" x14ac:dyDescent="0.25">
      <c r="C3925" s="251"/>
      <c r="D3925" s="251"/>
      <c r="E3925" s="251"/>
      <c r="F3925" s="251"/>
      <c r="G3925" s="249"/>
      <c r="H3925" s="252"/>
      <c r="I3925" s="251"/>
      <c r="J3925" s="251"/>
      <c r="K3925" s="250"/>
      <c r="L3925" s="249"/>
    </row>
    <row r="3926" spans="3:12" s="244" customFormat="1" x14ac:dyDescent="0.25">
      <c r="C3926" s="251"/>
      <c r="D3926" s="251"/>
      <c r="E3926" s="251"/>
      <c r="F3926" s="251"/>
      <c r="G3926" s="249"/>
      <c r="H3926" s="252"/>
      <c r="I3926" s="251"/>
      <c r="J3926" s="251"/>
      <c r="K3926" s="250"/>
      <c r="L3926" s="249"/>
    </row>
    <row r="3927" spans="3:12" s="244" customFormat="1" x14ac:dyDescent="0.25">
      <c r="C3927" s="251"/>
      <c r="D3927" s="251"/>
      <c r="E3927" s="251"/>
      <c r="F3927" s="251"/>
      <c r="G3927" s="249"/>
      <c r="H3927" s="252"/>
      <c r="I3927" s="251"/>
      <c r="J3927" s="251"/>
      <c r="K3927" s="250"/>
      <c r="L3927" s="249"/>
    </row>
    <row r="3928" spans="3:12" s="244" customFormat="1" x14ac:dyDescent="0.25">
      <c r="C3928" s="251"/>
      <c r="D3928" s="251"/>
      <c r="E3928" s="251"/>
      <c r="F3928" s="251"/>
      <c r="G3928" s="249"/>
      <c r="H3928" s="252"/>
      <c r="I3928" s="251"/>
      <c r="J3928" s="251"/>
      <c r="K3928" s="250"/>
      <c r="L3928" s="249"/>
    </row>
    <row r="3929" spans="3:12" s="244" customFormat="1" x14ac:dyDescent="0.25">
      <c r="C3929" s="251"/>
      <c r="D3929" s="251"/>
      <c r="E3929" s="251"/>
      <c r="F3929" s="251"/>
      <c r="G3929" s="249"/>
      <c r="H3929" s="252"/>
      <c r="I3929" s="251"/>
      <c r="J3929" s="251"/>
      <c r="K3929" s="250"/>
      <c r="L3929" s="249"/>
    </row>
    <row r="3930" spans="3:12" s="244" customFormat="1" x14ac:dyDescent="0.25">
      <c r="C3930" s="251"/>
      <c r="D3930" s="251"/>
      <c r="E3930" s="251"/>
      <c r="F3930" s="251"/>
      <c r="G3930" s="249"/>
      <c r="H3930" s="252"/>
      <c r="I3930" s="251"/>
      <c r="J3930" s="251"/>
      <c r="K3930" s="250"/>
      <c r="L3930" s="249"/>
    </row>
    <row r="3931" spans="3:12" s="244" customFormat="1" x14ac:dyDescent="0.25">
      <c r="C3931" s="251"/>
      <c r="D3931" s="251"/>
      <c r="E3931" s="251"/>
      <c r="F3931" s="251"/>
      <c r="G3931" s="249"/>
      <c r="H3931" s="252"/>
      <c r="I3931" s="251"/>
      <c r="J3931" s="251"/>
      <c r="K3931" s="250"/>
      <c r="L3931" s="249"/>
    </row>
    <row r="3932" spans="3:12" s="244" customFormat="1" x14ac:dyDescent="0.25">
      <c r="C3932" s="251"/>
      <c r="D3932" s="251"/>
      <c r="E3932" s="251"/>
      <c r="F3932" s="251"/>
      <c r="G3932" s="249"/>
      <c r="H3932" s="252"/>
      <c r="I3932" s="251"/>
      <c r="J3932" s="251"/>
      <c r="K3932" s="250"/>
      <c r="L3932" s="249"/>
    </row>
    <row r="3933" spans="3:12" s="244" customFormat="1" x14ac:dyDescent="0.25">
      <c r="C3933" s="251"/>
      <c r="D3933" s="251"/>
      <c r="E3933" s="251"/>
      <c r="F3933" s="251"/>
      <c r="G3933" s="249"/>
      <c r="H3933" s="252"/>
      <c r="I3933" s="251"/>
      <c r="J3933" s="251"/>
      <c r="K3933" s="250"/>
      <c r="L3933" s="249"/>
    </row>
    <row r="3934" spans="3:12" s="244" customFormat="1" x14ac:dyDescent="0.25">
      <c r="C3934" s="251"/>
      <c r="D3934" s="251"/>
      <c r="E3934" s="251"/>
      <c r="F3934" s="251"/>
      <c r="G3934" s="249"/>
      <c r="H3934" s="252"/>
      <c r="I3934" s="251"/>
      <c r="J3934" s="251"/>
      <c r="K3934" s="250"/>
      <c r="L3934" s="249"/>
    </row>
    <row r="3935" spans="3:12" s="244" customFormat="1" x14ac:dyDescent="0.25">
      <c r="C3935" s="251"/>
      <c r="D3935" s="251"/>
      <c r="E3935" s="251"/>
      <c r="F3935" s="251"/>
      <c r="G3935" s="249"/>
      <c r="H3935" s="252"/>
      <c r="I3935" s="251"/>
      <c r="J3935" s="251"/>
      <c r="K3935" s="250"/>
      <c r="L3935" s="249"/>
    </row>
    <row r="3936" spans="3:12" s="244" customFormat="1" x14ac:dyDescent="0.25">
      <c r="C3936" s="251"/>
      <c r="D3936" s="251"/>
      <c r="E3936" s="251"/>
      <c r="F3936" s="251"/>
      <c r="G3936" s="249"/>
      <c r="H3936" s="252"/>
      <c r="I3936" s="251"/>
      <c r="J3936" s="251"/>
      <c r="K3936" s="250"/>
      <c r="L3936" s="249"/>
    </row>
    <row r="3937" spans="3:12" s="244" customFormat="1" x14ac:dyDescent="0.25">
      <c r="C3937" s="251"/>
      <c r="D3937" s="251"/>
      <c r="E3937" s="251"/>
      <c r="F3937" s="251"/>
      <c r="G3937" s="249"/>
      <c r="H3937" s="252"/>
      <c r="I3937" s="251"/>
      <c r="J3937" s="251"/>
      <c r="K3937" s="250"/>
      <c r="L3937" s="249"/>
    </row>
    <row r="3938" spans="3:12" s="244" customFormat="1" x14ac:dyDescent="0.25">
      <c r="C3938" s="251"/>
      <c r="D3938" s="251"/>
      <c r="E3938" s="251"/>
      <c r="F3938" s="251"/>
      <c r="G3938" s="249"/>
      <c r="H3938" s="252"/>
      <c r="I3938" s="251"/>
      <c r="J3938" s="251"/>
      <c r="K3938" s="250"/>
      <c r="L3938" s="249"/>
    </row>
    <row r="3939" spans="3:12" s="244" customFormat="1" x14ac:dyDescent="0.25">
      <c r="C3939" s="251"/>
      <c r="D3939" s="251"/>
      <c r="E3939" s="251"/>
      <c r="F3939" s="251"/>
      <c r="G3939" s="249"/>
      <c r="H3939" s="252"/>
      <c r="I3939" s="251"/>
      <c r="J3939" s="251"/>
      <c r="K3939" s="250"/>
      <c r="L3939" s="249"/>
    </row>
    <row r="3940" spans="3:12" s="244" customFormat="1" x14ac:dyDescent="0.25">
      <c r="C3940" s="251"/>
      <c r="D3940" s="251"/>
      <c r="E3940" s="251"/>
      <c r="F3940" s="251"/>
      <c r="G3940" s="249"/>
      <c r="H3940" s="252"/>
      <c r="I3940" s="251"/>
      <c r="J3940" s="251"/>
      <c r="K3940" s="250"/>
      <c r="L3940" s="249"/>
    </row>
    <row r="3941" spans="3:12" s="244" customFormat="1" x14ac:dyDescent="0.25">
      <c r="C3941" s="251"/>
      <c r="D3941" s="251"/>
      <c r="E3941" s="251"/>
      <c r="F3941" s="251"/>
      <c r="G3941" s="249"/>
      <c r="H3941" s="252"/>
      <c r="I3941" s="251"/>
      <c r="J3941" s="251"/>
      <c r="K3941" s="250"/>
      <c r="L3941" s="249"/>
    </row>
    <row r="3942" spans="3:12" s="244" customFormat="1" x14ac:dyDescent="0.25">
      <c r="C3942" s="251"/>
      <c r="D3942" s="251"/>
      <c r="E3942" s="251"/>
      <c r="F3942" s="251"/>
      <c r="G3942" s="249"/>
      <c r="H3942" s="252"/>
      <c r="I3942" s="251"/>
      <c r="J3942" s="251"/>
      <c r="K3942" s="250"/>
      <c r="L3942" s="249"/>
    </row>
    <row r="3943" spans="3:12" s="244" customFormat="1" x14ac:dyDescent="0.25">
      <c r="C3943" s="251"/>
      <c r="D3943" s="251"/>
      <c r="E3943" s="251"/>
      <c r="F3943" s="251"/>
      <c r="G3943" s="249"/>
      <c r="H3943" s="252"/>
      <c r="I3943" s="251"/>
      <c r="J3943" s="251"/>
      <c r="K3943" s="250"/>
      <c r="L3943" s="249"/>
    </row>
    <row r="3944" spans="3:12" s="244" customFormat="1" x14ac:dyDescent="0.25">
      <c r="C3944" s="251"/>
      <c r="D3944" s="251"/>
      <c r="E3944" s="251"/>
      <c r="F3944" s="251"/>
      <c r="G3944" s="249"/>
      <c r="H3944" s="252"/>
      <c r="I3944" s="251"/>
      <c r="J3944" s="251"/>
      <c r="K3944" s="250"/>
      <c r="L3944" s="249"/>
    </row>
    <row r="3945" spans="3:12" s="244" customFormat="1" x14ac:dyDescent="0.25">
      <c r="C3945" s="251"/>
      <c r="D3945" s="251"/>
      <c r="E3945" s="251"/>
      <c r="F3945" s="251"/>
      <c r="G3945" s="249"/>
      <c r="H3945" s="252"/>
      <c r="I3945" s="251"/>
      <c r="J3945" s="251"/>
      <c r="K3945" s="250"/>
      <c r="L3945" s="249"/>
    </row>
    <row r="3946" spans="3:12" s="244" customFormat="1" x14ac:dyDescent="0.25">
      <c r="C3946" s="251"/>
      <c r="D3946" s="251"/>
      <c r="E3946" s="251"/>
      <c r="F3946" s="251"/>
      <c r="G3946" s="249"/>
      <c r="H3946" s="252"/>
      <c r="I3946" s="251"/>
      <c r="J3946" s="251"/>
      <c r="K3946" s="250"/>
      <c r="L3946" s="249"/>
    </row>
    <row r="3947" spans="3:12" s="244" customFormat="1" x14ac:dyDescent="0.25">
      <c r="C3947" s="251"/>
      <c r="D3947" s="251"/>
      <c r="E3947" s="251"/>
      <c r="F3947" s="251"/>
      <c r="G3947" s="249"/>
      <c r="H3947" s="252"/>
      <c r="I3947" s="251"/>
      <c r="J3947" s="251"/>
      <c r="K3947" s="250"/>
      <c r="L3947" s="249"/>
    </row>
    <row r="3948" spans="3:12" s="244" customFormat="1" x14ac:dyDescent="0.25">
      <c r="C3948" s="251"/>
      <c r="D3948" s="251"/>
      <c r="E3948" s="251"/>
      <c r="F3948" s="251"/>
      <c r="G3948" s="249"/>
      <c r="H3948" s="252"/>
      <c r="I3948" s="251"/>
      <c r="J3948" s="251"/>
      <c r="K3948" s="250"/>
      <c r="L3948" s="249"/>
    </row>
    <row r="3949" spans="3:12" s="244" customFormat="1" x14ac:dyDescent="0.25">
      <c r="C3949" s="251"/>
      <c r="D3949" s="251"/>
      <c r="E3949" s="251"/>
      <c r="F3949" s="251"/>
      <c r="G3949" s="249"/>
      <c r="H3949" s="252"/>
      <c r="I3949" s="251"/>
      <c r="J3949" s="251"/>
      <c r="K3949" s="250"/>
      <c r="L3949" s="249"/>
    </row>
    <row r="3950" spans="3:12" s="244" customFormat="1" x14ac:dyDescent="0.25">
      <c r="C3950" s="251"/>
      <c r="D3950" s="251"/>
      <c r="E3950" s="251"/>
      <c r="F3950" s="251"/>
      <c r="G3950" s="249"/>
      <c r="H3950" s="252"/>
      <c r="I3950" s="251"/>
      <c r="J3950" s="251"/>
      <c r="K3950" s="250"/>
      <c r="L3950" s="249"/>
    </row>
    <row r="3951" spans="3:12" s="244" customFormat="1" x14ac:dyDescent="0.25">
      <c r="C3951" s="251"/>
      <c r="D3951" s="251"/>
      <c r="E3951" s="251"/>
      <c r="F3951" s="251"/>
      <c r="G3951" s="249"/>
      <c r="H3951" s="252"/>
      <c r="I3951" s="251"/>
      <c r="J3951" s="251"/>
      <c r="K3951" s="250"/>
      <c r="L3951" s="249"/>
    </row>
    <row r="3952" spans="3:12" s="244" customFormat="1" x14ac:dyDescent="0.25">
      <c r="C3952" s="251"/>
      <c r="D3952" s="251"/>
      <c r="E3952" s="251"/>
      <c r="F3952" s="251"/>
      <c r="G3952" s="249"/>
      <c r="H3952" s="252"/>
      <c r="I3952" s="251"/>
      <c r="J3952" s="251"/>
      <c r="K3952" s="250"/>
      <c r="L3952" s="249"/>
    </row>
    <row r="3953" spans="3:12" s="244" customFormat="1" x14ac:dyDescent="0.25">
      <c r="C3953" s="251"/>
      <c r="D3953" s="251"/>
      <c r="E3953" s="251"/>
      <c r="F3953" s="251"/>
      <c r="G3953" s="249"/>
      <c r="H3953" s="252"/>
      <c r="I3953" s="251"/>
      <c r="J3953" s="251"/>
      <c r="K3953" s="250"/>
      <c r="L3953" s="249"/>
    </row>
    <row r="3954" spans="3:12" s="244" customFormat="1" x14ac:dyDescent="0.25">
      <c r="C3954" s="251"/>
      <c r="D3954" s="251"/>
      <c r="E3954" s="251"/>
      <c r="F3954" s="251"/>
      <c r="G3954" s="249"/>
      <c r="H3954" s="252"/>
      <c r="I3954" s="251"/>
      <c r="J3954" s="251"/>
      <c r="K3954" s="250"/>
      <c r="L3954" s="249"/>
    </row>
    <row r="3955" spans="3:12" s="244" customFormat="1" x14ac:dyDescent="0.25">
      <c r="C3955" s="251"/>
      <c r="D3955" s="251"/>
      <c r="E3955" s="251"/>
      <c r="F3955" s="251"/>
      <c r="G3955" s="249"/>
      <c r="H3955" s="252"/>
      <c r="I3955" s="251"/>
      <c r="J3955" s="251"/>
      <c r="K3955" s="250"/>
      <c r="L3955" s="249"/>
    </row>
    <row r="3956" spans="3:12" s="244" customFormat="1" x14ac:dyDescent="0.25">
      <c r="C3956" s="251"/>
      <c r="D3956" s="251"/>
      <c r="E3956" s="251"/>
      <c r="F3956" s="251"/>
      <c r="G3956" s="249"/>
      <c r="H3956" s="252"/>
      <c r="I3956" s="251"/>
      <c r="J3956" s="251"/>
      <c r="K3956" s="250"/>
      <c r="L3956" s="249"/>
    </row>
    <row r="3957" spans="3:12" s="244" customFormat="1" x14ac:dyDescent="0.25">
      <c r="C3957" s="251"/>
      <c r="D3957" s="251"/>
      <c r="E3957" s="251"/>
      <c r="F3957" s="251"/>
      <c r="G3957" s="249"/>
      <c r="H3957" s="252"/>
      <c r="I3957" s="251"/>
      <c r="J3957" s="251"/>
      <c r="K3957" s="250"/>
      <c r="L3957" s="249"/>
    </row>
    <row r="3958" spans="3:12" s="244" customFormat="1" x14ac:dyDescent="0.25">
      <c r="C3958" s="251"/>
      <c r="D3958" s="251"/>
      <c r="E3958" s="251"/>
      <c r="F3958" s="251"/>
      <c r="G3958" s="249"/>
      <c r="H3958" s="252"/>
      <c r="I3958" s="251"/>
      <c r="J3958" s="251"/>
      <c r="K3958" s="250"/>
      <c r="L3958" s="249"/>
    </row>
    <row r="3959" spans="3:12" s="244" customFormat="1" x14ac:dyDescent="0.25">
      <c r="C3959" s="251"/>
      <c r="D3959" s="251"/>
      <c r="E3959" s="251"/>
      <c r="F3959" s="251"/>
      <c r="G3959" s="249"/>
      <c r="H3959" s="252"/>
      <c r="I3959" s="251"/>
      <c r="J3959" s="251"/>
      <c r="K3959" s="250"/>
      <c r="L3959" s="249"/>
    </row>
    <row r="3960" spans="3:12" s="244" customFormat="1" x14ac:dyDescent="0.25">
      <c r="C3960" s="251"/>
      <c r="D3960" s="251"/>
      <c r="E3960" s="251"/>
      <c r="F3960" s="251"/>
      <c r="G3960" s="249"/>
      <c r="H3960" s="252"/>
      <c r="I3960" s="251"/>
      <c r="J3960" s="251"/>
      <c r="K3960" s="250"/>
      <c r="L3960" s="249"/>
    </row>
    <row r="3961" spans="3:12" s="244" customFormat="1" x14ac:dyDescent="0.25">
      <c r="C3961" s="251"/>
      <c r="D3961" s="251"/>
      <c r="E3961" s="251"/>
      <c r="F3961" s="251"/>
      <c r="G3961" s="249"/>
      <c r="H3961" s="252"/>
      <c r="I3961" s="251"/>
      <c r="J3961" s="251"/>
      <c r="K3961" s="250"/>
      <c r="L3961" s="249"/>
    </row>
    <row r="3962" spans="3:12" s="244" customFormat="1" x14ac:dyDescent="0.25">
      <c r="C3962" s="251"/>
      <c r="D3962" s="251"/>
      <c r="E3962" s="251"/>
      <c r="F3962" s="251"/>
      <c r="G3962" s="249"/>
      <c r="H3962" s="252"/>
      <c r="I3962" s="251"/>
      <c r="J3962" s="251"/>
      <c r="K3962" s="250"/>
      <c r="L3962" s="249"/>
    </row>
    <row r="3963" spans="3:12" s="244" customFormat="1" x14ac:dyDescent="0.25">
      <c r="C3963" s="251"/>
      <c r="D3963" s="251"/>
      <c r="E3963" s="251"/>
      <c r="F3963" s="251"/>
      <c r="G3963" s="249"/>
      <c r="H3963" s="252"/>
      <c r="I3963" s="251"/>
      <c r="J3963" s="251"/>
      <c r="K3963" s="250"/>
      <c r="L3963" s="249"/>
    </row>
    <row r="3964" spans="3:12" s="244" customFormat="1" x14ac:dyDescent="0.25">
      <c r="C3964" s="251"/>
      <c r="D3964" s="251"/>
      <c r="E3964" s="251"/>
      <c r="F3964" s="251"/>
      <c r="G3964" s="249"/>
      <c r="H3964" s="252"/>
      <c r="I3964" s="251"/>
      <c r="J3964" s="251"/>
      <c r="K3964" s="250"/>
      <c r="L3964" s="249"/>
    </row>
    <row r="3965" spans="3:12" s="244" customFormat="1" x14ac:dyDescent="0.25">
      <c r="C3965" s="251"/>
      <c r="D3965" s="251"/>
      <c r="E3965" s="251"/>
      <c r="F3965" s="251"/>
      <c r="G3965" s="249"/>
      <c r="H3965" s="252"/>
      <c r="I3965" s="251"/>
      <c r="J3965" s="251"/>
      <c r="K3965" s="250"/>
      <c r="L3965" s="249"/>
    </row>
    <row r="3966" spans="3:12" s="244" customFormat="1" x14ac:dyDescent="0.25">
      <c r="C3966" s="251"/>
      <c r="D3966" s="251"/>
      <c r="E3966" s="251"/>
      <c r="F3966" s="251"/>
      <c r="G3966" s="249"/>
      <c r="H3966" s="252"/>
      <c r="I3966" s="251"/>
      <c r="J3966" s="251"/>
      <c r="K3966" s="250"/>
      <c r="L3966" s="249"/>
    </row>
    <row r="3967" spans="3:12" s="244" customFormat="1" x14ac:dyDescent="0.25">
      <c r="C3967" s="251"/>
      <c r="D3967" s="251"/>
      <c r="E3967" s="251"/>
      <c r="F3967" s="251"/>
      <c r="G3967" s="249"/>
      <c r="H3967" s="252"/>
      <c r="I3967" s="251"/>
      <c r="J3967" s="251"/>
      <c r="K3967" s="250"/>
      <c r="L3967" s="249"/>
    </row>
    <row r="3968" spans="3:12" s="244" customFormat="1" x14ac:dyDescent="0.25">
      <c r="C3968" s="251"/>
      <c r="D3968" s="251"/>
      <c r="E3968" s="251"/>
      <c r="F3968" s="251"/>
      <c r="G3968" s="249"/>
      <c r="H3968" s="252"/>
      <c r="I3968" s="251"/>
      <c r="J3968" s="251"/>
      <c r="K3968" s="250"/>
      <c r="L3968" s="249"/>
    </row>
    <row r="3969" spans="3:12" s="244" customFormat="1" x14ac:dyDescent="0.25">
      <c r="C3969" s="251"/>
      <c r="D3969" s="251"/>
      <c r="E3969" s="251"/>
      <c r="F3969" s="251"/>
      <c r="G3969" s="249"/>
      <c r="H3969" s="252"/>
      <c r="I3969" s="251"/>
      <c r="J3969" s="251"/>
      <c r="K3969" s="250"/>
      <c r="L3969" s="249"/>
    </row>
    <row r="3970" spans="3:12" s="244" customFormat="1" x14ac:dyDescent="0.25">
      <c r="C3970" s="251"/>
      <c r="D3970" s="251"/>
      <c r="E3970" s="251"/>
      <c r="F3970" s="251"/>
      <c r="G3970" s="249"/>
      <c r="H3970" s="252"/>
      <c r="I3970" s="251"/>
      <c r="J3970" s="251"/>
      <c r="K3970" s="250"/>
      <c r="L3970" s="249"/>
    </row>
    <row r="3971" spans="3:12" s="244" customFormat="1" x14ac:dyDescent="0.25">
      <c r="C3971" s="251"/>
      <c r="D3971" s="251"/>
      <c r="E3971" s="251"/>
      <c r="F3971" s="251"/>
      <c r="G3971" s="249"/>
      <c r="H3971" s="252"/>
      <c r="I3971" s="251"/>
      <c r="J3971" s="251"/>
      <c r="K3971" s="250"/>
      <c r="L3971" s="249"/>
    </row>
    <row r="3972" spans="3:12" s="244" customFormat="1" x14ac:dyDescent="0.25">
      <c r="C3972" s="251"/>
      <c r="D3972" s="251"/>
      <c r="E3972" s="251"/>
      <c r="F3972" s="251"/>
      <c r="G3972" s="249"/>
      <c r="H3972" s="252"/>
      <c r="I3972" s="251"/>
      <c r="J3972" s="251"/>
      <c r="K3972" s="250"/>
      <c r="L3972" s="249"/>
    </row>
    <row r="3973" spans="3:12" s="244" customFormat="1" x14ac:dyDescent="0.25">
      <c r="C3973" s="251"/>
      <c r="D3973" s="251"/>
      <c r="E3973" s="251"/>
      <c r="F3973" s="251"/>
      <c r="G3973" s="249"/>
      <c r="H3973" s="252"/>
      <c r="I3973" s="251"/>
      <c r="J3973" s="251"/>
      <c r="K3973" s="250"/>
      <c r="L3973" s="249"/>
    </row>
    <row r="3974" spans="3:12" s="244" customFormat="1" x14ac:dyDescent="0.25">
      <c r="C3974" s="251"/>
      <c r="D3974" s="251"/>
      <c r="E3974" s="251"/>
      <c r="F3974" s="251"/>
      <c r="G3974" s="249"/>
      <c r="H3974" s="252"/>
      <c r="I3974" s="251"/>
      <c r="J3974" s="251"/>
      <c r="K3974" s="250"/>
      <c r="L3974" s="249"/>
    </row>
    <row r="3975" spans="3:12" s="244" customFormat="1" x14ac:dyDescent="0.25">
      <c r="C3975" s="251"/>
      <c r="D3975" s="251"/>
      <c r="E3975" s="251"/>
      <c r="F3975" s="251"/>
      <c r="G3975" s="249"/>
      <c r="H3975" s="252"/>
      <c r="I3975" s="251"/>
      <c r="J3975" s="251"/>
      <c r="K3975" s="250"/>
      <c r="L3975" s="249"/>
    </row>
    <row r="3976" spans="3:12" s="244" customFormat="1" x14ac:dyDescent="0.25">
      <c r="C3976" s="251"/>
      <c r="D3976" s="251"/>
      <c r="E3976" s="251"/>
      <c r="F3976" s="251"/>
      <c r="G3976" s="249"/>
      <c r="H3976" s="252"/>
      <c r="I3976" s="251"/>
      <c r="J3976" s="251"/>
      <c r="K3976" s="250"/>
      <c r="L3976" s="249"/>
    </row>
    <row r="3977" spans="3:12" s="244" customFormat="1" x14ac:dyDescent="0.25">
      <c r="C3977" s="251"/>
      <c r="D3977" s="251"/>
      <c r="E3977" s="251"/>
      <c r="F3977" s="251"/>
      <c r="G3977" s="249"/>
      <c r="H3977" s="252"/>
      <c r="I3977" s="251"/>
      <c r="J3977" s="251"/>
      <c r="K3977" s="250"/>
      <c r="L3977" s="249"/>
    </row>
    <row r="3978" spans="3:12" s="244" customFormat="1" x14ac:dyDescent="0.25">
      <c r="C3978" s="251"/>
      <c r="D3978" s="251"/>
      <c r="E3978" s="251"/>
      <c r="F3978" s="251"/>
      <c r="G3978" s="249"/>
      <c r="H3978" s="252"/>
      <c r="I3978" s="251"/>
      <c r="J3978" s="251"/>
      <c r="K3978" s="250"/>
      <c r="L3978" s="249"/>
    </row>
    <row r="3979" spans="3:12" s="244" customFormat="1" x14ac:dyDescent="0.25">
      <c r="C3979" s="251"/>
      <c r="D3979" s="251"/>
      <c r="E3979" s="251"/>
      <c r="F3979" s="251"/>
      <c r="G3979" s="249"/>
      <c r="H3979" s="252"/>
      <c r="I3979" s="251"/>
      <c r="J3979" s="251"/>
      <c r="K3979" s="250"/>
      <c r="L3979" s="249"/>
    </row>
    <row r="3980" spans="3:12" s="244" customFormat="1" x14ac:dyDescent="0.25">
      <c r="C3980" s="251"/>
      <c r="D3980" s="251"/>
      <c r="E3980" s="251"/>
      <c r="F3980" s="251"/>
      <c r="G3980" s="249"/>
      <c r="H3980" s="252"/>
      <c r="I3980" s="251"/>
      <c r="J3980" s="251"/>
      <c r="K3980" s="250"/>
      <c r="L3980" s="249"/>
    </row>
    <row r="3981" spans="3:12" s="244" customFormat="1" x14ac:dyDescent="0.25">
      <c r="C3981" s="251"/>
      <c r="D3981" s="251"/>
      <c r="E3981" s="251"/>
      <c r="F3981" s="251"/>
      <c r="G3981" s="249"/>
      <c r="H3981" s="252"/>
      <c r="I3981" s="251"/>
      <c r="J3981" s="251"/>
      <c r="K3981" s="250"/>
      <c r="L3981" s="249"/>
    </row>
    <row r="3982" spans="3:12" s="244" customFormat="1" x14ac:dyDescent="0.25">
      <c r="C3982" s="251"/>
      <c r="D3982" s="251"/>
      <c r="E3982" s="251"/>
      <c r="F3982" s="251"/>
      <c r="G3982" s="249"/>
      <c r="H3982" s="252"/>
      <c r="I3982" s="251"/>
      <c r="J3982" s="251"/>
      <c r="K3982" s="250"/>
      <c r="L3982" s="249"/>
    </row>
    <row r="3983" spans="3:12" s="244" customFormat="1" x14ac:dyDescent="0.25">
      <c r="C3983" s="251"/>
      <c r="D3983" s="251"/>
      <c r="E3983" s="251"/>
      <c r="F3983" s="251"/>
      <c r="G3983" s="249"/>
      <c r="H3983" s="252"/>
      <c r="I3983" s="251"/>
      <c r="J3983" s="251"/>
      <c r="K3983" s="250"/>
      <c r="L3983" s="249"/>
    </row>
    <row r="3984" spans="3:12" s="244" customFormat="1" x14ac:dyDescent="0.25">
      <c r="C3984" s="251"/>
      <c r="D3984" s="251"/>
      <c r="E3984" s="251"/>
      <c r="F3984" s="251"/>
      <c r="G3984" s="249"/>
      <c r="H3984" s="252"/>
      <c r="I3984" s="251"/>
      <c r="J3984" s="251"/>
      <c r="K3984" s="250"/>
      <c r="L3984" s="249"/>
    </row>
    <row r="3985" spans="3:12" s="244" customFormat="1" x14ac:dyDescent="0.25">
      <c r="C3985" s="251"/>
      <c r="D3985" s="251"/>
      <c r="E3985" s="251"/>
      <c r="F3985" s="251"/>
      <c r="G3985" s="249"/>
      <c r="H3985" s="252"/>
      <c r="I3985" s="251"/>
      <c r="J3985" s="251"/>
      <c r="K3985" s="250"/>
      <c r="L3985" s="249"/>
    </row>
    <row r="3986" spans="3:12" s="244" customFormat="1" x14ac:dyDescent="0.25">
      <c r="C3986" s="251"/>
      <c r="D3986" s="251"/>
      <c r="E3986" s="251"/>
      <c r="F3986" s="251"/>
      <c r="G3986" s="249"/>
      <c r="H3986" s="252"/>
      <c r="I3986" s="251"/>
      <c r="J3986" s="251"/>
      <c r="K3986" s="250"/>
      <c r="L3986" s="249"/>
    </row>
    <row r="3987" spans="3:12" s="244" customFormat="1" x14ac:dyDescent="0.25">
      <c r="C3987" s="251"/>
      <c r="D3987" s="251"/>
      <c r="E3987" s="251"/>
      <c r="F3987" s="251"/>
      <c r="G3987" s="249"/>
      <c r="H3987" s="252"/>
      <c r="I3987" s="251"/>
      <c r="J3987" s="251"/>
      <c r="K3987" s="250"/>
      <c r="L3987" s="249"/>
    </row>
    <row r="3988" spans="3:12" s="244" customFormat="1" x14ac:dyDescent="0.25">
      <c r="C3988" s="251"/>
      <c r="D3988" s="251"/>
      <c r="E3988" s="251"/>
      <c r="F3988" s="251"/>
      <c r="G3988" s="249"/>
      <c r="H3988" s="252"/>
      <c r="I3988" s="251"/>
      <c r="J3988" s="251"/>
      <c r="K3988" s="250"/>
      <c r="L3988" s="249"/>
    </row>
    <row r="3989" spans="3:12" s="244" customFormat="1" x14ac:dyDescent="0.25">
      <c r="C3989" s="251"/>
      <c r="D3989" s="251"/>
      <c r="E3989" s="251"/>
      <c r="F3989" s="251"/>
      <c r="G3989" s="249"/>
      <c r="H3989" s="252"/>
      <c r="I3989" s="251"/>
      <c r="J3989" s="251"/>
      <c r="K3989" s="250"/>
      <c r="L3989" s="249"/>
    </row>
    <row r="3990" spans="3:12" s="244" customFormat="1" x14ac:dyDescent="0.25">
      <c r="C3990" s="251"/>
      <c r="D3990" s="251"/>
      <c r="E3990" s="251"/>
      <c r="F3990" s="251"/>
      <c r="G3990" s="249"/>
      <c r="H3990" s="252"/>
      <c r="I3990" s="251"/>
      <c r="J3990" s="251"/>
      <c r="K3990" s="250"/>
      <c r="L3990" s="249"/>
    </row>
    <row r="3991" spans="3:12" s="244" customFormat="1" x14ac:dyDescent="0.25">
      <c r="C3991" s="251"/>
      <c r="D3991" s="251"/>
      <c r="E3991" s="251"/>
      <c r="F3991" s="251"/>
      <c r="G3991" s="249"/>
      <c r="H3991" s="252"/>
      <c r="I3991" s="251"/>
      <c r="J3991" s="251"/>
      <c r="K3991" s="250"/>
      <c r="L3991" s="249"/>
    </row>
    <row r="3992" spans="3:12" s="244" customFormat="1" x14ac:dyDescent="0.25">
      <c r="C3992" s="251"/>
      <c r="D3992" s="251"/>
      <c r="E3992" s="251"/>
      <c r="F3992" s="251"/>
      <c r="G3992" s="249"/>
      <c r="H3992" s="252"/>
      <c r="I3992" s="251"/>
      <c r="J3992" s="251"/>
      <c r="K3992" s="250"/>
      <c r="L3992" s="249"/>
    </row>
    <row r="3993" spans="3:12" s="244" customFormat="1" x14ac:dyDescent="0.25">
      <c r="C3993" s="251"/>
      <c r="D3993" s="251"/>
      <c r="E3993" s="251"/>
      <c r="F3993" s="251"/>
      <c r="G3993" s="249"/>
      <c r="H3993" s="252"/>
      <c r="I3993" s="251"/>
      <c r="J3993" s="251"/>
      <c r="K3993" s="250"/>
      <c r="L3993" s="249"/>
    </row>
    <row r="3994" spans="3:12" s="244" customFormat="1" x14ac:dyDescent="0.25">
      <c r="C3994" s="251"/>
      <c r="D3994" s="251"/>
      <c r="E3994" s="251"/>
      <c r="F3994" s="251"/>
      <c r="G3994" s="249"/>
      <c r="H3994" s="252"/>
      <c r="I3994" s="251"/>
      <c r="J3994" s="251"/>
      <c r="K3994" s="250"/>
      <c r="L3994" s="249"/>
    </row>
    <row r="3995" spans="3:12" s="244" customFormat="1" x14ac:dyDescent="0.25">
      <c r="C3995" s="251"/>
      <c r="D3995" s="251"/>
      <c r="E3995" s="251"/>
      <c r="F3995" s="251"/>
      <c r="G3995" s="249"/>
      <c r="H3995" s="252"/>
      <c r="I3995" s="251"/>
      <c r="J3995" s="251"/>
      <c r="K3995" s="250"/>
      <c r="L3995" s="249"/>
    </row>
    <row r="3996" spans="3:12" s="244" customFormat="1" x14ac:dyDescent="0.25">
      <c r="C3996" s="251"/>
      <c r="D3996" s="251"/>
      <c r="E3996" s="251"/>
      <c r="F3996" s="251"/>
      <c r="G3996" s="249"/>
      <c r="H3996" s="252"/>
      <c r="I3996" s="251"/>
      <c r="J3996" s="251"/>
      <c r="K3996" s="250"/>
      <c r="L3996" s="249"/>
    </row>
    <row r="3997" spans="3:12" s="244" customFormat="1" x14ac:dyDescent="0.25">
      <c r="C3997" s="251"/>
      <c r="D3997" s="251"/>
      <c r="E3997" s="251"/>
      <c r="F3997" s="251"/>
      <c r="G3997" s="249"/>
      <c r="H3997" s="252"/>
      <c r="I3997" s="251"/>
      <c r="J3997" s="251"/>
      <c r="K3997" s="250"/>
      <c r="L3997" s="249"/>
    </row>
    <row r="3998" spans="3:12" s="244" customFormat="1" x14ac:dyDescent="0.25">
      <c r="C3998" s="251"/>
      <c r="D3998" s="251"/>
      <c r="E3998" s="251"/>
      <c r="F3998" s="251"/>
      <c r="G3998" s="249"/>
      <c r="H3998" s="252"/>
      <c r="I3998" s="251"/>
      <c r="J3998" s="251"/>
      <c r="K3998" s="250"/>
      <c r="L3998" s="249"/>
    </row>
    <row r="3999" spans="3:12" s="244" customFormat="1" x14ac:dyDescent="0.25">
      <c r="C3999" s="251"/>
      <c r="D3999" s="251"/>
      <c r="E3999" s="251"/>
      <c r="F3999" s="251"/>
      <c r="G3999" s="249"/>
      <c r="H3999" s="252"/>
      <c r="I3999" s="251"/>
      <c r="J3999" s="251"/>
      <c r="K3999" s="250"/>
      <c r="L3999" s="249"/>
    </row>
    <row r="4000" spans="3:12" s="244" customFormat="1" x14ac:dyDescent="0.25">
      <c r="C4000" s="251"/>
      <c r="D4000" s="251"/>
      <c r="E4000" s="251"/>
      <c r="F4000" s="251"/>
      <c r="G4000" s="249"/>
      <c r="H4000" s="252"/>
      <c r="I4000" s="251"/>
      <c r="J4000" s="251"/>
      <c r="K4000" s="250"/>
      <c r="L4000" s="249"/>
    </row>
    <row r="4001" spans="3:12" s="244" customFormat="1" x14ac:dyDescent="0.25">
      <c r="C4001" s="251"/>
      <c r="D4001" s="251"/>
      <c r="E4001" s="251"/>
      <c r="F4001" s="251"/>
      <c r="G4001" s="249"/>
      <c r="H4001" s="252"/>
      <c r="I4001" s="251"/>
      <c r="J4001" s="251"/>
      <c r="K4001" s="250"/>
      <c r="L4001" s="249"/>
    </row>
    <row r="4002" spans="3:12" s="244" customFormat="1" x14ac:dyDescent="0.25">
      <c r="C4002" s="251"/>
      <c r="D4002" s="251"/>
      <c r="E4002" s="251"/>
      <c r="F4002" s="251"/>
      <c r="G4002" s="249"/>
      <c r="H4002" s="252"/>
      <c r="I4002" s="251"/>
      <c r="J4002" s="251"/>
      <c r="K4002" s="250"/>
      <c r="L4002" s="249"/>
    </row>
    <row r="4003" spans="3:12" s="244" customFormat="1" x14ac:dyDescent="0.25">
      <c r="C4003" s="251"/>
      <c r="D4003" s="251"/>
      <c r="E4003" s="251"/>
      <c r="F4003" s="251"/>
      <c r="G4003" s="249"/>
      <c r="H4003" s="252"/>
      <c r="I4003" s="251"/>
      <c r="J4003" s="251"/>
      <c r="K4003" s="250"/>
      <c r="L4003" s="249"/>
    </row>
    <row r="4004" spans="3:12" s="244" customFormat="1" x14ac:dyDescent="0.25">
      <c r="C4004" s="251"/>
      <c r="D4004" s="251"/>
      <c r="E4004" s="251"/>
      <c r="F4004" s="251"/>
      <c r="G4004" s="249"/>
      <c r="H4004" s="252"/>
      <c r="I4004" s="251"/>
      <c r="J4004" s="251"/>
      <c r="K4004" s="250"/>
      <c r="L4004" s="249"/>
    </row>
    <row r="4005" spans="3:12" s="244" customFormat="1" x14ac:dyDescent="0.25">
      <c r="C4005" s="251"/>
      <c r="D4005" s="251"/>
      <c r="E4005" s="251"/>
      <c r="F4005" s="251"/>
      <c r="G4005" s="249"/>
      <c r="H4005" s="252"/>
      <c r="I4005" s="251"/>
      <c r="J4005" s="251"/>
      <c r="K4005" s="250"/>
      <c r="L4005" s="249"/>
    </row>
    <row r="4006" spans="3:12" s="244" customFormat="1" x14ac:dyDescent="0.25">
      <c r="C4006" s="251"/>
      <c r="D4006" s="251"/>
      <c r="E4006" s="251"/>
      <c r="F4006" s="251"/>
      <c r="G4006" s="249"/>
      <c r="H4006" s="252"/>
      <c r="I4006" s="251"/>
      <c r="J4006" s="251"/>
      <c r="K4006" s="250"/>
      <c r="L4006" s="249"/>
    </row>
    <row r="4007" spans="3:12" s="244" customFormat="1" x14ac:dyDescent="0.25">
      <c r="C4007" s="251"/>
      <c r="D4007" s="251"/>
      <c r="E4007" s="251"/>
      <c r="F4007" s="251"/>
      <c r="G4007" s="249"/>
      <c r="H4007" s="252"/>
      <c r="I4007" s="251"/>
      <c r="J4007" s="251"/>
      <c r="K4007" s="250"/>
      <c r="L4007" s="249"/>
    </row>
    <row r="4008" spans="3:12" s="244" customFormat="1" x14ac:dyDescent="0.25">
      <c r="C4008" s="251"/>
      <c r="D4008" s="251"/>
      <c r="E4008" s="251"/>
      <c r="F4008" s="251"/>
      <c r="G4008" s="249"/>
      <c r="H4008" s="252"/>
      <c r="I4008" s="251"/>
      <c r="J4008" s="251"/>
      <c r="K4008" s="250"/>
      <c r="L4008" s="249"/>
    </row>
    <row r="4009" spans="3:12" s="244" customFormat="1" x14ac:dyDescent="0.25">
      <c r="C4009" s="251"/>
      <c r="D4009" s="251"/>
      <c r="E4009" s="251"/>
      <c r="F4009" s="251"/>
      <c r="G4009" s="249"/>
      <c r="H4009" s="252"/>
      <c r="I4009" s="251"/>
      <c r="J4009" s="251"/>
      <c r="K4009" s="250"/>
      <c r="L4009" s="249"/>
    </row>
    <row r="4010" spans="3:12" s="244" customFormat="1" x14ac:dyDescent="0.25">
      <c r="C4010" s="251"/>
      <c r="D4010" s="251"/>
      <c r="E4010" s="251"/>
      <c r="F4010" s="251"/>
      <c r="G4010" s="249"/>
      <c r="H4010" s="252"/>
      <c r="I4010" s="251"/>
      <c r="J4010" s="251"/>
      <c r="K4010" s="250"/>
      <c r="L4010" s="249"/>
    </row>
    <row r="4011" spans="3:12" s="244" customFormat="1" x14ac:dyDescent="0.25">
      <c r="C4011" s="251"/>
      <c r="D4011" s="251"/>
      <c r="E4011" s="251"/>
      <c r="F4011" s="251"/>
      <c r="G4011" s="249"/>
      <c r="H4011" s="252"/>
      <c r="I4011" s="251"/>
      <c r="J4011" s="251"/>
      <c r="K4011" s="250"/>
      <c r="L4011" s="249"/>
    </row>
    <row r="4012" spans="3:12" s="244" customFormat="1" x14ac:dyDescent="0.25">
      <c r="C4012" s="251"/>
      <c r="D4012" s="251"/>
      <c r="E4012" s="251"/>
      <c r="F4012" s="251"/>
      <c r="G4012" s="249"/>
      <c r="H4012" s="252"/>
      <c r="I4012" s="251"/>
      <c r="J4012" s="251"/>
      <c r="K4012" s="250"/>
      <c r="L4012" s="249"/>
    </row>
    <row r="4013" spans="3:12" s="244" customFormat="1" x14ac:dyDescent="0.25">
      <c r="C4013" s="251"/>
      <c r="D4013" s="251"/>
      <c r="E4013" s="251"/>
      <c r="F4013" s="251"/>
      <c r="G4013" s="249"/>
      <c r="H4013" s="252"/>
      <c r="I4013" s="251"/>
      <c r="J4013" s="251"/>
      <c r="K4013" s="250"/>
      <c r="L4013" s="249"/>
    </row>
    <row r="4014" spans="3:12" s="244" customFormat="1" x14ac:dyDescent="0.25">
      <c r="C4014" s="251"/>
      <c r="D4014" s="251"/>
      <c r="E4014" s="251"/>
      <c r="F4014" s="251"/>
      <c r="G4014" s="249"/>
      <c r="H4014" s="252"/>
      <c r="I4014" s="251"/>
      <c r="J4014" s="251"/>
      <c r="K4014" s="250"/>
      <c r="L4014" s="249"/>
    </row>
    <row r="4015" spans="3:12" s="244" customFormat="1" x14ac:dyDescent="0.25">
      <c r="C4015" s="251"/>
      <c r="D4015" s="251"/>
      <c r="E4015" s="251"/>
      <c r="F4015" s="251"/>
      <c r="G4015" s="249"/>
      <c r="H4015" s="252"/>
      <c r="I4015" s="251"/>
      <c r="J4015" s="251"/>
      <c r="K4015" s="250"/>
      <c r="L4015" s="249"/>
    </row>
    <row r="4016" spans="3:12" s="244" customFormat="1" x14ac:dyDescent="0.25">
      <c r="C4016" s="251"/>
      <c r="D4016" s="251"/>
      <c r="E4016" s="251"/>
      <c r="F4016" s="251"/>
      <c r="G4016" s="249"/>
      <c r="H4016" s="252"/>
      <c r="I4016" s="251"/>
      <c r="J4016" s="251"/>
      <c r="K4016" s="250"/>
      <c r="L4016" s="249"/>
    </row>
    <row r="4017" spans="3:12" s="244" customFormat="1" x14ac:dyDescent="0.25">
      <c r="C4017" s="251"/>
      <c r="D4017" s="251"/>
      <c r="E4017" s="251"/>
      <c r="F4017" s="251"/>
      <c r="G4017" s="249"/>
      <c r="H4017" s="252"/>
      <c r="I4017" s="251"/>
      <c r="J4017" s="251"/>
      <c r="K4017" s="250"/>
      <c r="L4017" s="249"/>
    </row>
    <row r="4018" spans="3:12" s="244" customFormat="1" x14ac:dyDescent="0.25">
      <c r="C4018" s="251"/>
      <c r="D4018" s="251"/>
      <c r="E4018" s="251"/>
      <c r="F4018" s="251"/>
      <c r="G4018" s="249"/>
      <c r="H4018" s="252"/>
      <c r="I4018" s="251"/>
      <c r="J4018" s="251"/>
      <c r="K4018" s="250"/>
      <c r="L4018" s="249"/>
    </row>
    <row r="4019" spans="3:12" s="244" customFormat="1" x14ac:dyDescent="0.25">
      <c r="C4019" s="251"/>
      <c r="D4019" s="251"/>
      <c r="E4019" s="251"/>
      <c r="F4019" s="251"/>
      <c r="G4019" s="249"/>
      <c r="H4019" s="252"/>
      <c r="I4019" s="251"/>
      <c r="J4019" s="251"/>
      <c r="K4019" s="250"/>
      <c r="L4019" s="249"/>
    </row>
    <row r="4020" spans="3:12" s="244" customFormat="1" x14ac:dyDescent="0.25">
      <c r="C4020" s="251"/>
      <c r="D4020" s="251"/>
      <c r="E4020" s="251"/>
      <c r="F4020" s="251"/>
      <c r="G4020" s="249"/>
      <c r="H4020" s="252"/>
      <c r="I4020" s="251"/>
      <c r="J4020" s="251"/>
      <c r="K4020" s="250"/>
      <c r="L4020" s="249"/>
    </row>
    <row r="4021" spans="3:12" s="244" customFormat="1" x14ac:dyDescent="0.25">
      <c r="C4021" s="251"/>
      <c r="D4021" s="251"/>
      <c r="E4021" s="251"/>
      <c r="F4021" s="251"/>
      <c r="G4021" s="249"/>
      <c r="H4021" s="252"/>
      <c r="I4021" s="251"/>
      <c r="J4021" s="251"/>
      <c r="K4021" s="250"/>
      <c r="L4021" s="249"/>
    </row>
    <row r="4022" spans="3:12" s="244" customFormat="1" x14ac:dyDescent="0.25">
      <c r="C4022" s="251"/>
      <c r="D4022" s="251"/>
      <c r="E4022" s="251"/>
      <c r="F4022" s="251"/>
      <c r="G4022" s="249"/>
      <c r="H4022" s="252"/>
      <c r="I4022" s="251"/>
      <c r="J4022" s="251"/>
      <c r="K4022" s="250"/>
      <c r="L4022" s="249"/>
    </row>
    <row r="4023" spans="3:12" s="244" customFormat="1" x14ac:dyDescent="0.25">
      <c r="C4023" s="251"/>
      <c r="D4023" s="251"/>
      <c r="E4023" s="251"/>
      <c r="F4023" s="251"/>
      <c r="G4023" s="249"/>
      <c r="H4023" s="252"/>
      <c r="I4023" s="251"/>
      <c r="J4023" s="251"/>
      <c r="K4023" s="250"/>
      <c r="L4023" s="249"/>
    </row>
    <row r="4024" spans="3:12" s="244" customFormat="1" x14ac:dyDescent="0.25">
      <c r="C4024" s="251"/>
      <c r="D4024" s="251"/>
      <c r="E4024" s="251"/>
      <c r="F4024" s="251"/>
      <c r="G4024" s="249"/>
      <c r="H4024" s="252"/>
      <c r="I4024" s="251"/>
      <c r="J4024" s="251"/>
      <c r="K4024" s="250"/>
      <c r="L4024" s="249"/>
    </row>
    <row r="4025" spans="3:12" s="244" customFormat="1" x14ac:dyDescent="0.25">
      <c r="C4025" s="251"/>
      <c r="D4025" s="251"/>
      <c r="E4025" s="251"/>
      <c r="F4025" s="251"/>
      <c r="G4025" s="249"/>
      <c r="H4025" s="252"/>
      <c r="I4025" s="251"/>
      <c r="J4025" s="251"/>
      <c r="K4025" s="250"/>
      <c r="L4025" s="249"/>
    </row>
    <row r="4026" spans="3:12" s="244" customFormat="1" x14ac:dyDescent="0.25">
      <c r="C4026" s="251"/>
      <c r="D4026" s="251"/>
      <c r="E4026" s="251"/>
      <c r="F4026" s="251"/>
      <c r="G4026" s="249"/>
      <c r="H4026" s="252"/>
      <c r="I4026" s="251"/>
      <c r="J4026" s="251"/>
      <c r="K4026" s="250"/>
      <c r="L4026" s="249"/>
    </row>
    <row r="4027" spans="3:12" s="244" customFormat="1" x14ac:dyDescent="0.25">
      <c r="C4027" s="251"/>
      <c r="D4027" s="251"/>
      <c r="E4027" s="251"/>
      <c r="F4027" s="251"/>
      <c r="G4027" s="249"/>
      <c r="H4027" s="252"/>
      <c r="I4027" s="251"/>
      <c r="J4027" s="251"/>
      <c r="K4027" s="250"/>
      <c r="L4027" s="249"/>
    </row>
    <row r="4028" spans="3:12" s="244" customFormat="1" x14ac:dyDescent="0.25">
      <c r="C4028" s="251"/>
      <c r="D4028" s="251"/>
      <c r="E4028" s="251"/>
      <c r="F4028" s="251"/>
      <c r="G4028" s="249"/>
      <c r="H4028" s="252"/>
      <c r="I4028" s="251"/>
      <c r="J4028" s="251"/>
      <c r="K4028" s="250"/>
      <c r="L4028" s="249"/>
    </row>
    <row r="4029" spans="3:12" s="244" customFormat="1" x14ac:dyDescent="0.25">
      <c r="C4029" s="251"/>
      <c r="D4029" s="251"/>
      <c r="E4029" s="251"/>
      <c r="F4029" s="251"/>
      <c r="G4029" s="249"/>
      <c r="H4029" s="252"/>
      <c r="I4029" s="251"/>
      <c r="J4029" s="251"/>
      <c r="K4029" s="250"/>
      <c r="L4029" s="249"/>
    </row>
    <row r="4030" spans="3:12" s="244" customFormat="1" x14ac:dyDescent="0.25">
      <c r="C4030" s="251"/>
      <c r="D4030" s="251"/>
      <c r="E4030" s="251"/>
      <c r="F4030" s="251"/>
      <c r="G4030" s="249"/>
      <c r="H4030" s="252"/>
      <c r="I4030" s="251"/>
      <c r="J4030" s="251"/>
      <c r="K4030" s="250"/>
      <c r="L4030" s="249"/>
    </row>
    <row r="4031" spans="3:12" s="244" customFormat="1" x14ac:dyDescent="0.25">
      <c r="C4031" s="251"/>
      <c r="D4031" s="251"/>
      <c r="E4031" s="251"/>
      <c r="F4031" s="251"/>
      <c r="G4031" s="249"/>
      <c r="H4031" s="252"/>
      <c r="I4031" s="251"/>
      <c r="J4031" s="251"/>
      <c r="K4031" s="250"/>
      <c r="L4031" s="249"/>
    </row>
    <row r="4032" spans="3:12" s="244" customFormat="1" x14ac:dyDescent="0.25">
      <c r="C4032" s="251"/>
      <c r="D4032" s="251"/>
      <c r="E4032" s="251"/>
      <c r="F4032" s="251"/>
      <c r="G4032" s="249"/>
      <c r="H4032" s="252"/>
      <c r="I4032" s="251"/>
      <c r="J4032" s="251"/>
      <c r="K4032" s="250"/>
      <c r="L4032" s="249"/>
    </row>
    <row r="4033" spans="3:12" s="244" customFormat="1" x14ac:dyDescent="0.25">
      <c r="C4033" s="251"/>
      <c r="D4033" s="251"/>
      <c r="E4033" s="251"/>
      <c r="F4033" s="251"/>
      <c r="G4033" s="249"/>
      <c r="H4033" s="252"/>
      <c r="I4033" s="251"/>
      <c r="J4033" s="251"/>
      <c r="K4033" s="250"/>
      <c r="L4033" s="249"/>
    </row>
    <row r="4034" spans="3:12" s="244" customFormat="1" x14ac:dyDescent="0.25">
      <c r="C4034" s="251"/>
      <c r="D4034" s="251"/>
      <c r="E4034" s="251"/>
      <c r="F4034" s="251"/>
      <c r="G4034" s="249"/>
      <c r="H4034" s="252"/>
      <c r="I4034" s="251"/>
      <c r="J4034" s="251"/>
      <c r="K4034" s="250"/>
      <c r="L4034" s="249"/>
    </row>
    <row r="4035" spans="3:12" s="244" customFormat="1" x14ac:dyDescent="0.25">
      <c r="C4035" s="251"/>
      <c r="D4035" s="251"/>
      <c r="E4035" s="251"/>
      <c r="F4035" s="251"/>
      <c r="G4035" s="249"/>
      <c r="H4035" s="252"/>
      <c r="I4035" s="251"/>
      <c r="J4035" s="251"/>
      <c r="K4035" s="250"/>
      <c r="L4035" s="249"/>
    </row>
    <row r="4036" spans="3:12" s="244" customFormat="1" x14ac:dyDescent="0.25">
      <c r="C4036" s="251"/>
      <c r="D4036" s="251"/>
      <c r="E4036" s="251"/>
      <c r="F4036" s="251"/>
      <c r="G4036" s="249"/>
      <c r="H4036" s="252"/>
      <c r="I4036" s="251"/>
      <c r="J4036" s="251"/>
      <c r="K4036" s="250"/>
      <c r="L4036" s="249"/>
    </row>
    <row r="4037" spans="3:12" s="244" customFormat="1" x14ac:dyDescent="0.25">
      <c r="C4037" s="251"/>
      <c r="D4037" s="251"/>
      <c r="E4037" s="251"/>
      <c r="F4037" s="251"/>
      <c r="G4037" s="249"/>
      <c r="H4037" s="252"/>
      <c r="I4037" s="251"/>
      <c r="J4037" s="251"/>
      <c r="K4037" s="250"/>
      <c r="L4037" s="249"/>
    </row>
    <row r="4038" spans="3:12" s="244" customFormat="1" x14ac:dyDescent="0.25">
      <c r="C4038" s="251"/>
      <c r="D4038" s="251"/>
      <c r="E4038" s="251"/>
      <c r="F4038" s="251"/>
      <c r="G4038" s="249"/>
      <c r="H4038" s="252"/>
      <c r="I4038" s="251"/>
      <c r="J4038" s="251"/>
      <c r="K4038" s="250"/>
      <c r="L4038" s="249"/>
    </row>
    <row r="4039" spans="3:12" s="244" customFormat="1" x14ac:dyDescent="0.25">
      <c r="C4039" s="251"/>
      <c r="D4039" s="251"/>
      <c r="E4039" s="251"/>
      <c r="F4039" s="251"/>
      <c r="G4039" s="249"/>
      <c r="H4039" s="252"/>
      <c r="I4039" s="251"/>
      <c r="J4039" s="251"/>
      <c r="K4039" s="250"/>
      <c r="L4039" s="249"/>
    </row>
    <row r="4040" spans="3:12" s="244" customFormat="1" x14ac:dyDescent="0.25">
      <c r="C4040" s="251"/>
      <c r="D4040" s="251"/>
      <c r="E4040" s="251"/>
      <c r="F4040" s="251"/>
      <c r="G4040" s="249"/>
      <c r="H4040" s="252"/>
      <c r="I4040" s="251"/>
      <c r="J4040" s="251"/>
      <c r="K4040" s="250"/>
      <c r="L4040" s="249"/>
    </row>
    <row r="4041" spans="3:12" s="244" customFormat="1" x14ac:dyDescent="0.25">
      <c r="C4041" s="251"/>
      <c r="D4041" s="251"/>
      <c r="E4041" s="251"/>
      <c r="F4041" s="251"/>
      <c r="G4041" s="249"/>
      <c r="H4041" s="252"/>
      <c r="I4041" s="251"/>
      <c r="J4041" s="251"/>
      <c r="K4041" s="250"/>
      <c r="L4041" s="249"/>
    </row>
    <row r="4042" spans="3:12" s="244" customFormat="1" x14ac:dyDescent="0.25">
      <c r="C4042" s="251"/>
      <c r="D4042" s="251"/>
      <c r="E4042" s="251"/>
      <c r="F4042" s="251"/>
      <c r="G4042" s="249"/>
      <c r="H4042" s="252"/>
      <c r="I4042" s="251"/>
      <c r="J4042" s="251"/>
      <c r="K4042" s="250"/>
      <c r="L4042" s="249"/>
    </row>
    <row r="4043" spans="3:12" s="244" customFormat="1" x14ac:dyDescent="0.25">
      <c r="C4043" s="251"/>
      <c r="D4043" s="251"/>
      <c r="E4043" s="251"/>
      <c r="F4043" s="251"/>
      <c r="G4043" s="249"/>
      <c r="H4043" s="252"/>
      <c r="I4043" s="251"/>
      <c r="J4043" s="251"/>
      <c r="K4043" s="250"/>
      <c r="L4043" s="249"/>
    </row>
    <row r="4044" spans="3:12" s="244" customFormat="1" x14ac:dyDescent="0.25">
      <c r="C4044" s="251"/>
      <c r="D4044" s="251"/>
      <c r="E4044" s="251"/>
      <c r="F4044" s="251"/>
      <c r="G4044" s="249"/>
      <c r="H4044" s="252"/>
      <c r="I4044" s="251"/>
      <c r="J4044" s="251"/>
      <c r="K4044" s="250"/>
      <c r="L4044" s="249"/>
    </row>
    <row r="4045" spans="3:12" s="244" customFormat="1" x14ac:dyDescent="0.25">
      <c r="C4045" s="251"/>
      <c r="D4045" s="251"/>
      <c r="E4045" s="251"/>
      <c r="F4045" s="251"/>
      <c r="G4045" s="249"/>
      <c r="H4045" s="252"/>
      <c r="I4045" s="251"/>
      <c r="J4045" s="251"/>
      <c r="K4045" s="250"/>
      <c r="L4045" s="249"/>
    </row>
    <row r="4046" spans="3:12" s="244" customFormat="1" x14ac:dyDescent="0.25">
      <c r="C4046" s="251"/>
      <c r="D4046" s="251"/>
      <c r="E4046" s="251"/>
      <c r="F4046" s="251"/>
      <c r="G4046" s="249"/>
      <c r="H4046" s="252"/>
      <c r="I4046" s="251"/>
      <c r="J4046" s="251"/>
      <c r="K4046" s="250"/>
      <c r="L4046" s="249"/>
    </row>
    <row r="4047" spans="3:12" s="244" customFormat="1" x14ac:dyDescent="0.25">
      <c r="C4047" s="251"/>
      <c r="D4047" s="251"/>
      <c r="E4047" s="251"/>
      <c r="F4047" s="251"/>
      <c r="G4047" s="249"/>
      <c r="H4047" s="252"/>
      <c r="I4047" s="251"/>
      <c r="J4047" s="251"/>
      <c r="K4047" s="250"/>
      <c r="L4047" s="249"/>
    </row>
    <row r="4048" spans="3:12" s="244" customFormat="1" x14ac:dyDescent="0.25">
      <c r="C4048" s="251"/>
      <c r="D4048" s="251"/>
      <c r="E4048" s="251"/>
      <c r="F4048" s="251"/>
      <c r="G4048" s="249"/>
      <c r="H4048" s="252"/>
      <c r="I4048" s="251"/>
      <c r="J4048" s="251"/>
      <c r="K4048" s="250"/>
      <c r="L4048" s="249"/>
    </row>
    <row r="4049" spans="3:12" s="244" customFormat="1" x14ac:dyDescent="0.25">
      <c r="C4049" s="251"/>
      <c r="D4049" s="251"/>
      <c r="E4049" s="251"/>
      <c r="F4049" s="251"/>
      <c r="G4049" s="249"/>
      <c r="H4049" s="252"/>
      <c r="I4049" s="251"/>
      <c r="J4049" s="251"/>
      <c r="K4049" s="250"/>
      <c r="L4049" s="249"/>
    </row>
    <row r="4050" spans="3:12" s="244" customFormat="1" x14ac:dyDescent="0.25">
      <c r="C4050" s="251"/>
      <c r="D4050" s="251"/>
      <c r="E4050" s="251"/>
      <c r="F4050" s="251"/>
      <c r="G4050" s="249"/>
      <c r="H4050" s="252"/>
      <c r="I4050" s="251"/>
      <c r="J4050" s="251"/>
      <c r="K4050" s="250"/>
      <c r="L4050" s="249"/>
    </row>
    <row r="4051" spans="3:12" s="244" customFormat="1" x14ac:dyDescent="0.25">
      <c r="C4051" s="251"/>
      <c r="D4051" s="251"/>
      <c r="E4051" s="251"/>
      <c r="F4051" s="251"/>
      <c r="G4051" s="249"/>
      <c r="H4051" s="252"/>
      <c r="I4051" s="251"/>
      <c r="J4051" s="251"/>
      <c r="K4051" s="250"/>
      <c r="L4051" s="249"/>
    </row>
    <row r="4052" spans="3:12" s="244" customFormat="1" x14ac:dyDescent="0.25">
      <c r="C4052" s="251"/>
      <c r="D4052" s="251"/>
      <c r="E4052" s="251"/>
      <c r="F4052" s="251"/>
      <c r="G4052" s="249"/>
      <c r="H4052" s="252"/>
      <c r="I4052" s="251"/>
      <c r="J4052" s="251"/>
      <c r="K4052" s="250"/>
      <c r="L4052" s="249"/>
    </row>
    <row r="4053" spans="3:12" s="244" customFormat="1" x14ac:dyDescent="0.25">
      <c r="C4053" s="251"/>
      <c r="D4053" s="251"/>
      <c r="E4053" s="251"/>
      <c r="F4053" s="251"/>
      <c r="G4053" s="249"/>
      <c r="H4053" s="252"/>
      <c r="I4053" s="251"/>
      <c r="J4053" s="251"/>
      <c r="K4053" s="250"/>
      <c r="L4053" s="249"/>
    </row>
    <row r="4054" spans="3:12" s="244" customFormat="1" x14ac:dyDescent="0.25">
      <c r="C4054" s="251"/>
      <c r="D4054" s="251"/>
      <c r="E4054" s="251"/>
      <c r="F4054" s="251"/>
      <c r="G4054" s="249"/>
      <c r="H4054" s="252"/>
      <c r="I4054" s="251"/>
      <c r="J4054" s="251"/>
      <c r="K4054" s="250"/>
      <c r="L4054" s="249"/>
    </row>
    <row r="4055" spans="3:12" s="244" customFormat="1" x14ac:dyDescent="0.25">
      <c r="C4055" s="251"/>
      <c r="D4055" s="251"/>
      <c r="E4055" s="251"/>
      <c r="F4055" s="251"/>
      <c r="G4055" s="249"/>
      <c r="H4055" s="252"/>
      <c r="I4055" s="251"/>
      <c r="J4055" s="251"/>
      <c r="K4055" s="250"/>
      <c r="L4055" s="249"/>
    </row>
    <row r="4056" spans="3:12" s="244" customFormat="1" x14ac:dyDescent="0.25">
      <c r="C4056" s="251"/>
      <c r="D4056" s="251"/>
      <c r="E4056" s="251"/>
      <c r="F4056" s="251"/>
      <c r="G4056" s="249"/>
      <c r="H4056" s="252"/>
      <c r="I4056" s="251"/>
      <c r="J4056" s="251"/>
      <c r="K4056" s="250"/>
      <c r="L4056" s="249"/>
    </row>
    <row r="4057" spans="3:12" s="244" customFormat="1" x14ac:dyDescent="0.25">
      <c r="C4057" s="251"/>
      <c r="D4057" s="251"/>
      <c r="E4057" s="251"/>
      <c r="F4057" s="251"/>
      <c r="G4057" s="249"/>
      <c r="H4057" s="252"/>
      <c r="I4057" s="251"/>
      <c r="J4057" s="251"/>
      <c r="K4057" s="250"/>
      <c r="L4057" s="249"/>
    </row>
    <row r="4058" spans="3:12" s="244" customFormat="1" x14ac:dyDescent="0.25">
      <c r="C4058" s="251"/>
      <c r="D4058" s="251"/>
      <c r="E4058" s="251"/>
      <c r="F4058" s="251"/>
      <c r="G4058" s="249"/>
      <c r="H4058" s="252"/>
      <c r="I4058" s="251"/>
      <c r="J4058" s="251"/>
      <c r="K4058" s="250"/>
      <c r="L4058" s="249"/>
    </row>
    <row r="4059" spans="3:12" s="244" customFormat="1" x14ac:dyDescent="0.25">
      <c r="C4059" s="251"/>
      <c r="D4059" s="251"/>
      <c r="E4059" s="251"/>
      <c r="F4059" s="251"/>
      <c r="G4059" s="249"/>
      <c r="H4059" s="252"/>
      <c r="I4059" s="251"/>
      <c r="J4059" s="251"/>
      <c r="K4059" s="250"/>
      <c r="L4059" s="249"/>
    </row>
    <row r="4060" spans="3:12" s="244" customFormat="1" x14ac:dyDescent="0.25">
      <c r="C4060" s="251"/>
      <c r="D4060" s="251"/>
      <c r="E4060" s="251"/>
      <c r="F4060" s="251"/>
      <c r="G4060" s="249"/>
      <c r="H4060" s="252"/>
      <c r="I4060" s="251"/>
      <c r="J4060" s="251"/>
      <c r="K4060" s="250"/>
      <c r="L4060" s="249"/>
    </row>
    <row r="4061" spans="3:12" s="244" customFormat="1" x14ac:dyDescent="0.25">
      <c r="C4061" s="251"/>
      <c r="D4061" s="251"/>
      <c r="E4061" s="251"/>
      <c r="F4061" s="251"/>
      <c r="G4061" s="249"/>
      <c r="H4061" s="252"/>
      <c r="I4061" s="251"/>
      <c r="J4061" s="251"/>
      <c r="K4061" s="250"/>
      <c r="L4061" s="249"/>
    </row>
    <row r="4062" spans="3:12" s="244" customFormat="1" x14ac:dyDescent="0.25">
      <c r="C4062" s="251"/>
      <c r="D4062" s="251"/>
      <c r="E4062" s="251"/>
      <c r="F4062" s="251"/>
      <c r="G4062" s="249"/>
      <c r="H4062" s="252"/>
      <c r="I4062" s="251"/>
      <c r="J4062" s="251"/>
      <c r="K4062" s="250"/>
      <c r="L4062" s="249"/>
    </row>
    <row r="4063" spans="3:12" s="244" customFormat="1" x14ac:dyDescent="0.25">
      <c r="C4063" s="251"/>
      <c r="D4063" s="251"/>
      <c r="E4063" s="251"/>
      <c r="F4063" s="251"/>
      <c r="G4063" s="249"/>
      <c r="H4063" s="252"/>
      <c r="I4063" s="251"/>
      <c r="J4063" s="251"/>
      <c r="K4063" s="250"/>
      <c r="L4063" s="249"/>
    </row>
    <row r="4064" spans="3:12" s="244" customFormat="1" x14ac:dyDescent="0.25">
      <c r="C4064" s="251"/>
      <c r="D4064" s="251"/>
      <c r="E4064" s="251"/>
      <c r="F4064" s="251"/>
      <c r="G4064" s="249"/>
      <c r="H4064" s="252"/>
      <c r="I4064" s="251"/>
      <c r="J4064" s="251"/>
      <c r="K4064" s="250"/>
      <c r="L4064" s="249"/>
    </row>
    <row r="4065" spans="3:12" s="244" customFormat="1" x14ac:dyDescent="0.25">
      <c r="C4065" s="251"/>
      <c r="D4065" s="251"/>
      <c r="E4065" s="251"/>
      <c r="F4065" s="251"/>
      <c r="G4065" s="249"/>
      <c r="H4065" s="252"/>
      <c r="I4065" s="251"/>
      <c r="J4065" s="251"/>
      <c r="K4065" s="250"/>
      <c r="L4065" s="249"/>
    </row>
    <row r="4066" spans="3:12" s="244" customFormat="1" x14ac:dyDescent="0.25">
      <c r="C4066" s="251"/>
      <c r="D4066" s="251"/>
      <c r="E4066" s="251"/>
      <c r="F4066" s="251"/>
      <c r="G4066" s="249"/>
      <c r="H4066" s="252"/>
      <c r="I4066" s="251"/>
      <c r="J4066" s="251"/>
      <c r="K4066" s="250"/>
      <c r="L4066" s="249"/>
    </row>
    <row r="4067" spans="3:12" s="244" customFormat="1" x14ac:dyDescent="0.25">
      <c r="C4067" s="251"/>
      <c r="D4067" s="251"/>
      <c r="E4067" s="251"/>
      <c r="F4067" s="251"/>
      <c r="G4067" s="249"/>
      <c r="H4067" s="252"/>
      <c r="I4067" s="251"/>
      <c r="J4067" s="251"/>
      <c r="K4067" s="250"/>
      <c r="L4067" s="249"/>
    </row>
    <row r="4068" spans="3:12" s="244" customFormat="1" x14ac:dyDescent="0.25">
      <c r="C4068" s="251"/>
      <c r="D4068" s="251"/>
      <c r="E4068" s="251"/>
      <c r="F4068" s="251"/>
      <c r="G4068" s="249"/>
      <c r="H4068" s="252"/>
      <c r="I4068" s="251"/>
      <c r="J4068" s="251"/>
      <c r="K4068" s="250"/>
      <c r="L4068" s="249"/>
    </row>
    <row r="4069" spans="3:12" s="244" customFormat="1" x14ac:dyDescent="0.25">
      <c r="C4069" s="251"/>
      <c r="D4069" s="251"/>
      <c r="E4069" s="251"/>
      <c r="F4069" s="251"/>
      <c r="G4069" s="249"/>
      <c r="H4069" s="252"/>
      <c r="I4069" s="251"/>
      <c r="J4069" s="251"/>
      <c r="K4069" s="250"/>
      <c r="L4069" s="249"/>
    </row>
    <row r="4070" spans="3:12" s="244" customFormat="1" x14ac:dyDescent="0.25">
      <c r="C4070" s="251"/>
      <c r="D4070" s="251"/>
      <c r="E4070" s="251"/>
      <c r="F4070" s="251"/>
      <c r="G4070" s="249"/>
      <c r="H4070" s="252"/>
      <c r="I4070" s="251"/>
      <c r="J4070" s="251"/>
      <c r="K4070" s="250"/>
      <c r="L4070" s="249"/>
    </row>
    <row r="4071" spans="3:12" s="244" customFormat="1" x14ac:dyDescent="0.25">
      <c r="C4071" s="251"/>
      <c r="D4071" s="251"/>
      <c r="E4071" s="251"/>
      <c r="F4071" s="251"/>
      <c r="G4071" s="249"/>
      <c r="H4071" s="252"/>
      <c r="I4071" s="251"/>
      <c r="J4071" s="251"/>
      <c r="K4071" s="250"/>
      <c r="L4071" s="249"/>
    </row>
    <row r="4072" spans="3:12" s="244" customFormat="1" x14ac:dyDescent="0.25">
      <c r="C4072" s="251"/>
      <c r="D4072" s="251"/>
      <c r="E4072" s="251"/>
      <c r="F4072" s="251"/>
      <c r="G4072" s="249"/>
      <c r="H4072" s="252"/>
      <c r="I4072" s="251"/>
      <c r="J4072" s="251"/>
      <c r="K4072" s="250"/>
      <c r="L4072" s="249"/>
    </row>
    <row r="4073" spans="3:12" s="244" customFormat="1" x14ac:dyDescent="0.25">
      <c r="C4073" s="251"/>
      <c r="D4073" s="251"/>
      <c r="E4073" s="251"/>
      <c r="F4073" s="251"/>
      <c r="G4073" s="249"/>
      <c r="H4073" s="252"/>
      <c r="I4073" s="251"/>
      <c r="J4073" s="251"/>
      <c r="K4073" s="250"/>
      <c r="L4073" s="249"/>
    </row>
    <row r="4074" spans="3:12" s="244" customFormat="1" x14ac:dyDescent="0.25">
      <c r="C4074" s="251"/>
      <c r="D4074" s="251"/>
      <c r="E4074" s="251"/>
      <c r="F4074" s="251"/>
      <c r="G4074" s="249"/>
      <c r="H4074" s="252"/>
      <c r="I4074" s="251"/>
      <c r="J4074" s="251"/>
      <c r="K4074" s="250"/>
      <c r="L4074" s="249"/>
    </row>
    <row r="4075" spans="3:12" s="244" customFormat="1" x14ac:dyDescent="0.25">
      <c r="C4075" s="251"/>
      <c r="D4075" s="251"/>
      <c r="E4075" s="251"/>
      <c r="F4075" s="251"/>
      <c r="G4075" s="249"/>
      <c r="H4075" s="252"/>
      <c r="I4075" s="251"/>
      <c r="J4075" s="251"/>
      <c r="K4075" s="250"/>
      <c r="L4075" s="249"/>
    </row>
    <row r="4076" spans="3:12" s="244" customFormat="1" x14ac:dyDescent="0.25">
      <c r="C4076" s="251"/>
      <c r="D4076" s="251"/>
      <c r="E4076" s="251"/>
      <c r="F4076" s="251"/>
      <c r="G4076" s="249"/>
      <c r="H4076" s="252"/>
      <c r="I4076" s="251"/>
      <c r="J4076" s="251"/>
      <c r="K4076" s="250"/>
      <c r="L4076" s="249"/>
    </row>
    <row r="4077" spans="3:12" s="244" customFormat="1" x14ac:dyDescent="0.25">
      <c r="C4077" s="251"/>
      <c r="D4077" s="251"/>
      <c r="E4077" s="251"/>
      <c r="F4077" s="251"/>
      <c r="G4077" s="249"/>
      <c r="H4077" s="252"/>
      <c r="I4077" s="251"/>
      <c r="J4077" s="251"/>
      <c r="K4077" s="250"/>
      <c r="L4077" s="249"/>
    </row>
    <row r="4078" spans="3:12" s="244" customFormat="1" x14ac:dyDescent="0.25">
      <c r="C4078" s="251"/>
      <c r="D4078" s="251"/>
      <c r="E4078" s="251"/>
      <c r="F4078" s="251"/>
      <c r="G4078" s="249"/>
      <c r="H4078" s="252"/>
      <c r="I4078" s="251"/>
      <c r="J4078" s="251"/>
      <c r="K4078" s="250"/>
      <c r="L4078" s="249"/>
    </row>
    <row r="4079" spans="3:12" s="244" customFormat="1" x14ac:dyDescent="0.25">
      <c r="C4079" s="251"/>
      <c r="D4079" s="251"/>
      <c r="E4079" s="251"/>
      <c r="F4079" s="251"/>
      <c r="G4079" s="249"/>
      <c r="H4079" s="252"/>
      <c r="I4079" s="251"/>
      <c r="J4079" s="251"/>
      <c r="K4079" s="250"/>
      <c r="L4079" s="249"/>
    </row>
    <row r="4080" spans="3:12" s="244" customFormat="1" x14ac:dyDescent="0.25">
      <c r="C4080" s="251"/>
      <c r="D4080" s="251"/>
      <c r="E4080" s="251"/>
      <c r="F4080" s="251"/>
      <c r="G4080" s="249"/>
      <c r="H4080" s="252"/>
      <c r="I4080" s="251"/>
      <c r="J4080" s="251"/>
      <c r="K4080" s="250"/>
      <c r="L4080" s="249"/>
    </row>
    <row r="4081" spans="3:12" s="244" customFormat="1" x14ac:dyDescent="0.25">
      <c r="C4081" s="251"/>
      <c r="D4081" s="251"/>
      <c r="E4081" s="251"/>
      <c r="F4081" s="251"/>
      <c r="G4081" s="249"/>
      <c r="H4081" s="252"/>
      <c r="I4081" s="251"/>
      <c r="J4081" s="251"/>
      <c r="K4081" s="250"/>
      <c r="L4081" s="249"/>
    </row>
    <row r="4082" spans="3:12" s="244" customFormat="1" x14ac:dyDescent="0.25">
      <c r="C4082" s="251"/>
      <c r="D4082" s="251"/>
      <c r="E4082" s="251"/>
      <c r="F4082" s="251"/>
      <c r="G4082" s="249"/>
      <c r="H4082" s="252"/>
      <c r="I4082" s="251"/>
      <c r="J4082" s="251"/>
      <c r="K4082" s="250"/>
      <c r="L4082" s="249"/>
    </row>
    <row r="4083" spans="3:12" s="244" customFormat="1" x14ac:dyDescent="0.25">
      <c r="C4083" s="251"/>
      <c r="D4083" s="251"/>
      <c r="E4083" s="251"/>
      <c r="F4083" s="251"/>
      <c r="G4083" s="249"/>
      <c r="H4083" s="252"/>
      <c r="I4083" s="251"/>
      <c r="J4083" s="251"/>
      <c r="K4083" s="250"/>
      <c r="L4083" s="249"/>
    </row>
    <row r="4084" spans="3:12" s="244" customFormat="1" x14ac:dyDescent="0.25">
      <c r="C4084" s="251"/>
      <c r="D4084" s="251"/>
      <c r="E4084" s="251"/>
      <c r="F4084" s="251"/>
      <c r="G4084" s="249"/>
      <c r="H4084" s="252"/>
      <c r="I4084" s="251"/>
      <c r="J4084" s="251"/>
      <c r="K4084" s="250"/>
      <c r="L4084" s="249"/>
    </row>
    <row r="4085" spans="3:12" s="244" customFormat="1" x14ac:dyDescent="0.25">
      <c r="C4085" s="251"/>
      <c r="D4085" s="251"/>
      <c r="E4085" s="251"/>
      <c r="F4085" s="251"/>
      <c r="G4085" s="249"/>
      <c r="H4085" s="252"/>
      <c r="I4085" s="251"/>
      <c r="J4085" s="251"/>
      <c r="K4085" s="250"/>
      <c r="L4085" s="249"/>
    </row>
    <row r="4086" spans="3:12" s="244" customFormat="1" x14ac:dyDescent="0.25">
      <c r="C4086" s="251"/>
      <c r="D4086" s="251"/>
      <c r="E4086" s="251"/>
      <c r="F4086" s="251"/>
      <c r="G4086" s="249"/>
      <c r="H4086" s="252"/>
      <c r="I4086" s="251"/>
      <c r="J4086" s="251"/>
      <c r="K4086" s="250"/>
      <c r="L4086" s="249"/>
    </row>
    <row r="4087" spans="3:12" s="244" customFormat="1" x14ac:dyDescent="0.25">
      <c r="C4087" s="251"/>
      <c r="D4087" s="251"/>
      <c r="E4087" s="251"/>
      <c r="F4087" s="251"/>
      <c r="G4087" s="249"/>
      <c r="H4087" s="252"/>
      <c r="I4087" s="251"/>
      <c r="J4087" s="251"/>
      <c r="K4087" s="250"/>
      <c r="L4087" s="249"/>
    </row>
    <row r="4088" spans="3:12" s="244" customFormat="1" x14ac:dyDescent="0.25">
      <c r="C4088" s="251"/>
      <c r="D4088" s="251"/>
      <c r="E4088" s="251"/>
      <c r="F4088" s="251"/>
      <c r="G4088" s="249"/>
      <c r="H4088" s="252"/>
      <c r="I4088" s="251"/>
      <c r="J4088" s="251"/>
      <c r="K4088" s="250"/>
      <c r="L4088" s="249"/>
    </row>
    <row r="4089" spans="3:12" s="244" customFormat="1" x14ac:dyDescent="0.25">
      <c r="C4089" s="251"/>
      <c r="D4089" s="251"/>
      <c r="E4089" s="251"/>
      <c r="F4089" s="251"/>
      <c r="G4089" s="249"/>
      <c r="H4089" s="252"/>
      <c r="I4089" s="251"/>
      <c r="J4089" s="251"/>
      <c r="K4089" s="250"/>
      <c r="L4089" s="249"/>
    </row>
    <row r="4090" spans="3:12" s="244" customFormat="1" x14ac:dyDescent="0.25">
      <c r="C4090" s="251"/>
      <c r="D4090" s="251"/>
      <c r="E4090" s="251"/>
      <c r="F4090" s="251"/>
      <c r="G4090" s="249"/>
      <c r="H4090" s="252"/>
      <c r="I4090" s="251"/>
      <c r="J4090" s="251"/>
      <c r="K4090" s="250"/>
      <c r="L4090" s="249"/>
    </row>
    <row r="4091" spans="3:12" s="244" customFormat="1" x14ac:dyDescent="0.25">
      <c r="C4091" s="251"/>
      <c r="D4091" s="251"/>
      <c r="E4091" s="251"/>
      <c r="F4091" s="251"/>
      <c r="G4091" s="249"/>
      <c r="H4091" s="252"/>
      <c r="I4091" s="251"/>
      <c r="J4091" s="251"/>
      <c r="K4091" s="250"/>
      <c r="L4091" s="249"/>
    </row>
    <row r="4092" spans="3:12" s="244" customFormat="1" x14ac:dyDescent="0.25">
      <c r="C4092" s="251"/>
      <c r="D4092" s="251"/>
      <c r="E4092" s="251"/>
      <c r="F4092" s="251"/>
      <c r="G4092" s="249"/>
      <c r="H4092" s="252"/>
      <c r="I4092" s="251"/>
      <c r="J4092" s="251"/>
      <c r="K4092" s="250"/>
      <c r="L4092" s="249"/>
    </row>
    <row r="4093" spans="3:12" s="244" customFormat="1" x14ac:dyDescent="0.25">
      <c r="C4093" s="251"/>
      <c r="D4093" s="251"/>
      <c r="E4093" s="251"/>
      <c r="F4093" s="251"/>
      <c r="G4093" s="249"/>
      <c r="H4093" s="252"/>
      <c r="I4093" s="251"/>
      <c r="J4093" s="251"/>
      <c r="K4093" s="250"/>
      <c r="L4093" s="249"/>
    </row>
    <row r="4094" spans="3:12" s="244" customFormat="1" x14ac:dyDescent="0.25">
      <c r="C4094" s="251"/>
      <c r="D4094" s="251"/>
      <c r="E4094" s="251"/>
      <c r="F4094" s="251"/>
      <c r="G4094" s="249"/>
      <c r="H4094" s="252"/>
      <c r="I4094" s="251"/>
      <c r="J4094" s="251"/>
      <c r="K4094" s="250"/>
      <c r="L4094" s="249"/>
    </row>
    <row r="4095" spans="3:12" s="244" customFormat="1" x14ac:dyDescent="0.25">
      <c r="C4095" s="251"/>
      <c r="D4095" s="251"/>
      <c r="E4095" s="251"/>
      <c r="F4095" s="251"/>
      <c r="G4095" s="249"/>
      <c r="H4095" s="252"/>
      <c r="I4095" s="251"/>
      <c r="J4095" s="251"/>
      <c r="K4095" s="250"/>
      <c r="L4095" s="249"/>
    </row>
    <row r="4096" spans="3:12" s="244" customFormat="1" x14ac:dyDescent="0.25">
      <c r="C4096" s="251"/>
      <c r="D4096" s="251"/>
      <c r="E4096" s="251"/>
      <c r="F4096" s="251"/>
      <c r="G4096" s="249"/>
      <c r="H4096" s="252"/>
      <c r="I4096" s="251"/>
      <c r="J4096" s="251"/>
      <c r="K4096" s="250"/>
      <c r="L4096" s="249"/>
    </row>
    <row r="4097" spans="3:12" s="244" customFormat="1" x14ac:dyDescent="0.25">
      <c r="C4097" s="251"/>
      <c r="D4097" s="251"/>
      <c r="E4097" s="251"/>
      <c r="F4097" s="251"/>
      <c r="G4097" s="249"/>
      <c r="H4097" s="252"/>
      <c r="I4097" s="251"/>
      <c r="J4097" s="251"/>
      <c r="K4097" s="250"/>
      <c r="L4097" s="249"/>
    </row>
    <row r="4098" spans="3:12" s="244" customFormat="1" x14ac:dyDescent="0.25">
      <c r="C4098" s="251"/>
      <c r="D4098" s="251"/>
      <c r="E4098" s="251"/>
      <c r="F4098" s="251"/>
      <c r="G4098" s="249"/>
      <c r="H4098" s="252"/>
      <c r="I4098" s="251"/>
      <c r="J4098" s="251"/>
      <c r="K4098" s="250"/>
      <c r="L4098" s="249"/>
    </row>
    <row r="4099" spans="3:12" s="244" customFormat="1" x14ac:dyDescent="0.25">
      <c r="C4099" s="251"/>
      <c r="D4099" s="251"/>
      <c r="E4099" s="251"/>
      <c r="F4099" s="251"/>
      <c r="G4099" s="249"/>
      <c r="H4099" s="252"/>
      <c r="I4099" s="251"/>
      <c r="J4099" s="251"/>
      <c r="K4099" s="250"/>
      <c r="L4099" s="249"/>
    </row>
    <row r="4100" spans="3:12" s="244" customFormat="1" x14ac:dyDescent="0.25">
      <c r="C4100" s="251"/>
      <c r="D4100" s="251"/>
      <c r="E4100" s="251"/>
      <c r="F4100" s="251"/>
      <c r="G4100" s="249"/>
      <c r="H4100" s="252"/>
      <c r="I4100" s="251"/>
      <c r="J4100" s="251"/>
      <c r="K4100" s="250"/>
      <c r="L4100" s="249"/>
    </row>
    <row r="4101" spans="3:12" s="244" customFormat="1" x14ac:dyDescent="0.25">
      <c r="C4101" s="251"/>
      <c r="D4101" s="251"/>
      <c r="E4101" s="251"/>
      <c r="F4101" s="251"/>
      <c r="G4101" s="249"/>
      <c r="H4101" s="252"/>
      <c r="I4101" s="251"/>
      <c r="J4101" s="251"/>
      <c r="K4101" s="250"/>
      <c r="L4101" s="249"/>
    </row>
    <row r="4102" spans="3:12" s="244" customFormat="1" x14ac:dyDescent="0.25">
      <c r="C4102" s="251"/>
      <c r="D4102" s="251"/>
      <c r="E4102" s="251"/>
      <c r="F4102" s="251"/>
      <c r="G4102" s="249"/>
      <c r="H4102" s="252"/>
      <c r="I4102" s="251"/>
      <c r="J4102" s="251"/>
      <c r="K4102" s="250"/>
      <c r="L4102" s="249"/>
    </row>
    <row r="4103" spans="3:12" s="244" customFormat="1" x14ac:dyDescent="0.25">
      <c r="C4103" s="251"/>
      <c r="D4103" s="251"/>
      <c r="E4103" s="251"/>
      <c r="F4103" s="251"/>
      <c r="G4103" s="249"/>
      <c r="H4103" s="252"/>
      <c r="I4103" s="251"/>
      <c r="J4103" s="251"/>
      <c r="K4103" s="250"/>
      <c r="L4103" s="249"/>
    </row>
    <row r="4104" spans="3:12" s="244" customFormat="1" x14ac:dyDescent="0.25">
      <c r="C4104" s="251"/>
      <c r="D4104" s="251"/>
      <c r="E4104" s="251"/>
      <c r="F4104" s="251"/>
      <c r="G4104" s="249"/>
      <c r="H4104" s="252"/>
      <c r="I4104" s="251"/>
      <c r="J4104" s="251"/>
      <c r="K4104" s="250"/>
      <c r="L4104" s="249"/>
    </row>
    <row r="4105" spans="3:12" s="244" customFormat="1" x14ac:dyDescent="0.25">
      <c r="C4105" s="251"/>
      <c r="D4105" s="251"/>
      <c r="E4105" s="251"/>
      <c r="F4105" s="251"/>
      <c r="G4105" s="249"/>
      <c r="H4105" s="252"/>
      <c r="I4105" s="251"/>
      <c r="J4105" s="251"/>
      <c r="K4105" s="250"/>
      <c r="L4105" s="249"/>
    </row>
    <row r="4106" spans="3:12" s="244" customFormat="1" x14ac:dyDescent="0.25">
      <c r="C4106" s="251"/>
      <c r="D4106" s="251"/>
      <c r="E4106" s="251"/>
      <c r="F4106" s="251"/>
      <c r="G4106" s="249"/>
      <c r="H4106" s="252"/>
      <c r="I4106" s="251"/>
      <c r="J4106" s="251"/>
      <c r="K4106" s="250"/>
      <c r="L4106" s="249"/>
    </row>
    <row r="4107" spans="3:12" s="244" customFormat="1" x14ac:dyDescent="0.25">
      <c r="C4107" s="251"/>
      <c r="D4107" s="251"/>
      <c r="E4107" s="251"/>
      <c r="F4107" s="251"/>
      <c r="G4107" s="249"/>
      <c r="H4107" s="252"/>
      <c r="I4107" s="251"/>
      <c r="J4107" s="251"/>
      <c r="K4107" s="250"/>
      <c r="L4107" s="249"/>
    </row>
    <row r="4108" spans="3:12" s="244" customFormat="1" x14ac:dyDescent="0.25">
      <c r="C4108" s="251"/>
      <c r="D4108" s="251"/>
      <c r="E4108" s="251"/>
      <c r="F4108" s="251"/>
      <c r="G4108" s="249"/>
      <c r="H4108" s="252"/>
      <c r="I4108" s="251"/>
      <c r="J4108" s="251"/>
      <c r="K4108" s="250"/>
      <c r="L4108" s="249"/>
    </row>
    <row r="4109" spans="3:12" s="244" customFormat="1" x14ac:dyDescent="0.25">
      <c r="C4109" s="251"/>
      <c r="D4109" s="251"/>
      <c r="E4109" s="251"/>
      <c r="F4109" s="251"/>
      <c r="G4109" s="249"/>
      <c r="H4109" s="252"/>
      <c r="I4109" s="251"/>
      <c r="J4109" s="251"/>
      <c r="K4109" s="250"/>
      <c r="L4109" s="249"/>
    </row>
    <row r="4110" spans="3:12" s="244" customFormat="1" x14ac:dyDescent="0.25">
      <c r="C4110" s="251"/>
      <c r="D4110" s="251"/>
      <c r="E4110" s="251"/>
      <c r="F4110" s="251"/>
      <c r="G4110" s="249"/>
      <c r="H4110" s="252"/>
      <c r="I4110" s="251"/>
      <c r="J4110" s="251"/>
      <c r="K4110" s="250"/>
      <c r="L4110" s="249"/>
    </row>
    <row r="4111" spans="3:12" s="244" customFormat="1" x14ac:dyDescent="0.25">
      <c r="C4111" s="251"/>
      <c r="D4111" s="251"/>
      <c r="E4111" s="251"/>
      <c r="F4111" s="251"/>
      <c r="G4111" s="249"/>
      <c r="H4111" s="252"/>
      <c r="I4111" s="251"/>
      <c r="J4111" s="251"/>
      <c r="K4111" s="250"/>
      <c r="L4111" s="249"/>
    </row>
    <row r="4112" spans="3:12" s="244" customFormat="1" x14ac:dyDescent="0.25">
      <c r="C4112" s="251"/>
      <c r="D4112" s="251"/>
      <c r="E4112" s="251"/>
      <c r="F4112" s="251"/>
      <c r="G4112" s="249"/>
      <c r="H4112" s="252"/>
      <c r="I4112" s="251"/>
      <c r="J4112" s="251"/>
      <c r="K4112" s="250"/>
      <c r="L4112" s="249"/>
    </row>
    <row r="4113" spans="3:12" s="244" customFormat="1" x14ac:dyDescent="0.25">
      <c r="C4113" s="251"/>
      <c r="D4113" s="251"/>
      <c r="E4113" s="251"/>
      <c r="F4113" s="251"/>
      <c r="G4113" s="249"/>
      <c r="H4113" s="252"/>
      <c r="I4113" s="251"/>
      <c r="J4113" s="251"/>
      <c r="K4113" s="250"/>
      <c r="L4113" s="249"/>
    </row>
    <row r="4114" spans="3:12" s="244" customFormat="1" x14ac:dyDescent="0.25">
      <c r="C4114" s="251"/>
      <c r="D4114" s="251"/>
      <c r="E4114" s="251"/>
      <c r="F4114" s="251"/>
      <c r="G4114" s="249"/>
      <c r="H4114" s="252"/>
      <c r="I4114" s="251"/>
      <c r="J4114" s="251"/>
      <c r="K4114" s="250"/>
      <c r="L4114" s="249"/>
    </row>
    <row r="4115" spans="3:12" s="244" customFormat="1" x14ac:dyDescent="0.25">
      <c r="C4115" s="251"/>
      <c r="D4115" s="251"/>
      <c r="E4115" s="251"/>
      <c r="F4115" s="251"/>
      <c r="G4115" s="249"/>
      <c r="H4115" s="252"/>
      <c r="I4115" s="251"/>
      <c r="J4115" s="251"/>
      <c r="K4115" s="250"/>
      <c r="L4115" s="249"/>
    </row>
    <row r="4116" spans="3:12" s="244" customFormat="1" x14ac:dyDescent="0.25">
      <c r="C4116" s="251"/>
      <c r="D4116" s="251"/>
      <c r="E4116" s="251"/>
      <c r="F4116" s="251"/>
      <c r="G4116" s="249"/>
      <c r="H4116" s="252"/>
      <c r="I4116" s="251"/>
      <c r="J4116" s="251"/>
      <c r="K4116" s="250"/>
      <c r="L4116" s="249"/>
    </row>
    <row r="4117" spans="3:12" s="244" customFormat="1" x14ac:dyDescent="0.25">
      <c r="C4117" s="251"/>
      <c r="D4117" s="251"/>
      <c r="E4117" s="251"/>
      <c r="F4117" s="251"/>
      <c r="G4117" s="249"/>
      <c r="H4117" s="252"/>
      <c r="I4117" s="251"/>
      <c r="J4117" s="251"/>
      <c r="K4117" s="250"/>
      <c r="L4117" s="249"/>
    </row>
    <row r="4118" spans="3:12" s="244" customFormat="1" x14ac:dyDescent="0.25">
      <c r="C4118" s="251"/>
      <c r="D4118" s="251"/>
      <c r="E4118" s="251"/>
      <c r="F4118" s="251"/>
      <c r="G4118" s="249"/>
      <c r="H4118" s="252"/>
      <c r="I4118" s="251"/>
      <c r="J4118" s="251"/>
      <c r="K4118" s="250"/>
      <c r="L4118" s="249"/>
    </row>
    <row r="4119" spans="3:12" s="244" customFormat="1" x14ac:dyDescent="0.25">
      <c r="C4119" s="251"/>
      <c r="D4119" s="251"/>
      <c r="E4119" s="251"/>
      <c r="F4119" s="251"/>
      <c r="G4119" s="249"/>
      <c r="H4119" s="252"/>
      <c r="I4119" s="251"/>
      <c r="J4119" s="251"/>
      <c r="K4119" s="250"/>
      <c r="L4119" s="249"/>
    </row>
    <row r="4120" spans="3:12" s="244" customFormat="1" x14ac:dyDescent="0.25">
      <c r="C4120" s="251"/>
      <c r="D4120" s="251"/>
      <c r="E4120" s="251"/>
      <c r="F4120" s="251"/>
      <c r="G4120" s="249"/>
      <c r="H4120" s="252"/>
      <c r="I4120" s="251"/>
      <c r="J4120" s="251"/>
      <c r="K4120" s="250"/>
      <c r="L4120" s="249"/>
    </row>
    <row r="4121" spans="3:12" s="244" customFormat="1" x14ac:dyDescent="0.25">
      <c r="C4121" s="251"/>
      <c r="D4121" s="251"/>
      <c r="E4121" s="251"/>
      <c r="F4121" s="251"/>
      <c r="G4121" s="249"/>
      <c r="H4121" s="252"/>
      <c r="I4121" s="251"/>
      <c r="J4121" s="251"/>
      <c r="K4121" s="250"/>
      <c r="L4121" s="249"/>
    </row>
    <row r="4122" spans="3:12" s="244" customFormat="1" x14ac:dyDescent="0.25">
      <c r="C4122" s="251"/>
      <c r="D4122" s="251"/>
      <c r="E4122" s="251"/>
      <c r="F4122" s="251"/>
      <c r="G4122" s="249"/>
      <c r="H4122" s="252"/>
      <c r="I4122" s="251"/>
      <c r="J4122" s="251"/>
      <c r="K4122" s="250"/>
      <c r="L4122" s="249"/>
    </row>
    <row r="4123" spans="3:12" s="244" customFormat="1" x14ac:dyDescent="0.25">
      <c r="C4123" s="251"/>
      <c r="D4123" s="251"/>
      <c r="E4123" s="251"/>
      <c r="F4123" s="251"/>
      <c r="G4123" s="249"/>
      <c r="H4123" s="252"/>
      <c r="I4123" s="251"/>
      <c r="J4123" s="251"/>
      <c r="K4123" s="250"/>
      <c r="L4123" s="249"/>
    </row>
    <row r="4124" spans="3:12" s="244" customFormat="1" x14ac:dyDescent="0.25">
      <c r="C4124" s="251"/>
      <c r="D4124" s="251"/>
      <c r="E4124" s="251"/>
      <c r="F4124" s="251"/>
      <c r="G4124" s="249"/>
      <c r="H4124" s="252"/>
      <c r="I4124" s="251"/>
      <c r="J4124" s="251"/>
      <c r="K4124" s="250"/>
      <c r="L4124" s="249"/>
    </row>
    <row r="4125" spans="3:12" s="244" customFormat="1" x14ac:dyDescent="0.25">
      <c r="C4125" s="251"/>
      <c r="D4125" s="251"/>
      <c r="E4125" s="251"/>
      <c r="F4125" s="251"/>
      <c r="G4125" s="249"/>
      <c r="H4125" s="252"/>
      <c r="I4125" s="251"/>
      <c r="J4125" s="251"/>
      <c r="K4125" s="250"/>
      <c r="L4125" s="249"/>
    </row>
    <row r="4126" spans="3:12" s="244" customFormat="1" x14ac:dyDescent="0.25">
      <c r="C4126" s="251"/>
      <c r="D4126" s="251"/>
      <c r="E4126" s="251"/>
      <c r="F4126" s="251"/>
      <c r="G4126" s="249"/>
      <c r="H4126" s="252"/>
      <c r="I4126" s="251"/>
      <c r="J4126" s="251"/>
      <c r="K4126" s="250"/>
      <c r="L4126" s="249"/>
    </row>
    <row r="4127" spans="3:12" s="244" customFormat="1" x14ac:dyDescent="0.25">
      <c r="C4127" s="251"/>
      <c r="D4127" s="251"/>
      <c r="E4127" s="251"/>
      <c r="F4127" s="251"/>
      <c r="G4127" s="249"/>
      <c r="H4127" s="252"/>
      <c r="I4127" s="251"/>
      <c r="J4127" s="251"/>
      <c r="K4127" s="250"/>
      <c r="L4127" s="249"/>
    </row>
    <row r="4128" spans="3:12" s="244" customFormat="1" x14ac:dyDescent="0.25">
      <c r="C4128" s="251"/>
      <c r="D4128" s="251"/>
      <c r="E4128" s="251"/>
      <c r="F4128" s="251"/>
      <c r="G4128" s="249"/>
      <c r="H4128" s="252"/>
      <c r="I4128" s="251"/>
      <c r="J4128" s="251"/>
      <c r="K4128" s="250"/>
      <c r="L4128" s="249"/>
    </row>
    <row r="4129" spans="3:12" s="244" customFormat="1" x14ac:dyDescent="0.25">
      <c r="C4129" s="251"/>
      <c r="D4129" s="251"/>
      <c r="E4129" s="251"/>
      <c r="F4129" s="251"/>
      <c r="G4129" s="249"/>
      <c r="H4129" s="252"/>
      <c r="I4129" s="251"/>
      <c r="J4129" s="251"/>
      <c r="K4129" s="250"/>
      <c r="L4129" s="249"/>
    </row>
    <row r="4130" spans="3:12" s="244" customFormat="1" x14ac:dyDescent="0.25">
      <c r="C4130" s="251"/>
      <c r="D4130" s="251"/>
      <c r="E4130" s="251"/>
      <c r="F4130" s="251"/>
      <c r="G4130" s="249"/>
      <c r="H4130" s="252"/>
      <c r="I4130" s="251"/>
      <c r="J4130" s="251"/>
      <c r="K4130" s="250"/>
      <c r="L4130" s="249"/>
    </row>
    <row r="4131" spans="3:12" s="244" customFormat="1" x14ac:dyDescent="0.25">
      <c r="C4131" s="251"/>
      <c r="D4131" s="251"/>
      <c r="E4131" s="251"/>
      <c r="F4131" s="251"/>
      <c r="G4131" s="249"/>
      <c r="H4131" s="252"/>
      <c r="I4131" s="251"/>
      <c r="J4131" s="251"/>
      <c r="K4131" s="250"/>
      <c r="L4131" s="249"/>
    </row>
    <row r="4132" spans="3:12" s="244" customFormat="1" x14ac:dyDescent="0.25">
      <c r="C4132" s="251"/>
      <c r="D4132" s="251"/>
      <c r="E4132" s="251"/>
      <c r="F4132" s="251"/>
      <c r="G4132" s="249"/>
      <c r="H4132" s="252"/>
      <c r="I4132" s="251"/>
      <c r="J4132" s="251"/>
      <c r="K4132" s="250"/>
      <c r="L4132" s="249"/>
    </row>
    <row r="4133" spans="3:12" s="244" customFormat="1" x14ac:dyDescent="0.25">
      <c r="C4133" s="251"/>
      <c r="D4133" s="251"/>
      <c r="E4133" s="251"/>
      <c r="F4133" s="251"/>
      <c r="G4133" s="249"/>
      <c r="H4133" s="252"/>
      <c r="I4133" s="251"/>
      <c r="J4133" s="251"/>
      <c r="K4133" s="250"/>
      <c r="L4133" s="249"/>
    </row>
    <row r="4134" spans="3:12" s="244" customFormat="1" x14ac:dyDescent="0.25">
      <c r="C4134" s="251"/>
      <c r="D4134" s="251"/>
      <c r="E4134" s="251"/>
      <c r="F4134" s="251"/>
      <c r="G4134" s="249"/>
      <c r="H4134" s="252"/>
      <c r="I4134" s="251"/>
      <c r="J4134" s="251"/>
      <c r="K4134" s="250"/>
      <c r="L4134" s="249"/>
    </row>
    <row r="4135" spans="3:12" s="244" customFormat="1" x14ac:dyDescent="0.25">
      <c r="C4135" s="251"/>
      <c r="D4135" s="251"/>
      <c r="E4135" s="251"/>
      <c r="F4135" s="251"/>
      <c r="G4135" s="249"/>
      <c r="H4135" s="252"/>
      <c r="I4135" s="251"/>
      <c r="J4135" s="251"/>
      <c r="K4135" s="250"/>
      <c r="L4135" s="249"/>
    </row>
    <row r="4136" spans="3:12" s="244" customFormat="1" x14ac:dyDescent="0.25">
      <c r="C4136" s="251"/>
      <c r="D4136" s="251"/>
      <c r="E4136" s="251"/>
      <c r="F4136" s="251"/>
      <c r="G4136" s="249"/>
      <c r="H4136" s="252"/>
      <c r="I4136" s="251"/>
      <c r="J4136" s="251"/>
      <c r="K4136" s="250"/>
      <c r="L4136" s="249"/>
    </row>
    <row r="4137" spans="3:12" s="244" customFormat="1" x14ac:dyDescent="0.25">
      <c r="C4137" s="251"/>
      <c r="D4137" s="251"/>
      <c r="E4137" s="251"/>
      <c r="F4137" s="251"/>
      <c r="G4137" s="249"/>
      <c r="H4137" s="252"/>
      <c r="I4137" s="251"/>
      <c r="J4137" s="251"/>
      <c r="K4137" s="250"/>
      <c r="L4137" s="249"/>
    </row>
    <row r="4138" spans="3:12" s="244" customFormat="1" x14ac:dyDescent="0.25">
      <c r="C4138" s="251"/>
      <c r="D4138" s="251"/>
      <c r="E4138" s="251"/>
      <c r="F4138" s="251"/>
      <c r="G4138" s="249"/>
      <c r="H4138" s="252"/>
      <c r="I4138" s="251"/>
      <c r="J4138" s="251"/>
      <c r="K4138" s="250"/>
      <c r="L4138" s="249"/>
    </row>
    <row r="4139" spans="3:12" s="244" customFormat="1" x14ac:dyDescent="0.25">
      <c r="C4139" s="251"/>
      <c r="D4139" s="251"/>
      <c r="E4139" s="251"/>
      <c r="F4139" s="251"/>
      <c r="G4139" s="249"/>
      <c r="H4139" s="252"/>
      <c r="I4139" s="251"/>
      <c r="J4139" s="251"/>
      <c r="K4139" s="250"/>
      <c r="L4139" s="249"/>
    </row>
    <row r="4140" spans="3:12" s="244" customFormat="1" x14ac:dyDescent="0.25">
      <c r="C4140" s="251"/>
      <c r="D4140" s="251"/>
      <c r="E4140" s="251"/>
      <c r="F4140" s="251"/>
      <c r="G4140" s="249"/>
      <c r="H4140" s="252"/>
      <c r="I4140" s="251"/>
      <c r="J4140" s="251"/>
      <c r="K4140" s="250"/>
      <c r="L4140" s="249"/>
    </row>
    <row r="4141" spans="3:12" s="244" customFormat="1" x14ac:dyDescent="0.25">
      <c r="C4141" s="251"/>
      <c r="D4141" s="251"/>
      <c r="E4141" s="251"/>
      <c r="F4141" s="251"/>
      <c r="G4141" s="249"/>
      <c r="H4141" s="252"/>
      <c r="I4141" s="251"/>
      <c r="J4141" s="251"/>
      <c r="K4141" s="250"/>
      <c r="L4141" s="249"/>
    </row>
    <row r="4142" spans="3:12" s="244" customFormat="1" x14ac:dyDescent="0.25">
      <c r="C4142" s="251"/>
      <c r="D4142" s="251"/>
      <c r="E4142" s="251"/>
      <c r="F4142" s="251"/>
      <c r="G4142" s="249"/>
      <c r="H4142" s="252"/>
      <c r="I4142" s="251"/>
      <c r="J4142" s="251"/>
      <c r="K4142" s="250"/>
      <c r="L4142" s="249"/>
    </row>
    <row r="4143" spans="3:12" s="244" customFormat="1" x14ac:dyDescent="0.25">
      <c r="C4143" s="251"/>
      <c r="D4143" s="251"/>
      <c r="E4143" s="251"/>
      <c r="F4143" s="251"/>
      <c r="G4143" s="249"/>
      <c r="H4143" s="252"/>
      <c r="I4143" s="251"/>
      <c r="J4143" s="251"/>
      <c r="K4143" s="250"/>
      <c r="L4143" s="249"/>
    </row>
    <row r="4144" spans="3:12" s="244" customFormat="1" x14ac:dyDescent="0.25">
      <c r="C4144" s="251"/>
      <c r="D4144" s="251"/>
      <c r="E4144" s="251"/>
      <c r="F4144" s="251"/>
      <c r="G4144" s="249"/>
      <c r="H4144" s="252"/>
      <c r="I4144" s="251"/>
      <c r="J4144" s="251"/>
      <c r="K4144" s="250"/>
      <c r="L4144" s="249"/>
    </row>
    <row r="4145" spans="3:12" s="244" customFormat="1" x14ac:dyDescent="0.25">
      <c r="C4145" s="251"/>
      <c r="D4145" s="251"/>
      <c r="E4145" s="251"/>
      <c r="F4145" s="251"/>
      <c r="G4145" s="249"/>
      <c r="H4145" s="252"/>
      <c r="I4145" s="251"/>
      <c r="J4145" s="251"/>
      <c r="K4145" s="250"/>
      <c r="L4145" s="249"/>
    </row>
    <row r="4146" spans="3:12" s="244" customFormat="1" x14ac:dyDescent="0.25">
      <c r="C4146" s="251"/>
      <c r="D4146" s="251"/>
      <c r="E4146" s="251"/>
      <c r="F4146" s="251"/>
      <c r="G4146" s="249"/>
      <c r="H4146" s="252"/>
      <c r="I4146" s="251"/>
      <c r="J4146" s="251"/>
      <c r="K4146" s="250"/>
      <c r="L4146" s="249"/>
    </row>
    <row r="4147" spans="3:12" s="244" customFormat="1" x14ac:dyDescent="0.25">
      <c r="C4147" s="251"/>
      <c r="D4147" s="251"/>
      <c r="E4147" s="251"/>
      <c r="F4147" s="251"/>
      <c r="G4147" s="249"/>
      <c r="H4147" s="252"/>
      <c r="I4147" s="251"/>
      <c r="J4147" s="251"/>
      <c r="K4147" s="250"/>
      <c r="L4147" s="249"/>
    </row>
    <row r="4148" spans="3:12" s="244" customFormat="1" x14ac:dyDescent="0.25">
      <c r="C4148" s="251"/>
      <c r="D4148" s="251"/>
      <c r="E4148" s="251"/>
      <c r="F4148" s="251"/>
      <c r="G4148" s="249"/>
      <c r="H4148" s="252"/>
      <c r="I4148" s="251"/>
      <c r="J4148" s="251"/>
      <c r="K4148" s="250"/>
      <c r="L4148" s="249"/>
    </row>
    <row r="4149" spans="3:12" s="244" customFormat="1" x14ac:dyDescent="0.25">
      <c r="C4149" s="251"/>
      <c r="D4149" s="251"/>
      <c r="E4149" s="251"/>
      <c r="F4149" s="251"/>
      <c r="G4149" s="249"/>
      <c r="H4149" s="252"/>
      <c r="I4149" s="251"/>
      <c r="J4149" s="251"/>
      <c r="K4149" s="250"/>
      <c r="L4149" s="249"/>
    </row>
    <row r="4150" spans="3:12" s="244" customFormat="1" x14ac:dyDescent="0.25">
      <c r="C4150" s="251"/>
      <c r="D4150" s="251"/>
      <c r="E4150" s="251"/>
      <c r="F4150" s="251"/>
      <c r="G4150" s="249"/>
      <c r="H4150" s="252"/>
      <c r="I4150" s="251"/>
      <c r="J4150" s="251"/>
      <c r="K4150" s="250"/>
      <c r="L4150" s="249"/>
    </row>
    <row r="4151" spans="3:12" s="244" customFormat="1" x14ac:dyDescent="0.25">
      <c r="C4151" s="251"/>
      <c r="D4151" s="251"/>
      <c r="E4151" s="251"/>
      <c r="F4151" s="251"/>
      <c r="G4151" s="249"/>
      <c r="H4151" s="252"/>
      <c r="I4151" s="251"/>
      <c r="J4151" s="251"/>
      <c r="K4151" s="250"/>
      <c r="L4151" s="249"/>
    </row>
    <row r="4152" spans="3:12" s="244" customFormat="1" x14ac:dyDescent="0.25">
      <c r="C4152" s="251"/>
      <c r="D4152" s="251"/>
      <c r="E4152" s="251"/>
      <c r="F4152" s="251"/>
      <c r="G4152" s="249"/>
      <c r="H4152" s="252"/>
      <c r="I4152" s="251"/>
      <c r="J4152" s="251"/>
      <c r="K4152" s="250"/>
      <c r="L4152" s="249"/>
    </row>
    <row r="4153" spans="3:12" s="244" customFormat="1" x14ac:dyDescent="0.25">
      <c r="C4153" s="251"/>
      <c r="D4153" s="251"/>
      <c r="E4153" s="251"/>
      <c r="F4153" s="251"/>
      <c r="G4153" s="249"/>
      <c r="H4153" s="252"/>
      <c r="I4153" s="251"/>
      <c r="J4153" s="251"/>
      <c r="K4153" s="250"/>
      <c r="L4153" s="249"/>
    </row>
    <row r="4154" spans="3:12" s="244" customFormat="1" x14ac:dyDescent="0.25">
      <c r="C4154" s="251"/>
      <c r="D4154" s="251"/>
      <c r="E4154" s="251"/>
      <c r="F4154" s="251"/>
      <c r="G4154" s="249"/>
      <c r="H4154" s="252"/>
      <c r="I4154" s="251"/>
      <c r="J4154" s="251"/>
      <c r="K4154" s="250"/>
      <c r="L4154" s="249"/>
    </row>
    <row r="4155" spans="3:12" s="244" customFormat="1" x14ac:dyDescent="0.25">
      <c r="C4155" s="251"/>
      <c r="D4155" s="251"/>
      <c r="E4155" s="251"/>
      <c r="F4155" s="251"/>
      <c r="G4155" s="249"/>
      <c r="H4155" s="252"/>
      <c r="I4155" s="251"/>
      <c r="J4155" s="251"/>
      <c r="K4155" s="250"/>
      <c r="L4155" s="249"/>
    </row>
    <row r="4156" spans="3:12" s="244" customFormat="1" x14ac:dyDescent="0.25">
      <c r="C4156" s="251"/>
      <c r="D4156" s="251"/>
      <c r="E4156" s="251"/>
      <c r="F4156" s="251"/>
      <c r="G4156" s="249"/>
      <c r="H4156" s="252"/>
      <c r="I4156" s="251"/>
      <c r="J4156" s="251"/>
      <c r="K4156" s="250"/>
      <c r="L4156" s="249"/>
    </row>
    <row r="4157" spans="3:12" s="244" customFormat="1" x14ac:dyDescent="0.25">
      <c r="C4157" s="251"/>
      <c r="D4157" s="251"/>
      <c r="E4157" s="251"/>
      <c r="F4157" s="251"/>
      <c r="G4157" s="249"/>
      <c r="H4157" s="252"/>
      <c r="I4157" s="251"/>
      <c r="J4157" s="251"/>
      <c r="K4157" s="250"/>
      <c r="L4157" s="249"/>
    </row>
    <row r="4158" spans="3:12" s="244" customFormat="1" x14ac:dyDescent="0.25">
      <c r="C4158" s="251"/>
      <c r="D4158" s="251"/>
      <c r="E4158" s="251"/>
      <c r="F4158" s="251"/>
      <c r="G4158" s="249"/>
      <c r="H4158" s="252"/>
      <c r="I4158" s="251"/>
      <c r="J4158" s="251"/>
      <c r="K4158" s="250"/>
      <c r="L4158" s="249"/>
    </row>
    <row r="4159" spans="3:12" s="244" customFormat="1" x14ac:dyDescent="0.25">
      <c r="C4159" s="251"/>
      <c r="D4159" s="251"/>
      <c r="E4159" s="251"/>
      <c r="F4159" s="251"/>
      <c r="G4159" s="249"/>
      <c r="H4159" s="252"/>
      <c r="I4159" s="251"/>
      <c r="J4159" s="251"/>
      <c r="K4159" s="250"/>
      <c r="L4159" s="249"/>
    </row>
    <row r="4160" spans="3:12" s="244" customFormat="1" x14ac:dyDescent="0.25">
      <c r="C4160" s="251"/>
      <c r="D4160" s="251"/>
      <c r="E4160" s="251"/>
      <c r="F4160" s="251"/>
      <c r="G4160" s="249"/>
      <c r="H4160" s="252"/>
      <c r="I4160" s="251"/>
      <c r="J4160" s="251"/>
      <c r="K4160" s="250"/>
      <c r="L4160" s="249"/>
    </row>
    <row r="4161" spans="3:12" s="244" customFormat="1" x14ac:dyDescent="0.25">
      <c r="C4161" s="251"/>
      <c r="D4161" s="251"/>
      <c r="E4161" s="251"/>
      <c r="F4161" s="251"/>
      <c r="G4161" s="249"/>
      <c r="H4161" s="252"/>
      <c r="I4161" s="251"/>
      <c r="J4161" s="251"/>
      <c r="K4161" s="250"/>
      <c r="L4161" s="249"/>
    </row>
  </sheetData>
  <sheetProtection password="EE7E" sheet="1" objects="1" scenarios="1" insertRows="0" sort="0" autoFilter="0"/>
  <mergeCells count="4">
    <mergeCell ref="B6:B7"/>
    <mergeCell ref="A6:A7"/>
    <mergeCell ref="I6:L6"/>
    <mergeCell ref="C6:H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headerFooter>
    <oddHeader>&amp;L&amp;F&amp;R&amp;A &amp;P /&amp;N
Imprimé le 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70C0"/>
  </sheetPr>
  <dimension ref="A1:E81"/>
  <sheetViews>
    <sheetView showGridLines="0" view="pageBreakPreview" topLeftCell="A64" zoomScaleSheetLayoutView="100" workbookViewId="0">
      <selection activeCell="D83" sqref="D83"/>
    </sheetView>
  </sheetViews>
  <sheetFormatPr baseColWidth="10" defaultColWidth="11.42578125" defaultRowHeight="15" x14ac:dyDescent="0.25"/>
  <cols>
    <col min="1" max="1" width="57.7109375" style="189" bestFit="1" customWidth="1"/>
    <col min="2" max="2" width="17.42578125" style="189" bestFit="1" customWidth="1"/>
    <col min="3" max="3" width="13.85546875" style="189" bestFit="1" customWidth="1"/>
    <col min="4" max="4" width="12.42578125" style="189" bestFit="1" customWidth="1"/>
    <col min="5" max="5" width="11.7109375" style="189" bestFit="1" customWidth="1"/>
    <col min="6" max="16384" width="11.42578125" style="189"/>
  </cols>
  <sheetData>
    <row r="1" spans="1:3" x14ac:dyDescent="0.25">
      <c r="A1" s="189" t="s">
        <v>484</v>
      </c>
    </row>
    <row r="2" spans="1:3" x14ac:dyDescent="0.25">
      <c r="A2" s="193" t="s">
        <v>24</v>
      </c>
      <c r="B2" s="192" t="s">
        <v>433</v>
      </c>
    </row>
    <row r="3" spans="1:3" ht="17.25" x14ac:dyDescent="0.25">
      <c r="A3" s="243" t="s">
        <v>483</v>
      </c>
      <c r="B3" s="177" t="s">
        <v>482</v>
      </c>
      <c r="C3" s="242"/>
    </row>
    <row r="4" spans="1:3" ht="17.25" x14ac:dyDescent="0.25">
      <c r="A4" s="240" t="s">
        <v>440</v>
      </c>
      <c r="B4" s="174" t="s">
        <v>476</v>
      </c>
      <c r="C4" s="242"/>
    </row>
    <row r="5" spans="1:3" ht="17.25" x14ac:dyDescent="0.25">
      <c r="A5" s="240" t="s">
        <v>481</v>
      </c>
      <c r="B5" s="196" t="s">
        <v>480</v>
      </c>
      <c r="C5" s="242"/>
    </row>
    <row r="6" spans="1:3" ht="17.25" x14ac:dyDescent="0.25">
      <c r="A6" s="240" t="s">
        <v>479</v>
      </c>
      <c r="B6" s="196" t="s">
        <v>478</v>
      </c>
    </row>
    <row r="7" spans="1:3" ht="17.25" x14ac:dyDescent="0.25">
      <c r="A7" s="240" t="s">
        <v>477</v>
      </c>
      <c r="B7" s="196" t="s">
        <v>476</v>
      </c>
    </row>
    <row r="8" spans="1:3" ht="17.25" x14ac:dyDescent="0.25">
      <c r="A8" s="240" t="s">
        <v>475</v>
      </c>
      <c r="B8" s="196" t="s">
        <v>474</v>
      </c>
    </row>
    <row r="9" spans="1:3" x14ac:dyDescent="0.25">
      <c r="A9" s="240" t="s">
        <v>473</v>
      </c>
      <c r="B9" s="196"/>
    </row>
    <row r="10" spans="1:3" ht="17.25" x14ac:dyDescent="0.25">
      <c r="A10" s="204" t="s">
        <v>472</v>
      </c>
      <c r="B10" s="196" t="s">
        <v>471</v>
      </c>
    </row>
    <row r="11" spans="1:3" ht="17.25" x14ac:dyDescent="0.25">
      <c r="A11" s="204" t="s">
        <v>470</v>
      </c>
      <c r="B11" s="196" t="s">
        <v>469</v>
      </c>
    </row>
    <row r="12" spans="1:3" ht="17.25" x14ac:dyDescent="0.25">
      <c r="A12" s="204" t="s">
        <v>468</v>
      </c>
      <c r="B12" s="196" t="s">
        <v>467</v>
      </c>
    </row>
    <row r="13" spans="1:3" x14ac:dyDescent="0.25">
      <c r="A13" s="241" t="s">
        <v>466</v>
      </c>
      <c r="B13" s="204"/>
    </row>
    <row r="14" spans="1:3" x14ac:dyDescent="0.25">
      <c r="A14" s="211" t="s">
        <v>465</v>
      </c>
      <c r="B14" s="204"/>
    </row>
    <row r="15" spans="1:3" x14ac:dyDescent="0.25">
      <c r="A15" s="240" t="s">
        <v>464</v>
      </c>
      <c r="B15" s="204" t="s">
        <v>463</v>
      </c>
    </row>
    <row r="16" spans="1:3" x14ac:dyDescent="0.25">
      <c r="A16" s="240" t="s">
        <v>462</v>
      </c>
      <c r="B16" s="204" t="s">
        <v>461</v>
      </c>
    </row>
    <row r="17" spans="1:3" x14ac:dyDescent="0.25">
      <c r="A17" s="240" t="s">
        <v>460</v>
      </c>
      <c r="B17" s="204" t="s">
        <v>459</v>
      </c>
    </row>
    <row r="18" spans="1:3" ht="30" x14ac:dyDescent="0.25">
      <c r="A18" s="239" t="s">
        <v>458</v>
      </c>
      <c r="B18" s="203"/>
    </row>
    <row r="20" spans="1:3" x14ac:dyDescent="0.25">
      <c r="A20" s="189" t="s">
        <v>457</v>
      </c>
    </row>
    <row r="21" spans="1:3" ht="17.25" x14ac:dyDescent="0.25">
      <c r="A21" s="193" t="s">
        <v>24</v>
      </c>
      <c r="B21" s="238" t="s">
        <v>456</v>
      </c>
      <c r="C21" s="192" t="s">
        <v>406</v>
      </c>
    </row>
    <row r="22" spans="1:3" x14ac:dyDescent="0.25">
      <c r="A22" s="206" t="s">
        <v>455</v>
      </c>
      <c r="B22" s="237">
        <v>5.5</v>
      </c>
      <c r="C22" s="236">
        <v>1050</v>
      </c>
    </row>
    <row r="23" spans="1:3" x14ac:dyDescent="0.25">
      <c r="A23" s="234"/>
      <c r="B23" s="226">
        <v>10.5</v>
      </c>
      <c r="C23" s="225">
        <v>2000</v>
      </c>
    </row>
    <row r="24" spans="1:3" x14ac:dyDescent="0.25">
      <c r="A24" s="206" t="s">
        <v>454</v>
      </c>
      <c r="B24" s="237">
        <v>15</v>
      </c>
      <c r="C24" s="236">
        <v>1300</v>
      </c>
    </row>
    <row r="25" spans="1:3" x14ac:dyDescent="0.25">
      <c r="A25" s="235"/>
      <c r="B25" s="229">
        <v>20</v>
      </c>
      <c r="C25" s="228">
        <v>1750</v>
      </c>
    </row>
    <row r="26" spans="1:3" x14ac:dyDescent="0.25">
      <c r="A26" s="234"/>
      <c r="B26" s="226">
        <v>25</v>
      </c>
      <c r="C26" s="225">
        <v>2050</v>
      </c>
    </row>
    <row r="27" spans="1:3" x14ac:dyDescent="0.25">
      <c r="A27" s="206" t="s">
        <v>453</v>
      </c>
      <c r="B27" s="237">
        <v>15</v>
      </c>
      <c r="C27" s="236">
        <v>3150</v>
      </c>
    </row>
    <row r="28" spans="1:3" x14ac:dyDescent="0.25">
      <c r="A28" s="234"/>
      <c r="B28" s="226">
        <v>20</v>
      </c>
      <c r="C28" s="225">
        <v>4200</v>
      </c>
    </row>
    <row r="29" spans="1:3" x14ac:dyDescent="0.25">
      <c r="A29" s="206" t="s">
        <v>452</v>
      </c>
      <c r="B29" s="237">
        <v>15</v>
      </c>
      <c r="C29" s="236">
        <v>2000</v>
      </c>
    </row>
    <row r="30" spans="1:3" x14ac:dyDescent="0.25">
      <c r="A30" s="234"/>
      <c r="B30" s="226">
        <v>20</v>
      </c>
      <c r="C30" s="225">
        <v>2700</v>
      </c>
    </row>
    <row r="31" spans="1:3" x14ac:dyDescent="0.25">
      <c r="A31" s="206" t="s">
        <v>451</v>
      </c>
      <c r="B31" s="237">
        <v>15</v>
      </c>
      <c r="C31" s="236">
        <v>1200</v>
      </c>
    </row>
    <row r="32" spans="1:3" x14ac:dyDescent="0.25">
      <c r="A32" s="235"/>
      <c r="B32" s="229">
        <v>20</v>
      </c>
      <c r="C32" s="228">
        <v>1600</v>
      </c>
    </row>
    <row r="33" spans="1:3" x14ac:dyDescent="0.25">
      <c r="A33" s="234"/>
      <c r="B33" s="226">
        <v>25</v>
      </c>
      <c r="C33" s="225">
        <v>2050</v>
      </c>
    </row>
    <row r="34" spans="1:3" x14ac:dyDescent="0.25">
      <c r="A34" s="233" t="s">
        <v>450</v>
      </c>
      <c r="B34" s="232"/>
      <c r="C34" s="231"/>
    </row>
    <row r="35" spans="1:3" x14ac:dyDescent="0.25">
      <c r="A35" s="230" t="s">
        <v>449</v>
      </c>
      <c r="B35" s="229">
        <v>20</v>
      </c>
      <c r="C35" s="228">
        <v>5300</v>
      </c>
    </row>
    <row r="36" spans="1:3" x14ac:dyDescent="0.25">
      <c r="A36" s="230" t="s">
        <v>448</v>
      </c>
      <c r="B36" s="229">
        <v>8</v>
      </c>
      <c r="C36" s="228">
        <v>2200</v>
      </c>
    </row>
    <row r="37" spans="1:3" x14ac:dyDescent="0.25">
      <c r="A37" s="227" t="s">
        <v>447</v>
      </c>
      <c r="B37" s="226">
        <v>3</v>
      </c>
      <c r="C37" s="225">
        <v>800</v>
      </c>
    </row>
    <row r="39" spans="1:3" x14ac:dyDescent="0.25">
      <c r="A39" s="189" t="s">
        <v>446</v>
      </c>
    </row>
    <row r="40" spans="1:3" x14ac:dyDescent="0.25">
      <c r="A40" s="193" t="s">
        <v>24</v>
      </c>
      <c r="B40" s="193" t="s">
        <v>445</v>
      </c>
      <c r="C40" s="192" t="s">
        <v>433</v>
      </c>
    </row>
    <row r="41" spans="1:3" x14ac:dyDescent="0.25">
      <c r="A41" s="224" t="s">
        <v>444</v>
      </c>
      <c r="B41" s="223"/>
      <c r="C41" s="211" t="s">
        <v>443</v>
      </c>
    </row>
    <row r="42" spans="1:3" ht="30" x14ac:dyDescent="0.25">
      <c r="A42" s="222" t="s">
        <v>442</v>
      </c>
      <c r="B42" s="221"/>
      <c r="C42" s="220"/>
    </row>
    <row r="43" spans="1:3" ht="34.5" customHeight="1" x14ac:dyDescent="0.25">
      <c r="A43" s="222" t="s">
        <v>441</v>
      </c>
      <c r="B43" s="221"/>
      <c r="C43" s="220"/>
    </row>
    <row r="44" spans="1:3" ht="15" customHeight="1" x14ac:dyDescent="0.25">
      <c r="A44" s="213" t="s">
        <v>440</v>
      </c>
      <c r="B44" s="219" t="s">
        <v>437</v>
      </c>
      <c r="C44" s="218">
        <v>2500</v>
      </c>
    </row>
    <row r="45" spans="1:3" x14ac:dyDescent="0.25">
      <c r="A45" s="211"/>
      <c r="B45" s="217" t="s">
        <v>436</v>
      </c>
      <c r="C45" s="216">
        <v>2850</v>
      </c>
    </row>
    <row r="46" spans="1:3" x14ac:dyDescent="0.25">
      <c r="A46" s="209"/>
      <c r="B46" s="215" t="s">
        <v>435</v>
      </c>
      <c r="C46" s="214">
        <v>3300</v>
      </c>
    </row>
    <row r="47" spans="1:3" x14ac:dyDescent="0.25">
      <c r="A47" s="213" t="s">
        <v>439</v>
      </c>
      <c r="B47" s="219" t="s">
        <v>437</v>
      </c>
      <c r="C47" s="218">
        <v>1700</v>
      </c>
    </row>
    <row r="48" spans="1:3" x14ac:dyDescent="0.25">
      <c r="A48" s="211"/>
      <c r="B48" s="217" t="s">
        <v>436</v>
      </c>
      <c r="C48" s="216">
        <v>2000</v>
      </c>
    </row>
    <row r="49" spans="1:5" x14ac:dyDescent="0.25">
      <c r="A49" s="209"/>
      <c r="B49" s="215" t="s">
        <v>435</v>
      </c>
      <c r="C49" s="214">
        <v>2100</v>
      </c>
    </row>
    <row r="50" spans="1:5" x14ac:dyDescent="0.25">
      <c r="A50" s="213" t="s">
        <v>438</v>
      </c>
      <c r="B50" s="200" t="s">
        <v>437</v>
      </c>
      <c r="C50" s="212">
        <v>2300</v>
      </c>
    </row>
    <row r="51" spans="1:5" x14ac:dyDescent="0.25">
      <c r="A51" s="211"/>
      <c r="B51" s="196" t="s">
        <v>436</v>
      </c>
      <c r="C51" s="210">
        <v>2600</v>
      </c>
    </row>
    <row r="52" spans="1:5" x14ac:dyDescent="0.25">
      <c r="A52" s="209"/>
      <c r="B52" s="194" t="s">
        <v>435</v>
      </c>
      <c r="C52" s="208">
        <v>3000</v>
      </c>
    </row>
    <row r="53" spans="1:5" x14ac:dyDescent="0.25">
      <c r="B53" s="207"/>
      <c r="C53" s="207"/>
      <c r="D53" s="207"/>
      <c r="E53" s="207"/>
    </row>
    <row r="54" spans="1:5" x14ac:dyDescent="0.25">
      <c r="A54" s="189" t="s">
        <v>434</v>
      </c>
    </row>
    <row r="55" spans="1:5" x14ac:dyDescent="0.25">
      <c r="A55" s="193" t="s">
        <v>24</v>
      </c>
      <c r="B55" s="192" t="s">
        <v>433</v>
      </c>
    </row>
    <row r="56" spans="1:5" x14ac:dyDescent="0.25">
      <c r="A56" s="206" t="s">
        <v>432</v>
      </c>
      <c r="B56" s="205" t="s">
        <v>431</v>
      </c>
    </row>
    <row r="57" spans="1:5" x14ac:dyDescent="0.25">
      <c r="A57" s="197" t="s">
        <v>430</v>
      </c>
      <c r="B57" s="204"/>
    </row>
    <row r="58" spans="1:5" x14ac:dyDescent="0.25">
      <c r="A58" s="198" t="s">
        <v>429</v>
      </c>
      <c r="B58" s="204" t="s">
        <v>428</v>
      </c>
    </row>
    <row r="59" spans="1:5" x14ac:dyDescent="0.25">
      <c r="A59" s="198" t="s">
        <v>427</v>
      </c>
      <c r="B59" s="204" t="s">
        <v>426</v>
      </c>
    </row>
    <row r="60" spans="1:5" x14ac:dyDescent="0.25">
      <c r="A60" s="197" t="s">
        <v>425</v>
      </c>
      <c r="B60" s="204" t="s">
        <v>424</v>
      </c>
    </row>
    <row r="61" spans="1:5" x14ac:dyDescent="0.25">
      <c r="A61" s="195" t="s">
        <v>423</v>
      </c>
      <c r="B61" s="203" t="s">
        <v>422</v>
      </c>
    </row>
    <row r="63" spans="1:5" x14ac:dyDescent="0.25">
      <c r="A63" s="189" t="s">
        <v>421</v>
      </c>
      <c r="B63" s="202"/>
    </row>
    <row r="64" spans="1:5" ht="17.25" x14ac:dyDescent="0.25">
      <c r="A64" s="193" t="s">
        <v>24</v>
      </c>
      <c r="B64" s="192" t="s">
        <v>406</v>
      </c>
    </row>
    <row r="65" spans="1:2" x14ac:dyDescent="0.25">
      <c r="A65" s="201" t="s">
        <v>380</v>
      </c>
      <c r="B65" s="200"/>
    </row>
    <row r="66" spans="1:2" x14ac:dyDescent="0.25">
      <c r="A66" s="197" t="s">
        <v>420</v>
      </c>
      <c r="B66" s="196">
        <v>120</v>
      </c>
    </row>
    <row r="67" spans="1:2" x14ac:dyDescent="0.25">
      <c r="A67" s="197" t="s">
        <v>419</v>
      </c>
      <c r="B67" s="196">
        <v>500</v>
      </c>
    </row>
    <row r="68" spans="1:2" x14ac:dyDescent="0.25">
      <c r="A68" s="197" t="s">
        <v>418</v>
      </c>
      <c r="B68" s="196">
        <v>200</v>
      </c>
    </row>
    <row r="69" spans="1:2" x14ac:dyDescent="0.25">
      <c r="A69" s="199" t="s">
        <v>417</v>
      </c>
      <c r="B69" s="196"/>
    </row>
    <row r="70" spans="1:2" x14ac:dyDescent="0.25">
      <c r="A70" s="197" t="s">
        <v>416</v>
      </c>
      <c r="B70" s="196">
        <v>600</v>
      </c>
    </row>
    <row r="71" spans="1:2" x14ac:dyDescent="0.25">
      <c r="A71" s="197" t="s">
        <v>415</v>
      </c>
      <c r="B71" s="196"/>
    </row>
    <row r="72" spans="1:2" x14ac:dyDescent="0.25">
      <c r="A72" s="198" t="s">
        <v>414</v>
      </c>
      <c r="B72" s="196">
        <v>30</v>
      </c>
    </row>
    <row r="73" spans="1:2" x14ac:dyDescent="0.25">
      <c r="A73" s="198" t="s">
        <v>413</v>
      </c>
      <c r="B73" s="196">
        <v>100</v>
      </c>
    </row>
    <row r="74" spans="1:2" x14ac:dyDescent="0.25">
      <c r="A74" s="198" t="s">
        <v>412</v>
      </c>
      <c r="B74" s="196">
        <v>70</v>
      </c>
    </row>
    <row r="75" spans="1:2" x14ac:dyDescent="0.25">
      <c r="A75" s="197" t="s">
        <v>411</v>
      </c>
      <c r="B75" s="196">
        <v>300</v>
      </c>
    </row>
    <row r="76" spans="1:2" x14ac:dyDescent="0.25">
      <c r="A76" s="197" t="s">
        <v>410</v>
      </c>
      <c r="B76" s="196" t="s">
        <v>409</v>
      </c>
    </row>
    <row r="77" spans="1:2" x14ac:dyDescent="0.25">
      <c r="A77" s="195" t="s">
        <v>408</v>
      </c>
      <c r="B77" s="194">
        <v>300</v>
      </c>
    </row>
    <row r="79" spans="1:2" x14ac:dyDescent="0.25">
      <c r="A79" s="189" t="s">
        <v>407</v>
      </c>
    </row>
    <row r="80" spans="1:2" ht="17.25" x14ac:dyDescent="0.25">
      <c r="A80" s="193" t="s">
        <v>24</v>
      </c>
      <c r="B80" s="192" t="s">
        <v>406</v>
      </c>
    </row>
    <row r="81" spans="1:2" x14ac:dyDescent="0.25">
      <c r="A81" s="191" t="s">
        <v>405</v>
      </c>
      <c r="B81" s="190">
        <v>500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Header>&amp;L&amp;F&amp;CExtrait NF P 06-004&amp;R&amp;A
&amp;P / &amp;N</oddHeader>
  </headerFooter>
  <rowBreaks count="1" manualBreakCount="1"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A1:C452"/>
  <sheetViews>
    <sheetView view="pageBreakPreview" zoomScaleSheetLayoutView="100" workbookViewId="0">
      <selection activeCell="G19" sqref="G19"/>
    </sheetView>
  </sheetViews>
  <sheetFormatPr baseColWidth="10" defaultColWidth="11.42578125" defaultRowHeight="15" x14ac:dyDescent="0.25"/>
  <cols>
    <col min="1" max="1" width="11.42578125" style="168"/>
    <col min="2" max="2" width="55.5703125" style="168" bestFit="1" customWidth="1"/>
    <col min="3" max="3" width="22.5703125" style="168" bestFit="1" customWidth="1"/>
    <col min="4" max="16384" width="11.42578125" style="168"/>
  </cols>
  <sheetData>
    <row r="1" spans="1:3" ht="30" x14ac:dyDescent="0.25">
      <c r="A1" s="188" t="s">
        <v>404</v>
      </c>
      <c r="B1" s="188" t="s">
        <v>403</v>
      </c>
      <c r="C1" s="187" t="s">
        <v>402</v>
      </c>
    </row>
    <row r="2" spans="1:3" x14ac:dyDescent="0.25">
      <c r="A2" s="179" t="s">
        <v>401</v>
      </c>
      <c r="B2" s="186" t="s">
        <v>400</v>
      </c>
      <c r="C2" s="185"/>
    </row>
    <row r="3" spans="1:3" x14ac:dyDescent="0.25">
      <c r="A3" s="176"/>
      <c r="B3" s="184" t="s">
        <v>399</v>
      </c>
      <c r="C3" s="174">
        <v>1500</v>
      </c>
    </row>
    <row r="4" spans="1:3" x14ac:dyDescent="0.25">
      <c r="A4" s="176"/>
      <c r="B4" s="181" t="s">
        <v>398</v>
      </c>
      <c r="C4" s="174">
        <v>3500</v>
      </c>
    </row>
    <row r="5" spans="1:3" x14ac:dyDescent="0.25">
      <c r="A5" s="176"/>
      <c r="B5" s="181" t="s">
        <v>397</v>
      </c>
      <c r="C5" s="174">
        <v>2500</v>
      </c>
    </row>
    <row r="6" spans="1:3" x14ac:dyDescent="0.25">
      <c r="A6" s="176"/>
      <c r="B6" s="181" t="s">
        <v>396</v>
      </c>
      <c r="C6" s="174">
        <v>2500</v>
      </c>
    </row>
    <row r="7" spans="1:3" x14ac:dyDescent="0.25">
      <c r="A7" s="176"/>
      <c r="B7" s="183" t="s">
        <v>395</v>
      </c>
      <c r="C7" s="182"/>
    </row>
    <row r="8" spans="1:3" x14ac:dyDescent="0.25">
      <c r="A8" s="176"/>
      <c r="B8" s="181" t="s">
        <v>394</v>
      </c>
      <c r="C8" s="174">
        <v>2500</v>
      </c>
    </row>
    <row r="9" spans="1:3" x14ac:dyDescent="0.25">
      <c r="A9" s="176"/>
      <c r="B9" s="181" t="s">
        <v>393</v>
      </c>
      <c r="C9" s="174">
        <v>2500</v>
      </c>
    </row>
    <row r="10" spans="1:3" x14ac:dyDescent="0.25">
      <c r="A10" s="176"/>
      <c r="B10" s="181" t="s">
        <v>392</v>
      </c>
      <c r="C10" s="174">
        <v>2500</v>
      </c>
    </row>
    <row r="11" spans="1:3" x14ac:dyDescent="0.25">
      <c r="A11" s="176"/>
      <c r="B11" s="181" t="s">
        <v>391</v>
      </c>
      <c r="C11" s="174">
        <v>4000</v>
      </c>
    </row>
    <row r="12" spans="1:3" x14ac:dyDescent="0.25">
      <c r="A12" s="176"/>
      <c r="B12" s="183" t="s">
        <v>390</v>
      </c>
      <c r="C12" s="182"/>
    </row>
    <row r="13" spans="1:3" x14ac:dyDescent="0.25">
      <c r="A13" s="176"/>
      <c r="B13" s="184" t="s">
        <v>389</v>
      </c>
      <c r="C13" s="174">
        <v>2500</v>
      </c>
    </row>
    <row r="14" spans="1:3" x14ac:dyDescent="0.25">
      <c r="A14" s="176"/>
      <c r="B14" s="181" t="s">
        <v>388</v>
      </c>
      <c r="C14" s="174">
        <v>2500</v>
      </c>
    </row>
    <row r="15" spans="1:3" x14ac:dyDescent="0.25">
      <c r="A15" s="176"/>
      <c r="B15" s="181" t="s">
        <v>387</v>
      </c>
      <c r="C15" s="174">
        <v>4000</v>
      </c>
    </row>
    <row r="16" spans="1:3" x14ac:dyDescent="0.25">
      <c r="A16" s="176"/>
      <c r="B16" s="181" t="s">
        <v>386</v>
      </c>
      <c r="C16" s="174">
        <v>4000</v>
      </c>
    </row>
    <row r="17" spans="1:3" x14ac:dyDescent="0.25">
      <c r="A17" s="176"/>
      <c r="B17" s="181" t="s">
        <v>385</v>
      </c>
      <c r="C17" s="174">
        <v>5000</v>
      </c>
    </row>
    <row r="18" spans="1:3" x14ac:dyDescent="0.25">
      <c r="A18" s="176"/>
      <c r="B18" s="183" t="s">
        <v>384</v>
      </c>
      <c r="C18" s="182"/>
    </row>
    <row r="19" spans="1:3" x14ac:dyDescent="0.25">
      <c r="A19" s="176"/>
      <c r="B19" s="181" t="s">
        <v>383</v>
      </c>
      <c r="C19" s="174">
        <v>1500</v>
      </c>
    </row>
    <row r="20" spans="1:3" x14ac:dyDescent="0.25">
      <c r="A20" s="176"/>
      <c r="B20" s="181" t="s">
        <v>382</v>
      </c>
      <c r="C20" s="174">
        <v>2500</v>
      </c>
    </row>
    <row r="21" spans="1:3" x14ac:dyDescent="0.25">
      <c r="A21" s="173"/>
      <c r="B21" s="180" t="s">
        <v>381</v>
      </c>
      <c r="C21" s="171">
        <v>3500</v>
      </c>
    </row>
    <row r="22" spans="1:3" x14ac:dyDescent="0.25">
      <c r="C22" s="169"/>
    </row>
    <row r="23" spans="1:3" x14ac:dyDescent="0.25">
      <c r="A23" s="179" t="s">
        <v>380</v>
      </c>
      <c r="B23" s="178" t="s">
        <v>379</v>
      </c>
      <c r="C23" s="177">
        <v>1000</v>
      </c>
    </row>
    <row r="24" spans="1:3" x14ac:dyDescent="0.25">
      <c r="A24" s="176"/>
      <c r="B24" s="175" t="s">
        <v>378</v>
      </c>
      <c r="C24" s="174">
        <v>1500</v>
      </c>
    </row>
    <row r="25" spans="1:3" x14ac:dyDescent="0.25">
      <c r="A25" s="173"/>
      <c r="B25" s="172" t="s">
        <v>377</v>
      </c>
      <c r="C25" s="171">
        <v>5000</v>
      </c>
    </row>
    <row r="26" spans="1:3" x14ac:dyDescent="0.25">
      <c r="C26" s="169"/>
    </row>
    <row r="27" spans="1:3" x14ac:dyDescent="0.25">
      <c r="A27" s="170"/>
      <c r="C27" s="169"/>
    </row>
    <row r="28" spans="1:3" x14ac:dyDescent="0.25">
      <c r="C28" s="169"/>
    </row>
    <row r="29" spans="1:3" x14ac:dyDescent="0.25">
      <c r="C29" s="169"/>
    </row>
    <row r="30" spans="1:3" x14ac:dyDescent="0.25">
      <c r="C30" s="169"/>
    </row>
    <row r="31" spans="1:3" x14ac:dyDescent="0.25">
      <c r="C31" s="169"/>
    </row>
    <row r="32" spans="1:3" x14ac:dyDescent="0.25">
      <c r="C32" s="169"/>
    </row>
    <row r="33" spans="3:3" x14ac:dyDescent="0.25">
      <c r="C33" s="169"/>
    </row>
    <row r="34" spans="3:3" x14ac:dyDescent="0.25">
      <c r="C34" s="169"/>
    </row>
    <row r="35" spans="3:3" x14ac:dyDescent="0.25">
      <c r="C35" s="169"/>
    </row>
    <row r="36" spans="3:3" x14ac:dyDescent="0.25">
      <c r="C36" s="169"/>
    </row>
    <row r="37" spans="3:3" x14ac:dyDescent="0.25">
      <c r="C37" s="169"/>
    </row>
    <row r="38" spans="3:3" x14ac:dyDescent="0.25">
      <c r="C38" s="169"/>
    </row>
    <row r="39" spans="3:3" x14ac:dyDescent="0.25">
      <c r="C39" s="169"/>
    </row>
    <row r="40" spans="3:3" x14ac:dyDescent="0.25">
      <c r="C40" s="169"/>
    </row>
    <row r="41" spans="3:3" x14ac:dyDescent="0.25">
      <c r="C41" s="169"/>
    </row>
    <row r="42" spans="3:3" x14ac:dyDescent="0.25">
      <c r="C42" s="169"/>
    </row>
    <row r="43" spans="3:3" x14ac:dyDescent="0.25">
      <c r="C43" s="169"/>
    </row>
    <row r="44" spans="3:3" x14ac:dyDescent="0.25">
      <c r="C44" s="169"/>
    </row>
    <row r="45" spans="3:3" x14ac:dyDescent="0.25">
      <c r="C45" s="169"/>
    </row>
    <row r="46" spans="3:3" x14ac:dyDescent="0.25">
      <c r="C46" s="169"/>
    </row>
    <row r="47" spans="3:3" x14ac:dyDescent="0.25">
      <c r="C47" s="169"/>
    </row>
    <row r="48" spans="3:3" x14ac:dyDescent="0.25">
      <c r="C48" s="169"/>
    </row>
    <row r="49" spans="3:3" x14ac:dyDescent="0.25">
      <c r="C49" s="169"/>
    </row>
    <row r="50" spans="3:3" x14ac:dyDescent="0.25">
      <c r="C50" s="169"/>
    </row>
    <row r="51" spans="3:3" x14ac:dyDescent="0.25">
      <c r="C51" s="169"/>
    </row>
    <row r="52" spans="3:3" x14ac:dyDescent="0.25">
      <c r="C52" s="169"/>
    </row>
    <row r="53" spans="3:3" x14ac:dyDescent="0.25">
      <c r="C53" s="169"/>
    </row>
    <row r="54" spans="3:3" x14ac:dyDescent="0.25">
      <c r="C54" s="169"/>
    </row>
    <row r="55" spans="3:3" x14ac:dyDescent="0.25">
      <c r="C55" s="169"/>
    </row>
    <row r="56" spans="3:3" x14ac:dyDescent="0.25">
      <c r="C56" s="169"/>
    </row>
    <row r="57" spans="3:3" x14ac:dyDescent="0.25">
      <c r="C57" s="169"/>
    </row>
    <row r="58" spans="3:3" x14ac:dyDescent="0.25">
      <c r="C58" s="169"/>
    </row>
    <row r="59" spans="3:3" x14ac:dyDescent="0.25">
      <c r="C59" s="169"/>
    </row>
    <row r="60" spans="3:3" x14ac:dyDescent="0.25">
      <c r="C60" s="169"/>
    </row>
    <row r="61" spans="3:3" x14ac:dyDescent="0.25">
      <c r="C61" s="169"/>
    </row>
    <row r="62" spans="3:3" x14ac:dyDescent="0.25">
      <c r="C62" s="169"/>
    </row>
    <row r="63" spans="3:3" x14ac:dyDescent="0.25">
      <c r="C63" s="169"/>
    </row>
    <row r="64" spans="3:3" x14ac:dyDescent="0.25">
      <c r="C64" s="169"/>
    </row>
    <row r="65" spans="3:3" x14ac:dyDescent="0.25">
      <c r="C65" s="169"/>
    </row>
    <row r="66" spans="3:3" x14ac:dyDescent="0.25">
      <c r="C66" s="169"/>
    </row>
    <row r="67" spans="3:3" x14ac:dyDescent="0.25">
      <c r="C67" s="169"/>
    </row>
    <row r="68" spans="3:3" x14ac:dyDescent="0.25">
      <c r="C68" s="169"/>
    </row>
    <row r="69" spans="3:3" x14ac:dyDescent="0.25">
      <c r="C69" s="169"/>
    </row>
    <row r="70" spans="3:3" x14ac:dyDescent="0.25">
      <c r="C70" s="169"/>
    </row>
    <row r="71" spans="3:3" x14ac:dyDescent="0.25">
      <c r="C71" s="169"/>
    </row>
    <row r="72" spans="3:3" x14ac:dyDescent="0.25">
      <c r="C72" s="169"/>
    </row>
    <row r="73" spans="3:3" x14ac:dyDescent="0.25">
      <c r="C73" s="169"/>
    </row>
    <row r="74" spans="3:3" x14ac:dyDescent="0.25">
      <c r="C74" s="169"/>
    </row>
    <row r="75" spans="3:3" x14ac:dyDescent="0.25">
      <c r="C75" s="169"/>
    </row>
    <row r="76" spans="3:3" x14ac:dyDescent="0.25">
      <c r="C76" s="169"/>
    </row>
    <row r="77" spans="3:3" x14ac:dyDescent="0.25">
      <c r="C77" s="169"/>
    </row>
    <row r="78" spans="3:3" x14ac:dyDescent="0.25">
      <c r="C78" s="169"/>
    </row>
    <row r="79" spans="3:3" x14ac:dyDescent="0.25">
      <c r="C79" s="169"/>
    </row>
    <row r="80" spans="3:3" x14ac:dyDescent="0.25">
      <c r="C80" s="169"/>
    </row>
    <row r="81" spans="3:3" x14ac:dyDescent="0.25">
      <c r="C81" s="169"/>
    </row>
    <row r="82" spans="3:3" x14ac:dyDescent="0.25">
      <c r="C82" s="169"/>
    </row>
    <row r="83" spans="3:3" x14ac:dyDescent="0.25">
      <c r="C83" s="169"/>
    </row>
    <row r="84" spans="3:3" x14ac:dyDescent="0.25">
      <c r="C84" s="169"/>
    </row>
    <row r="85" spans="3:3" x14ac:dyDescent="0.25">
      <c r="C85" s="169"/>
    </row>
    <row r="86" spans="3:3" x14ac:dyDescent="0.25">
      <c r="C86" s="169"/>
    </row>
    <row r="87" spans="3:3" x14ac:dyDescent="0.25">
      <c r="C87" s="169"/>
    </row>
    <row r="88" spans="3:3" x14ac:dyDescent="0.25">
      <c r="C88" s="169"/>
    </row>
    <row r="89" spans="3:3" x14ac:dyDescent="0.25">
      <c r="C89" s="169"/>
    </row>
    <row r="90" spans="3:3" x14ac:dyDescent="0.25">
      <c r="C90" s="169"/>
    </row>
    <row r="91" spans="3:3" x14ac:dyDescent="0.25">
      <c r="C91" s="169"/>
    </row>
    <row r="92" spans="3:3" x14ac:dyDescent="0.25">
      <c r="C92" s="169"/>
    </row>
    <row r="93" spans="3:3" x14ac:dyDescent="0.25">
      <c r="C93" s="169"/>
    </row>
    <row r="94" spans="3:3" x14ac:dyDescent="0.25">
      <c r="C94" s="169"/>
    </row>
    <row r="95" spans="3:3" x14ac:dyDescent="0.25">
      <c r="C95" s="169"/>
    </row>
    <row r="96" spans="3:3" x14ac:dyDescent="0.25">
      <c r="C96" s="169"/>
    </row>
    <row r="97" spans="3:3" x14ac:dyDescent="0.25">
      <c r="C97" s="169"/>
    </row>
    <row r="98" spans="3:3" x14ac:dyDescent="0.25">
      <c r="C98" s="169"/>
    </row>
    <row r="99" spans="3:3" x14ac:dyDescent="0.25">
      <c r="C99" s="169"/>
    </row>
    <row r="100" spans="3:3" x14ac:dyDescent="0.25">
      <c r="C100" s="169"/>
    </row>
    <row r="101" spans="3:3" x14ac:dyDescent="0.25">
      <c r="C101" s="169"/>
    </row>
    <row r="102" spans="3:3" x14ac:dyDescent="0.25">
      <c r="C102" s="169"/>
    </row>
    <row r="103" spans="3:3" x14ac:dyDescent="0.25">
      <c r="C103" s="169"/>
    </row>
    <row r="104" spans="3:3" x14ac:dyDescent="0.25">
      <c r="C104" s="169"/>
    </row>
    <row r="105" spans="3:3" x14ac:dyDescent="0.25">
      <c r="C105" s="169"/>
    </row>
    <row r="106" spans="3:3" x14ac:dyDescent="0.25">
      <c r="C106" s="169"/>
    </row>
    <row r="107" spans="3:3" x14ac:dyDescent="0.25">
      <c r="C107" s="169"/>
    </row>
    <row r="108" spans="3:3" x14ac:dyDescent="0.25">
      <c r="C108" s="169"/>
    </row>
    <row r="109" spans="3:3" x14ac:dyDescent="0.25">
      <c r="C109" s="169"/>
    </row>
    <row r="110" spans="3:3" x14ac:dyDescent="0.25">
      <c r="C110" s="169"/>
    </row>
    <row r="111" spans="3:3" x14ac:dyDescent="0.25">
      <c r="C111" s="169"/>
    </row>
    <row r="112" spans="3:3" x14ac:dyDescent="0.25">
      <c r="C112" s="169"/>
    </row>
    <row r="113" spans="3:3" x14ac:dyDescent="0.25">
      <c r="C113" s="169"/>
    </row>
    <row r="114" spans="3:3" x14ac:dyDescent="0.25">
      <c r="C114" s="169"/>
    </row>
    <row r="115" spans="3:3" x14ac:dyDescent="0.25">
      <c r="C115" s="169"/>
    </row>
    <row r="116" spans="3:3" x14ac:dyDescent="0.25">
      <c r="C116" s="169"/>
    </row>
    <row r="117" spans="3:3" x14ac:dyDescent="0.25">
      <c r="C117" s="169"/>
    </row>
    <row r="118" spans="3:3" x14ac:dyDescent="0.25">
      <c r="C118" s="169"/>
    </row>
    <row r="119" spans="3:3" x14ac:dyDescent="0.25">
      <c r="C119" s="169"/>
    </row>
    <row r="120" spans="3:3" x14ac:dyDescent="0.25">
      <c r="C120" s="169"/>
    </row>
    <row r="121" spans="3:3" x14ac:dyDescent="0.25">
      <c r="C121" s="169"/>
    </row>
    <row r="122" spans="3:3" x14ac:dyDescent="0.25">
      <c r="C122" s="169"/>
    </row>
    <row r="123" spans="3:3" x14ac:dyDescent="0.25">
      <c r="C123" s="169"/>
    </row>
    <row r="124" spans="3:3" x14ac:dyDescent="0.25">
      <c r="C124" s="169"/>
    </row>
    <row r="125" spans="3:3" x14ac:dyDescent="0.25">
      <c r="C125" s="169"/>
    </row>
    <row r="126" spans="3:3" x14ac:dyDescent="0.25">
      <c r="C126" s="169"/>
    </row>
    <row r="127" spans="3:3" x14ac:dyDescent="0.25">
      <c r="C127" s="169"/>
    </row>
    <row r="128" spans="3:3" x14ac:dyDescent="0.25">
      <c r="C128" s="169"/>
    </row>
    <row r="129" spans="3:3" x14ac:dyDescent="0.25">
      <c r="C129" s="169"/>
    </row>
    <row r="130" spans="3:3" x14ac:dyDescent="0.25">
      <c r="C130" s="169"/>
    </row>
    <row r="131" spans="3:3" x14ac:dyDescent="0.25">
      <c r="C131" s="169"/>
    </row>
    <row r="132" spans="3:3" x14ac:dyDescent="0.25">
      <c r="C132" s="169"/>
    </row>
    <row r="133" spans="3:3" x14ac:dyDescent="0.25">
      <c r="C133" s="169"/>
    </row>
    <row r="134" spans="3:3" x14ac:dyDescent="0.25">
      <c r="C134" s="169"/>
    </row>
    <row r="135" spans="3:3" x14ac:dyDescent="0.25">
      <c r="C135" s="169"/>
    </row>
    <row r="136" spans="3:3" x14ac:dyDescent="0.25">
      <c r="C136" s="169"/>
    </row>
    <row r="137" spans="3:3" x14ac:dyDescent="0.25">
      <c r="C137" s="169"/>
    </row>
    <row r="138" spans="3:3" x14ac:dyDescent="0.25">
      <c r="C138" s="169"/>
    </row>
    <row r="139" spans="3:3" x14ac:dyDescent="0.25">
      <c r="C139" s="169"/>
    </row>
    <row r="140" spans="3:3" x14ac:dyDescent="0.25">
      <c r="C140" s="169"/>
    </row>
    <row r="141" spans="3:3" x14ac:dyDescent="0.25">
      <c r="C141" s="169"/>
    </row>
    <row r="142" spans="3:3" x14ac:dyDescent="0.25">
      <c r="C142" s="169"/>
    </row>
    <row r="143" spans="3:3" x14ac:dyDescent="0.25">
      <c r="C143" s="169"/>
    </row>
    <row r="144" spans="3:3" x14ac:dyDescent="0.25">
      <c r="C144" s="169"/>
    </row>
    <row r="145" spans="3:3" x14ac:dyDescent="0.25">
      <c r="C145" s="169"/>
    </row>
    <row r="146" spans="3:3" x14ac:dyDescent="0.25">
      <c r="C146" s="169"/>
    </row>
    <row r="147" spans="3:3" x14ac:dyDescent="0.25">
      <c r="C147" s="169"/>
    </row>
    <row r="148" spans="3:3" x14ac:dyDescent="0.25">
      <c r="C148" s="169"/>
    </row>
    <row r="149" spans="3:3" x14ac:dyDescent="0.25">
      <c r="C149" s="169"/>
    </row>
    <row r="150" spans="3:3" x14ac:dyDescent="0.25">
      <c r="C150" s="169"/>
    </row>
    <row r="151" spans="3:3" x14ac:dyDescent="0.25">
      <c r="C151" s="169"/>
    </row>
    <row r="152" spans="3:3" x14ac:dyDescent="0.25">
      <c r="C152" s="169"/>
    </row>
    <row r="153" spans="3:3" x14ac:dyDescent="0.25">
      <c r="C153" s="169"/>
    </row>
    <row r="154" spans="3:3" x14ac:dyDescent="0.25">
      <c r="C154" s="169"/>
    </row>
    <row r="155" spans="3:3" x14ac:dyDescent="0.25">
      <c r="C155" s="169"/>
    </row>
    <row r="156" spans="3:3" x14ac:dyDescent="0.25">
      <c r="C156" s="169"/>
    </row>
    <row r="157" spans="3:3" x14ac:dyDescent="0.25">
      <c r="C157" s="169"/>
    </row>
    <row r="158" spans="3:3" x14ac:dyDescent="0.25">
      <c r="C158" s="169"/>
    </row>
    <row r="159" spans="3:3" x14ac:dyDescent="0.25">
      <c r="C159" s="169"/>
    </row>
    <row r="160" spans="3:3" x14ac:dyDescent="0.25">
      <c r="C160" s="169"/>
    </row>
    <row r="161" spans="3:3" x14ac:dyDescent="0.25">
      <c r="C161" s="169"/>
    </row>
    <row r="162" spans="3:3" x14ac:dyDescent="0.25">
      <c r="C162" s="169"/>
    </row>
    <row r="163" spans="3:3" x14ac:dyDescent="0.25">
      <c r="C163" s="169"/>
    </row>
    <row r="164" spans="3:3" x14ac:dyDescent="0.25">
      <c r="C164" s="169"/>
    </row>
    <row r="165" spans="3:3" x14ac:dyDescent="0.25">
      <c r="C165" s="169"/>
    </row>
    <row r="166" spans="3:3" x14ac:dyDescent="0.25">
      <c r="C166" s="169"/>
    </row>
    <row r="167" spans="3:3" x14ac:dyDescent="0.25">
      <c r="C167" s="169"/>
    </row>
    <row r="168" spans="3:3" x14ac:dyDescent="0.25">
      <c r="C168" s="169"/>
    </row>
    <row r="169" spans="3:3" x14ac:dyDescent="0.25">
      <c r="C169" s="169"/>
    </row>
    <row r="170" spans="3:3" x14ac:dyDescent="0.25">
      <c r="C170" s="169"/>
    </row>
    <row r="171" spans="3:3" x14ac:dyDescent="0.25">
      <c r="C171" s="169"/>
    </row>
    <row r="172" spans="3:3" x14ac:dyDescent="0.25">
      <c r="C172" s="169"/>
    </row>
    <row r="173" spans="3:3" x14ac:dyDescent="0.25">
      <c r="C173" s="169"/>
    </row>
    <row r="174" spans="3:3" x14ac:dyDescent="0.25">
      <c r="C174" s="169"/>
    </row>
    <row r="175" spans="3:3" x14ac:dyDescent="0.25">
      <c r="C175" s="169"/>
    </row>
    <row r="176" spans="3:3" x14ac:dyDescent="0.25">
      <c r="C176" s="169"/>
    </row>
    <row r="177" spans="3:3" x14ac:dyDescent="0.25">
      <c r="C177" s="169"/>
    </row>
    <row r="178" spans="3:3" x14ac:dyDescent="0.25">
      <c r="C178" s="169"/>
    </row>
    <row r="179" spans="3:3" x14ac:dyDescent="0.25">
      <c r="C179" s="169"/>
    </row>
    <row r="180" spans="3:3" x14ac:dyDescent="0.25">
      <c r="C180" s="169"/>
    </row>
    <row r="181" spans="3:3" x14ac:dyDescent="0.25">
      <c r="C181" s="169"/>
    </row>
    <row r="182" spans="3:3" x14ac:dyDescent="0.25">
      <c r="C182" s="169"/>
    </row>
    <row r="183" spans="3:3" x14ac:dyDescent="0.25">
      <c r="C183" s="169"/>
    </row>
    <row r="184" spans="3:3" x14ac:dyDescent="0.25">
      <c r="C184" s="169"/>
    </row>
    <row r="185" spans="3:3" x14ac:dyDescent="0.25">
      <c r="C185" s="169"/>
    </row>
    <row r="186" spans="3:3" x14ac:dyDescent="0.25">
      <c r="C186" s="169"/>
    </row>
    <row r="187" spans="3:3" x14ac:dyDescent="0.25">
      <c r="C187" s="169"/>
    </row>
    <row r="188" spans="3:3" x14ac:dyDescent="0.25">
      <c r="C188" s="169"/>
    </row>
    <row r="189" spans="3:3" x14ac:dyDescent="0.25">
      <c r="C189" s="169"/>
    </row>
    <row r="190" spans="3:3" x14ac:dyDescent="0.25">
      <c r="C190" s="169"/>
    </row>
    <row r="191" spans="3:3" x14ac:dyDescent="0.25">
      <c r="C191" s="169"/>
    </row>
    <row r="192" spans="3:3" x14ac:dyDescent="0.25">
      <c r="C192" s="169"/>
    </row>
    <row r="193" spans="3:3" x14ac:dyDescent="0.25">
      <c r="C193" s="169"/>
    </row>
    <row r="194" spans="3:3" x14ac:dyDescent="0.25">
      <c r="C194" s="169"/>
    </row>
    <row r="195" spans="3:3" x14ac:dyDescent="0.25">
      <c r="C195" s="169"/>
    </row>
    <row r="196" spans="3:3" x14ac:dyDescent="0.25">
      <c r="C196" s="169"/>
    </row>
    <row r="197" spans="3:3" x14ac:dyDescent="0.25">
      <c r="C197" s="169"/>
    </row>
    <row r="198" spans="3:3" x14ac:dyDescent="0.25">
      <c r="C198" s="169"/>
    </row>
    <row r="199" spans="3:3" x14ac:dyDescent="0.25">
      <c r="C199" s="169"/>
    </row>
    <row r="200" spans="3:3" x14ac:dyDescent="0.25">
      <c r="C200" s="169"/>
    </row>
    <row r="201" spans="3:3" x14ac:dyDescent="0.25">
      <c r="C201" s="169"/>
    </row>
    <row r="202" spans="3:3" x14ac:dyDescent="0.25">
      <c r="C202" s="169"/>
    </row>
    <row r="203" spans="3:3" x14ac:dyDescent="0.25">
      <c r="C203" s="169"/>
    </row>
    <row r="204" spans="3:3" x14ac:dyDescent="0.25">
      <c r="C204" s="169"/>
    </row>
    <row r="205" spans="3:3" x14ac:dyDescent="0.25">
      <c r="C205" s="169"/>
    </row>
    <row r="206" spans="3:3" x14ac:dyDescent="0.25">
      <c r="C206" s="169"/>
    </row>
    <row r="207" spans="3:3" x14ac:dyDescent="0.25">
      <c r="C207" s="169"/>
    </row>
    <row r="208" spans="3:3" x14ac:dyDescent="0.25">
      <c r="C208" s="169"/>
    </row>
    <row r="209" spans="3:3" x14ac:dyDescent="0.25">
      <c r="C209" s="169"/>
    </row>
    <row r="210" spans="3:3" x14ac:dyDescent="0.25">
      <c r="C210" s="169"/>
    </row>
    <row r="211" spans="3:3" x14ac:dyDescent="0.25">
      <c r="C211" s="169"/>
    </row>
    <row r="212" spans="3:3" x14ac:dyDescent="0.25">
      <c r="C212" s="169"/>
    </row>
    <row r="213" spans="3:3" x14ac:dyDescent="0.25">
      <c r="C213" s="169"/>
    </row>
    <row r="214" spans="3:3" x14ac:dyDescent="0.25">
      <c r="C214" s="169"/>
    </row>
    <row r="215" spans="3:3" x14ac:dyDescent="0.25">
      <c r="C215" s="169"/>
    </row>
    <row r="216" spans="3:3" x14ac:dyDescent="0.25">
      <c r="C216" s="169"/>
    </row>
    <row r="217" spans="3:3" x14ac:dyDescent="0.25">
      <c r="C217" s="169"/>
    </row>
    <row r="218" spans="3:3" x14ac:dyDescent="0.25">
      <c r="C218" s="169"/>
    </row>
    <row r="219" spans="3:3" x14ac:dyDescent="0.25">
      <c r="C219" s="169"/>
    </row>
    <row r="220" spans="3:3" x14ac:dyDescent="0.25">
      <c r="C220" s="169"/>
    </row>
    <row r="221" spans="3:3" x14ac:dyDescent="0.25">
      <c r="C221" s="169"/>
    </row>
    <row r="222" spans="3:3" x14ac:dyDescent="0.25">
      <c r="C222" s="169"/>
    </row>
    <row r="223" spans="3:3" x14ac:dyDescent="0.25">
      <c r="C223" s="169"/>
    </row>
    <row r="224" spans="3:3" x14ac:dyDescent="0.25">
      <c r="C224" s="169"/>
    </row>
    <row r="225" spans="3:3" x14ac:dyDescent="0.25">
      <c r="C225" s="169"/>
    </row>
    <row r="226" spans="3:3" x14ac:dyDescent="0.25">
      <c r="C226" s="169"/>
    </row>
    <row r="227" spans="3:3" x14ac:dyDescent="0.25">
      <c r="C227" s="169"/>
    </row>
    <row r="228" spans="3:3" x14ac:dyDescent="0.25">
      <c r="C228" s="169"/>
    </row>
    <row r="229" spans="3:3" x14ac:dyDescent="0.25">
      <c r="C229" s="169"/>
    </row>
    <row r="230" spans="3:3" x14ac:dyDescent="0.25">
      <c r="C230" s="169"/>
    </row>
    <row r="231" spans="3:3" x14ac:dyDescent="0.25">
      <c r="C231" s="169"/>
    </row>
    <row r="232" spans="3:3" x14ac:dyDescent="0.25">
      <c r="C232" s="169"/>
    </row>
    <row r="233" spans="3:3" x14ac:dyDescent="0.25">
      <c r="C233" s="169"/>
    </row>
    <row r="234" spans="3:3" x14ac:dyDescent="0.25">
      <c r="C234" s="169"/>
    </row>
    <row r="235" spans="3:3" x14ac:dyDescent="0.25">
      <c r="C235" s="169"/>
    </row>
    <row r="236" spans="3:3" x14ac:dyDescent="0.25">
      <c r="C236" s="169"/>
    </row>
    <row r="237" spans="3:3" x14ac:dyDescent="0.25">
      <c r="C237" s="169"/>
    </row>
    <row r="238" spans="3:3" x14ac:dyDescent="0.25">
      <c r="C238" s="169"/>
    </row>
    <row r="239" spans="3:3" x14ac:dyDescent="0.25">
      <c r="C239" s="169"/>
    </row>
    <row r="240" spans="3:3" x14ac:dyDescent="0.25">
      <c r="C240" s="169"/>
    </row>
    <row r="241" spans="3:3" x14ac:dyDescent="0.25">
      <c r="C241" s="169"/>
    </row>
    <row r="242" spans="3:3" x14ac:dyDescent="0.25">
      <c r="C242" s="169"/>
    </row>
    <row r="243" spans="3:3" x14ac:dyDescent="0.25">
      <c r="C243" s="169"/>
    </row>
    <row r="244" spans="3:3" x14ac:dyDescent="0.25">
      <c r="C244" s="169"/>
    </row>
    <row r="245" spans="3:3" x14ac:dyDescent="0.25">
      <c r="C245" s="169"/>
    </row>
    <row r="246" spans="3:3" x14ac:dyDescent="0.25">
      <c r="C246" s="169"/>
    </row>
    <row r="247" spans="3:3" x14ac:dyDescent="0.25">
      <c r="C247" s="169"/>
    </row>
    <row r="248" spans="3:3" x14ac:dyDescent="0.25">
      <c r="C248" s="169"/>
    </row>
    <row r="249" spans="3:3" x14ac:dyDescent="0.25">
      <c r="C249" s="169"/>
    </row>
    <row r="250" spans="3:3" x14ac:dyDescent="0.25">
      <c r="C250" s="169"/>
    </row>
    <row r="251" spans="3:3" x14ac:dyDescent="0.25">
      <c r="C251" s="169"/>
    </row>
    <row r="252" spans="3:3" x14ac:dyDescent="0.25">
      <c r="C252" s="169"/>
    </row>
    <row r="253" spans="3:3" x14ac:dyDescent="0.25">
      <c r="C253" s="169"/>
    </row>
    <row r="254" spans="3:3" x14ac:dyDescent="0.25">
      <c r="C254" s="169"/>
    </row>
    <row r="255" spans="3:3" x14ac:dyDescent="0.25">
      <c r="C255" s="169"/>
    </row>
    <row r="256" spans="3:3" x14ac:dyDescent="0.25">
      <c r="C256" s="169"/>
    </row>
    <row r="257" spans="3:3" x14ac:dyDescent="0.25">
      <c r="C257" s="169"/>
    </row>
    <row r="258" spans="3:3" x14ac:dyDescent="0.25">
      <c r="C258" s="169"/>
    </row>
    <row r="259" spans="3:3" x14ac:dyDescent="0.25">
      <c r="C259" s="169"/>
    </row>
    <row r="260" spans="3:3" x14ac:dyDescent="0.25">
      <c r="C260" s="169"/>
    </row>
    <row r="261" spans="3:3" x14ac:dyDescent="0.25">
      <c r="C261" s="169"/>
    </row>
    <row r="262" spans="3:3" x14ac:dyDescent="0.25">
      <c r="C262" s="169"/>
    </row>
    <row r="263" spans="3:3" x14ac:dyDescent="0.25">
      <c r="C263" s="169"/>
    </row>
    <row r="264" spans="3:3" x14ac:dyDescent="0.25">
      <c r="C264" s="169"/>
    </row>
    <row r="265" spans="3:3" x14ac:dyDescent="0.25">
      <c r="C265" s="169"/>
    </row>
    <row r="266" spans="3:3" x14ac:dyDescent="0.25">
      <c r="C266" s="169"/>
    </row>
    <row r="267" spans="3:3" x14ac:dyDescent="0.25">
      <c r="C267" s="169"/>
    </row>
    <row r="268" spans="3:3" x14ac:dyDescent="0.25">
      <c r="C268" s="169"/>
    </row>
    <row r="269" spans="3:3" x14ac:dyDescent="0.25">
      <c r="C269" s="169"/>
    </row>
    <row r="270" spans="3:3" x14ac:dyDescent="0.25">
      <c r="C270" s="169"/>
    </row>
    <row r="271" spans="3:3" x14ac:dyDescent="0.25">
      <c r="C271" s="169"/>
    </row>
    <row r="272" spans="3:3" x14ac:dyDescent="0.25">
      <c r="C272" s="169"/>
    </row>
    <row r="273" spans="3:3" x14ac:dyDescent="0.25">
      <c r="C273" s="169"/>
    </row>
    <row r="274" spans="3:3" x14ac:dyDescent="0.25">
      <c r="C274" s="169"/>
    </row>
    <row r="275" spans="3:3" x14ac:dyDescent="0.25">
      <c r="C275" s="169"/>
    </row>
    <row r="276" spans="3:3" x14ac:dyDescent="0.25">
      <c r="C276" s="169"/>
    </row>
    <row r="277" spans="3:3" x14ac:dyDescent="0.25">
      <c r="C277" s="169"/>
    </row>
    <row r="278" spans="3:3" x14ac:dyDescent="0.25">
      <c r="C278" s="169"/>
    </row>
    <row r="279" spans="3:3" x14ac:dyDescent="0.25">
      <c r="C279" s="169"/>
    </row>
    <row r="280" spans="3:3" x14ac:dyDescent="0.25">
      <c r="C280" s="169"/>
    </row>
    <row r="281" spans="3:3" x14ac:dyDescent="0.25">
      <c r="C281" s="169"/>
    </row>
    <row r="282" spans="3:3" x14ac:dyDescent="0.25">
      <c r="C282" s="169"/>
    </row>
    <row r="283" spans="3:3" x14ac:dyDescent="0.25">
      <c r="C283" s="169"/>
    </row>
    <row r="284" spans="3:3" x14ac:dyDescent="0.25">
      <c r="C284" s="169"/>
    </row>
    <row r="285" spans="3:3" x14ac:dyDescent="0.25">
      <c r="C285" s="169"/>
    </row>
    <row r="286" spans="3:3" x14ac:dyDescent="0.25">
      <c r="C286" s="169"/>
    </row>
    <row r="287" spans="3:3" x14ac:dyDescent="0.25">
      <c r="C287" s="169"/>
    </row>
    <row r="288" spans="3:3" x14ac:dyDescent="0.25">
      <c r="C288" s="169"/>
    </row>
    <row r="289" spans="3:3" x14ac:dyDescent="0.25">
      <c r="C289" s="169"/>
    </row>
    <row r="290" spans="3:3" x14ac:dyDescent="0.25">
      <c r="C290" s="169"/>
    </row>
    <row r="291" spans="3:3" x14ac:dyDescent="0.25">
      <c r="C291" s="169"/>
    </row>
    <row r="292" spans="3:3" x14ac:dyDescent="0.25">
      <c r="C292" s="169"/>
    </row>
    <row r="293" spans="3:3" x14ac:dyDescent="0.25">
      <c r="C293" s="169"/>
    </row>
    <row r="294" spans="3:3" x14ac:dyDescent="0.25">
      <c r="C294" s="169"/>
    </row>
    <row r="295" spans="3:3" x14ac:dyDescent="0.25">
      <c r="C295" s="169"/>
    </row>
    <row r="296" spans="3:3" x14ac:dyDescent="0.25">
      <c r="C296" s="169"/>
    </row>
    <row r="297" spans="3:3" x14ac:dyDescent="0.25">
      <c r="C297" s="169"/>
    </row>
    <row r="298" spans="3:3" x14ac:dyDescent="0.25">
      <c r="C298" s="169"/>
    </row>
    <row r="299" spans="3:3" x14ac:dyDescent="0.25">
      <c r="C299" s="169"/>
    </row>
    <row r="300" spans="3:3" x14ac:dyDescent="0.25">
      <c r="C300" s="169"/>
    </row>
    <row r="301" spans="3:3" x14ac:dyDescent="0.25">
      <c r="C301" s="169"/>
    </row>
    <row r="302" spans="3:3" x14ac:dyDescent="0.25">
      <c r="C302" s="169"/>
    </row>
    <row r="303" spans="3:3" x14ac:dyDescent="0.25">
      <c r="C303" s="169"/>
    </row>
    <row r="304" spans="3:3" x14ac:dyDescent="0.25">
      <c r="C304" s="169"/>
    </row>
    <row r="305" spans="3:3" x14ac:dyDescent="0.25">
      <c r="C305" s="169"/>
    </row>
    <row r="306" spans="3:3" x14ac:dyDescent="0.25">
      <c r="C306" s="169"/>
    </row>
    <row r="307" spans="3:3" x14ac:dyDescent="0.25">
      <c r="C307" s="169"/>
    </row>
    <row r="308" spans="3:3" x14ac:dyDescent="0.25">
      <c r="C308" s="169"/>
    </row>
    <row r="309" spans="3:3" x14ac:dyDescent="0.25">
      <c r="C309" s="169"/>
    </row>
    <row r="310" spans="3:3" x14ac:dyDescent="0.25">
      <c r="C310" s="169"/>
    </row>
    <row r="311" spans="3:3" x14ac:dyDescent="0.25">
      <c r="C311" s="169"/>
    </row>
    <row r="312" spans="3:3" x14ac:dyDescent="0.25">
      <c r="C312" s="169"/>
    </row>
    <row r="313" spans="3:3" x14ac:dyDescent="0.25">
      <c r="C313" s="169"/>
    </row>
    <row r="314" spans="3:3" x14ac:dyDescent="0.25">
      <c r="C314" s="169"/>
    </row>
    <row r="315" spans="3:3" x14ac:dyDescent="0.25">
      <c r="C315" s="169"/>
    </row>
    <row r="316" spans="3:3" x14ac:dyDescent="0.25">
      <c r="C316" s="169"/>
    </row>
    <row r="317" spans="3:3" x14ac:dyDescent="0.25">
      <c r="C317" s="169"/>
    </row>
    <row r="318" spans="3:3" x14ac:dyDescent="0.25">
      <c r="C318" s="169"/>
    </row>
    <row r="319" spans="3:3" x14ac:dyDescent="0.25">
      <c r="C319" s="169"/>
    </row>
    <row r="320" spans="3:3" x14ac:dyDescent="0.25">
      <c r="C320" s="169"/>
    </row>
    <row r="321" spans="3:3" x14ac:dyDescent="0.25">
      <c r="C321" s="169"/>
    </row>
    <row r="322" spans="3:3" x14ac:dyDescent="0.25">
      <c r="C322" s="169"/>
    </row>
    <row r="323" spans="3:3" x14ac:dyDescent="0.25">
      <c r="C323" s="169"/>
    </row>
    <row r="324" spans="3:3" x14ac:dyDescent="0.25">
      <c r="C324" s="169"/>
    </row>
    <row r="325" spans="3:3" x14ac:dyDescent="0.25">
      <c r="C325" s="169"/>
    </row>
    <row r="326" spans="3:3" x14ac:dyDescent="0.25">
      <c r="C326" s="169"/>
    </row>
    <row r="327" spans="3:3" x14ac:dyDescent="0.25">
      <c r="C327" s="169"/>
    </row>
    <row r="328" spans="3:3" x14ac:dyDescent="0.25">
      <c r="C328" s="169"/>
    </row>
    <row r="329" spans="3:3" x14ac:dyDescent="0.25">
      <c r="C329" s="169"/>
    </row>
    <row r="330" spans="3:3" x14ac:dyDescent="0.25">
      <c r="C330" s="169"/>
    </row>
    <row r="331" spans="3:3" x14ac:dyDescent="0.25">
      <c r="C331" s="169"/>
    </row>
    <row r="332" spans="3:3" x14ac:dyDescent="0.25">
      <c r="C332" s="169"/>
    </row>
    <row r="333" spans="3:3" x14ac:dyDescent="0.25">
      <c r="C333" s="169"/>
    </row>
    <row r="334" spans="3:3" x14ac:dyDescent="0.25">
      <c r="C334" s="169"/>
    </row>
    <row r="335" spans="3:3" x14ac:dyDescent="0.25">
      <c r="C335" s="169"/>
    </row>
    <row r="336" spans="3:3" x14ac:dyDescent="0.25">
      <c r="C336" s="169"/>
    </row>
    <row r="337" spans="3:3" x14ac:dyDescent="0.25">
      <c r="C337" s="169"/>
    </row>
    <row r="338" spans="3:3" x14ac:dyDescent="0.25">
      <c r="C338" s="169"/>
    </row>
    <row r="339" spans="3:3" x14ac:dyDescent="0.25">
      <c r="C339" s="169"/>
    </row>
    <row r="340" spans="3:3" x14ac:dyDescent="0.25">
      <c r="C340" s="169"/>
    </row>
    <row r="341" spans="3:3" x14ac:dyDescent="0.25">
      <c r="C341" s="169"/>
    </row>
    <row r="342" spans="3:3" x14ac:dyDescent="0.25">
      <c r="C342" s="169"/>
    </row>
    <row r="343" spans="3:3" x14ac:dyDescent="0.25">
      <c r="C343" s="169"/>
    </row>
    <row r="344" spans="3:3" x14ac:dyDescent="0.25">
      <c r="C344" s="169"/>
    </row>
    <row r="345" spans="3:3" x14ac:dyDescent="0.25">
      <c r="C345" s="169"/>
    </row>
    <row r="346" spans="3:3" x14ac:dyDescent="0.25">
      <c r="C346" s="169"/>
    </row>
    <row r="347" spans="3:3" x14ac:dyDescent="0.25">
      <c r="C347" s="169"/>
    </row>
    <row r="348" spans="3:3" x14ac:dyDescent="0.25">
      <c r="C348" s="169"/>
    </row>
    <row r="349" spans="3:3" x14ac:dyDescent="0.25">
      <c r="C349" s="169"/>
    </row>
    <row r="350" spans="3:3" x14ac:dyDescent="0.25">
      <c r="C350" s="169"/>
    </row>
    <row r="351" spans="3:3" x14ac:dyDescent="0.25">
      <c r="C351" s="169"/>
    </row>
    <row r="352" spans="3:3" x14ac:dyDescent="0.25">
      <c r="C352" s="169"/>
    </row>
    <row r="353" spans="3:3" x14ac:dyDescent="0.25">
      <c r="C353" s="169"/>
    </row>
    <row r="354" spans="3:3" x14ac:dyDescent="0.25">
      <c r="C354" s="169"/>
    </row>
    <row r="355" spans="3:3" x14ac:dyDescent="0.25">
      <c r="C355" s="169"/>
    </row>
    <row r="356" spans="3:3" x14ac:dyDescent="0.25">
      <c r="C356" s="169"/>
    </row>
    <row r="357" spans="3:3" x14ac:dyDescent="0.25">
      <c r="C357" s="169"/>
    </row>
    <row r="358" spans="3:3" x14ac:dyDescent="0.25">
      <c r="C358" s="169"/>
    </row>
    <row r="359" spans="3:3" x14ac:dyDescent="0.25">
      <c r="C359" s="169"/>
    </row>
    <row r="360" spans="3:3" x14ac:dyDescent="0.25">
      <c r="C360" s="169"/>
    </row>
    <row r="361" spans="3:3" x14ac:dyDescent="0.25">
      <c r="C361" s="169"/>
    </row>
    <row r="362" spans="3:3" x14ac:dyDescent="0.25">
      <c r="C362" s="169"/>
    </row>
    <row r="363" spans="3:3" x14ac:dyDescent="0.25">
      <c r="C363" s="169"/>
    </row>
    <row r="364" spans="3:3" x14ac:dyDescent="0.25">
      <c r="C364" s="169"/>
    </row>
    <row r="365" spans="3:3" x14ac:dyDescent="0.25">
      <c r="C365" s="169"/>
    </row>
    <row r="366" spans="3:3" x14ac:dyDescent="0.25">
      <c r="C366" s="169"/>
    </row>
    <row r="367" spans="3:3" x14ac:dyDescent="0.25">
      <c r="C367" s="169"/>
    </row>
    <row r="368" spans="3:3" x14ac:dyDescent="0.25">
      <c r="C368" s="169"/>
    </row>
    <row r="369" spans="3:3" x14ac:dyDescent="0.25">
      <c r="C369" s="169"/>
    </row>
    <row r="370" spans="3:3" x14ac:dyDescent="0.25">
      <c r="C370" s="169"/>
    </row>
    <row r="371" spans="3:3" x14ac:dyDescent="0.25">
      <c r="C371" s="169"/>
    </row>
    <row r="372" spans="3:3" x14ac:dyDescent="0.25">
      <c r="C372" s="169"/>
    </row>
    <row r="373" spans="3:3" x14ac:dyDescent="0.25">
      <c r="C373" s="169"/>
    </row>
    <row r="374" spans="3:3" x14ac:dyDescent="0.25">
      <c r="C374" s="169"/>
    </row>
    <row r="375" spans="3:3" x14ac:dyDescent="0.25">
      <c r="C375" s="169"/>
    </row>
    <row r="376" spans="3:3" x14ac:dyDescent="0.25">
      <c r="C376" s="169"/>
    </row>
    <row r="377" spans="3:3" x14ac:dyDescent="0.25">
      <c r="C377" s="169"/>
    </row>
    <row r="378" spans="3:3" x14ac:dyDescent="0.25">
      <c r="C378" s="169"/>
    </row>
    <row r="379" spans="3:3" x14ac:dyDescent="0.25">
      <c r="C379" s="169"/>
    </row>
    <row r="380" spans="3:3" x14ac:dyDescent="0.25">
      <c r="C380" s="169"/>
    </row>
    <row r="381" spans="3:3" x14ac:dyDescent="0.25">
      <c r="C381" s="169"/>
    </row>
    <row r="382" spans="3:3" x14ac:dyDescent="0.25">
      <c r="C382" s="169"/>
    </row>
    <row r="383" spans="3:3" x14ac:dyDescent="0.25">
      <c r="C383" s="169"/>
    </row>
    <row r="384" spans="3:3" x14ac:dyDescent="0.25">
      <c r="C384" s="169"/>
    </row>
    <row r="385" spans="3:3" x14ac:dyDescent="0.25">
      <c r="C385" s="169"/>
    </row>
    <row r="386" spans="3:3" x14ac:dyDescent="0.25">
      <c r="C386" s="169"/>
    </row>
    <row r="387" spans="3:3" x14ac:dyDescent="0.25">
      <c r="C387" s="169"/>
    </row>
    <row r="388" spans="3:3" x14ac:dyDescent="0.25">
      <c r="C388" s="169"/>
    </row>
    <row r="389" spans="3:3" x14ac:dyDescent="0.25">
      <c r="C389" s="169"/>
    </row>
    <row r="390" spans="3:3" x14ac:dyDescent="0.25">
      <c r="C390" s="169"/>
    </row>
    <row r="391" spans="3:3" x14ac:dyDescent="0.25">
      <c r="C391" s="169"/>
    </row>
    <row r="392" spans="3:3" x14ac:dyDescent="0.25">
      <c r="C392" s="169"/>
    </row>
    <row r="393" spans="3:3" x14ac:dyDescent="0.25">
      <c r="C393" s="169"/>
    </row>
    <row r="394" spans="3:3" x14ac:dyDescent="0.25">
      <c r="C394" s="169"/>
    </row>
    <row r="395" spans="3:3" x14ac:dyDescent="0.25">
      <c r="C395" s="169"/>
    </row>
    <row r="396" spans="3:3" x14ac:dyDescent="0.25">
      <c r="C396" s="169"/>
    </row>
    <row r="397" spans="3:3" x14ac:dyDescent="0.25">
      <c r="C397" s="169"/>
    </row>
    <row r="398" spans="3:3" x14ac:dyDescent="0.25">
      <c r="C398" s="169"/>
    </row>
    <row r="399" spans="3:3" x14ac:dyDescent="0.25">
      <c r="C399" s="169"/>
    </row>
    <row r="400" spans="3:3" x14ac:dyDescent="0.25">
      <c r="C400" s="169"/>
    </row>
    <row r="401" spans="3:3" x14ac:dyDescent="0.25">
      <c r="C401" s="169"/>
    </row>
    <row r="402" spans="3:3" x14ac:dyDescent="0.25">
      <c r="C402" s="169"/>
    </row>
    <row r="403" spans="3:3" x14ac:dyDescent="0.25">
      <c r="C403" s="169"/>
    </row>
    <row r="404" spans="3:3" x14ac:dyDescent="0.25">
      <c r="C404" s="169"/>
    </row>
    <row r="405" spans="3:3" x14ac:dyDescent="0.25">
      <c r="C405" s="169"/>
    </row>
    <row r="406" spans="3:3" x14ac:dyDescent="0.25">
      <c r="C406" s="169"/>
    </row>
    <row r="407" spans="3:3" x14ac:dyDescent="0.25">
      <c r="C407" s="169"/>
    </row>
    <row r="408" spans="3:3" x14ac:dyDescent="0.25">
      <c r="C408" s="169"/>
    </row>
    <row r="409" spans="3:3" x14ac:dyDescent="0.25">
      <c r="C409" s="169"/>
    </row>
    <row r="410" spans="3:3" x14ac:dyDescent="0.25">
      <c r="C410" s="169"/>
    </row>
    <row r="411" spans="3:3" x14ac:dyDescent="0.25">
      <c r="C411" s="169"/>
    </row>
    <row r="412" spans="3:3" x14ac:dyDescent="0.25">
      <c r="C412" s="169"/>
    </row>
    <row r="413" spans="3:3" x14ac:dyDescent="0.25">
      <c r="C413" s="169"/>
    </row>
    <row r="414" spans="3:3" x14ac:dyDescent="0.25">
      <c r="C414" s="169"/>
    </row>
    <row r="415" spans="3:3" x14ac:dyDescent="0.25">
      <c r="C415" s="169"/>
    </row>
    <row r="416" spans="3:3" x14ac:dyDescent="0.25">
      <c r="C416" s="169"/>
    </row>
    <row r="417" spans="3:3" x14ac:dyDescent="0.25">
      <c r="C417" s="169"/>
    </row>
    <row r="418" spans="3:3" x14ac:dyDescent="0.25">
      <c r="C418" s="169"/>
    </row>
    <row r="419" spans="3:3" x14ac:dyDescent="0.25">
      <c r="C419" s="169"/>
    </row>
    <row r="420" spans="3:3" x14ac:dyDescent="0.25">
      <c r="C420" s="169"/>
    </row>
    <row r="421" spans="3:3" x14ac:dyDescent="0.25">
      <c r="C421" s="169"/>
    </row>
    <row r="422" spans="3:3" x14ac:dyDescent="0.25">
      <c r="C422" s="169"/>
    </row>
    <row r="423" spans="3:3" x14ac:dyDescent="0.25">
      <c r="C423" s="169"/>
    </row>
    <row r="424" spans="3:3" x14ac:dyDescent="0.25">
      <c r="C424" s="169"/>
    </row>
    <row r="425" spans="3:3" x14ac:dyDescent="0.25">
      <c r="C425" s="169"/>
    </row>
    <row r="426" spans="3:3" x14ac:dyDescent="0.25">
      <c r="C426" s="169"/>
    </row>
    <row r="427" spans="3:3" x14ac:dyDescent="0.25">
      <c r="C427" s="169"/>
    </row>
    <row r="428" spans="3:3" x14ac:dyDescent="0.25">
      <c r="C428" s="169"/>
    </row>
    <row r="429" spans="3:3" x14ac:dyDescent="0.25">
      <c r="C429" s="169"/>
    </row>
    <row r="430" spans="3:3" x14ac:dyDescent="0.25">
      <c r="C430" s="169"/>
    </row>
    <row r="431" spans="3:3" x14ac:dyDescent="0.25">
      <c r="C431" s="169"/>
    </row>
    <row r="432" spans="3:3" x14ac:dyDescent="0.25">
      <c r="C432" s="169"/>
    </row>
    <row r="433" spans="3:3" x14ac:dyDescent="0.25">
      <c r="C433" s="169"/>
    </row>
    <row r="434" spans="3:3" x14ac:dyDescent="0.25">
      <c r="C434" s="169"/>
    </row>
    <row r="435" spans="3:3" x14ac:dyDescent="0.25">
      <c r="C435" s="169"/>
    </row>
    <row r="436" spans="3:3" x14ac:dyDescent="0.25">
      <c r="C436" s="169"/>
    </row>
    <row r="437" spans="3:3" x14ac:dyDescent="0.25">
      <c r="C437" s="169"/>
    </row>
    <row r="438" spans="3:3" x14ac:dyDescent="0.25">
      <c r="C438" s="169"/>
    </row>
    <row r="439" spans="3:3" x14ac:dyDescent="0.25">
      <c r="C439" s="169"/>
    </row>
    <row r="440" spans="3:3" x14ac:dyDescent="0.25">
      <c r="C440" s="169"/>
    </row>
    <row r="441" spans="3:3" x14ac:dyDescent="0.25">
      <c r="C441" s="169"/>
    </row>
    <row r="442" spans="3:3" x14ac:dyDescent="0.25">
      <c r="C442" s="169"/>
    </row>
    <row r="443" spans="3:3" x14ac:dyDescent="0.25">
      <c r="C443" s="169"/>
    </row>
    <row r="444" spans="3:3" x14ac:dyDescent="0.25">
      <c r="C444" s="169"/>
    </row>
    <row r="445" spans="3:3" x14ac:dyDescent="0.25">
      <c r="C445" s="169"/>
    </row>
    <row r="446" spans="3:3" x14ac:dyDescent="0.25">
      <c r="C446" s="169"/>
    </row>
    <row r="447" spans="3:3" x14ac:dyDescent="0.25">
      <c r="C447" s="169"/>
    </row>
    <row r="448" spans="3:3" x14ac:dyDescent="0.25">
      <c r="C448" s="169"/>
    </row>
    <row r="449" spans="3:3" x14ac:dyDescent="0.25">
      <c r="C449" s="169"/>
    </row>
    <row r="450" spans="3:3" x14ac:dyDescent="0.25">
      <c r="C450" s="169"/>
    </row>
    <row r="451" spans="3:3" x14ac:dyDescent="0.25">
      <c r="C451" s="169"/>
    </row>
    <row r="452" spans="3:3" x14ac:dyDescent="0.25">
      <c r="C452" s="16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&amp;L&amp;F&amp;CExtrait NF P 06-001&amp;R&amp;A
&amp;P / 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  <pageSetUpPr fitToPage="1"/>
  </sheetPr>
  <dimension ref="A1:N36"/>
  <sheetViews>
    <sheetView showGridLines="0" view="pageBreakPreview" topLeftCell="A22" zoomScale="106" zoomScaleSheetLayoutView="106" workbookViewId="0">
      <selection activeCell="B36" sqref="B36"/>
    </sheetView>
  </sheetViews>
  <sheetFormatPr baseColWidth="10" defaultColWidth="11.42578125" defaultRowHeight="15" x14ac:dyDescent="0.25"/>
  <cols>
    <col min="1" max="1" width="9.140625" style="150" customWidth="1"/>
    <col min="2" max="2" width="9.85546875" style="150" customWidth="1"/>
    <col min="3" max="12" width="6.85546875" style="150" bestFit="1" customWidth="1"/>
    <col min="13" max="13" width="2.140625" style="150" customWidth="1"/>
    <col min="14" max="14" width="10.85546875" style="150" customWidth="1"/>
    <col min="15" max="15" width="9.42578125" style="150" customWidth="1"/>
    <col min="16" max="16384" width="11.42578125" style="150"/>
  </cols>
  <sheetData>
    <row r="1" spans="1:12" ht="21" customHeight="1" x14ac:dyDescent="0.25">
      <c r="A1" s="1195" t="s">
        <v>376</v>
      </c>
      <c r="B1" s="1195"/>
      <c r="C1" s="1195"/>
      <c r="D1" s="1195"/>
      <c r="E1" s="1195"/>
      <c r="F1" s="1195"/>
      <c r="G1" s="1195"/>
      <c r="H1" s="1195"/>
      <c r="I1" s="1195"/>
      <c r="J1" s="1195"/>
      <c r="K1" s="1195"/>
      <c r="L1" s="1195"/>
    </row>
    <row r="2" spans="1:12" x14ac:dyDescent="0.25">
      <c r="A2" s="1201" t="s">
        <v>375</v>
      </c>
      <c r="B2" s="1196" t="s">
        <v>374</v>
      </c>
      <c r="C2" s="1198" t="s">
        <v>373</v>
      </c>
      <c r="D2" s="1199"/>
      <c r="E2" s="1199"/>
      <c r="F2" s="1199"/>
      <c r="G2" s="1199"/>
      <c r="H2" s="1199"/>
      <c r="I2" s="1199"/>
      <c r="J2" s="1199"/>
      <c r="K2" s="1199"/>
      <c r="L2" s="1200"/>
    </row>
    <row r="3" spans="1:12" x14ac:dyDescent="0.25">
      <c r="A3" s="1202"/>
      <c r="B3" s="1197"/>
      <c r="C3" s="154">
        <v>1</v>
      </c>
      <c r="D3" s="154">
        <v>2</v>
      </c>
      <c r="E3" s="154">
        <v>3</v>
      </c>
      <c r="F3" s="154">
        <v>4</v>
      </c>
      <c r="G3" s="154">
        <v>5</v>
      </c>
      <c r="H3" s="154">
        <v>6</v>
      </c>
      <c r="I3" s="154">
        <v>7</v>
      </c>
      <c r="J3" s="154">
        <v>8</v>
      </c>
      <c r="K3" s="154">
        <v>9</v>
      </c>
      <c r="L3" s="154">
        <v>10</v>
      </c>
    </row>
    <row r="4" spans="1:12" x14ac:dyDescent="0.25">
      <c r="A4" s="161">
        <v>0.154</v>
      </c>
      <c r="B4" s="160" t="s">
        <v>372</v>
      </c>
      <c r="C4" s="167">
        <v>0.19600000000000001</v>
      </c>
      <c r="D4" s="167">
        <v>0.39200000000000002</v>
      </c>
      <c r="E4" s="167">
        <v>0.58799999999999997</v>
      </c>
      <c r="F4" s="167">
        <v>0.78400000000000003</v>
      </c>
      <c r="G4" s="167">
        <v>0.98</v>
      </c>
      <c r="H4" s="167">
        <v>1.1759999999999999</v>
      </c>
      <c r="I4" s="167">
        <v>1.3720000000000001</v>
      </c>
      <c r="J4" s="167">
        <v>1.5680000000000001</v>
      </c>
      <c r="K4" s="167">
        <v>1.764</v>
      </c>
      <c r="L4" s="167">
        <v>1.96</v>
      </c>
    </row>
    <row r="5" spans="1:12" x14ac:dyDescent="0.25">
      <c r="A5" s="161">
        <v>0.222</v>
      </c>
      <c r="B5" s="160" t="s">
        <v>362</v>
      </c>
      <c r="C5" s="167">
        <v>0.28299999999999997</v>
      </c>
      <c r="D5" s="167">
        <v>0.56599999999999995</v>
      </c>
      <c r="E5" s="167">
        <v>0.84899999999999998</v>
      </c>
      <c r="F5" s="167">
        <v>1.1319999999999999</v>
      </c>
      <c r="G5" s="167">
        <v>1.415</v>
      </c>
      <c r="H5" s="167">
        <v>1.698</v>
      </c>
      <c r="I5" s="167">
        <v>1.9810000000000001</v>
      </c>
      <c r="J5" s="167">
        <v>2.2639999999999998</v>
      </c>
      <c r="K5" s="167">
        <v>2.5470000000000002</v>
      </c>
      <c r="L5" s="167">
        <v>2.83</v>
      </c>
    </row>
    <row r="6" spans="1:12" x14ac:dyDescent="0.25">
      <c r="A6" s="161">
        <v>0.39500000000000002</v>
      </c>
      <c r="B6" s="160" t="s">
        <v>361</v>
      </c>
      <c r="C6" s="167">
        <v>0.503</v>
      </c>
      <c r="D6" s="167">
        <v>1.006</v>
      </c>
      <c r="E6" s="167">
        <v>1.5089999999999999</v>
      </c>
      <c r="F6" s="167">
        <v>2.012</v>
      </c>
      <c r="G6" s="167">
        <v>2.5150000000000001</v>
      </c>
      <c r="H6" s="167">
        <v>3.0179999999999998</v>
      </c>
      <c r="I6" s="167">
        <v>3.5209999999999999</v>
      </c>
      <c r="J6" s="167">
        <v>4.024</v>
      </c>
      <c r="K6" s="167">
        <v>4.5270000000000001</v>
      </c>
      <c r="L6" s="167">
        <v>5.03</v>
      </c>
    </row>
    <row r="7" spans="1:12" x14ac:dyDescent="0.25">
      <c r="A7" s="161">
        <v>0.61699999999999999</v>
      </c>
      <c r="B7" s="160" t="s">
        <v>360</v>
      </c>
      <c r="C7" s="167">
        <v>0.78500000000000003</v>
      </c>
      <c r="D7" s="167">
        <v>1.57</v>
      </c>
      <c r="E7" s="167">
        <v>2.355</v>
      </c>
      <c r="F7" s="167">
        <v>3.14</v>
      </c>
      <c r="G7" s="167">
        <v>3.9249999999999998</v>
      </c>
      <c r="H7" s="167">
        <v>4.71</v>
      </c>
      <c r="I7" s="167">
        <v>5.4950000000000001</v>
      </c>
      <c r="J7" s="167">
        <v>6.28</v>
      </c>
      <c r="K7" s="167">
        <v>7.0650000000000004</v>
      </c>
      <c r="L7" s="167">
        <v>7.85</v>
      </c>
    </row>
    <row r="8" spans="1:12" x14ac:dyDescent="0.25">
      <c r="A8" s="161">
        <v>0.88800000000000001</v>
      </c>
      <c r="B8" s="160" t="s">
        <v>359</v>
      </c>
      <c r="C8" s="167">
        <v>1.131</v>
      </c>
      <c r="D8" s="167">
        <v>2.262</v>
      </c>
      <c r="E8" s="167">
        <v>3.3929999999999998</v>
      </c>
      <c r="F8" s="167">
        <v>4.524</v>
      </c>
      <c r="G8" s="167">
        <v>5.6550000000000002</v>
      </c>
      <c r="H8" s="167">
        <v>6.7859999999999996</v>
      </c>
      <c r="I8" s="167">
        <v>7.9169999999999998</v>
      </c>
      <c r="J8" s="167">
        <v>9.048</v>
      </c>
      <c r="K8" s="167">
        <v>10.179</v>
      </c>
      <c r="L8" s="167">
        <v>11.31</v>
      </c>
    </row>
    <row r="9" spans="1:12" x14ac:dyDescent="0.25">
      <c r="A9" s="161">
        <v>1.208</v>
      </c>
      <c r="B9" s="160" t="s">
        <v>369</v>
      </c>
      <c r="C9" s="167">
        <v>1.5389999999999999</v>
      </c>
      <c r="D9" s="167">
        <v>3.0779999999999998</v>
      </c>
      <c r="E9" s="167">
        <v>4.617</v>
      </c>
      <c r="F9" s="167">
        <v>6.1559999999999997</v>
      </c>
      <c r="G9" s="167">
        <v>7.6950000000000003</v>
      </c>
      <c r="H9" s="167">
        <v>9.234</v>
      </c>
      <c r="I9" s="167">
        <v>10.773</v>
      </c>
      <c r="J9" s="167">
        <v>12.311999999999999</v>
      </c>
      <c r="K9" s="167">
        <v>13.851000000000001</v>
      </c>
      <c r="L9" s="167">
        <v>15.39</v>
      </c>
    </row>
    <row r="10" spans="1:12" x14ac:dyDescent="0.25">
      <c r="A10" s="161">
        <v>1.5780000000000001</v>
      </c>
      <c r="B10" s="160" t="s">
        <v>368</v>
      </c>
      <c r="C10" s="167">
        <v>2.0110000000000001</v>
      </c>
      <c r="D10" s="167">
        <v>4.0220000000000002</v>
      </c>
      <c r="E10" s="167">
        <v>6.0330000000000004</v>
      </c>
      <c r="F10" s="167">
        <v>8.0440000000000005</v>
      </c>
      <c r="G10" s="167">
        <v>10.055</v>
      </c>
      <c r="H10" s="167">
        <v>12.066000000000001</v>
      </c>
      <c r="I10" s="167">
        <v>14.077</v>
      </c>
      <c r="J10" s="167">
        <v>16.088000000000001</v>
      </c>
      <c r="K10" s="167">
        <v>18.099</v>
      </c>
      <c r="L10" s="167">
        <v>20.11</v>
      </c>
    </row>
    <row r="11" spans="1:12" x14ac:dyDescent="0.25">
      <c r="A11" s="161">
        <v>2.4660000000000002</v>
      </c>
      <c r="B11" s="160" t="s">
        <v>367</v>
      </c>
      <c r="C11" s="167">
        <v>3.1419999999999999</v>
      </c>
      <c r="D11" s="167">
        <v>6.2839999999999998</v>
      </c>
      <c r="E11" s="167">
        <v>9.4260000000000002</v>
      </c>
      <c r="F11" s="167">
        <v>12.568</v>
      </c>
      <c r="G11" s="167">
        <v>15.71</v>
      </c>
      <c r="H11" s="167">
        <v>18.852</v>
      </c>
      <c r="I11" s="167">
        <v>21.994</v>
      </c>
      <c r="J11" s="167">
        <v>25.135999999999999</v>
      </c>
      <c r="K11" s="167">
        <v>28.277999999999999</v>
      </c>
      <c r="L11" s="167">
        <v>31.42</v>
      </c>
    </row>
    <row r="12" spans="1:12" x14ac:dyDescent="0.25">
      <c r="A12" s="161">
        <v>3.8530000000000002</v>
      </c>
      <c r="B12" s="160" t="s">
        <v>366</v>
      </c>
      <c r="C12" s="167">
        <v>4.9089999999999998</v>
      </c>
      <c r="D12" s="167">
        <v>9.8179999999999996</v>
      </c>
      <c r="E12" s="167">
        <v>14.727</v>
      </c>
      <c r="F12" s="167">
        <v>19.635999999999999</v>
      </c>
      <c r="G12" s="167">
        <v>24.545000000000002</v>
      </c>
      <c r="H12" s="167">
        <v>29.454000000000001</v>
      </c>
      <c r="I12" s="167">
        <v>34.363</v>
      </c>
      <c r="J12" s="167">
        <v>39.271999999999998</v>
      </c>
      <c r="K12" s="167">
        <v>44.180999999999997</v>
      </c>
      <c r="L12" s="167">
        <v>49.09</v>
      </c>
    </row>
    <row r="13" spans="1:12" x14ac:dyDescent="0.25">
      <c r="A13" s="161">
        <v>6.3129999999999997</v>
      </c>
      <c r="B13" s="160" t="s">
        <v>365</v>
      </c>
      <c r="C13" s="167">
        <v>8.0419999999999998</v>
      </c>
      <c r="D13" s="167">
        <v>16.084</v>
      </c>
      <c r="E13" s="167">
        <v>24.126000000000001</v>
      </c>
      <c r="F13" s="167">
        <v>32.167999999999999</v>
      </c>
      <c r="G13" s="167">
        <v>40.21</v>
      </c>
      <c r="H13" s="167">
        <v>48.252000000000002</v>
      </c>
      <c r="I13" s="167">
        <v>56.293999999999997</v>
      </c>
      <c r="J13" s="167">
        <v>64.335999999999999</v>
      </c>
      <c r="K13" s="167">
        <v>72.378</v>
      </c>
      <c r="L13" s="167">
        <v>80.42</v>
      </c>
    </row>
    <row r="14" spans="1:12" x14ac:dyDescent="0.25">
      <c r="A14" s="158">
        <v>9.8650000000000002</v>
      </c>
      <c r="B14" s="157" t="s">
        <v>364</v>
      </c>
      <c r="C14" s="166">
        <v>12.566000000000001</v>
      </c>
      <c r="D14" s="166">
        <v>25.132000000000001</v>
      </c>
      <c r="E14" s="166">
        <v>37.698</v>
      </c>
      <c r="F14" s="166">
        <v>50.264000000000003</v>
      </c>
      <c r="G14" s="166">
        <v>62.83</v>
      </c>
      <c r="H14" s="166">
        <v>75.396000000000001</v>
      </c>
      <c r="I14" s="166">
        <v>87.962000000000003</v>
      </c>
      <c r="J14" s="166">
        <v>100.52800000000001</v>
      </c>
      <c r="K14" s="166">
        <v>113.09399999999999</v>
      </c>
      <c r="L14" s="166">
        <v>125.66</v>
      </c>
    </row>
    <row r="15" spans="1:12" x14ac:dyDescent="0.25">
      <c r="A15" s="165"/>
      <c r="B15" s="164"/>
      <c r="C15" s="163"/>
      <c r="D15" s="163"/>
      <c r="E15" s="163"/>
      <c r="F15" s="163"/>
      <c r="G15" s="163"/>
      <c r="H15" s="163"/>
      <c r="I15" s="163"/>
      <c r="J15" s="163"/>
      <c r="K15" s="163"/>
      <c r="L15" s="163"/>
    </row>
    <row r="16" spans="1:12" x14ac:dyDescent="0.25">
      <c r="A16" s="165"/>
      <c r="B16" s="164"/>
      <c r="C16" s="163"/>
      <c r="D16" s="163"/>
      <c r="E16" s="163"/>
      <c r="F16" s="163"/>
      <c r="G16" s="163"/>
      <c r="H16" s="163"/>
      <c r="I16" s="163"/>
      <c r="J16" s="163"/>
      <c r="K16" s="163"/>
      <c r="L16" s="163"/>
    </row>
    <row r="18" spans="1:14" x14ac:dyDescent="0.25">
      <c r="A18" s="1201" t="s">
        <v>375</v>
      </c>
      <c r="B18" s="1196" t="s">
        <v>374</v>
      </c>
      <c r="C18" s="1198" t="s">
        <v>373</v>
      </c>
      <c r="D18" s="1199"/>
      <c r="E18" s="1199"/>
      <c r="F18" s="1199"/>
      <c r="G18" s="1199"/>
      <c r="H18" s="1199"/>
      <c r="I18" s="1199"/>
      <c r="J18" s="1199"/>
      <c r="K18" s="1199"/>
      <c r="L18" s="1200"/>
    </row>
    <row r="19" spans="1:14" x14ac:dyDescent="0.25">
      <c r="A19" s="1202"/>
      <c r="B19" s="1197"/>
      <c r="C19" s="154">
        <v>11</v>
      </c>
      <c r="D19" s="154">
        <v>12</v>
      </c>
      <c r="E19" s="154">
        <v>13</v>
      </c>
      <c r="F19" s="154">
        <v>14</v>
      </c>
      <c r="G19" s="154">
        <v>15</v>
      </c>
      <c r="H19" s="154">
        <v>16</v>
      </c>
      <c r="I19" s="154">
        <v>17</v>
      </c>
      <c r="J19" s="154">
        <v>18</v>
      </c>
      <c r="K19" s="154">
        <v>19</v>
      </c>
      <c r="L19" s="154">
        <v>20</v>
      </c>
    </row>
    <row r="20" spans="1:14" x14ac:dyDescent="0.25">
      <c r="A20" s="161">
        <v>0.154</v>
      </c>
      <c r="B20" s="160" t="s">
        <v>372</v>
      </c>
      <c r="C20" s="159">
        <f t="shared" ref="C20:C30" si="0">L4+C4</f>
        <v>2.1560000000000001</v>
      </c>
      <c r="D20" s="159">
        <f t="shared" ref="D20:D30" si="1">L4+D4</f>
        <v>2.3519999999999999</v>
      </c>
      <c r="E20" s="159">
        <f t="shared" ref="E20:E30" si="2">L4+E4</f>
        <v>2.548</v>
      </c>
      <c r="F20" s="159">
        <f t="shared" ref="F20:F30" si="3">L4+F4</f>
        <v>2.7439999999999998</v>
      </c>
      <c r="G20" s="159">
        <f t="shared" ref="G20:G30" si="4">L4+G4</f>
        <v>2.94</v>
      </c>
      <c r="H20" s="159">
        <f t="shared" ref="H20:H30" si="5">L4+H4</f>
        <v>3.1360000000000001</v>
      </c>
      <c r="I20" s="159">
        <f t="shared" ref="I20:I30" si="6">L4+I4</f>
        <v>3.3319999999999999</v>
      </c>
      <c r="J20" s="159">
        <f t="shared" ref="J20:J30" si="7">L4+J4</f>
        <v>3.528</v>
      </c>
      <c r="K20" s="159">
        <f t="shared" ref="K20:K30" si="8">L4+K4</f>
        <v>3.7240000000000002</v>
      </c>
      <c r="L20" s="159">
        <f t="shared" ref="L20:L30" si="9">L4+L4</f>
        <v>3.92</v>
      </c>
      <c r="M20" s="162"/>
      <c r="N20" s="162"/>
    </row>
    <row r="21" spans="1:14" x14ac:dyDescent="0.25">
      <c r="A21" s="161">
        <v>0.222</v>
      </c>
      <c r="B21" s="160" t="s">
        <v>362</v>
      </c>
      <c r="C21" s="159">
        <f t="shared" si="0"/>
        <v>3.113</v>
      </c>
      <c r="D21" s="159">
        <f t="shared" si="1"/>
        <v>3.3959999999999999</v>
      </c>
      <c r="E21" s="159">
        <f t="shared" si="2"/>
        <v>3.6790000000000003</v>
      </c>
      <c r="F21" s="159">
        <f t="shared" si="3"/>
        <v>3.9619999999999997</v>
      </c>
      <c r="G21" s="159">
        <f t="shared" si="4"/>
        <v>4.2450000000000001</v>
      </c>
      <c r="H21" s="159">
        <f t="shared" si="5"/>
        <v>4.5280000000000005</v>
      </c>
      <c r="I21" s="159">
        <f t="shared" si="6"/>
        <v>4.8109999999999999</v>
      </c>
      <c r="J21" s="159">
        <f t="shared" si="7"/>
        <v>5.0939999999999994</v>
      </c>
      <c r="K21" s="159">
        <f t="shared" si="8"/>
        <v>5.3770000000000007</v>
      </c>
      <c r="L21" s="159">
        <f t="shared" si="9"/>
        <v>5.66</v>
      </c>
      <c r="M21" s="162"/>
      <c r="N21" s="162"/>
    </row>
    <row r="22" spans="1:14" x14ac:dyDescent="0.25">
      <c r="A22" s="161">
        <v>0.39500000000000002</v>
      </c>
      <c r="B22" s="160" t="s">
        <v>361</v>
      </c>
      <c r="C22" s="159">
        <f t="shared" si="0"/>
        <v>5.5330000000000004</v>
      </c>
      <c r="D22" s="159">
        <f t="shared" si="1"/>
        <v>6.0360000000000005</v>
      </c>
      <c r="E22" s="159">
        <f t="shared" si="2"/>
        <v>6.5389999999999997</v>
      </c>
      <c r="F22" s="159">
        <f t="shared" si="3"/>
        <v>7.0419999999999998</v>
      </c>
      <c r="G22" s="159">
        <f t="shared" si="4"/>
        <v>7.5449999999999999</v>
      </c>
      <c r="H22" s="159">
        <f t="shared" si="5"/>
        <v>8.048</v>
      </c>
      <c r="I22" s="159">
        <f t="shared" si="6"/>
        <v>8.5510000000000002</v>
      </c>
      <c r="J22" s="159">
        <f t="shared" si="7"/>
        <v>9.0540000000000003</v>
      </c>
      <c r="K22" s="159">
        <f t="shared" si="8"/>
        <v>9.5570000000000004</v>
      </c>
      <c r="L22" s="159">
        <f t="shared" si="9"/>
        <v>10.06</v>
      </c>
    </row>
    <row r="23" spans="1:14" x14ac:dyDescent="0.25">
      <c r="A23" s="161">
        <v>0.61699999999999999</v>
      </c>
      <c r="B23" s="160" t="s">
        <v>360</v>
      </c>
      <c r="C23" s="159">
        <f t="shared" si="0"/>
        <v>8.6349999999999998</v>
      </c>
      <c r="D23" s="159">
        <f t="shared" si="1"/>
        <v>9.42</v>
      </c>
      <c r="E23" s="159">
        <f t="shared" si="2"/>
        <v>10.205</v>
      </c>
      <c r="F23" s="159">
        <f t="shared" si="3"/>
        <v>10.99</v>
      </c>
      <c r="G23" s="159">
        <f t="shared" si="4"/>
        <v>11.774999999999999</v>
      </c>
      <c r="H23" s="159">
        <f t="shared" si="5"/>
        <v>12.559999999999999</v>
      </c>
      <c r="I23" s="159">
        <f t="shared" si="6"/>
        <v>13.344999999999999</v>
      </c>
      <c r="J23" s="159">
        <f t="shared" si="7"/>
        <v>14.129999999999999</v>
      </c>
      <c r="K23" s="159">
        <f t="shared" si="8"/>
        <v>14.914999999999999</v>
      </c>
      <c r="L23" s="159">
        <f t="shared" si="9"/>
        <v>15.7</v>
      </c>
    </row>
    <row r="24" spans="1:14" x14ac:dyDescent="0.25">
      <c r="A24" s="161">
        <v>0.88800000000000001</v>
      </c>
      <c r="B24" s="160" t="s">
        <v>359</v>
      </c>
      <c r="C24" s="159">
        <f t="shared" si="0"/>
        <v>12.441000000000001</v>
      </c>
      <c r="D24" s="159">
        <f t="shared" si="1"/>
        <v>13.572000000000001</v>
      </c>
      <c r="E24" s="159">
        <f t="shared" si="2"/>
        <v>14.702999999999999</v>
      </c>
      <c r="F24" s="159">
        <f t="shared" si="3"/>
        <v>15.834</v>
      </c>
      <c r="G24" s="159">
        <f t="shared" si="4"/>
        <v>16.965</v>
      </c>
      <c r="H24" s="159">
        <f t="shared" si="5"/>
        <v>18.096</v>
      </c>
      <c r="I24" s="159">
        <f t="shared" si="6"/>
        <v>19.227</v>
      </c>
      <c r="J24" s="159">
        <f t="shared" si="7"/>
        <v>20.358000000000001</v>
      </c>
      <c r="K24" s="159">
        <f t="shared" si="8"/>
        <v>21.489000000000001</v>
      </c>
      <c r="L24" s="159">
        <f t="shared" si="9"/>
        <v>22.62</v>
      </c>
    </row>
    <row r="25" spans="1:14" x14ac:dyDescent="0.25">
      <c r="A25" s="161">
        <v>1.208</v>
      </c>
      <c r="B25" s="160" t="s">
        <v>369</v>
      </c>
      <c r="C25" s="159">
        <f t="shared" si="0"/>
        <v>16.929000000000002</v>
      </c>
      <c r="D25" s="159">
        <f t="shared" si="1"/>
        <v>18.468</v>
      </c>
      <c r="E25" s="159">
        <f t="shared" si="2"/>
        <v>20.007000000000001</v>
      </c>
      <c r="F25" s="159">
        <f t="shared" si="3"/>
        <v>21.545999999999999</v>
      </c>
      <c r="G25" s="159">
        <f t="shared" si="4"/>
        <v>23.085000000000001</v>
      </c>
      <c r="H25" s="159">
        <f t="shared" si="5"/>
        <v>24.624000000000002</v>
      </c>
      <c r="I25" s="159">
        <f t="shared" si="6"/>
        <v>26.163</v>
      </c>
      <c r="J25" s="159">
        <f t="shared" si="7"/>
        <v>27.701999999999998</v>
      </c>
      <c r="K25" s="159">
        <f t="shared" si="8"/>
        <v>29.241</v>
      </c>
      <c r="L25" s="159">
        <f t="shared" si="9"/>
        <v>30.78</v>
      </c>
    </row>
    <row r="26" spans="1:14" x14ac:dyDescent="0.25">
      <c r="A26" s="161">
        <v>1.5780000000000001</v>
      </c>
      <c r="B26" s="160" t="s">
        <v>368</v>
      </c>
      <c r="C26" s="159">
        <f t="shared" si="0"/>
        <v>22.120999999999999</v>
      </c>
      <c r="D26" s="159">
        <f t="shared" si="1"/>
        <v>24.131999999999998</v>
      </c>
      <c r="E26" s="159">
        <f t="shared" si="2"/>
        <v>26.143000000000001</v>
      </c>
      <c r="F26" s="159">
        <f t="shared" si="3"/>
        <v>28.154</v>
      </c>
      <c r="G26" s="159">
        <f t="shared" si="4"/>
        <v>30.164999999999999</v>
      </c>
      <c r="H26" s="159">
        <f t="shared" si="5"/>
        <v>32.176000000000002</v>
      </c>
      <c r="I26" s="159">
        <f t="shared" si="6"/>
        <v>34.186999999999998</v>
      </c>
      <c r="J26" s="159">
        <f t="shared" si="7"/>
        <v>36.198</v>
      </c>
      <c r="K26" s="159">
        <f t="shared" si="8"/>
        <v>38.209000000000003</v>
      </c>
      <c r="L26" s="159">
        <f t="shared" si="9"/>
        <v>40.22</v>
      </c>
    </row>
    <row r="27" spans="1:14" x14ac:dyDescent="0.25">
      <c r="A27" s="161">
        <v>2.4660000000000002</v>
      </c>
      <c r="B27" s="160" t="s">
        <v>367</v>
      </c>
      <c r="C27" s="159">
        <f t="shared" si="0"/>
        <v>34.562000000000005</v>
      </c>
      <c r="D27" s="159">
        <f t="shared" si="1"/>
        <v>37.704000000000001</v>
      </c>
      <c r="E27" s="159">
        <f t="shared" si="2"/>
        <v>40.846000000000004</v>
      </c>
      <c r="F27" s="159">
        <f t="shared" si="3"/>
        <v>43.988</v>
      </c>
      <c r="G27" s="159">
        <f t="shared" si="4"/>
        <v>47.13</v>
      </c>
      <c r="H27" s="159">
        <f t="shared" si="5"/>
        <v>50.272000000000006</v>
      </c>
      <c r="I27" s="159">
        <f t="shared" si="6"/>
        <v>53.414000000000001</v>
      </c>
      <c r="J27" s="159">
        <f t="shared" si="7"/>
        <v>56.555999999999997</v>
      </c>
      <c r="K27" s="159">
        <f t="shared" si="8"/>
        <v>59.698</v>
      </c>
      <c r="L27" s="159">
        <f t="shared" si="9"/>
        <v>62.84</v>
      </c>
    </row>
    <row r="28" spans="1:14" x14ac:dyDescent="0.25">
      <c r="A28" s="161">
        <v>3.8530000000000002</v>
      </c>
      <c r="B28" s="160" t="s">
        <v>366</v>
      </c>
      <c r="C28" s="159">
        <f t="shared" si="0"/>
        <v>53.999000000000002</v>
      </c>
      <c r="D28" s="159">
        <f t="shared" si="1"/>
        <v>58.908000000000001</v>
      </c>
      <c r="E28" s="159">
        <f t="shared" si="2"/>
        <v>63.817000000000007</v>
      </c>
      <c r="F28" s="159">
        <f t="shared" si="3"/>
        <v>68.725999999999999</v>
      </c>
      <c r="G28" s="159">
        <f t="shared" si="4"/>
        <v>73.635000000000005</v>
      </c>
      <c r="H28" s="159">
        <f t="shared" si="5"/>
        <v>78.544000000000011</v>
      </c>
      <c r="I28" s="159">
        <f t="shared" si="6"/>
        <v>83.453000000000003</v>
      </c>
      <c r="J28" s="159">
        <f t="shared" si="7"/>
        <v>88.361999999999995</v>
      </c>
      <c r="K28" s="159">
        <f t="shared" si="8"/>
        <v>93.271000000000001</v>
      </c>
      <c r="L28" s="159">
        <f t="shared" si="9"/>
        <v>98.18</v>
      </c>
    </row>
    <row r="29" spans="1:14" x14ac:dyDescent="0.25">
      <c r="A29" s="161">
        <v>6.3129999999999997</v>
      </c>
      <c r="B29" s="160" t="s">
        <v>365</v>
      </c>
      <c r="C29" s="159">
        <f t="shared" si="0"/>
        <v>88.462000000000003</v>
      </c>
      <c r="D29" s="159">
        <f t="shared" si="1"/>
        <v>96.504000000000005</v>
      </c>
      <c r="E29" s="159">
        <f t="shared" si="2"/>
        <v>104.54600000000001</v>
      </c>
      <c r="F29" s="159">
        <f t="shared" si="3"/>
        <v>112.58799999999999</v>
      </c>
      <c r="G29" s="159">
        <f t="shared" si="4"/>
        <v>120.63</v>
      </c>
      <c r="H29" s="159">
        <f t="shared" si="5"/>
        <v>128.672</v>
      </c>
      <c r="I29" s="159">
        <f t="shared" si="6"/>
        <v>136.714</v>
      </c>
      <c r="J29" s="159">
        <f t="shared" si="7"/>
        <v>144.756</v>
      </c>
      <c r="K29" s="159">
        <f t="shared" si="8"/>
        <v>152.798</v>
      </c>
      <c r="L29" s="159">
        <f t="shared" si="9"/>
        <v>160.84</v>
      </c>
    </row>
    <row r="30" spans="1:14" x14ac:dyDescent="0.25">
      <c r="A30" s="158">
        <v>9.8650000000000002</v>
      </c>
      <c r="B30" s="157" t="s">
        <v>364</v>
      </c>
      <c r="C30" s="156">
        <f t="shared" si="0"/>
        <v>138.226</v>
      </c>
      <c r="D30" s="156">
        <f t="shared" si="1"/>
        <v>150.792</v>
      </c>
      <c r="E30" s="156">
        <f t="shared" si="2"/>
        <v>163.358</v>
      </c>
      <c r="F30" s="156">
        <f t="shared" si="3"/>
        <v>175.92400000000001</v>
      </c>
      <c r="G30" s="156">
        <f t="shared" si="4"/>
        <v>188.49</v>
      </c>
      <c r="H30" s="156">
        <f t="shared" si="5"/>
        <v>201.05599999999998</v>
      </c>
      <c r="I30" s="156">
        <f t="shared" si="6"/>
        <v>213.62200000000001</v>
      </c>
      <c r="J30" s="156">
        <f t="shared" si="7"/>
        <v>226.18799999999999</v>
      </c>
      <c r="K30" s="156">
        <f t="shared" si="8"/>
        <v>238.75399999999999</v>
      </c>
      <c r="L30" s="156">
        <f t="shared" si="9"/>
        <v>251.32</v>
      </c>
    </row>
    <row r="33" spans="1:12" ht="21" customHeight="1" x14ac:dyDescent="0.25">
      <c r="A33" s="1203" t="s">
        <v>371</v>
      </c>
      <c r="B33" s="1203"/>
      <c r="C33" s="1203"/>
      <c r="D33" s="1203"/>
      <c r="E33" s="1203"/>
      <c r="F33" s="1203"/>
      <c r="G33" s="1203"/>
      <c r="H33" s="1203"/>
      <c r="I33" s="1203"/>
      <c r="J33" s="1203"/>
      <c r="K33" s="1203"/>
      <c r="L33" s="1203"/>
    </row>
    <row r="34" spans="1:12" ht="48" x14ac:dyDescent="0.25">
      <c r="A34" s="155" t="s">
        <v>370</v>
      </c>
      <c r="B34" s="154" t="s">
        <v>362</v>
      </c>
      <c r="C34" s="154" t="s">
        <v>361</v>
      </c>
      <c r="D34" s="154" t="s">
        <v>360</v>
      </c>
      <c r="E34" s="154" t="s">
        <v>359</v>
      </c>
      <c r="F34" s="154" t="s">
        <v>369</v>
      </c>
      <c r="G34" s="154" t="s">
        <v>368</v>
      </c>
      <c r="H34" s="154" t="s">
        <v>367</v>
      </c>
      <c r="I34" s="154" t="s">
        <v>366</v>
      </c>
      <c r="J34" s="154" t="s">
        <v>365</v>
      </c>
      <c r="K34" s="154" t="s">
        <v>364</v>
      </c>
      <c r="L34" s="151"/>
    </row>
    <row r="35" spans="1:12" ht="48" x14ac:dyDescent="0.25">
      <c r="A35" s="153" t="s">
        <v>363</v>
      </c>
      <c r="B35" s="1204" t="s">
        <v>362</v>
      </c>
      <c r="C35" s="1204"/>
      <c r="D35" s="1204"/>
      <c r="E35" s="1204" t="s">
        <v>361</v>
      </c>
      <c r="F35" s="1204"/>
      <c r="G35" s="1204"/>
      <c r="H35" s="1204" t="s">
        <v>360</v>
      </c>
      <c r="I35" s="1204"/>
      <c r="J35" s="1204" t="s">
        <v>359</v>
      </c>
      <c r="K35" s="1204"/>
      <c r="L35" s="151"/>
    </row>
    <row r="36" spans="1:12" x14ac:dyDescent="0.25">
      <c r="B36" s="152"/>
      <c r="L36" s="151"/>
    </row>
  </sheetData>
  <sheetProtection password="EE7E" sheet="1" objects="1" scenarios="1"/>
  <mergeCells count="12">
    <mergeCell ref="A33:L33"/>
    <mergeCell ref="B35:D35"/>
    <mergeCell ref="E35:G35"/>
    <mergeCell ref="H35:I35"/>
    <mergeCell ref="J35:K35"/>
    <mergeCell ref="A1:L1"/>
    <mergeCell ref="B18:B19"/>
    <mergeCell ref="C18:L18"/>
    <mergeCell ref="A18:A19"/>
    <mergeCell ref="C2:L2"/>
    <mergeCell ref="B2:B3"/>
    <mergeCell ref="A2:A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0.79998168889431442"/>
  </sheetPr>
  <dimension ref="A1:AM40"/>
  <sheetViews>
    <sheetView showGridLines="0" view="pageBreakPreview" zoomScale="78" zoomScaleNormal="90" zoomScaleSheetLayoutView="78" workbookViewId="0">
      <selection activeCell="N13" sqref="N13"/>
    </sheetView>
  </sheetViews>
  <sheetFormatPr baseColWidth="10" defaultColWidth="11.42578125" defaultRowHeight="15" x14ac:dyDescent="0.25"/>
  <cols>
    <col min="1" max="4" width="5.28515625" style="131" bestFit="1" customWidth="1"/>
    <col min="5" max="5" width="1.140625" style="131" customWidth="1"/>
    <col min="6" max="9" width="6.28515625" style="131" bestFit="1" customWidth="1"/>
    <col min="10" max="10" width="1.140625" style="131" customWidth="1"/>
    <col min="11" max="14" width="6.28515625" style="131" bestFit="1" customWidth="1"/>
    <col min="15" max="15" width="1.140625" style="131" customWidth="1"/>
    <col min="16" max="19" width="6.28515625" style="131" bestFit="1" customWidth="1"/>
    <col min="20" max="20" width="1.140625" style="131" customWidth="1"/>
    <col min="21" max="24" width="6.28515625" style="131" bestFit="1" customWidth="1"/>
    <col min="25" max="25" width="1.140625" style="131" customWidth="1"/>
    <col min="26" max="29" width="6.28515625" style="131" bestFit="1" customWidth="1"/>
    <col min="30" max="30" width="1.140625" style="131" customWidth="1"/>
    <col min="31" max="31" width="6.85546875" style="131" bestFit="1" customWidth="1"/>
    <col min="32" max="32" width="6.7109375" style="131" bestFit="1" customWidth="1"/>
    <col min="33" max="34" width="6.5703125" style="131" bestFit="1" customWidth="1"/>
    <col min="35" max="35" width="1.140625" style="131" customWidth="1"/>
    <col min="36" max="39" width="6.28515625" style="131" bestFit="1" customWidth="1"/>
    <col min="40" max="16384" width="11.42578125" style="131"/>
  </cols>
  <sheetData>
    <row r="1" spans="1:39" ht="21" customHeight="1" x14ac:dyDescent="0.25">
      <c r="A1" s="1195" t="s">
        <v>358</v>
      </c>
      <c r="B1" s="1195"/>
      <c r="C1" s="1195"/>
      <c r="D1" s="1195"/>
      <c r="E1" s="1195"/>
      <c r="F1" s="1195"/>
      <c r="G1" s="1195"/>
      <c r="H1" s="1195"/>
      <c r="I1" s="1195"/>
      <c r="J1" s="1195"/>
      <c r="K1" s="1195"/>
      <c r="L1" s="1195"/>
      <c r="M1" s="1195"/>
      <c r="N1" s="1195"/>
      <c r="O1" s="1195"/>
      <c r="P1" s="1195"/>
      <c r="Q1" s="1195"/>
      <c r="R1" s="1195"/>
      <c r="S1" s="1195"/>
      <c r="T1" s="1195"/>
      <c r="U1" s="1195"/>
      <c r="V1" s="1195"/>
      <c r="W1" s="1195"/>
      <c r="X1" s="1195"/>
      <c r="Y1" s="1195"/>
      <c r="Z1" s="1195"/>
      <c r="AA1" s="1195"/>
      <c r="AB1" s="1195"/>
      <c r="AC1" s="1195"/>
      <c r="AD1" s="1195"/>
      <c r="AE1" s="1195"/>
      <c r="AF1" s="1195"/>
      <c r="AG1" s="1195"/>
      <c r="AH1" s="1195"/>
      <c r="AI1" s="1195"/>
      <c r="AJ1" s="1195"/>
      <c r="AK1" s="1195"/>
      <c r="AL1" s="1195"/>
      <c r="AM1" s="1195"/>
    </row>
    <row r="2" spans="1:39" x14ac:dyDescent="0.25">
      <c r="A2" s="149" t="s">
        <v>357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F2" s="147"/>
      <c r="AG2" s="147"/>
      <c r="AH2" s="147"/>
      <c r="AI2" s="147"/>
      <c r="AJ2" s="147"/>
      <c r="AK2" s="147"/>
      <c r="AL2" s="147"/>
      <c r="AM2" s="147" t="s">
        <v>356</v>
      </c>
    </row>
    <row r="3" spans="1:39" x14ac:dyDescent="0.25">
      <c r="A3" s="142">
        <v>1.51</v>
      </c>
      <c r="B3" s="138" t="s">
        <v>355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6"/>
      <c r="AF3" s="146"/>
      <c r="AG3" s="146"/>
      <c r="AH3" s="146"/>
      <c r="AI3" s="146"/>
      <c r="AJ3" s="146"/>
      <c r="AK3" s="146"/>
      <c r="AL3" s="146"/>
      <c r="AM3" s="145"/>
    </row>
    <row r="4" spans="1:39" x14ac:dyDescent="0.25">
      <c r="A4" s="142">
        <v>2.0099999999999998</v>
      </c>
      <c r="B4" s="140">
        <v>2.5099999999999998</v>
      </c>
      <c r="C4" s="138" t="s">
        <v>354</v>
      </c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6"/>
      <c r="AF4" s="146"/>
      <c r="AG4" s="146"/>
      <c r="AH4" s="146"/>
      <c r="AI4" s="146"/>
      <c r="AJ4" s="146"/>
      <c r="AK4" s="146"/>
      <c r="AL4" s="146"/>
      <c r="AM4" s="145"/>
    </row>
    <row r="5" spans="1:39" x14ac:dyDescent="0.25">
      <c r="A5" s="142">
        <v>2.5099999999999998</v>
      </c>
      <c r="B5" s="140">
        <v>3.02</v>
      </c>
      <c r="C5" s="140">
        <v>3.52</v>
      </c>
      <c r="D5" s="138" t="s">
        <v>353</v>
      </c>
      <c r="E5" s="140"/>
      <c r="F5" s="139"/>
      <c r="G5" s="139"/>
      <c r="H5" s="139"/>
      <c r="I5" s="139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6"/>
      <c r="AF5" s="146"/>
      <c r="AG5" s="146"/>
      <c r="AH5" s="146"/>
      <c r="AI5" s="146"/>
      <c r="AJ5" s="146"/>
      <c r="AK5" s="146"/>
      <c r="AL5" s="146"/>
      <c r="AM5" s="145"/>
    </row>
    <row r="6" spans="1:39" ht="5.25" customHeight="1" x14ac:dyDescent="0.25">
      <c r="A6" s="142"/>
      <c r="B6" s="140"/>
      <c r="C6" s="140"/>
      <c r="D6" s="140"/>
      <c r="E6" s="140"/>
      <c r="F6" s="139"/>
      <c r="G6" s="139"/>
      <c r="H6" s="139"/>
      <c r="I6" s="139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6"/>
      <c r="AF6" s="146"/>
      <c r="AG6" s="146"/>
      <c r="AH6" s="146"/>
      <c r="AI6" s="146"/>
      <c r="AJ6" s="146"/>
      <c r="AK6" s="146"/>
      <c r="AL6" s="146"/>
      <c r="AM6" s="145"/>
    </row>
    <row r="7" spans="1:39" x14ac:dyDescent="0.25">
      <c r="A7" s="142">
        <v>1.29</v>
      </c>
      <c r="B7" s="140">
        <v>1.79</v>
      </c>
      <c r="C7" s="140">
        <v>2.29</v>
      </c>
      <c r="D7" s="140">
        <v>2.8</v>
      </c>
      <c r="E7" s="140"/>
      <c r="F7" s="138" t="s">
        <v>352</v>
      </c>
      <c r="G7" s="139"/>
      <c r="H7" s="139"/>
      <c r="I7" s="139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6"/>
      <c r="AF7" s="146"/>
      <c r="AG7" s="146"/>
      <c r="AH7" s="146"/>
      <c r="AI7" s="146"/>
      <c r="AJ7" s="146"/>
      <c r="AK7" s="146"/>
      <c r="AL7" s="146"/>
      <c r="AM7" s="145"/>
    </row>
    <row r="8" spans="1:39" x14ac:dyDescent="0.25">
      <c r="A8" s="142">
        <v>2.0699999999999998</v>
      </c>
      <c r="B8" s="140">
        <v>2.58</v>
      </c>
      <c r="C8" s="140">
        <v>3.08</v>
      </c>
      <c r="D8" s="140">
        <v>3.58</v>
      </c>
      <c r="E8" s="140"/>
      <c r="F8" s="139">
        <v>2.36</v>
      </c>
      <c r="G8" s="138" t="s">
        <v>351</v>
      </c>
      <c r="H8" s="139"/>
      <c r="I8" s="139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6"/>
      <c r="AF8" s="146"/>
      <c r="AG8" s="146"/>
      <c r="AH8" s="146"/>
      <c r="AI8" s="146"/>
      <c r="AJ8" s="146"/>
      <c r="AK8" s="146"/>
      <c r="AL8" s="146"/>
      <c r="AM8" s="145"/>
    </row>
    <row r="9" spans="1:39" x14ac:dyDescent="0.25">
      <c r="A9" s="142">
        <v>2.86</v>
      </c>
      <c r="B9" s="140">
        <v>3.36</v>
      </c>
      <c r="C9" s="140">
        <v>3.86</v>
      </c>
      <c r="D9" s="140">
        <v>4.37</v>
      </c>
      <c r="E9" s="140"/>
      <c r="F9" s="139">
        <v>3.14</v>
      </c>
      <c r="G9" s="139">
        <v>3.93</v>
      </c>
      <c r="H9" s="138" t="s">
        <v>350</v>
      </c>
      <c r="I9" s="139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3"/>
    </row>
    <row r="10" spans="1:39" x14ac:dyDescent="0.25">
      <c r="A10" s="142">
        <v>3.64</v>
      </c>
      <c r="B10" s="140">
        <v>4.1500000000000004</v>
      </c>
      <c r="C10" s="140">
        <v>4.6500000000000004</v>
      </c>
      <c r="D10" s="140">
        <v>5.15</v>
      </c>
      <c r="E10" s="140"/>
      <c r="F10" s="139">
        <v>3.93</v>
      </c>
      <c r="G10" s="139">
        <v>4.71</v>
      </c>
      <c r="H10" s="139">
        <v>5.5</v>
      </c>
      <c r="I10" s="138" t="s">
        <v>349</v>
      </c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3"/>
    </row>
    <row r="11" spans="1:39" ht="5.25" customHeight="1" x14ac:dyDescent="0.25">
      <c r="A11" s="142"/>
      <c r="B11" s="140"/>
      <c r="C11" s="140"/>
      <c r="D11" s="140"/>
      <c r="E11" s="140"/>
      <c r="F11" s="139"/>
      <c r="G11" s="139"/>
      <c r="H11" s="139"/>
      <c r="I11" s="139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3"/>
    </row>
    <row r="12" spans="1:39" x14ac:dyDescent="0.25">
      <c r="A12" s="142">
        <v>1.63</v>
      </c>
      <c r="B12" s="140">
        <v>2.14</v>
      </c>
      <c r="C12" s="140">
        <v>2.64</v>
      </c>
      <c r="D12" s="140">
        <v>3.14</v>
      </c>
      <c r="E12" s="140"/>
      <c r="F12" s="139">
        <v>1.92</v>
      </c>
      <c r="G12" s="139">
        <v>2.7</v>
      </c>
      <c r="H12" s="139">
        <v>3.49</v>
      </c>
      <c r="I12" s="140">
        <v>4.2699999999999996</v>
      </c>
      <c r="J12" s="141"/>
      <c r="K12" s="138"/>
      <c r="L12" s="139"/>
      <c r="M12" s="139"/>
      <c r="N12" s="139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3"/>
    </row>
    <row r="13" spans="1:39" x14ac:dyDescent="0.25">
      <c r="A13" s="142">
        <v>2.76</v>
      </c>
      <c r="B13" s="140">
        <v>3.27</v>
      </c>
      <c r="C13" s="140">
        <v>3.77</v>
      </c>
      <c r="D13" s="140">
        <v>4.2699999999999996</v>
      </c>
      <c r="E13" s="140"/>
      <c r="F13" s="140">
        <v>3.05</v>
      </c>
      <c r="G13" s="140">
        <v>3.83</v>
      </c>
      <c r="H13" s="140">
        <v>4.62</v>
      </c>
      <c r="I13" s="140">
        <v>5.4</v>
      </c>
      <c r="J13" s="141"/>
      <c r="K13" s="139">
        <v>3.39</v>
      </c>
      <c r="L13" s="138" t="s">
        <v>348</v>
      </c>
      <c r="M13" s="139"/>
      <c r="N13" s="139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3"/>
    </row>
    <row r="14" spans="1:39" x14ac:dyDescent="0.25">
      <c r="A14" s="142">
        <v>3.9</v>
      </c>
      <c r="B14" s="140">
        <v>4.4000000000000004</v>
      </c>
      <c r="C14" s="140">
        <v>4.9000000000000004</v>
      </c>
      <c r="D14" s="140">
        <v>5.4</v>
      </c>
      <c r="E14" s="140"/>
      <c r="F14" s="140">
        <v>4.18</v>
      </c>
      <c r="G14" s="140">
        <v>4.96</v>
      </c>
      <c r="H14" s="140">
        <v>5.75</v>
      </c>
      <c r="I14" s="140">
        <v>6.53</v>
      </c>
      <c r="J14" s="141"/>
      <c r="K14" s="139">
        <v>4.5199999999999996</v>
      </c>
      <c r="L14" s="139">
        <v>5.65</v>
      </c>
      <c r="M14" s="138" t="s">
        <v>347</v>
      </c>
      <c r="N14" s="139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3"/>
    </row>
    <row r="15" spans="1:39" x14ac:dyDescent="0.25">
      <c r="A15" s="142">
        <v>5.03</v>
      </c>
      <c r="B15" s="140">
        <v>5.53</v>
      </c>
      <c r="C15" s="140">
        <v>6.03</v>
      </c>
      <c r="D15" s="140">
        <v>6.53</v>
      </c>
      <c r="E15" s="140"/>
      <c r="F15" s="140">
        <v>5.31</v>
      </c>
      <c r="G15" s="140">
        <v>6.09</v>
      </c>
      <c r="H15" s="140">
        <v>6.88</v>
      </c>
      <c r="I15" s="140">
        <v>7.67</v>
      </c>
      <c r="J15" s="141"/>
      <c r="K15" s="139">
        <v>5.65</v>
      </c>
      <c r="L15" s="139">
        <v>6.79</v>
      </c>
      <c r="M15" s="139">
        <v>7.92</v>
      </c>
      <c r="N15" s="138" t="s">
        <v>346</v>
      </c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3"/>
    </row>
    <row r="16" spans="1:39" ht="5.25" customHeight="1" x14ac:dyDescent="0.25">
      <c r="A16" s="142"/>
      <c r="B16" s="140"/>
      <c r="C16" s="140"/>
      <c r="D16" s="140"/>
      <c r="E16" s="140"/>
      <c r="F16" s="139"/>
      <c r="G16" s="139"/>
      <c r="H16" s="139"/>
      <c r="I16" s="139"/>
      <c r="J16" s="141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3"/>
    </row>
    <row r="17" spans="1:39" x14ac:dyDescent="0.25">
      <c r="A17" s="142">
        <v>2.04</v>
      </c>
      <c r="B17" s="140">
        <v>2.54</v>
      </c>
      <c r="C17" s="140">
        <v>3.05</v>
      </c>
      <c r="D17" s="140">
        <v>3.55</v>
      </c>
      <c r="E17" s="140"/>
      <c r="F17" s="140">
        <v>2.3199999999999998</v>
      </c>
      <c r="G17" s="140">
        <v>3.11</v>
      </c>
      <c r="H17" s="140">
        <v>3.9</v>
      </c>
      <c r="I17" s="140">
        <v>4.68</v>
      </c>
      <c r="J17" s="141"/>
      <c r="K17" s="140">
        <v>2.67</v>
      </c>
      <c r="L17" s="140">
        <v>3.8</v>
      </c>
      <c r="M17" s="140">
        <v>4.93</v>
      </c>
      <c r="N17" s="140">
        <v>6.06</v>
      </c>
      <c r="O17" s="140"/>
      <c r="P17" s="138" t="s">
        <v>345</v>
      </c>
      <c r="Q17" s="139"/>
      <c r="R17" s="139"/>
      <c r="S17" s="139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3"/>
    </row>
    <row r="18" spans="1:39" x14ac:dyDescent="0.25">
      <c r="A18" s="142">
        <v>3.58</v>
      </c>
      <c r="B18" s="140">
        <v>4.08</v>
      </c>
      <c r="C18" s="140">
        <v>4.59</v>
      </c>
      <c r="D18" s="140">
        <v>5.09</v>
      </c>
      <c r="E18" s="140"/>
      <c r="F18" s="140">
        <v>3.86</v>
      </c>
      <c r="G18" s="140">
        <v>4.6500000000000004</v>
      </c>
      <c r="H18" s="140">
        <v>5.43</v>
      </c>
      <c r="I18" s="140">
        <v>6.22</v>
      </c>
      <c r="J18" s="141"/>
      <c r="K18" s="140">
        <v>4.21</v>
      </c>
      <c r="L18" s="140">
        <v>5.34</v>
      </c>
      <c r="M18" s="140">
        <v>6.47</v>
      </c>
      <c r="N18" s="140">
        <v>7.6</v>
      </c>
      <c r="O18" s="140"/>
      <c r="P18" s="139">
        <v>4.62</v>
      </c>
      <c r="Q18" s="138" t="s">
        <v>344</v>
      </c>
      <c r="R18" s="139"/>
      <c r="S18" s="139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3"/>
    </row>
    <row r="19" spans="1:39" x14ac:dyDescent="0.25">
      <c r="A19" s="142">
        <v>5.12</v>
      </c>
      <c r="B19" s="140">
        <v>5.62</v>
      </c>
      <c r="C19" s="140">
        <v>6.13</v>
      </c>
      <c r="D19" s="140">
        <v>6.63</v>
      </c>
      <c r="E19" s="140"/>
      <c r="F19" s="140">
        <v>5.4</v>
      </c>
      <c r="G19" s="140">
        <v>6.19</v>
      </c>
      <c r="H19" s="140">
        <v>6.97</v>
      </c>
      <c r="I19" s="140">
        <v>7.76</v>
      </c>
      <c r="J19" s="141"/>
      <c r="K19" s="140">
        <v>5.75</v>
      </c>
      <c r="L19" s="140">
        <v>6.88</v>
      </c>
      <c r="M19" s="140">
        <v>8.01</v>
      </c>
      <c r="N19" s="140">
        <v>9.14</v>
      </c>
      <c r="O19" s="140"/>
      <c r="P19" s="139">
        <v>6.16</v>
      </c>
      <c r="Q19" s="139">
        <v>7.7</v>
      </c>
      <c r="R19" s="138" t="s">
        <v>343</v>
      </c>
      <c r="S19" s="139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3"/>
    </row>
    <row r="20" spans="1:39" x14ac:dyDescent="0.25">
      <c r="A20" s="142">
        <v>6.66</v>
      </c>
      <c r="B20" s="140">
        <v>7.16</v>
      </c>
      <c r="C20" s="140">
        <v>7.67</v>
      </c>
      <c r="D20" s="140">
        <v>8.17</v>
      </c>
      <c r="E20" s="140"/>
      <c r="F20" s="140">
        <v>6.94</v>
      </c>
      <c r="G20" s="140">
        <v>7.73</v>
      </c>
      <c r="H20" s="140">
        <v>8.51</v>
      </c>
      <c r="I20" s="140">
        <v>9.3000000000000007</v>
      </c>
      <c r="J20" s="141"/>
      <c r="K20" s="140">
        <v>7.29</v>
      </c>
      <c r="L20" s="140">
        <v>8.42</v>
      </c>
      <c r="M20" s="140">
        <v>9.5500000000000007</v>
      </c>
      <c r="N20" s="140">
        <v>10.7</v>
      </c>
      <c r="O20" s="140"/>
      <c r="P20" s="139">
        <v>7.7</v>
      </c>
      <c r="Q20" s="139">
        <v>9.24</v>
      </c>
      <c r="R20" s="139">
        <v>10.8</v>
      </c>
      <c r="S20" s="138" t="s">
        <v>342</v>
      </c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3"/>
    </row>
    <row r="21" spans="1:39" ht="5.25" customHeight="1" x14ac:dyDescent="0.25">
      <c r="A21" s="142"/>
      <c r="B21" s="140"/>
      <c r="C21" s="140"/>
      <c r="D21" s="140"/>
      <c r="E21" s="140"/>
      <c r="F21" s="139"/>
      <c r="G21" s="139"/>
      <c r="H21" s="139"/>
      <c r="I21" s="139"/>
      <c r="J21" s="141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3"/>
    </row>
    <row r="22" spans="1:39" x14ac:dyDescent="0.25">
      <c r="A22" s="142"/>
      <c r="B22" s="140"/>
      <c r="C22" s="140"/>
      <c r="D22" s="140"/>
      <c r="E22" s="140"/>
      <c r="F22" s="140">
        <v>2.8</v>
      </c>
      <c r="G22" s="140">
        <v>3.58</v>
      </c>
      <c r="H22" s="140">
        <v>4.37</v>
      </c>
      <c r="I22" s="140">
        <v>5.15</v>
      </c>
      <c r="J22" s="141"/>
      <c r="K22" s="140">
        <v>3.14</v>
      </c>
      <c r="L22" s="140">
        <v>4.2699999999999996</v>
      </c>
      <c r="M22" s="140">
        <v>5.4</v>
      </c>
      <c r="N22" s="140">
        <v>6.53</v>
      </c>
      <c r="O22" s="140"/>
      <c r="P22" s="140">
        <v>3.55</v>
      </c>
      <c r="Q22" s="140">
        <v>5.09</v>
      </c>
      <c r="R22" s="140">
        <v>6.63</v>
      </c>
      <c r="S22" s="140">
        <v>8.17</v>
      </c>
      <c r="T22" s="140"/>
      <c r="U22" s="138" t="s">
        <v>341</v>
      </c>
      <c r="V22" s="139"/>
      <c r="W22" s="139"/>
      <c r="X22" s="139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3"/>
    </row>
    <row r="23" spans="1:39" x14ac:dyDescent="0.25">
      <c r="A23" s="142"/>
      <c r="B23" s="140"/>
      <c r="C23" s="140"/>
      <c r="D23" s="140"/>
      <c r="E23" s="140"/>
      <c r="F23" s="140">
        <v>4.8099999999999996</v>
      </c>
      <c r="G23" s="140">
        <v>5.59</v>
      </c>
      <c r="H23" s="140">
        <v>6.38</v>
      </c>
      <c r="I23" s="140">
        <v>7.16</v>
      </c>
      <c r="J23" s="141"/>
      <c r="K23" s="140">
        <v>5.15</v>
      </c>
      <c r="L23" s="140">
        <v>6.28</v>
      </c>
      <c r="M23" s="140">
        <v>7.41</v>
      </c>
      <c r="N23" s="140">
        <v>8.5399999999999991</v>
      </c>
      <c r="O23" s="140"/>
      <c r="P23" s="140">
        <v>5.56</v>
      </c>
      <c r="Q23" s="140">
        <v>7.1</v>
      </c>
      <c r="R23" s="140">
        <v>8.64</v>
      </c>
      <c r="S23" s="140">
        <v>10.199999999999999</v>
      </c>
      <c r="T23" s="140"/>
      <c r="U23" s="139">
        <v>6.03</v>
      </c>
      <c r="V23" s="138" t="s">
        <v>340</v>
      </c>
      <c r="W23" s="139"/>
      <c r="X23" s="139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3"/>
    </row>
    <row r="24" spans="1:39" x14ac:dyDescent="0.25">
      <c r="A24" s="142"/>
      <c r="B24" s="140"/>
      <c r="C24" s="140"/>
      <c r="D24" s="140"/>
      <c r="E24" s="140"/>
      <c r="F24" s="140">
        <v>6.82</v>
      </c>
      <c r="G24" s="140">
        <v>7.6</v>
      </c>
      <c r="H24" s="140">
        <v>8.39</v>
      </c>
      <c r="I24" s="140">
        <v>9.17</v>
      </c>
      <c r="J24" s="141"/>
      <c r="K24" s="140">
        <v>7.17</v>
      </c>
      <c r="L24" s="140">
        <v>8.2899999999999991</v>
      </c>
      <c r="M24" s="140">
        <v>9.42</v>
      </c>
      <c r="N24" s="140">
        <v>10.6</v>
      </c>
      <c r="O24" s="140"/>
      <c r="P24" s="140">
        <v>7.57</v>
      </c>
      <c r="Q24" s="140">
        <v>9.11</v>
      </c>
      <c r="R24" s="140">
        <v>10.6</v>
      </c>
      <c r="S24" s="140">
        <v>12.2</v>
      </c>
      <c r="T24" s="140"/>
      <c r="U24" s="139">
        <v>8.0399999999999991</v>
      </c>
      <c r="V24" s="139">
        <v>10.1</v>
      </c>
      <c r="W24" s="138" t="s">
        <v>339</v>
      </c>
      <c r="X24" s="139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3"/>
    </row>
    <row r="25" spans="1:39" x14ac:dyDescent="0.25">
      <c r="A25" s="142"/>
      <c r="B25" s="140"/>
      <c r="C25" s="140"/>
      <c r="D25" s="140"/>
      <c r="E25" s="140"/>
      <c r="F25" s="140">
        <v>8.83</v>
      </c>
      <c r="G25" s="140">
        <v>9.61</v>
      </c>
      <c r="H25" s="140">
        <v>10.4</v>
      </c>
      <c r="I25" s="140">
        <v>11.2</v>
      </c>
      <c r="J25" s="141"/>
      <c r="K25" s="140">
        <v>9.17</v>
      </c>
      <c r="L25" s="140">
        <v>10.3</v>
      </c>
      <c r="M25" s="140">
        <v>11.4</v>
      </c>
      <c r="N25" s="140">
        <v>12.6</v>
      </c>
      <c r="O25" s="140"/>
      <c r="P25" s="140">
        <v>9.58</v>
      </c>
      <c r="Q25" s="140">
        <v>11.1</v>
      </c>
      <c r="R25" s="140">
        <v>12.7</v>
      </c>
      <c r="S25" s="140">
        <v>14.2</v>
      </c>
      <c r="T25" s="140"/>
      <c r="U25" s="139">
        <v>10.1</v>
      </c>
      <c r="V25" s="139">
        <v>12.1</v>
      </c>
      <c r="W25" s="139">
        <v>14.1</v>
      </c>
      <c r="X25" s="138" t="s">
        <v>338</v>
      </c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3"/>
    </row>
    <row r="26" spans="1:39" ht="5.25" customHeight="1" x14ac:dyDescent="0.25">
      <c r="A26" s="142"/>
      <c r="B26" s="140"/>
      <c r="C26" s="140"/>
      <c r="D26" s="140"/>
      <c r="E26" s="140"/>
      <c r="F26" s="139"/>
      <c r="G26" s="139"/>
      <c r="H26" s="139"/>
      <c r="I26" s="139"/>
      <c r="J26" s="141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3"/>
    </row>
    <row r="27" spans="1:39" x14ac:dyDescent="0.25">
      <c r="A27" s="142"/>
      <c r="B27" s="140"/>
      <c r="C27" s="140"/>
      <c r="D27" s="140"/>
      <c r="E27" s="140"/>
      <c r="F27" s="140"/>
      <c r="G27" s="140"/>
      <c r="H27" s="140"/>
      <c r="I27" s="140"/>
      <c r="J27" s="141"/>
      <c r="K27" s="140">
        <v>4.2699999999999996</v>
      </c>
      <c r="L27" s="140">
        <v>5.4</v>
      </c>
      <c r="M27" s="140">
        <v>6.53</v>
      </c>
      <c r="N27" s="140">
        <v>7.67</v>
      </c>
      <c r="O27" s="140"/>
      <c r="P27" s="140">
        <v>4.68</v>
      </c>
      <c r="Q27" s="140">
        <v>6.22</v>
      </c>
      <c r="R27" s="140">
        <v>7.76</v>
      </c>
      <c r="S27" s="140">
        <v>9.3000000000000007</v>
      </c>
      <c r="T27" s="140"/>
      <c r="U27" s="140">
        <v>5.15</v>
      </c>
      <c r="V27" s="140">
        <v>7.16</v>
      </c>
      <c r="W27" s="140">
        <v>9.17</v>
      </c>
      <c r="X27" s="140">
        <v>11.2</v>
      </c>
      <c r="Y27" s="140"/>
      <c r="Z27" s="138" t="s">
        <v>337</v>
      </c>
      <c r="AA27" s="139"/>
      <c r="AB27" s="139"/>
      <c r="AC27" s="139"/>
      <c r="AD27" s="140"/>
      <c r="AE27" s="140"/>
      <c r="AF27" s="140"/>
      <c r="AG27" s="140"/>
      <c r="AH27" s="140"/>
      <c r="AI27" s="140"/>
      <c r="AJ27" s="140"/>
      <c r="AK27" s="140"/>
      <c r="AL27" s="140"/>
      <c r="AM27" s="143"/>
    </row>
    <row r="28" spans="1:39" x14ac:dyDescent="0.25">
      <c r="A28" s="142"/>
      <c r="B28" s="140"/>
      <c r="C28" s="140"/>
      <c r="D28" s="140"/>
      <c r="E28" s="140"/>
      <c r="F28" s="140"/>
      <c r="G28" s="140"/>
      <c r="H28" s="140"/>
      <c r="I28" s="140"/>
      <c r="J28" s="140"/>
      <c r="K28" s="140">
        <v>7.41</v>
      </c>
      <c r="L28" s="140">
        <v>8.5399999999999991</v>
      </c>
      <c r="M28" s="140">
        <v>9.68</v>
      </c>
      <c r="N28" s="140">
        <v>10.8</v>
      </c>
      <c r="O28" s="140"/>
      <c r="P28" s="140">
        <v>7.82</v>
      </c>
      <c r="Q28" s="140">
        <v>9.36</v>
      </c>
      <c r="R28" s="140">
        <v>10.9</v>
      </c>
      <c r="S28" s="140">
        <v>12.4</v>
      </c>
      <c r="T28" s="140"/>
      <c r="U28" s="140">
        <v>8.2899999999999991</v>
      </c>
      <c r="V28" s="140">
        <v>10.3</v>
      </c>
      <c r="W28" s="140">
        <v>12.3</v>
      </c>
      <c r="X28" s="140">
        <v>14.3</v>
      </c>
      <c r="Y28" s="140"/>
      <c r="Z28" s="139">
        <v>9.42</v>
      </c>
      <c r="AA28" s="138" t="s">
        <v>336</v>
      </c>
      <c r="AB28" s="139"/>
      <c r="AC28" s="139"/>
      <c r="AD28" s="140"/>
      <c r="AE28" s="140"/>
      <c r="AF28" s="140"/>
      <c r="AG28" s="140"/>
      <c r="AH28" s="140"/>
      <c r="AI28" s="140"/>
      <c r="AJ28" s="140"/>
      <c r="AK28" s="140"/>
      <c r="AL28" s="140"/>
      <c r="AM28" s="143"/>
    </row>
    <row r="29" spans="1:39" x14ac:dyDescent="0.25">
      <c r="A29" s="142"/>
      <c r="B29" s="140"/>
      <c r="C29" s="140"/>
      <c r="D29" s="140"/>
      <c r="E29" s="140"/>
      <c r="F29" s="140"/>
      <c r="G29" s="140"/>
      <c r="H29" s="140"/>
      <c r="I29" s="140"/>
      <c r="J29" s="140"/>
      <c r="K29" s="140">
        <v>10.6</v>
      </c>
      <c r="L29" s="140">
        <v>11.7</v>
      </c>
      <c r="M29" s="140">
        <v>12.8</v>
      </c>
      <c r="N29" s="140">
        <v>13.9</v>
      </c>
      <c r="O29" s="140"/>
      <c r="P29" s="140">
        <v>11</v>
      </c>
      <c r="Q29" s="140">
        <v>12.5</v>
      </c>
      <c r="R29" s="140">
        <v>14</v>
      </c>
      <c r="S29" s="140">
        <v>15.6</v>
      </c>
      <c r="T29" s="140"/>
      <c r="U29" s="140">
        <v>11.4</v>
      </c>
      <c r="V29" s="140">
        <v>13.4</v>
      </c>
      <c r="W29" s="140">
        <v>15.5</v>
      </c>
      <c r="X29" s="140">
        <v>17.5</v>
      </c>
      <c r="Y29" s="140"/>
      <c r="Z29" s="139">
        <v>12.6</v>
      </c>
      <c r="AA29" s="139">
        <v>15.7</v>
      </c>
      <c r="AB29" s="138" t="s">
        <v>335</v>
      </c>
      <c r="AC29" s="139"/>
      <c r="AD29" s="140"/>
      <c r="AE29" s="140"/>
      <c r="AF29" s="140"/>
      <c r="AG29" s="140"/>
      <c r="AH29" s="140"/>
      <c r="AI29" s="140"/>
      <c r="AJ29" s="140"/>
      <c r="AK29" s="140"/>
      <c r="AL29" s="140"/>
      <c r="AM29" s="143"/>
    </row>
    <row r="30" spans="1:39" x14ac:dyDescent="0.25">
      <c r="A30" s="142"/>
      <c r="B30" s="140"/>
      <c r="C30" s="140"/>
      <c r="D30" s="140"/>
      <c r="E30" s="140"/>
      <c r="F30" s="140"/>
      <c r="G30" s="140"/>
      <c r="H30" s="140"/>
      <c r="I30" s="140"/>
      <c r="J30" s="140"/>
      <c r="K30" s="140">
        <v>13.7</v>
      </c>
      <c r="L30" s="140">
        <v>14.8</v>
      </c>
      <c r="M30" s="140">
        <v>16</v>
      </c>
      <c r="N30" s="140">
        <v>17.100000000000001</v>
      </c>
      <c r="O30" s="140"/>
      <c r="P30" s="140">
        <v>14.1</v>
      </c>
      <c r="Q30" s="140">
        <v>15.6</v>
      </c>
      <c r="R30" s="140">
        <v>17.2</v>
      </c>
      <c r="S30" s="140">
        <v>18.7</v>
      </c>
      <c r="T30" s="140"/>
      <c r="U30" s="140">
        <v>14.6</v>
      </c>
      <c r="V30" s="140">
        <v>16.600000000000001</v>
      </c>
      <c r="W30" s="140">
        <v>18.600000000000001</v>
      </c>
      <c r="X30" s="140">
        <v>20.6</v>
      </c>
      <c r="Y30" s="140"/>
      <c r="Z30" s="139">
        <v>15.7</v>
      </c>
      <c r="AA30" s="139">
        <v>18.8</v>
      </c>
      <c r="AB30" s="139">
        <v>22</v>
      </c>
      <c r="AC30" s="138" t="s">
        <v>334</v>
      </c>
      <c r="AD30" s="140"/>
      <c r="AE30" s="140"/>
      <c r="AF30" s="140"/>
      <c r="AG30" s="140"/>
      <c r="AH30" s="140"/>
      <c r="AI30" s="140"/>
      <c r="AJ30" s="140"/>
      <c r="AK30" s="140"/>
      <c r="AL30" s="140"/>
      <c r="AM30" s="143"/>
    </row>
    <row r="31" spans="1:39" ht="5.25" customHeight="1" x14ac:dyDescent="0.25">
      <c r="A31" s="142"/>
      <c r="B31" s="140"/>
      <c r="C31" s="140"/>
      <c r="D31" s="140"/>
      <c r="E31" s="140"/>
      <c r="F31" s="139"/>
      <c r="G31" s="139"/>
      <c r="H31" s="139"/>
      <c r="I31" s="139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3"/>
    </row>
    <row r="32" spans="1:39" x14ac:dyDescent="0.25">
      <c r="A32" s="142"/>
      <c r="B32" s="140"/>
      <c r="C32" s="140"/>
      <c r="D32" s="140"/>
      <c r="E32" s="139"/>
      <c r="F32" s="140"/>
      <c r="G32" s="140"/>
      <c r="H32" s="140"/>
      <c r="I32" s="140"/>
      <c r="J32" s="139"/>
      <c r="K32" s="140"/>
      <c r="L32" s="140"/>
      <c r="M32" s="140"/>
      <c r="N32" s="140"/>
      <c r="O32" s="139"/>
      <c r="P32" s="140">
        <v>6.45</v>
      </c>
      <c r="Q32" s="140">
        <v>8</v>
      </c>
      <c r="R32" s="140">
        <v>9.5299999999999994</v>
      </c>
      <c r="S32" s="140">
        <v>11.1</v>
      </c>
      <c r="T32" s="139"/>
      <c r="U32" s="140">
        <v>6.92</v>
      </c>
      <c r="V32" s="140">
        <v>8.93</v>
      </c>
      <c r="W32" s="140">
        <v>10.9</v>
      </c>
      <c r="X32" s="140">
        <v>13</v>
      </c>
      <c r="Y32" s="139"/>
      <c r="Z32" s="140">
        <v>8.0500000000000007</v>
      </c>
      <c r="AA32" s="140">
        <v>11.2</v>
      </c>
      <c r="AB32" s="140">
        <v>14.3</v>
      </c>
      <c r="AC32" s="140">
        <v>17.5</v>
      </c>
      <c r="AD32" s="144"/>
      <c r="AE32" s="138" t="s">
        <v>333</v>
      </c>
      <c r="AF32" s="139"/>
      <c r="AG32" s="139"/>
      <c r="AH32" s="139"/>
      <c r="AI32" s="139"/>
      <c r="AJ32" s="140"/>
      <c r="AK32" s="140"/>
      <c r="AL32" s="140"/>
      <c r="AM32" s="143"/>
    </row>
    <row r="33" spans="1:39" x14ac:dyDescent="0.25">
      <c r="A33" s="142"/>
      <c r="B33" s="140"/>
      <c r="C33" s="140"/>
      <c r="D33" s="140"/>
      <c r="E33" s="139"/>
      <c r="F33" s="140"/>
      <c r="G33" s="140"/>
      <c r="H33" s="140"/>
      <c r="I33" s="140"/>
      <c r="J33" s="139"/>
      <c r="K33" s="140"/>
      <c r="L33" s="140"/>
      <c r="M33" s="140"/>
      <c r="N33" s="140"/>
      <c r="O33" s="139"/>
      <c r="P33" s="140">
        <v>11.4</v>
      </c>
      <c r="Q33" s="140">
        <v>12.9</v>
      </c>
      <c r="R33" s="140">
        <v>14.4</v>
      </c>
      <c r="S33" s="140">
        <v>16</v>
      </c>
      <c r="T33" s="139"/>
      <c r="U33" s="140">
        <v>11.8</v>
      </c>
      <c r="V33" s="140">
        <v>13.8</v>
      </c>
      <c r="W33" s="140">
        <v>15.8</v>
      </c>
      <c r="X33" s="140">
        <v>17.899999999999999</v>
      </c>
      <c r="Y33" s="139"/>
      <c r="Z33" s="140">
        <v>13</v>
      </c>
      <c r="AA33" s="140">
        <v>16.100000000000001</v>
      </c>
      <c r="AB33" s="140">
        <v>19.2</v>
      </c>
      <c r="AC33" s="140">
        <v>22.4</v>
      </c>
      <c r="AD33" s="144"/>
      <c r="AE33" s="139">
        <v>14.7</v>
      </c>
      <c r="AF33" s="138" t="s">
        <v>332</v>
      </c>
      <c r="AG33" s="139"/>
      <c r="AH33" s="139"/>
      <c r="AI33" s="139"/>
      <c r="AJ33" s="140"/>
      <c r="AK33" s="140"/>
      <c r="AL33" s="140"/>
      <c r="AM33" s="143"/>
    </row>
    <row r="34" spans="1:39" x14ac:dyDescent="0.25">
      <c r="A34" s="142"/>
      <c r="B34" s="140"/>
      <c r="C34" s="140"/>
      <c r="D34" s="140"/>
      <c r="E34" s="139"/>
      <c r="F34" s="140"/>
      <c r="G34" s="140"/>
      <c r="H34" s="140"/>
      <c r="I34" s="140"/>
      <c r="J34" s="139"/>
      <c r="K34" s="140"/>
      <c r="L34" s="140"/>
      <c r="M34" s="140"/>
      <c r="N34" s="140"/>
      <c r="O34" s="139"/>
      <c r="P34" s="140">
        <v>16.3</v>
      </c>
      <c r="Q34" s="140">
        <v>17.8</v>
      </c>
      <c r="R34" s="140">
        <v>19.3</v>
      </c>
      <c r="S34" s="140">
        <v>20.9</v>
      </c>
      <c r="T34" s="139"/>
      <c r="U34" s="140">
        <v>16.7</v>
      </c>
      <c r="V34" s="140">
        <v>18.7</v>
      </c>
      <c r="W34" s="140">
        <v>20.8</v>
      </c>
      <c r="X34" s="140">
        <v>22.8</v>
      </c>
      <c r="Y34" s="139"/>
      <c r="Z34" s="140">
        <v>17.899999999999999</v>
      </c>
      <c r="AA34" s="140">
        <v>21</v>
      </c>
      <c r="AB34" s="140">
        <v>24.1</v>
      </c>
      <c r="AC34" s="140">
        <v>27.3</v>
      </c>
      <c r="AD34" s="144"/>
      <c r="AE34" s="139">
        <v>19.600000000000001</v>
      </c>
      <c r="AF34" s="139">
        <v>24.5</v>
      </c>
      <c r="AG34" s="138" t="s">
        <v>331</v>
      </c>
      <c r="AH34" s="139"/>
      <c r="AI34" s="139"/>
      <c r="AJ34" s="140"/>
      <c r="AK34" s="140"/>
      <c r="AL34" s="140"/>
      <c r="AM34" s="143"/>
    </row>
    <row r="35" spans="1:39" x14ac:dyDescent="0.25">
      <c r="A35" s="142"/>
      <c r="B35" s="140"/>
      <c r="C35" s="140"/>
      <c r="D35" s="140"/>
      <c r="E35" s="138"/>
      <c r="F35" s="140"/>
      <c r="G35" s="140"/>
      <c r="H35" s="140"/>
      <c r="I35" s="140"/>
      <c r="J35" s="138"/>
      <c r="K35" s="140"/>
      <c r="L35" s="140"/>
      <c r="M35" s="140"/>
      <c r="N35" s="140"/>
      <c r="O35" s="138"/>
      <c r="P35" s="140">
        <v>21.2</v>
      </c>
      <c r="Q35" s="140">
        <v>22.7</v>
      </c>
      <c r="R35" s="140">
        <v>24.3</v>
      </c>
      <c r="S35" s="140">
        <v>25.8</v>
      </c>
      <c r="T35" s="138"/>
      <c r="U35" s="140">
        <v>21.6</v>
      </c>
      <c r="V35" s="140">
        <v>23.7</v>
      </c>
      <c r="W35" s="140">
        <v>25.7</v>
      </c>
      <c r="X35" s="140">
        <v>27.7</v>
      </c>
      <c r="Y35" s="138"/>
      <c r="Z35" s="140">
        <v>22.8</v>
      </c>
      <c r="AA35" s="140">
        <v>25.9</v>
      </c>
      <c r="AB35" s="140">
        <v>29.1</v>
      </c>
      <c r="AC35" s="140">
        <v>32.200000000000003</v>
      </c>
      <c r="AD35" s="138"/>
      <c r="AE35" s="139">
        <v>24.5</v>
      </c>
      <c r="AF35" s="139">
        <v>29.4</v>
      </c>
      <c r="AG35" s="139">
        <v>34.4</v>
      </c>
      <c r="AH35" s="138" t="s">
        <v>330</v>
      </c>
      <c r="AI35" s="138"/>
      <c r="AJ35" s="140"/>
      <c r="AK35" s="140"/>
      <c r="AL35" s="140"/>
      <c r="AM35" s="143"/>
    </row>
    <row r="36" spans="1:39" ht="5.25" customHeight="1" x14ac:dyDescent="0.25">
      <c r="A36" s="142"/>
      <c r="B36" s="140"/>
      <c r="C36" s="140"/>
      <c r="D36" s="140"/>
      <c r="E36" s="140"/>
      <c r="F36" s="139"/>
      <c r="G36" s="139"/>
      <c r="H36" s="139"/>
      <c r="I36" s="139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1"/>
      <c r="AE36" s="140"/>
      <c r="AF36" s="140"/>
      <c r="AG36" s="140"/>
      <c r="AH36" s="140"/>
      <c r="AI36" s="140"/>
      <c r="AJ36" s="140"/>
      <c r="AK36" s="140"/>
      <c r="AL36" s="140"/>
      <c r="AM36" s="143"/>
    </row>
    <row r="37" spans="1:39" x14ac:dyDescent="0.25">
      <c r="A37" s="142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>
        <v>10.1</v>
      </c>
      <c r="V37" s="140">
        <v>12.1</v>
      </c>
      <c r="W37" s="140">
        <v>14.1</v>
      </c>
      <c r="X37" s="140">
        <v>16.100000000000001</v>
      </c>
      <c r="Y37" s="140"/>
      <c r="Z37" s="140">
        <v>11.2</v>
      </c>
      <c r="AA37" s="140">
        <v>14.3</v>
      </c>
      <c r="AB37" s="140">
        <v>17.5</v>
      </c>
      <c r="AC37" s="140">
        <v>20.6</v>
      </c>
      <c r="AD37" s="141"/>
      <c r="AE37" s="140">
        <v>13</v>
      </c>
      <c r="AF37" s="140">
        <v>17.899999999999999</v>
      </c>
      <c r="AG37" s="140">
        <v>22.8</v>
      </c>
      <c r="AH37" s="140">
        <v>27.7</v>
      </c>
      <c r="AI37" s="140"/>
      <c r="AJ37" s="138" t="s">
        <v>329</v>
      </c>
      <c r="AK37" s="139"/>
      <c r="AL37" s="139"/>
      <c r="AM37" s="137"/>
    </row>
    <row r="38" spans="1:39" x14ac:dyDescent="0.25">
      <c r="A38" s="142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>
        <v>18.100000000000001</v>
      </c>
      <c r="V38" s="140">
        <v>20.100000000000001</v>
      </c>
      <c r="W38" s="140">
        <v>22.1</v>
      </c>
      <c r="X38" s="140">
        <v>24.1</v>
      </c>
      <c r="Y38" s="140"/>
      <c r="Z38" s="140">
        <v>19.2</v>
      </c>
      <c r="AA38" s="140">
        <v>22.4</v>
      </c>
      <c r="AB38" s="140">
        <v>25.5</v>
      </c>
      <c r="AC38" s="140">
        <v>28.6</v>
      </c>
      <c r="AD38" s="141"/>
      <c r="AE38" s="140">
        <v>21</v>
      </c>
      <c r="AF38" s="140">
        <v>25.9</v>
      </c>
      <c r="AG38" s="140">
        <v>30.8</v>
      </c>
      <c r="AH38" s="140">
        <v>35.700000000000003</v>
      </c>
      <c r="AI38" s="140"/>
      <c r="AJ38" s="139">
        <v>24.1</v>
      </c>
      <c r="AK38" s="138" t="s">
        <v>328</v>
      </c>
      <c r="AL38" s="139"/>
      <c r="AM38" s="137"/>
    </row>
    <row r="39" spans="1:39" x14ac:dyDescent="0.25">
      <c r="A39" s="142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>
        <v>26.1</v>
      </c>
      <c r="V39" s="140">
        <v>28.1</v>
      </c>
      <c r="W39" s="140">
        <v>30.2</v>
      </c>
      <c r="X39" s="140">
        <v>32.200000000000003</v>
      </c>
      <c r="Y39" s="140"/>
      <c r="Z39" s="140">
        <v>27.3</v>
      </c>
      <c r="AA39" s="140">
        <v>30.4</v>
      </c>
      <c r="AB39" s="140">
        <v>33.5</v>
      </c>
      <c r="AC39" s="140">
        <v>36.700000000000003</v>
      </c>
      <c r="AD39" s="141"/>
      <c r="AE39" s="140">
        <v>29</v>
      </c>
      <c r="AF39" s="140">
        <v>33.9</v>
      </c>
      <c r="AG39" s="140">
        <v>38.799999999999997</v>
      </c>
      <c r="AH39" s="140">
        <v>43.8</v>
      </c>
      <c r="AI39" s="140"/>
      <c r="AJ39" s="139">
        <v>32.200000000000003</v>
      </c>
      <c r="AK39" s="139">
        <v>40.200000000000003</v>
      </c>
      <c r="AL39" s="138" t="s">
        <v>327</v>
      </c>
      <c r="AM39" s="137"/>
    </row>
    <row r="40" spans="1:39" x14ac:dyDescent="0.25">
      <c r="A40" s="136"/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>
        <v>34.200000000000003</v>
      </c>
      <c r="V40" s="134">
        <v>36.200000000000003</v>
      </c>
      <c r="W40" s="134">
        <v>38.200000000000003</v>
      </c>
      <c r="X40" s="134">
        <v>40.200000000000003</v>
      </c>
      <c r="Y40" s="134"/>
      <c r="Z40" s="134">
        <v>35.299999999999997</v>
      </c>
      <c r="AA40" s="134">
        <v>38.4</v>
      </c>
      <c r="AB40" s="134">
        <v>41.6</v>
      </c>
      <c r="AC40" s="134">
        <v>44.7</v>
      </c>
      <c r="AD40" s="135"/>
      <c r="AE40" s="134">
        <v>37.1</v>
      </c>
      <c r="AF40" s="134">
        <v>42</v>
      </c>
      <c r="AG40" s="134">
        <v>46.9</v>
      </c>
      <c r="AH40" s="134">
        <v>51.8</v>
      </c>
      <c r="AI40" s="134"/>
      <c r="AJ40" s="133">
        <v>40.200000000000003</v>
      </c>
      <c r="AK40" s="133">
        <v>48.2</v>
      </c>
      <c r="AL40" s="133">
        <v>56.3</v>
      </c>
      <c r="AM40" s="132" t="s">
        <v>326</v>
      </c>
    </row>
  </sheetData>
  <sheetProtection password="EE7E" sheet="1" objects="1" scenarios="1"/>
  <mergeCells count="1">
    <mergeCell ref="A1:AM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&amp;L&amp;F&amp;R&amp;A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3333CC"/>
  </sheetPr>
  <dimension ref="A1:D45"/>
  <sheetViews>
    <sheetView showGridLines="0" view="pageBreakPreview" zoomScale="85" zoomScaleSheetLayoutView="85" workbookViewId="0">
      <selection activeCell="C3" sqref="C3"/>
    </sheetView>
  </sheetViews>
  <sheetFormatPr baseColWidth="10" defaultColWidth="11.42578125" defaultRowHeight="15" x14ac:dyDescent="0.25"/>
  <cols>
    <col min="1" max="1" width="3.28515625" style="1" bestFit="1" customWidth="1"/>
    <col min="2" max="2" width="43.28515625" style="1" customWidth="1"/>
    <col min="3" max="3" width="24.42578125" style="1" customWidth="1"/>
    <col min="4" max="4" width="5" style="8" bestFit="1" customWidth="1"/>
    <col min="5" max="16384" width="11.42578125" style="1"/>
  </cols>
  <sheetData>
    <row r="1" spans="1:4" ht="15" customHeight="1" x14ac:dyDescent="0.25">
      <c r="A1" s="1205" t="s">
        <v>319</v>
      </c>
      <c r="B1" s="1208" t="s">
        <v>92</v>
      </c>
      <c r="C1" s="1208"/>
      <c r="D1" s="1209"/>
    </row>
    <row r="2" spans="1:4" x14ac:dyDescent="0.25">
      <c r="A2" s="1206"/>
      <c r="B2" s="19" t="s">
        <v>318</v>
      </c>
      <c r="C2" s="4"/>
      <c r="D2" s="15"/>
    </row>
    <row r="3" spans="1:4" ht="18" x14ac:dyDescent="0.25">
      <c r="A3" s="1206"/>
      <c r="B3" s="31" t="s">
        <v>308</v>
      </c>
      <c r="C3" s="106"/>
      <c r="D3" s="15" t="s">
        <v>55</v>
      </c>
    </row>
    <row r="4" spans="1:4" x14ac:dyDescent="0.25">
      <c r="A4" s="1206"/>
      <c r="B4" s="31" t="s">
        <v>316</v>
      </c>
      <c r="C4" s="106"/>
      <c r="D4" s="15" t="s">
        <v>40</v>
      </c>
    </row>
    <row r="5" spans="1:4" ht="18" x14ac:dyDescent="0.25">
      <c r="A5" s="1206"/>
      <c r="B5" s="19" t="s">
        <v>271</v>
      </c>
      <c r="C5" s="4"/>
      <c r="D5" s="15"/>
    </row>
    <row r="6" spans="1:4" x14ac:dyDescent="0.25">
      <c r="A6" s="1206"/>
      <c r="B6" s="31" t="s">
        <v>270</v>
      </c>
      <c r="C6" s="106"/>
      <c r="D6" s="15" t="s">
        <v>87</v>
      </c>
    </row>
    <row r="7" spans="1:4" x14ac:dyDescent="0.25">
      <c r="A7" s="1206"/>
      <c r="B7" s="31" t="s">
        <v>269</v>
      </c>
      <c r="C7" s="106"/>
      <c r="D7" s="15" t="s">
        <v>87</v>
      </c>
    </row>
    <row r="8" spans="1:4" x14ac:dyDescent="0.25">
      <c r="A8" s="1206"/>
      <c r="B8" s="19" t="s">
        <v>325</v>
      </c>
      <c r="C8" s="4"/>
      <c r="D8" s="15"/>
    </row>
    <row r="9" spans="1:4" x14ac:dyDescent="0.25">
      <c r="A9" s="1206"/>
      <c r="B9" s="31" t="s">
        <v>301</v>
      </c>
      <c r="C9" s="106"/>
      <c r="D9" s="15" t="s">
        <v>40</v>
      </c>
    </row>
    <row r="10" spans="1:4" x14ac:dyDescent="0.25">
      <c r="A10" s="1206"/>
      <c r="B10" s="4"/>
      <c r="C10" s="4"/>
      <c r="D10" s="7"/>
    </row>
    <row r="11" spans="1:4" x14ac:dyDescent="0.25">
      <c r="A11" s="1206"/>
      <c r="B11" s="1210" t="s">
        <v>315</v>
      </c>
      <c r="C11" s="1210"/>
      <c r="D11" s="1211"/>
    </row>
    <row r="12" spans="1:4" x14ac:dyDescent="0.25">
      <c r="A12" s="1206"/>
      <c r="B12" s="31" t="s">
        <v>324</v>
      </c>
      <c r="C12" s="113" t="str">
        <f>IF(AND(((C3*10^6)-22000*(C4*10^-2))&gt;0,C3&lt;&gt;"",C4&lt;&gt;""),(10^4)*(SUM(C6:C7)/((C3*10^6)-22000*(C4*10^-2))),IF(AND((C3*10^6)&gt;0,C3&lt;&gt;""),(SUM(C6:C7)/(C3*10^6))*10^4,""))</f>
        <v/>
      </c>
      <c r="D12" s="15" t="s">
        <v>45</v>
      </c>
    </row>
    <row r="13" spans="1:4" ht="15" customHeight="1" x14ac:dyDescent="0.25">
      <c r="A13" s="1206"/>
      <c r="B13" s="1214" t="s">
        <v>323</v>
      </c>
      <c r="C13" s="1214"/>
      <c r="D13" s="1215"/>
    </row>
    <row r="14" spans="1:4" x14ac:dyDescent="0.25">
      <c r="A14" s="1206"/>
      <c r="B14" s="31" t="s">
        <v>322</v>
      </c>
      <c r="C14" s="130" t="str">
        <f>IF(C12&lt;&gt;"",CEILING(C12/100,5),"")</f>
        <v/>
      </c>
      <c r="D14" s="15" t="s">
        <v>40</v>
      </c>
    </row>
    <row r="15" spans="1:4" x14ac:dyDescent="0.25">
      <c r="A15" s="1206"/>
      <c r="B15" s="31" t="s">
        <v>312</v>
      </c>
      <c r="C15" s="113" t="str">
        <f>IF(AND(C14&lt;&gt;"",C9&lt;&gt;""),(C14-C9)/4,"")</f>
        <v/>
      </c>
      <c r="D15" s="15" t="s">
        <v>40</v>
      </c>
    </row>
    <row r="16" spans="1:4" x14ac:dyDescent="0.25">
      <c r="A16" s="1206"/>
      <c r="B16" s="31" t="s">
        <v>304</v>
      </c>
      <c r="C16" s="130" t="str">
        <f>IF(C15="","",CEILING(C15,5)+5)</f>
        <v/>
      </c>
      <c r="D16" s="15" t="s">
        <v>40</v>
      </c>
    </row>
    <row r="17" spans="1:4" ht="18" x14ac:dyDescent="0.25">
      <c r="A17" s="1206"/>
      <c r="B17" s="19" t="s">
        <v>311</v>
      </c>
      <c r="C17" s="19"/>
      <c r="D17" s="51"/>
    </row>
    <row r="18" spans="1:4" x14ac:dyDescent="0.25">
      <c r="A18" s="1206"/>
      <c r="B18" s="31" t="s">
        <v>310</v>
      </c>
      <c r="C18" s="113" t="str">
        <f>IF(AND(C14="",C16=""),"",(C14*10^-2)*(C16*10^-2)*25000)</f>
        <v/>
      </c>
      <c r="D18" s="15" t="s">
        <v>87</v>
      </c>
    </row>
    <row r="19" spans="1:4" ht="18" x14ac:dyDescent="0.25">
      <c r="A19" s="1206"/>
      <c r="B19" s="31" t="s">
        <v>321</v>
      </c>
      <c r="C19" s="130" t="str">
        <f>IF(AND(C18&lt;&gt;"",OR(C6&lt;&gt;"",C7&lt;&gt;""),C14&lt;&gt;""),(C18+SUM(C6:C7))/(C14*10*1000),"")</f>
        <v/>
      </c>
      <c r="D19" s="15" t="s">
        <v>55</v>
      </c>
    </row>
    <row r="20" spans="1:4" ht="18" x14ac:dyDescent="0.25">
      <c r="A20" s="1206"/>
      <c r="B20" s="31" t="s">
        <v>317</v>
      </c>
      <c r="C20" s="130" t="str">
        <f>IF(C3&lt;&gt;"",C3,"")</f>
        <v/>
      </c>
      <c r="D20" s="15" t="s">
        <v>55</v>
      </c>
    </row>
    <row r="21" spans="1:4" x14ac:dyDescent="0.25">
      <c r="A21" s="1206"/>
      <c r="B21" s="1212" t="str">
        <f>IF(AND(C19&lt;C20,C19&lt;&gt;"",C20&lt;&gt;""),"Condition satisfaite","")</f>
        <v/>
      </c>
      <c r="C21" s="1212"/>
      <c r="D21" s="1213"/>
    </row>
    <row r="22" spans="1:4" x14ac:dyDescent="0.25">
      <c r="A22" s="1206"/>
      <c r="B22" s="4"/>
      <c r="C22" s="4"/>
      <c r="D22" s="15"/>
    </row>
    <row r="23" spans="1:4" x14ac:dyDescent="0.25">
      <c r="A23" s="1206"/>
      <c r="B23" s="1210" t="s">
        <v>307</v>
      </c>
      <c r="C23" s="1210"/>
      <c r="D23" s="1211"/>
    </row>
    <row r="24" spans="1:4" x14ac:dyDescent="0.25">
      <c r="A24" s="1206"/>
      <c r="B24" s="31" t="s">
        <v>320</v>
      </c>
      <c r="C24" s="129" t="str">
        <f>IF(C14="","",C14)</f>
        <v/>
      </c>
      <c r="D24" s="15" t="s">
        <v>40</v>
      </c>
    </row>
    <row r="25" spans="1:4" x14ac:dyDescent="0.25">
      <c r="A25" s="1206"/>
      <c r="B25" s="31" t="s">
        <v>304</v>
      </c>
      <c r="C25" s="129" t="str">
        <f>IF(C16="","",C16)</f>
        <v/>
      </c>
      <c r="D25" s="15" t="s">
        <v>40</v>
      </c>
    </row>
    <row r="26" spans="1:4" x14ac:dyDescent="0.25">
      <c r="A26" s="1206"/>
      <c r="B26" s="31"/>
      <c r="C26" s="4"/>
      <c r="D26" s="15"/>
    </row>
    <row r="27" spans="1:4" x14ac:dyDescent="0.25">
      <c r="A27" s="1206"/>
      <c r="B27" s="4"/>
      <c r="C27" s="4"/>
      <c r="D27" s="15"/>
    </row>
    <row r="28" spans="1:4" x14ac:dyDescent="0.25">
      <c r="A28" s="1206"/>
      <c r="B28" s="4"/>
      <c r="C28" s="4"/>
      <c r="D28" s="15"/>
    </row>
    <row r="29" spans="1:4" x14ac:dyDescent="0.25">
      <c r="A29" s="1206"/>
      <c r="B29" s="4"/>
      <c r="C29" s="4"/>
      <c r="D29" s="15"/>
    </row>
    <row r="30" spans="1:4" x14ac:dyDescent="0.25">
      <c r="A30" s="1206"/>
      <c r="B30" s="4"/>
      <c r="C30" s="4"/>
      <c r="D30" s="15"/>
    </row>
    <row r="31" spans="1:4" x14ac:dyDescent="0.25">
      <c r="A31" s="1206"/>
      <c r="B31" s="4"/>
      <c r="C31" s="4"/>
      <c r="D31" s="15"/>
    </row>
    <row r="32" spans="1:4" x14ac:dyDescent="0.25">
      <c r="A32" s="1206"/>
      <c r="B32" s="4"/>
      <c r="C32" s="4"/>
      <c r="D32" s="15"/>
    </row>
    <row r="33" spans="1:4" x14ac:dyDescent="0.25">
      <c r="A33" s="1206"/>
      <c r="B33" s="4"/>
      <c r="C33" s="4"/>
      <c r="D33" s="15"/>
    </row>
    <row r="34" spans="1:4" x14ac:dyDescent="0.25">
      <c r="A34" s="1206"/>
      <c r="B34" s="4"/>
      <c r="C34" s="4"/>
      <c r="D34" s="15"/>
    </row>
    <row r="35" spans="1:4" x14ac:dyDescent="0.25">
      <c r="A35" s="1206"/>
      <c r="B35" s="4"/>
      <c r="C35" s="4"/>
      <c r="D35" s="7"/>
    </row>
    <row r="36" spans="1:4" x14ac:dyDescent="0.25">
      <c r="A36" s="1207"/>
      <c r="B36" s="5"/>
      <c r="C36" s="5"/>
      <c r="D36" s="112"/>
    </row>
    <row r="37" spans="1:4" x14ac:dyDescent="0.25">
      <c r="D37" s="1"/>
    </row>
    <row r="38" spans="1:4" x14ac:dyDescent="0.25">
      <c r="D38" s="1"/>
    </row>
    <row r="39" spans="1:4" x14ac:dyDescent="0.25">
      <c r="D39" s="1"/>
    </row>
    <row r="40" spans="1:4" x14ac:dyDescent="0.25">
      <c r="D40" s="1"/>
    </row>
    <row r="41" spans="1:4" x14ac:dyDescent="0.25">
      <c r="D41" s="1"/>
    </row>
    <row r="42" spans="1:4" x14ac:dyDescent="0.25">
      <c r="D42" s="1"/>
    </row>
    <row r="43" spans="1:4" x14ac:dyDescent="0.25">
      <c r="D43" s="1"/>
    </row>
    <row r="44" spans="1:4" x14ac:dyDescent="0.25">
      <c r="D44" s="1"/>
    </row>
    <row r="45" spans="1:4" x14ac:dyDescent="0.25">
      <c r="D45" s="1"/>
    </row>
  </sheetData>
  <sheetProtection password="EE7E" sheet="1" objects="1" scenarios="1"/>
  <mergeCells count="6">
    <mergeCell ref="A1:A36"/>
    <mergeCell ref="B1:D1"/>
    <mergeCell ref="B11:D11"/>
    <mergeCell ref="B23:D23"/>
    <mergeCell ref="B21:D21"/>
    <mergeCell ref="B13:D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FF00"/>
  </sheetPr>
  <dimension ref="A1:D45"/>
  <sheetViews>
    <sheetView showGridLines="0" view="pageBreakPreview" zoomScale="85" zoomScaleSheetLayoutView="85" workbookViewId="0">
      <selection activeCell="C3" sqref="C3"/>
    </sheetView>
  </sheetViews>
  <sheetFormatPr baseColWidth="10" defaultColWidth="11.42578125" defaultRowHeight="15" x14ac:dyDescent="0.25"/>
  <cols>
    <col min="1" max="1" width="3.5703125" style="1" bestFit="1" customWidth="1"/>
    <col min="2" max="2" width="41.140625" style="1" customWidth="1"/>
    <col min="3" max="3" width="21.5703125" style="1" customWidth="1"/>
    <col min="4" max="4" width="5" style="8" bestFit="1" customWidth="1"/>
    <col min="5" max="16384" width="11.42578125" style="1"/>
  </cols>
  <sheetData>
    <row r="1" spans="1:4" ht="15" customHeight="1" x14ac:dyDescent="0.25">
      <c r="A1" s="1216" t="s">
        <v>319</v>
      </c>
      <c r="B1" s="1208" t="s">
        <v>92</v>
      </c>
      <c r="C1" s="1208"/>
      <c r="D1" s="1209"/>
    </row>
    <row r="2" spans="1:4" x14ac:dyDescent="0.25">
      <c r="A2" s="1217"/>
      <c r="B2" s="19" t="s">
        <v>318</v>
      </c>
      <c r="C2" s="4"/>
      <c r="D2" s="15"/>
    </row>
    <row r="3" spans="1:4" ht="18" x14ac:dyDescent="0.25">
      <c r="A3" s="1217"/>
      <c r="B3" s="31" t="s">
        <v>317</v>
      </c>
      <c r="C3" s="106"/>
      <c r="D3" s="15" t="s">
        <v>55</v>
      </c>
    </row>
    <row r="4" spans="1:4" x14ac:dyDescent="0.25">
      <c r="A4" s="1217"/>
      <c r="B4" s="31" t="s">
        <v>316</v>
      </c>
      <c r="C4" s="106"/>
      <c r="D4" s="15" t="s">
        <v>40</v>
      </c>
    </row>
    <row r="5" spans="1:4" ht="18" x14ac:dyDescent="0.25">
      <c r="A5" s="1217"/>
      <c r="B5" s="19" t="s">
        <v>271</v>
      </c>
      <c r="C5" s="4"/>
      <c r="D5" s="15"/>
    </row>
    <row r="6" spans="1:4" x14ac:dyDescent="0.25">
      <c r="A6" s="1217"/>
      <c r="B6" s="31" t="s">
        <v>270</v>
      </c>
      <c r="C6" s="106"/>
      <c r="D6" s="15" t="s">
        <v>87</v>
      </c>
    </row>
    <row r="7" spans="1:4" x14ac:dyDescent="0.25">
      <c r="A7" s="1217"/>
      <c r="B7" s="31" t="s">
        <v>269</v>
      </c>
      <c r="C7" s="106"/>
      <c r="D7" s="15" t="s">
        <v>87</v>
      </c>
    </row>
    <row r="8" spans="1:4" x14ac:dyDescent="0.25">
      <c r="A8" s="1217"/>
      <c r="B8" s="19" t="s">
        <v>292</v>
      </c>
      <c r="C8" s="4"/>
      <c r="D8" s="15"/>
    </row>
    <row r="9" spans="1:4" ht="15" customHeight="1" x14ac:dyDescent="0.25">
      <c r="A9" s="1217"/>
      <c r="B9" s="31" t="s">
        <v>241</v>
      </c>
      <c r="C9" s="106"/>
      <c r="D9" s="15" t="s">
        <v>40</v>
      </c>
    </row>
    <row r="10" spans="1:4" x14ac:dyDescent="0.25">
      <c r="A10" s="1217"/>
      <c r="B10" s="31" t="s">
        <v>266</v>
      </c>
      <c r="C10" s="106"/>
      <c r="D10" s="15" t="s">
        <v>40</v>
      </c>
    </row>
    <row r="11" spans="1:4" x14ac:dyDescent="0.25">
      <c r="A11" s="1217"/>
      <c r="B11" s="4"/>
      <c r="C11" s="4"/>
      <c r="D11" s="15"/>
    </row>
    <row r="12" spans="1:4" x14ac:dyDescent="0.25">
      <c r="A12" s="1217"/>
      <c r="B12" s="1210" t="s">
        <v>315</v>
      </c>
      <c r="C12" s="1210"/>
      <c r="D12" s="1211"/>
    </row>
    <row r="13" spans="1:4" ht="18" x14ac:dyDescent="0.25">
      <c r="A13" s="1217"/>
      <c r="B13" s="31" t="s">
        <v>314</v>
      </c>
      <c r="C13" s="113" t="str">
        <f>IF(AND(((C3*10^6)-22000*(C4*10^-2))&gt;0,C3&lt;&gt;"",C4&lt;&gt;""),(10^4)*(SUM(C6:C7)/((C3*10^6)-22000*(C4*10^-2))),IF(AND((C3*10^6)&gt;0,C3&lt;&gt;""),(10^4)*(SUM(C6:C7)/(C3*10^6)),""))</f>
        <v/>
      </c>
      <c r="D13" s="15" t="s">
        <v>45</v>
      </c>
    </row>
    <row r="14" spans="1:4" x14ac:dyDescent="0.25">
      <c r="A14" s="1217"/>
      <c r="B14" s="1214" t="s">
        <v>313</v>
      </c>
      <c r="C14" s="1214"/>
      <c r="D14" s="1215"/>
    </row>
    <row r="15" spans="1:4" x14ac:dyDescent="0.25">
      <c r="A15" s="1217"/>
      <c r="B15" s="31" t="s">
        <v>306</v>
      </c>
      <c r="C15" s="130" t="str">
        <f>IF(C10&lt;&gt;"",CEILING(SQRT((C13*C9)/C10),5),"")</f>
        <v/>
      </c>
      <c r="D15" s="15" t="s">
        <v>40</v>
      </c>
    </row>
    <row r="16" spans="1:4" ht="15" customHeight="1" x14ac:dyDescent="0.25">
      <c r="A16" s="1217"/>
      <c r="B16" s="31" t="s">
        <v>305</v>
      </c>
      <c r="C16" s="130" t="str">
        <f>IF(C9&lt;&gt;"",CEILING(SQRT((C13*C10)/C9),5),"")</f>
        <v/>
      </c>
      <c r="D16" s="15" t="s">
        <v>40</v>
      </c>
    </row>
    <row r="17" spans="1:4" x14ac:dyDescent="0.25">
      <c r="A17" s="1217"/>
      <c r="B17" s="31" t="s">
        <v>312</v>
      </c>
      <c r="C17" s="113" t="str">
        <f>IF(AND(C15&lt;&gt;"",C9&lt;&gt;""),(C15-C9)/4,"")</f>
        <v/>
      </c>
      <c r="D17" s="15" t="s">
        <v>40</v>
      </c>
    </row>
    <row r="18" spans="1:4" x14ac:dyDescent="0.25">
      <c r="A18" s="1217"/>
      <c r="B18" s="31" t="s">
        <v>304</v>
      </c>
      <c r="C18" s="130" t="str">
        <f>IF(C17="","",CEILING(C17,5)+5)</f>
        <v/>
      </c>
      <c r="D18" s="15" t="s">
        <v>40</v>
      </c>
    </row>
    <row r="19" spans="1:4" ht="18" x14ac:dyDescent="0.25">
      <c r="A19" s="1217"/>
      <c r="B19" s="19" t="s">
        <v>311</v>
      </c>
      <c r="C19" s="19"/>
      <c r="D19" s="51"/>
    </row>
    <row r="20" spans="1:4" x14ac:dyDescent="0.25">
      <c r="A20" s="1217"/>
      <c r="B20" s="31" t="s">
        <v>310</v>
      </c>
      <c r="C20" s="113" t="str">
        <f>IF(AND(C15="",C16="",C18=""),"",(C15*10^-2)*(C16*10^-2)*(C18*10^-2)*25000)</f>
        <v/>
      </c>
      <c r="D20" s="15" t="s">
        <v>87</v>
      </c>
    </row>
    <row r="21" spans="1:4" ht="18" x14ac:dyDescent="0.25">
      <c r="A21" s="1217"/>
      <c r="B21" s="31" t="s">
        <v>309</v>
      </c>
      <c r="C21" s="130" t="str">
        <f>IF(AND(C20&lt;&gt;"",OR(C6&lt;&gt;"",C7&lt;&gt;""),C15&lt;&gt;"",C16&lt;&gt;""),(C20+SUM(C6:C7))/(C15*10*C16*10),"")</f>
        <v/>
      </c>
      <c r="D21" s="15" t="s">
        <v>55</v>
      </c>
    </row>
    <row r="22" spans="1:4" ht="18" x14ac:dyDescent="0.25">
      <c r="A22" s="1217"/>
      <c r="B22" s="31" t="s">
        <v>308</v>
      </c>
      <c r="C22" s="130" t="str">
        <f>IF(C3&lt;&gt;"",C3,"")</f>
        <v/>
      </c>
      <c r="D22" s="15" t="s">
        <v>55</v>
      </c>
    </row>
    <row r="23" spans="1:4" x14ac:dyDescent="0.25">
      <c r="A23" s="1217"/>
      <c r="B23" s="1212" t="str">
        <f>IF(AND(C21&lt;C22,C21&lt;&gt;"",C22&lt;&gt;""),"Condition satisfaite","")</f>
        <v/>
      </c>
      <c r="C23" s="1212"/>
      <c r="D23" s="1213"/>
    </row>
    <row r="24" spans="1:4" x14ac:dyDescent="0.25">
      <c r="A24" s="1217"/>
      <c r="B24" s="4"/>
      <c r="C24" s="4"/>
      <c r="D24" s="15"/>
    </row>
    <row r="25" spans="1:4" x14ac:dyDescent="0.25">
      <c r="A25" s="1217"/>
      <c r="B25" s="1210" t="s">
        <v>307</v>
      </c>
      <c r="C25" s="1210"/>
      <c r="D25" s="1211"/>
    </row>
    <row r="26" spans="1:4" x14ac:dyDescent="0.25">
      <c r="A26" s="1217"/>
      <c r="B26" s="31" t="s">
        <v>306</v>
      </c>
      <c r="C26" s="129" t="str">
        <f>IF(C15="","",C15)</f>
        <v/>
      </c>
      <c r="D26" s="15" t="s">
        <v>40</v>
      </c>
    </row>
    <row r="27" spans="1:4" x14ac:dyDescent="0.25">
      <c r="A27" s="1217"/>
      <c r="B27" s="31" t="s">
        <v>305</v>
      </c>
      <c r="C27" s="129" t="str">
        <f>IF(C16="","",C16)</f>
        <v/>
      </c>
      <c r="D27" s="15" t="s">
        <v>40</v>
      </c>
    </row>
    <row r="28" spans="1:4" x14ac:dyDescent="0.25">
      <c r="A28" s="1217"/>
      <c r="B28" s="31" t="s">
        <v>304</v>
      </c>
      <c r="C28" s="129" t="str">
        <f>IF(C18="","",C18)</f>
        <v/>
      </c>
      <c r="D28" s="15" t="s">
        <v>40</v>
      </c>
    </row>
    <row r="29" spans="1:4" x14ac:dyDescent="0.25">
      <c r="A29" s="1217"/>
      <c r="B29" s="4"/>
      <c r="C29" s="4"/>
      <c r="D29" s="15"/>
    </row>
    <row r="30" spans="1:4" x14ac:dyDescent="0.25">
      <c r="A30" s="1217"/>
      <c r="B30" s="4"/>
      <c r="C30" s="4"/>
      <c r="D30" s="15"/>
    </row>
    <row r="31" spans="1:4" x14ac:dyDescent="0.25">
      <c r="A31" s="1217"/>
      <c r="B31" s="4"/>
      <c r="C31" s="4"/>
      <c r="D31" s="15"/>
    </row>
    <row r="32" spans="1:4" x14ac:dyDescent="0.25">
      <c r="A32" s="1217"/>
      <c r="B32" s="4"/>
      <c r="C32" s="4"/>
      <c r="D32" s="15"/>
    </row>
    <row r="33" spans="1:4" x14ac:dyDescent="0.25">
      <c r="A33" s="1217"/>
      <c r="B33" s="4"/>
      <c r="C33" s="4"/>
      <c r="D33" s="15"/>
    </row>
    <row r="34" spans="1:4" x14ac:dyDescent="0.25">
      <c r="A34" s="1217"/>
      <c r="B34" s="4"/>
      <c r="C34" s="4"/>
      <c r="D34" s="15"/>
    </row>
    <row r="35" spans="1:4" x14ac:dyDescent="0.25">
      <c r="A35" s="1217"/>
      <c r="B35" s="4"/>
      <c r="C35" s="4"/>
      <c r="D35" s="7"/>
    </row>
    <row r="36" spans="1:4" x14ac:dyDescent="0.25">
      <c r="A36" s="1218"/>
      <c r="B36" s="5"/>
      <c r="C36" s="5"/>
      <c r="D36" s="112"/>
    </row>
    <row r="37" spans="1:4" x14ac:dyDescent="0.25">
      <c r="D37" s="1"/>
    </row>
    <row r="38" spans="1:4" x14ac:dyDescent="0.25">
      <c r="D38" s="1"/>
    </row>
    <row r="39" spans="1:4" x14ac:dyDescent="0.25">
      <c r="D39" s="1"/>
    </row>
    <row r="40" spans="1:4" x14ac:dyDescent="0.25">
      <c r="D40" s="1"/>
    </row>
    <row r="41" spans="1:4" x14ac:dyDescent="0.25">
      <c r="D41" s="1"/>
    </row>
    <row r="42" spans="1:4" x14ac:dyDescent="0.25">
      <c r="D42" s="1"/>
    </row>
    <row r="43" spans="1:4" x14ac:dyDescent="0.25">
      <c r="D43" s="1"/>
    </row>
    <row r="44" spans="1:4" x14ac:dyDescent="0.25">
      <c r="D44" s="1"/>
    </row>
    <row r="45" spans="1:4" x14ac:dyDescent="0.25">
      <c r="D45" s="1"/>
    </row>
  </sheetData>
  <sheetProtection password="EE7E" sheet="1" objects="1" scenarios="1"/>
  <mergeCells count="6">
    <mergeCell ref="A1:A36"/>
    <mergeCell ref="B1:D1"/>
    <mergeCell ref="B12:D12"/>
    <mergeCell ref="B14:D14"/>
    <mergeCell ref="B23:D23"/>
    <mergeCell ref="B25:D2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0000"/>
  </sheetPr>
  <dimension ref="A1:F32"/>
  <sheetViews>
    <sheetView showGridLines="0" view="pageBreakPreview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.28515625" style="1" bestFit="1" customWidth="1"/>
    <col min="2" max="2" width="39.28515625" style="1" bestFit="1" customWidth="1"/>
    <col min="3" max="3" width="20.5703125" style="1" bestFit="1" customWidth="1"/>
    <col min="4" max="4" width="6.85546875" style="1" bestFit="1" customWidth="1"/>
    <col min="5" max="6" width="11.42578125" style="1" hidden="1" customWidth="1"/>
    <col min="7" max="16384" width="11.42578125" style="1"/>
  </cols>
  <sheetData>
    <row r="1" spans="1:6" ht="15" customHeight="1" x14ac:dyDescent="0.25">
      <c r="A1" s="1219" t="s">
        <v>303</v>
      </c>
      <c r="B1" s="1208" t="s">
        <v>92</v>
      </c>
      <c r="C1" s="1208"/>
      <c r="D1" s="1209"/>
    </row>
    <row r="2" spans="1:6" x14ac:dyDescent="0.25">
      <c r="A2" s="1220"/>
      <c r="B2" s="23" t="s">
        <v>90</v>
      </c>
      <c r="C2" s="30"/>
      <c r="D2" s="15"/>
      <c r="E2" s="1">
        <v>500</v>
      </c>
    </row>
    <row r="3" spans="1:6" ht="18" x14ac:dyDescent="0.25">
      <c r="A3" s="1220"/>
      <c r="B3" s="1214" t="s">
        <v>293</v>
      </c>
      <c r="C3" s="1214"/>
      <c r="D3" s="1215"/>
      <c r="E3" s="1">
        <v>400</v>
      </c>
    </row>
    <row r="4" spans="1:6" x14ac:dyDescent="0.25">
      <c r="A4" s="1220"/>
      <c r="B4" s="31" t="s">
        <v>250</v>
      </c>
      <c r="C4" s="106"/>
      <c r="D4" s="15" t="s">
        <v>87</v>
      </c>
      <c r="E4" s="1">
        <v>235</v>
      </c>
    </row>
    <row r="5" spans="1:6" x14ac:dyDescent="0.25">
      <c r="A5" s="1220"/>
      <c r="B5" s="31" t="s">
        <v>249</v>
      </c>
      <c r="C5" s="106"/>
      <c r="D5" s="15" t="s">
        <v>87</v>
      </c>
      <c r="E5" s="1">
        <v>215</v>
      </c>
    </row>
    <row r="6" spans="1:6" x14ac:dyDescent="0.25">
      <c r="A6" s="1220"/>
      <c r="B6" s="19" t="s">
        <v>302</v>
      </c>
      <c r="C6" s="4"/>
      <c r="D6" s="7"/>
      <c r="E6" s="1" t="s">
        <v>291</v>
      </c>
      <c r="F6" s="1">
        <v>1.1499999999999999</v>
      </c>
    </row>
    <row r="7" spans="1:6" x14ac:dyDescent="0.25">
      <c r="A7" s="1220"/>
      <c r="B7" s="31" t="s">
        <v>301</v>
      </c>
      <c r="C7" s="106"/>
      <c r="D7" s="15" t="s">
        <v>40</v>
      </c>
      <c r="E7" s="1" t="s">
        <v>76</v>
      </c>
      <c r="F7" s="1">
        <v>1</v>
      </c>
    </row>
    <row r="8" spans="1:6" x14ac:dyDescent="0.25">
      <c r="A8" s="1220"/>
      <c r="B8" s="31" t="s">
        <v>300</v>
      </c>
      <c r="C8" s="106"/>
      <c r="D8" s="15" t="s">
        <v>40</v>
      </c>
    </row>
    <row r="9" spans="1:6" x14ac:dyDescent="0.25">
      <c r="A9" s="1220"/>
      <c r="B9" s="31" t="s">
        <v>299</v>
      </c>
      <c r="C9" s="106"/>
      <c r="D9" s="15" t="s">
        <v>40</v>
      </c>
      <c r="E9" s="1" t="s">
        <v>91</v>
      </c>
    </row>
    <row r="10" spans="1:6" x14ac:dyDescent="0.25">
      <c r="A10" s="1220"/>
      <c r="B10" s="19" t="s">
        <v>286</v>
      </c>
      <c r="C10" s="4"/>
      <c r="D10" s="15"/>
      <c r="E10" s="1" t="s">
        <v>89</v>
      </c>
      <c r="F10" s="1">
        <v>1.1000000000000001</v>
      </c>
    </row>
    <row r="11" spans="1:6" ht="18" x14ac:dyDescent="0.25">
      <c r="A11" s="1220"/>
      <c r="B11" s="31" t="s">
        <v>285</v>
      </c>
      <c r="C11" s="128"/>
      <c r="D11" s="15" t="s">
        <v>55</v>
      </c>
      <c r="E11" s="1" t="s">
        <v>86</v>
      </c>
      <c r="F11" s="1">
        <v>1.5</v>
      </c>
    </row>
    <row r="12" spans="1:6" ht="18" x14ac:dyDescent="0.25">
      <c r="A12" s="1220"/>
      <c r="B12" s="29" t="s">
        <v>265</v>
      </c>
      <c r="C12" s="30"/>
      <c r="D12" s="7"/>
    </row>
    <row r="13" spans="1:6" ht="15" customHeight="1" x14ac:dyDescent="0.25">
      <c r="A13" s="1220"/>
      <c r="B13" s="4"/>
      <c r="C13" s="121"/>
      <c r="D13" s="120"/>
    </row>
    <row r="14" spans="1:6" ht="30" customHeight="1" x14ac:dyDescent="0.25">
      <c r="A14" s="1220"/>
      <c r="B14" s="1222" t="s">
        <v>284</v>
      </c>
      <c r="C14" s="1222"/>
      <c r="D14" s="1223"/>
    </row>
    <row r="15" spans="1:6" ht="18" x14ac:dyDescent="0.25">
      <c r="A15" s="1220"/>
      <c r="B15" s="31" t="s">
        <v>283</v>
      </c>
      <c r="C15" s="119" t="str">
        <f>IF(AND(C11&lt;&gt;"",C12="cas courants"),C11/1.15,IF(AND(C11&lt;&gt;"",C12="combinaisons accidentelles"),C11/1,""))</f>
        <v/>
      </c>
      <c r="D15" s="15" t="s">
        <v>55</v>
      </c>
    </row>
    <row r="16" spans="1:6" x14ac:dyDescent="0.25">
      <c r="A16" s="1220"/>
      <c r="B16" s="31" t="s">
        <v>237</v>
      </c>
      <c r="C16" s="4" t="str">
        <f>IF(OR(C11=235,C11=215),"rond lisse (Ø)",IF(OR(C11=500,C11=400),"haute adhérence (HA)",""))</f>
        <v/>
      </c>
      <c r="D16" s="15"/>
    </row>
    <row r="17" spans="1:4" x14ac:dyDescent="0.25">
      <c r="A17" s="1220"/>
      <c r="B17" s="31" t="s">
        <v>282</v>
      </c>
      <c r="C17" s="106" t="str">
        <f>IF(C9&lt;&gt;"",C9-5,"")</f>
        <v/>
      </c>
      <c r="D17" s="15" t="s">
        <v>40</v>
      </c>
    </row>
    <row r="18" spans="1:4" ht="18" x14ac:dyDescent="0.25">
      <c r="A18" s="1220"/>
      <c r="B18" s="31" t="s">
        <v>281</v>
      </c>
      <c r="C18" s="119" t="str">
        <f>IF(AND(C8&lt;&gt;"",C7&lt;&gt;""),(C8-C7)/4,"")</f>
        <v/>
      </c>
      <c r="D18" s="15" t="s">
        <v>40</v>
      </c>
    </row>
    <row r="19" spans="1:4" x14ac:dyDescent="0.25">
      <c r="A19" s="1220"/>
      <c r="B19" s="4" t="str">
        <f>IF(AND(C17&lt;&gt;"",C18&lt;&gt;"",C17&gt;=C18),"Condition de rigidité satisfaite !",IF(AND(C17&lt;&gt;"",C18&lt;&gt;"",C17&lt;C18),"Redimensionner votre semelle en augmentant h.",""))</f>
        <v/>
      </c>
      <c r="C19" s="4"/>
      <c r="D19" s="7"/>
    </row>
    <row r="20" spans="1:4" x14ac:dyDescent="0.25">
      <c r="A20" s="1220"/>
      <c r="B20" s="127" t="s">
        <v>298</v>
      </c>
      <c r="C20" s="4"/>
      <c r="D20" s="7"/>
    </row>
    <row r="21" spans="1:4" ht="18" x14ac:dyDescent="0.25">
      <c r="A21" s="1220"/>
      <c r="B21" s="3" t="s">
        <v>279</v>
      </c>
      <c r="C21" s="126" t="str">
        <f>IF(AND(OR(C4&lt;&gt;"",C5&lt;&gt;""),B19="Condition de rigidité satisfaite !",C8&lt;&gt;"",C7&lt;&gt;"",C17&lt;&gt;"",C15&lt;&gt;""),(SUM(C4:C5)/8)*((10^-2)/C15)*((C8-C7)/C17),"")</f>
        <v/>
      </c>
      <c r="D21" s="15" t="s">
        <v>295</v>
      </c>
    </row>
    <row r="22" spans="1:4" x14ac:dyDescent="0.25">
      <c r="A22" s="1220"/>
      <c r="B22" s="4" t="str">
        <f>IF(AND(C21&lt;&gt;"",C2=""),"La fissuration étant négligée, pas de majoration de la section d'acier.",IF(C2="peu préjudiciable","Fissuration peu préjudiciable, aucune majoration appliquée.",IF(C2="préjudiciable","Fissuration préjudiciable, majoration de 10 %.",IF(C2="très préjudiciable","Fissuration très préjudiciable, section majorée de 50 %.",""))))</f>
        <v/>
      </c>
      <c r="C22" s="4"/>
      <c r="D22" s="15"/>
    </row>
    <row r="23" spans="1:4" x14ac:dyDescent="0.25">
      <c r="A23" s="1220"/>
      <c r="B23" s="125" t="s">
        <v>297</v>
      </c>
      <c r="C23" s="4"/>
      <c r="D23" s="7"/>
    </row>
    <row r="24" spans="1:4" ht="18" x14ac:dyDescent="0.25">
      <c r="A24" s="1220"/>
      <c r="B24" s="6" t="s">
        <v>275</v>
      </c>
      <c r="C24" s="113" t="str">
        <f>IF(AND(C21&lt;&gt;"",OR(C2="",C2="peu préjudiciable")),C21,IF(AND(C21&lt;&gt;"",C2="préjudiciable"),C21*1.1,IF(AND(C21&lt;&gt;"",C2="très préjudiciable"),C21*1.5,"")))</f>
        <v/>
      </c>
      <c r="D24" s="15" t="s">
        <v>295</v>
      </c>
    </row>
    <row r="25" spans="1:4" x14ac:dyDescent="0.25">
      <c r="A25" s="1220"/>
      <c r="B25" s="115" t="s">
        <v>296</v>
      </c>
      <c r="C25" s="4"/>
      <c r="D25" s="15"/>
    </row>
    <row r="26" spans="1:4" ht="18" x14ac:dyDescent="0.25">
      <c r="A26" s="1220"/>
      <c r="B26" s="124" t="s">
        <v>273</v>
      </c>
      <c r="C26" s="113" t="str">
        <f>IF(C24&lt;&gt;"",C24/4,"")</f>
        <v/>
      </c>
      <c r="D26" s="15" t="s">
        <v>295</v>
      </c>
    </row>
    <row r="27" spans="1:4" x14ac:dyDescent="0.25">
      <c r="A27" s="1220"/>
      <c r="B27" s="4"/>
      <c r="C27" s="4"/>
      <c r="D27" s="7"/>
    </row>
    <row r="28" spans="1:4" x14ac:dyDescent="0.25">
      <c r="A28" s="1220"/>
      <c r="B28" s="4"/>
      <c r="C28" s="4"/>
      <c r="D28" s="7"/>
    </row>
    <row r="29" spans="1:4" x14ac:dyDescent="0.25">
      <c r="A29" s="1220"/>
      <c r="B29" s="4"/>
      <c r="C29" s="4"/>
      <c r="D29" s="7"/>
    </row>
    <row r="30" spans="1:4" x14ac:dyDescent="0.25">
      <c r="A30" s="1220"/>
      <c r="B30" s="4"/>
      <c r="C30" s="4"/>
      <c r="D30" s="7"/>
    </row>
    <row r="31" spans="1:4" x14ac:dyDescent="0.25">
      <c r="A31" s="1220"/>
      <c r="B31" s="4"/>
      <c r="C31" s="4"/>
      <c r="D31" s="7"/>
    </row>
    <row r="32" spans="1:4" x14ac:dyDescent="0.25">
      <c r="A32" s="1221"/>
      <c r="B32" s="5"/>
      <c r="C32" s="5"/>
      <c r="D32" s="112"/>
    </row>
  </sheetData>
  <sheetProtection password="EE7E" sheet="1" objects="1" scenarios="1"/>
  <mergeCells count="4">
    <mergeCell ref="A1:A32"/>
    <mergeCell ref="B1:D1"/>
    <mergeCell ref="B3:D3"/>
    <mergeCell ref="B14:D14"/>
  </mergeCells>
  <dataValidations count="3">
    <dataValidation type="list" allowBlank="1" showInputMessage="1" showErrorMessage="1" sqref="C11">
      <formula1>E2:E5</formula1>
    </dataValidation>
    <dataValidation type="list" allowBlank="1" showInputMessage="1" showErrorMessage="1" sqref="C12">
      <formula1>E6:E7</formula1>
    </dataValidation>
    <dataValidation type="list" allowBlank="1" showInputMessage="1" showErrorMessage="1" sqref="C2">
      <formula1>E9:E11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0"/>
  </sheetPr>
  <dimension ref="A1:F34"/>
  <sheetViews>
    <sheetView showGridLines="0" view="pageBreakPreview" topLeftCell="A7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.5703125" style="1" bestFit="1" customWidth="1"/>
    <col min="2" max="2" width="42.28515625" style="1" customWidth="1"/>
    <col min="3" max="3" width="23" style="1" customWidth="1"/>
    <col min="4" max="4" width="5" style="1" bestFit="1" customWidth="1"/>
    <col min="5" max="6" width="11.42578125" style="1" hidden="1" customWidth="1"/>
    <col min="7" max="16384" width="11.42578125" style="1"/>
  </cols>
  <sheetData>
    <row r="1" spans="1:6" ht="15" customHeight="1" x14ac:dyDescent="0.25">
      <c r="A1" s="1219" t="s">
        <v>294</v>
      </c>
      <c r="B1" s="1208" t="s">
        <v>92</v>
      </c>
      <c r="C1" s="1208"/>
      <c r="D1" s="1209"/>
    </row>
    <row r="2" spans="1:6" x14ac:dyDescent="0.25">
      <c r="A2" s="1220"/>
      <c r="B2" s="23" t="s">
        <v>90</v>
      </c>
      <c r="C2" s="30"/>
      <c r="D2" s="15"/>
      <c r="E2" s="1">
        <v>500</v>
      </c>
    </row>
    <row r="3" spans="1:6" ht="18" x14ac:dyDescent="0.25">
      <c r="A3" s="1220"/>
      <c r="B3" s="1214" t="s">
        <v>293</v>
      </c>
      <c r="C3" s="1214"/>
      <c r="D3" s="1215"/>
      <c r="E3" s="1">
        <v>400</v>
      </c>
    </row>
    <row r="4" spans="1:6" x14ac:dyDescent="0.25">
      <c r="A4" s="1220"/>
      <c r="B4" s="31" t="s">
        <v>250</v>
      </c>
      <c r="C4" s="106"/>
      <c r="D4" s="15" t="s">
        <v>87</v>
      </c>
      <c r="E4" s="1">
        <v>235</v>
      </c>
    </row>
    <row r="5" spans="1:6" x14ac:dyDescent="0.25">
      <c r="A5" s="1220"/>
      <c r="B5" s="31" t="s">
        <v>249</v>
      </c>
      <c r="C5" s="106"/>
      <c r="D5" s="15" t="s">
        <v>87</v>
      </c>
      <c r="E5" s="1">
        <v>215</v>
      </c>
    </row>
    <row r="6" spans="1:6" x14ac:dyDescent="0.25">
      <c r="A6" s="1220"/>
      <c r="B6" s="19" t="s">
        <v>292</v>
      </c>
      <c r="C6" s="4"/>
      <c r="D6" s="7"/>
      <c r="E6" s="1" t="s">
        <v>291</v>
      </c>
      <c r="F6" s="1">
        <v>1.1499999999999999</v>
      </c>
    </row>
    <row r="7" spans="1:6" x14ac:dyDescent="0.25">
      <c r="A7" s="1220"/>
      <c r="B7" s="31" t="s">
        <v>241</v>
      </c>
      <c r="C7" s="123"/>
      <c r="D7" s="15" t="s">
        <v>40</v>
      </c>
      <c r="E7" s="1" t="s">
        <v>76</v>
      </c>
      <c r="F7" s="1">
        <v>1</v>
      </c>
    </row>
    <row r="8" spans="1:6" x14ac:dyDescent="0.25">
      <c r="A8" s="1220"/>
      <c r="B8" s="31" t="s">
        <v>266</v>
      </c>
      <c r="C8" s="123"/>
      <c r="D8" s="15" t="s">
        <v>40</v>
      </c>
    </row>
    <row r="9" spans="1:6" x14ac:dyDescent="0.25">
      <c r="A9" s="1220"/>
      <c r="B9" s="19" t="s">
        <v>290</v>
      </c>
      <c r="C9" s="4"/>
      <c r="D9" s="15"/>
      <c r="E9" s="1" t="s">
        <v>91</v>
      </c>
    </row>
    <row r="10" spans="1:6" x14ac:dyDescent="0.25">
      <c r="A10" s="1220"/>
      <c r="B10" s="31" t="s">
        <v>289</v>
      </c>
      <c r="C10" s="123"/>
      <c r="D10" s="15" t="s">
        <v>40</v>
      </c>
      <c r="E10" s="1" t="s">
        <v>89</v>
      </c>
      <c r="F10" s="1">
        <v>1.1000000000000001</v>
      </c>
    </row>
    <row r="11" spans="1:6" x14ac:dyDescent="0.25">
      <c r="A11" s="1220"/>
      <c r="B11" s="31" t="s">
        <v>288</v>
      </c>
      <c r="C11" s="123"/>
      <c r="D11" s="15" t="s">
        <v>40</v>
      </c>
      <c r="E11" s="1" t="s">
        <v>86</v>
      </c>
      <c r="F11" s="1">
        <v>1.5</v>
      </c>
    </row>
    <row r="12" spans="1:6" x14ac:dyDescent="0.25">
      <c r="A12" s="1220"/>
      <c r="B12" s="31" t="s">
        <v>287</v>
      </c>
      <c r="C12" s="123"/>
      <c r="D12" s="15" t="s">
        <v>40</v>
      </c>
    </row>
    <row r="13" spans="1:6" x14ac:dyDescent="0.25">
      <c r="A13" s="1220"/>
      <c r="B13" s="19" t="s">
        <v>286</v>
      </c>
      <c r="C13" s="4"/>
      <c r="D13" s="15"/>
    </row>
    <row r="14" spans="1:6" ht="18" x14ac:dyDescent="0.25">
      <c r="A14" s="1220"/>
      <c r="B14" s="31" t="s">
        <v>285</v>
      </c>
      <c r="C14" s="122"/>
      <c r="D14" s="15" t="s">
        <v>55</v>
      </c>
    </row>
    <row r="15" spans="1:6" ht="18" x14ac:dyDescent="0.25">
      <c r="A15" s="1220"/>
      <c r="B15" s="29" t="s">
        <v>265</v>
      </c>
      <c r="C15" s="30"/>
      <c r="D15" s="7"/>
    </row>
    <row r="16" spans="1:6" ht="15" customHeight="1" x14ac:dyDescent="0.25">
      <c r="A16" s="1220"/>
      <c r="B16" s="4"/>
      <c r="C16" s="121"/>
      <c r="D16" s="120"/>
    </row>
    <row r="17" spans="1:4" ht="30" customHeight="1" x14ac:dyDescent="0.25">
      <c r="A17" s="1220"/>
      <c r="B17" s="1222" t="s">
        <v>284</v>
      </c>
      <c r="C17" s="1222"/>
      <c r="D17" s="1223"/>
    </row>
    <row r="18" spans="1:4" ht="18" x14ac:dyDescent="0.25">
      <c r="A18" s="1220"/>
      <c r="B18" s="31" t="s">
        <v>283</v>
      </c>
      <c r="C18" s="119" t="str">
        <f>IF(AND(C14&lt;&gt;"",C15="cas courants"),C14/1.15,IF(AND(C14&lt;&gt;"",C15="combinaisons accidentelles"),C14/1,""))</f>
        <v/>
      </c>
      <c r="D18" s="15" t="s">
        <v>55</v>
      </c>
    </row>
    <row r="19" spans="1:4" x14ac:dyDescent="0.25">
      <c r="A19" s="1220"/>
      <c r="B19" s="31" t="s">
        <v>237</v>
      </c>
      <c r="C19" s="4" t="str">
        <f>IF(OR(C14=235,C14=215),"rond lisse (Ø)",IF(OR(C14=500,C14=400),"haute adhérence (HA)",""))</f>
        <v/>
      </c>
      <c r="D19" s="7"/>
    </row>
    <row r="20" spans="1:4" x14ac:dyDescent="0.25">
      <c r="A20" s="1220"/>
      <c r="B20" s="31" t="s">
        <v>282</v>
      </c>
      <c r="C20" s="105" t="str">
        <f>IF(C12&lt;&gt;"",C12-5,"")</f>
        <v/>
      </c>
      <c r="D20" s="15" t="s">
        <v>40</v>
      </c>
    </row>
    <row r="21" spans="1:4" ht="18" x14ac:dyDescent="0.25">
      <c r="A21" s="1220"/>
      <c r="B21" s="31" t="s">
        <v>281</v>
      </c>
      <c r="C21" s="118" t="str">
        <f>IF(AND(C10&lt;&gt;"",C7&lt;&gt;""),(C10-C7)/4,"")</f>
        <v/>
      </c>
      <c r="D21" s="15" t="s">
        <v>40</v>
      </c>
    </row>
    <row r="22" spans="1:4" x14ac:dyDescent="0.25">
      <c r="A22" s="1220"/>
      <c r="B22" s="4" t="str">
        <f>IF(AND(C21&lt;&gt;"",C20&lt;&gt;"",C20&gt;=C21),"Condition de rigidité satisfaite !",IF(AND(C20&lt;&gt;"",C21&lt;&gt;"",C20&lt;C21),"Redimensionner votre semelle en augmentant h.",""))</f>
        <v/>
      </c>
      <c r="C22" s="4"/>
      <c r="D22" s="7"/>
    </row>
    <row r="23" spans="1:4" s="117" customFormat="1" x14ac:dyDescent="0.25">
      <c r="A23" s="1220"/>
      <c r="B23" s="4" t="str">
        <f>IF(B22="Condition de rigidité satisfaite !","Par simplification, (d') sera pris égale à (d) pour la nappe supérieure.","")</f>
        <v/>
      </c>
      <c r="C23" s="4"/>
      <c r="D23" s="7"/>
    </row>
    <row r="24" spans="1:4" x14ac:dyDescent="0.25">
      <c r="A24" s="1220"/>
      <c r="B24" s="115" t="s">
        <v>280</v>
      </c>
      <c r="C24" s="9"/>
      <c r="D24" s="116"/>
    </row>
    <row r="25" spans="1:4" ht="18" x14ac:dyDescent="0.25">
      <c r="A25" s="1220"/>
      <c r="B25" s="3" t="s">
        <v>279</v>
      </c>
      <c r="C25" s="113" t="str">
        <f>IF(AND(OR(C4&lt;&gt;"",C5&lt;&gt;""),C10&lt;&gt;"",C7&lt;&gt;"",C20&lt;&gt;"",C18&lt;&gt;""),(SUM(C4:C5)/8)*((10^-2)/C18)*((C10-C7)/C20),"")</f>
        <v/>
      </c>
      <c r="D25" s="116" t="s">
        <v>45</v>
      </c>
    </row>
    <row r="26" spans="1:4" x14ac:dyDescent="0.25">
      <c r="A26" s="1220"/>
      <c r="B26" s="115" t="s">
        <v>278</v>
      </c>
      <c r="C26" s="4"/>
      <c r="D26" s="7"/>
    </row>
    <row r="27" spans="1:4" ht="18" x14ac:dyDescent="0.25">
      <c r="A27" s="1220"/>
      <c r="B27" s="3" t="s">
        <v>277</v>
      </c>
      <c r="C27" s="113" t="str">
        <f>IF(AND(OR(C4&lt;&gt;"",C5&lt;&gt;""),C11&lt;&gt;"",C8&lt;&gt;"",C20&lt;&gt;"",C18&lt;&gt;""),(SUM(C4:C5)/8)*((10^-2)/C18)*((C11-C8)/C20),"")</f>
        <v/>
      </c>
      <c r="D27" s="15" t="s">
        <v>45</v>
      </c>
    </row>
    <row r="28" spans="1:4" x14ac:dyDescent="0.25">
      <c r="A28" s="1220"/>
      <c r="B28" s="4" t="str">
        <f>IF(AND(C25&lt;&gt;"",C27&lt;&gt;"",C2=""),"La fissuration étant négligée, pas de majoration des sections d'aciers.",IF(C2="peu préjudiciable","Fissuration peu nuisible, aucune majoration appliquée.",IF(C2="préjudiciable","Fissuration nuisible, majoration de 10 %.",IF(C2="très préjudiciable","Fissuration très nuisible, sections majorées de 50 %.",""))))</f>
        <v/>
      </c>
      <c r="C28" s="4"/>
      <c r="D28" s="7"/>
    </row>
    <row r="29" spans="1:4" x14ac:dyDescent="0.25">
      <c r="A29" s="1220"/>
      <c r="B29" s="114" t="s">
        <v>276</v>
      </c>
      <c r="C29" s="4"/>
      <c r="D29" s="7"/>
    </row>
    <row r="30" spans="1:4" ht="18" x14ac:dyDescent="0.25">
      <c r="A30" s="1220"/>
      <c r="B30" s="6" t="s">
        <v>275</v>
      </c>
      <c r="C30" s="113" t="str">
        <f>IF(AND(C25&lt;&gt;"",OR(C2="",C2="peu préjudiciable")),C25,IF(AND(C25&lt;&gt;"",C2="préjudiciable"),C25*1.1,IF(AND(C25&lt;&gt;"",C2="très préjudiciable"),C25*1.5,"")))</f>
        <v/>
      </c>
      <c r="D30" s="15" t="s">
        <v>45</v>
      </c>
    </row>
    <row r="31" spans="1:4" x14ac:dyDescent="0.25">
      <c r="A31" s="1220"/>
      <c r="B31" s="114" t="s">
        <v>274</v>
      </c>
      <c r="C31" s="4"/>
      <c r="D31" s="7"/>
    </row>
    <row r="32" spans="1:4" ht="18" x14ac:dyDescent="0.25">
      <c r="A32" s="1220"/>
      <c r="B32" s="6" t="s">
        <v>273</v>
      </c>
      <c r="C32" s="113" t="str">
        <f>IF(AND(C27&lt;&gt;"",OR(C2="",C2="peu préjudiciable")),C27,IF(AND(C27&lt;&gt;"",C2="préjudiciable"),C27*1.1,IF(AND(C27&lt;&gt;"",C2="très préjudiciable"),C27*1.5,"")))</f>
        <v/>
      </c>
      <c r="D32" s="15" t="s">
        <v>45</v>
      </c>
    </row>
    <row r="33" spans="1:4" x14ac:dyDescent="0.25">
      <c r="A33" s="1220"/>
      <c r="B33" s="4"/>
      <c r="C33" s="4"/>
      <c r="D33" s="7"/>
    </row>
    <row r="34" spans="1:4" x14ac:dyDescent="0.25">
      <c r="A34" s="1221"/>
      <c r="B34" s="5"/>
      <c r="C34" s="5"/>
      <c r="D34" s="112"/>
    </row>
  </sheetData>
  <sheetProtection password="EE7E" sheet="1" objects="1" scenarios="1"/>
  <mergeCells count="4">
    <mergeCell ref="A1:A34"/>
    <mergeCell ref="B1:D1"/>
    <mergeCell ref="B3:D3"/>
    <mergeCell ref="B17:D17"/>
  </mergeCells>
  <dataValidations count="3">
    <dataValidation type="list" allowBlank="1" showInputMessage="1" showErrorMessage="1" sqref="C2">
      <formula1>E9:E11</formula1>
    </dataValidation>
    <dataValidation type="list" allowBlank="1" showInputMessage="1" showErrorMessage="1" sqref="C15">
      <formula1>E6:E7</formula1>
    </dataValidation>
    <dataValidation type="list" allowBlank="1" showInputMessage="1" showErrorMessage="1" sqref="C14">
      <formula1>E2:E5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headerFooter>
    <oddHeader>&amp;L&amp;F&amp;C&amp;P/&amp;N&amp;RNote de calcul - &amp;A
Imprimé le &amp;D</oddHead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3333CC"/>
  </sheetPr>
  <dimension ref="A1:I44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8.140625" style="11" bestFit="1" customWidth="1"/>
    <col min="3" max="3" width="25.5703125" style="11" bestFit="1" customWidth="1"/>
    <col min="4" max="4" width="5" style="8" bestFit="1" customWidth="1"/>
    <col min="5" max="5" width="11.42578125" style="11"/>
    <col min="6" max="6" width="25.5703125" style="11" hidden="1" customWidth="1"/>
    <col min="7" max="7" width="0" style="11" hidden="1" customWidth="1"/>
    <col min="8" max="16384" width="11.42578125" style="11"/>
  </cols>
  <sheetData>
    <row r="1" spans="1:9" ht="15" customHeight="1" x14ac:dyDescent="0.25">
      <c r="A1" s="1228" t="s">
        <v>272</v>
      </c>
      <c r="B1" s="1208" t="s">
        <v>92</v>
      </c>
      <c r="C1" s="1208"/>
      <c r="D1" s="1209"/>
    </row>
    <row r="2" spans="1:9" ht="18" x14ac:dyDescent="0.25">
      <c r="A2" s="1229"/>
      <c r="B2" s="19" t="s">
        <v>271</v>
      </c>
      <c r="C2" s="21"/>
      <c r="D2" s="15"/>
      <c r="F2" s="11">
        <v>16</v>
      </c>
      <c r="G2" s="11">
        <v>500</v>
      </c>
    </row>
    <row r="3" spans="1:9" x14ac:dyDescent="0.25">
      <c r="A3" s="1229"/>
      <c r="B3" s="21" t="s">
        <v>270</v>
      </c>
      <c r="C3" s="106"/>
      <c r="D3" s="15" t="s">
        <v>87</v>
      </c>
      <c r="F3" s="11">
        <v>18</v>
      </c>
      <c r="G3" s="11">
        <v>400</v>
      </c>
    </row>
    <row r="4" spans="1:9" x14ac:dyDescent="0.25">
      <c r="A4" s="1229"/>
      <c r="B4" s="21" t="s">
        <v>269</v>
      </c>
      <c r="C4" s="106"/>
      <c r="D4" s="15" t="s">
        <v>87</v>
      </c>
      <c r="F4" s="11">
        <v>20</v>
      </c>
      <c r="G4" s="11">
        <v>235</v>
      </c>
    </row>
    <row r="5" spans="1:9" ht="18" x14ac:dyDescent="0.25">
      <c r="A5" s="1229"/>
      <c r="B5" s="19" t="s">
        <v>268</v>
      </c>
      <c r="C5" s="21"/>
      <c r="D5" s="15"/>
      <c r="F5" s="11">
        <v>22</v>
      </c>
      <c r="G5" s="11">
        <v>215</v>
      </c>
      <c r="I5" s="36"/>
    </row>
    <row r="6" spans="1:9" x14ac:dyDescent="0.25">
      <c r="A6" s="1229"/>
      <c r="B6" s="31" t="s">
        <v>250</v>
      </c>
      <c r="C6" s="106" t="str">
        <f>IF(C3&lt;&gt;"",C3*1.35,"")</f>
        <v/>
      </c>
      <c r="D6" s="15" t="s">
        <v>87</v>
      </c>
      <c r="F6" s="11">
        <v>25</v>
      </c>
    </row>
    <row r="7" spans="1:9" x14ac:dyDescent="0.25">
      <c r="A7" s="1229"/>
      <c r="B7" s="31" t="s">
        <v>249</v>
      </c>
      <c r="C7" s="106" t="str">
        <f>IF(C4&lt;&gt;"",C4*1.5,"")</f>
        <v/>
      </c>
      <c r="D7" s="15" t="s">
        <v>87</v>
      </c>
      <c r="F7" s="11">
        <v>27</v>
      </c>
    </row>
    <row r="8" spans="1:9" x14ac:dyDescent="0.25">
      <c r="A8" s="1229"/>
      <c r="B8" s="19" t="s">
        <v>267</v>
      </c>
      <c r="C8" s="4"/>
      <c r="D8" s="15"/>
      <c r="F8" s="11">
        <v>30</v>
      </c>
    </row>
    <row r="9" spans="1:9" x14ac:dyDescent="0.25">
      <c r="A9" s="1229"/>
      <c r="B9" s="31" t="s">
        <v>266</v>
      </c>
      <c r="C9" s="106"/>
      <c r="D9" s="15" t="s">
        <v>40</v>
      </c>
      <c r="F9" s="11">
        <v>35</v>
      </c>
    </row>
    <row r="10" spans="1:9" x14ac:dyDescent="0.25">
      <c r="A10" s="1229"/>
      <c r="B10" s="31" t="s">
        <v>241</v>
      </c>
      <c r="C10" s="106"/>
      <c r="D10" s="15" t="s">
        <v>40</v>
      </c>
      <c r="F10" s="11">
        <v>40</v>
      </c>
    </row>
    <row r="11" spans="1:9" x14ac:dyDescent="0.25">
      <c r="A11" s="1229"/>
      <c r="B11" s="19" t="s">
        <v>203</v>
      </c>
      <c r="C11" s="21"/>
      <c r="D11" s="15"/>
      <c r="F11" s="11">
        <v>45</v>
      </c>
    </row>
    <row r="12" spans="1:9" ht="18" x14ac:dyDescent="0.25">
      <c r="A12" s="1229"/>
      <c r="B12" s="31" t="s">
        <v>66</v>
      </c>
      <c r="C12" s="105"/>
      <c r="D12" s="15" t="s">
        <v>55</v>
      </c>
      <c r="F12" s="11">
        <v>50</v>
      </c>
    </row>
    <row r="13" spans="1:9" x14ac:dyDescent="0.25">
      <c r="A13" s="1229"/>
      <c r="B13" s="19" t="s">
        <v>204</v>
      </c>
      <c r="C13" s="21"/>
      <c r="D13" s="15"/>
      <c r="F13" s="11">
        <v>55</v>
      </c>
    </row>
    <row r="14" spans="1:9" ht="18" x14ac:dyDescent="0.25">
      <c r="A14" s="1229"/>
      <c r="B14" s="31" t="s">
        <v>156</v>
      </c>
      <c r="C14" s="105"/>
      <c r="D14" s="15" t="s">
        <v>55</v>
      </c>
      <c r="F14" s="11">
        <v>60</v>
      </c>
    </row>
    <row r="15" spans="1:9" ht="18" x14ac:dyDescent="0.25">
      <c r="A15" s="1229"/>
      <c r="B15" s="29" t="s">
        <v>265</v>
      </c>
      <c r="C15" s="106"/>
      <c r="D15" s="15"/>
    </row>
    <row r="16" spans="1:9" x14ac:dyDescent="0.25">
      <c r="A16" s="1229"/>
      <c r="B16" s="23" t="s">
        <v>90</v>
      </c>
      <c r="C16" s="106"/>
      <c r="D16" s="15"/>
      <c r="F16" s="11" t="s">
        <v>78</v>
      </c>
    </row>
    <row r="17" spans="1:6" x14ac:dyDescent="0.25">
      <c r="A17" s="1229"/>
      <c r="B17" s="21"/>
      <c r="C17" s="21"/>
      <c r="D17" s="15"/>
      <c r="F17" s="11" t="s">
        <v>76</v>
      </c>
    </row>
    <row r="18" spans="1:6" x14ac:dyDescent="0.25">
      <c r="A18" s="1229"/>
      <c r="B18" s="1222" t="s">
        <v>264</v>
      </c>
      <c r="C18" s="1222"/>
      <c r="D18" s="1223"/>
    </row>
    <row r="19" spans="1:6" x14ac:dyDescent="0.25">
      <c r="A19" s="1229"/>
      <c r="B19" s="31" t="s">
        <v>237</v>
      </c>
      <c r="C19" s="34" t="str">
        <f>IF(OR(C14=215,C14=235),"rond lisse (Ø)",IF(OR(C14=500,C14=400),"haute adhérence (HA)",""))</f>
        <v/>
      </c>
      <c r="D19" s="15"/>
      <c r="F19" s="11" t="s">
        <v>91</v>
      </c>
    </row>
    <row r="20" spans="1:6" x14ac:dyDescent="0.25">
      <c r="A20" s="1229"/>
      <c r="B20" s="31" t="s">
        <v>236</v>
      </c>
      <c r="C20" s="111" t="str">
        <f>IF(AND(C9&lt;&gt;"",C10&lt;&gt;""),C9*C10,"")</f>
        <v/>
      </c>
      <c r="D20" s="15" t="s">
        <v>45</v>
      </c>
      <c r="F20" s="11" t="s">
        <v>89</v>
      </c>
    </row>
    <row r="21" spans="1:6" ht="18" x14ac:dyDescent="0.25">
      <c r="A21" s="1229"/>
      <c r="B21" s="31" t="s">
        <v>151</v>
      </c>
      <c r="C21" s="34" t="str">
        <f>IF(C14&lt;&gt;"",0.6+0.06*C14,"")</f>
        <v/>
      </c>
      <c r="D21" s="15" t="s">
        <v>55</v>
      </c>
      <c r="F21" s="11" t="s">
        <v>86</v>
      </c>
    </row>
    <row r="22" spans="1:6" ht="18" x14ac:dyDescent="0.25">
      <c r="A22" s="1229"/>
      <c r="B22" s="23" t="s">
        <v>263</v>
      </c>
      <c r="C22" s="110" t="str">
        <f>IF(AND(C20&lt;&gt;"",C21&lt;&gt;"",C14&lt;&gt;""),(C20*C21)/C14,IF(AND(C20="",C21&lt;&gt;"",C14&lt;&gt;""),(C21/C14)&amp;" B",""))</f>
        <v/>
      </c>
      <c r="D22" s="15" t="str">
        <f>IF(C20&lt;&gt;"","cm²",IF(C20="",""))</f>
        <v/>
      </c>
    </row>
    <row r="23" spans="1:6" x14ac:dyDescent="0.25">
      <c r="A23" s="1229"/>
      <c r="B23" s="21"/>
      <c r="C23" s="21"/>
      <c r="D23" s="15"/>
    </row>
    <row r="24" spans="1:6" x14ac:dyDescent="0.25">
      <c r="A24" s="1229"/>
      <c r="B24" s="19" t="s">
        <v>262</v>
      </c>
      <c r="C24" s="21"/>
      <c r="D24" s="15"/>
    </row>
    <row r="25" spans="1:6" ht="18" x14ac:dyDescent="0.35">
      <c r="A25" s="1229"/>
      <c r="B25" s="17" t="s">
        <v>261</v>
      </c>
      <c r="C25" s="102" t="str">
        <f>IF(AND(C14&lt;&gt;"",C15="cas général"),C14/1.15,IF(AND(C14&lt;&gt;"",C15="combinaisons accidentelles"),C14/1,""))</f>
        <v/>
      </c>
      <c r="D25" s="15" t="s">
        <v>55</v>
      </c>
    </row>
    <row r="26" spans="1:6" ht="18" x14ac:dyDescent="0.35">
      <c r="A26" s="1229"/>
      <c r="B26" s="17" t="s">
        <v>260</v>
      </c>
      <c r="C26" s="110" t="str">
        <f>IF(AND(SUM(C6:C7)&gt;0,C25&gt;0),(SUM(C6:C7)*10^4*0.000001)/C25,"")</f>
        <v/>
      </c>
      <c r="D26" s="15" t="s">
        <v>45</v>
      </c>
    </row>
    <row r="27" spans="1:6" x14ac:dyDescent="0.25">
      <c r="A27" s="1229"/>
      <c r="B27" s="21"/>
      <c r="C27" s="21"/>
      <c r="D27" s="15"/>
    </row>
    <row r="28" spans="1:6" x14ac:dyDescent="0.25">
      <c r="A28" s="1229"/>
      <c r="B28" s="19" t="s">
        <v>259</v>
      </c>
      <c r="C28" s="21"/>
      <c r="D28" s="15"/>
    </row>
    <row r="29" spans="1:6" ht="18.75" x14ac:dyDescent="0.35">
      <c r="A29" s="1229"/>
      <c r="B29" s="17" t="s">
        <v>258</v>
      </c>
      <c r="C29" s="102" t="str">
        <f>IF(C16="peu préjudiciable",C14,IF(AND(OR(C14=235,C14=215),C16="préjudiciable"),MIN((2*C14)/3,110*SQRT(1*C21)),IF(AND(OR(C14=400,C14=500),C16="préjudiciable"),MIN((2*C14)/3,110*SQRT(1.6*C21)),IF(AND(OR(C14=400,C14=500),C16="très préjudiciable"),MIN(0.5*C14,90*SQRT(1.6*C21)),IF(AND(OR(C14=215,C14=235),C16="très préjudiciable"),MIN(0.5*C14,90*SQRT(1*C21)),"")))))</f>
        <v/>
      </c>
      <c r="D29" s="15" t="s">
        <v>55</v>
      </c>
    </row>
    <row r="30" spans="1:6" ht="18" x14ac:dyDescent="0.35">
      <c r="A30" s="1229"/>
      <c r="B30" s="17" t="s">
        <v>257</v>
      </c>
      <c r="C30" s="110" t="str">
        <f>IF(AND(SUM(C3:C4)&gt;0,C29&gt;0),(SUM(C3:C4)*10^4*0.000001)/C29,"")</f>
        <v/>
      </c>
      <c r="D30" s="15" t="s">
        <v>45</v>
      </c>
    </row>
    <row r="31" spans="1:6" x14ac:dyDescent="0.25">
      <c r="A31" s="1229"/>
      <c r="B31" s="17"/>
      <c r="C31" s="102"/>
      <c r="D31" s="15"/>
    </row>
    <row r="32" spans="1:6" x14ac:dyDescent="0.25">
      <c r="A32" s="1229"/>
      <c r="B32" s="19" t="s">
        <v>256</v>
      </c>
      <c r="C32" s="21"/>
      <c r="D32" s="15"/>
    </row>
    <row r="33" spans="1:4" ht="18" x14ac:dyDescent="0.35">
      <c r="A33" s="1229"/>
      <c r="B33" s="21" t="s">
        <v>255</v>
      </c>
      <c r="C33" s="110" t="str">
        <f>IF(AND(C26&lt;&gt;"",C30&lt;&gt;""),MAX(C26,C30),"")</f>
        <v/>
      </c>
      <c r="D33" s="15" t="s">
        <v>45</v>
      </c>
    </row>
    <row r="34" spans="1:4" x14ac:dyDescent="0.25">
      <c r="A34" s="1229"/>
      <c r="B34" s="1226" t="str">
        <f>IF(C26&lt;C30,"Section à l'E.L.S. déterminante.",IF(C26&gt;C30,"Section à l'E.L.U.R. à prendre en compte.",""))</f>
        <v/>
      </c>
      <c r="C34" s="1226"/>
      <c r="D34" s="1227"/>
    </row>
    <row r="35" spans="1:4" x14ac:dyDescent="0.25">
      <c r="A35" s="1229"/>
      <c r="B35" s="109"/>
      <c r="C35" s="109"/>
      <c r="D35" s="108"/>
    </row>
    <row r="36" spans="1:4" ht="25.5" customHeight="1" x14ac:dyDescent="0.25">
      <c r="A36" s="1229"/>
      <c r="B36" s="1224" t="str">
        <f>IF(AND(C20&lt;&gt;"",C21&lt;&gt;"",C14&lt;&gt;"",C33&lt;&gt;"",C33&gt;C22),"Condition de non-fragilité vérifiée.",IF(AND(C20="",C21&lt;&gt;"",C14&lt;&gt;"",C33&lt;&gt;""),"Choisir la section de béton en respectant la condition de non-fragilité",IF(AND(C20&lt;&gt;"",C21&lt;&gt;"",C14&lt;&gt;"",C33&lt;&gt;"",C33&lt;C22),"Condition de non-fragilité non satisfaisant. Revoir les dimensions de l'ouvrage.","")))</f>
        <v/>
      </c>
      <c r="C36" s="1224"/>
      <c r="D36" s="1225"/>
    </row>
    <row r="37" spans="1:4" x14ac:dyDescent="0.25">
      <c r="A37" s="1229"/>
      <c r="B37" s="21"/>
      <c r="C37" s="21"/>
      <c r="D37" s="15"/>
    </row>
    <row r="38" spans="1:4" x14ac:dyDescent="0.25">
      <c r="A38" s="1229"/>
      <c r="B38" s="21"/>
      <c r="C38" s="21"/>
      <c r="D38" s="15"/>
    </row>
    <row r="39" spans="1:4" x14ac:dyDescent="0.25">
      <c r="A39" s="1229"/>
      <c r="B39" s="21"/>
      <c r="C39" s="21"/>
      <c r="D39" s="15"/>
    </row>
    <row r="40" spans="1:4" x14ac:dyDescent="0.25">
      <c r="A40" s="1229"/>
      <c r="B40" s="21"/>
      <c r="C40" s="21"/>
      <c r="D40" s="15"/>
    </row>
    <row r="41" spans="1:4" x14ac:dyDescent="0.25">
      <c r="A41" s="1229"/>
      <c r="B41" s="21"/>
      <c r="C41" s="21"/>
      <c r="D41" s="15"/>
    </row>
    <row r="42" spans="1:4" x14ac:dyDescent="0.25">
      <c r="A42" s="1230"/>
      <c r="B42" s="14"/>
      <c r="C42" s="14"/>
      <c r="D42" s="13"/>
    </row>
    <row r="43" spans="1:4" x14ac:dyDescent="0.25">
      <c r="A43" s="107"/>
      <c r="B43" s="21"/>
      <c r="C43" s="21"/>
      <c r="D43" s="10"/>
    </row>
    <row r="44" spans="1:4" x14ac:dyDescent="0.25">
      <c r="A44" s="107"/>
      <c r="B44" s="21"/>
      <c r="C44" s="21"/>
      <c r="D44" s="10"/>
    </row>
  </sheetData>
  <sheetProtection password="EE7E" sheet="1" objects="1" scenarios="1"/>
  <mergeCells count="5">
    <mergeCell ref="B18:D18"/>
    <mergeCell ref="B1:D1"/>
    <mergeCell ref="B36:D36"/>
    <mergeCell ref="B34:D34"/>
    <mergeCell ref="A1:A42"/>
  </mergeCells>
  <dataValidations count="4">
    <dataValidation type="list" allowBlank="1" showInputMessage="1" showErrorMessage="1" sqref="C16">
      <formula1>F19:F21</formula1>
    </dataValidation>
    <dataValidation type="list" allowBlank="1" showInputMessage="1" showErrorMessage="1" sqref="C15">
      <formula1>F16:F17</formula1>
    </dataValidation>
    <dataValidation type="list" allowBlank="1" showInputMessage="1" showErrorMessage="1" sqref="C14">
      <formula1>G2:G5</formula1>
    </dataValidation>
    <dataValidation type="list" allowBlank="1" showInputMessage="1" showErrorMessage="1" sqref="C12">
      <formula1>F2:F14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&amp;L&amp;F&amp;C&amp;P/&amp;N&amp;RNote de calcul - &amp;A
Imprimé le &amp;D</oddHead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92D050"/>
  </sheetPr>
  <dimension ref="A1:F41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" style="96" bestFit="1" customWidth="1"/>
    <col min="2" max="2" width="48.42578125" style="1" bestFit="1" customWidth="1"/>
    <col min="3" max="3" width="22.7109375" style="1" customWidth="1"/>
    <col min="4" max="4" width="4.85546875" style="1" bestFit="1" customWidth="1"/>
    <col min="5" max="5" width="9.42578125" style="1" hidden="1" customWidth="1"/>
    <col min="6" max="6" width="25.85546875" style="1" hidden="1" customWidth="1"/>
    <col min="7" max="16384" width="11.42578125" style="1"/>
  </cols>
  <sheetData>
    <row r="1" spans="1:6" ht="15" customHeight="1" x14ac:dyDescent="0.25">
      <c r="A1" s="1216" t="s">
        <v>254</v>
      </c>
      <c r="B1" s="1208" t="s">
        <v>92</v>
      </c>
      <c r="C1" s="1208"/>
      <c r="D1" s="1209"/>
      <c r="E1" s="1">
        <v>16</v>
      </c>
      <c r="F1" s="1" t="s">
        <v>253</v>
      </c>
    </row>
    <row r="2" spans="1:6" ht="18" x14ac:dyDescent="0.25">
      <c r="A2" s="1217"/>
      <c r="B2" s="19" t="s">
        <v>252</v>
      </c>
      <c r="C2" s="4"/>
      <c r="D2" s="7"/>
      <c r="E2" s="1">
        <v>18</v>
      </c>
      <c r="F2" s="1" t="s">
        <v>251</v>
      </c>
    </row>
    <row r="3" spans="1:6" x14ac:dyDescent="0.25">
      <c r="A3" s="1217"/>
      <c r="B3" s="31" t="s">
        <v>250</v>
      </c>
      <c r="C3" s="106"/>
      <c r="D3" s="15" t="s">
        <v>87</v>
      </c>
      <c r="E3" s="1">
        <v>20</v>
      </c>
    </row>
    <row r="4" spans="1:6" x14ac:dyDescent="0.25">
      <c r="A4" s="1217"/>
      <c r="B4" s="31" t="s">
        <v>249</v>
      </c>
      <c r="C4" s="106"/>
      <c r="D4" s="15" t="s">
        <v>87</v>
      </c>
      <c r="E4" s="1">
        <v>22</v>
      </c>
      <c r="F4" s="1" t="s">
        <v>248</v>
      </c>
    </row>
    <row r="5" spans="1:6" ht="18" x14ac:dyDescent="0.25">
      <c r="A5" s="1217"/>
      <c r="B5" s="31" t="s">
        <v>247</v>
      </c>
      <c r="C5" s="105"/>
      <c r="D5" s="15" t="s">
        <v>246</v>
      </c>
      <c r="E5" s="1">
        <v>25</v>
      </c>
      <c r="F5" s="1" t="s">
        <v>245</v>
      </c>
    </row>
    <row r="6" spans="1:6" x14ac:dyDescent="0.25">
      <c r="A6" s="1217"/>
      <c r="B6" s="19" t="s">
        <v>244</v>
      </c>
      <c r="C6" s="4"/>
      <c r="D6" s="7"/>
      <c r="E6" s="1">
        <v>27</v>
      </c>
    </row>
    <row r="7" spans="1:6" x14ac:dyDescent="0.25">
      <c r="A7" s="1217"/>
      <c r="B7" s="31" t="s">
        <v>243</v>
      </c>
      <c r="C7" s="30"/>
      <c r="D7" s="7"/>
      <c r="E7" s="1">
        <v>30</v>
      </c>
      <c r="F7" s="1" t="s">
        <v>78</v>
      </c>
    </row>
    <row r="8" spans="1:6" x14ac:dyDescent="0.25">
      <c r="A8" s="1217"/>
      <c r="B8" s="31" t="s">
        <v>242</v>
      </c>
      <c r="C8" s="106"/>
      <c r="D8" s="15" t="s">
        <v>40</v>
      </c>
      <c r="E8" s="1">
        <v>35</v>
      </c>
      <c r="F8" s="1" t="s">
        <v>76</v>
      </c>
    </row>
    <row r="9" spans="1:6" x14ac:dyDescent="0.25">
      <c r="A9" s="1217"/>
      <c r="B9" s="31" t="s">
        <v>241</v>
      </c>
      <c r="C9" s="106"/>
      <c r="D9" s="15" t="s">
        <v>40</v>
      </c>
      <c r="E9" s="1">
        <v>40</v>
      </c>
    </row>
    <row r="10" spans="1:6" x14ac:dyDescent="0.25">
      <c r="A10" s="1217"/>
      <c r="B10" s="31" t="s">
        <v>240</v>
      </c>
      <c r="C10" s="106"/>
      <c r="D10" s="15" t="s">
        <v>40</v>
      </c>
      <c r="E10" s="1">
        <v>45</v>
      </c>
      <c r="F10" s="1">
        <v>500</v>
      </c>
    </row>
    <row r="11" spans="1:6" ht="18" x14ac:dyDescent="0.25">
      <c r="A11" s="1217"/>
      <c r="B11" s="31" t="s">
        <v>239</v>
      </c>
      <c r="C11" s="30"/>
      <c r="D11" s="15"/>
      <c r="E11" s="1">
        <v>50</v>
      </c>
      <c r="F11" s="1">
        <v>400</v>
      </c>
    </row>
    <row r="12" spans="1:6" x14ac:dyDescent="0.25">
      <c r="A12" s="1217"/>
      <c r="B12" s="19" t="s">
        <v>157</v>
      </c>
      <c r="C12" s="4"/>
      <c r="D12" s="7"/>
      <c r="E12" s="1">
        <v>60</v>
      </c>
      <c r="F12" s="1">
        <v>235</v>
      </c>
    </row>
    <row r="13" spans="1:6" ht="18" x14ac:dyDescent="0.25">
      <c r="A13" s="1217"/>
      <c r="B13" s="31" t="s">
        <v>156</v>
      </c>
      <c r="C13" s="105"/>
      <c r="D13" s="15" t="s">
        <v>55</v>
      </c>
      <c r="F13" s="1">
        <v>215</v>
      </c>
    </row>
    <row r="14" spans="1:6" ht="18" x14ac:dyDescent="0.25">
      <c r="A14" s="1217"/>
      <c r="B14" s="31" t="s">
        <v>66</v>
      </c>
      <c r="C14" s="105"/>
      <c r="D14" s="15" t="s">
        <v>55</v>
      </c>
    </row>
    <row r="15" spans="1:6" x14ac:dyDescent="0.25">
      <c r="A15" s="1217"/>
      <c r="B15" s="31"/>
      <c r="C15" s="104"/>
      <c r="D15" s="15"/>
    </row>
    <row r="16" spans="1:6" ht="18" x14ac:dyDescent="0.25">
      <c r="A16" s="1217"/>
      <c r="B16" s="29" t="s">
        <v>65</v>
      </c>
      <c r="C16" s="30"/>
      <c r="D16" s="7"/>
    </row>
    <row r="17" spans="1:4" x14ac:dyDescent="0.25">
      <c r="A17" s="1217"/>
    </row>
    <row r="18" spans="1:4" ht="36" customHeight="1" x14ac:dyDescent="0.25">
      <c r="A18" s="1217"/>
      <c r="B18" s="1222" t="s">
        <v>238</v>
      </c>
      <c r="C18" s="1222"/>
      <c r="D18" s="1223"/>
    </row>
    <row r="19" spans="1:4" x14ac:dyDescent="0.25">
      <c r="A19" s="1217"/>
      <c r="B19" s="31" t="s">
        <v>237</v>
      </c>
      <c r="C19" s="10" t="str">
        <f>IF(OR(C13=500,C13=400),"haute adhérence (HA)",IF(OR(C13=235,C13=215),"rond lisse (Ø)",""))</f>
        <v/>
      </c>
      <c r="D19" s="7"/>
    </row>
    <row r="20" spans="1:4" x14ac:dyDescent="0.25">
      <c r="A20" s="1217"/>
      <c r="B20" s="31" t="s">
        <v>236</v>
      </c>
      <c r="C20" s="102" t="str">
        <f>IF(AND(C7="rect./carré",C8&lt;&gt;"",C9&lt;&gt;""),C8*C9,IF(AND(C7="rect./carré",C8="",C9&lt;&gt;""),"Paramètres poteau incomplets",IF(AND(C7="rect./carré",C8="",C9=""),"Paramètres poteau incomplets",IF(AND(C7="rect./carré",C8&lt;&gt;"",C9=""),"Paramètres poteau incomplets",IF(AND(C7="circulaire",C8&lt;&gt;"",C9=""),PI()*C8^2/4,IF(AND(C7="circulaire",C8&lt;&gt;"",C9&lt;&gt;""),"Paramètres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0" s="15" t="s">
        <v>45</v>
      </c>
    </row>
    <row r="21" spans="1:4" ht="18" x14ac:dyDescent="0.25">
      <c r="A21" s="1217"/>
      <c r="B21" s="31" t="s">
        <v>235</v>
      </c>
      <c r="C21" s="100" t="str">
        <f>IF(AND(C7="rect./carré",C8&lt;&gt;"",C9&lt;&gt;""),(C8-2)*(C9-2),IF(AND(C7="rect./carré",C8="",C9&lt;&gt;""),"Paramètres poteau incomplets",IF(AND(C7="rect./carré",C8="",C9=""),"Paramètres poteau incomplets",IF(AND(C7="rect./carré",C8&lt;&gt;"",C9=""),"Paramètres poteau incomplets",IF(AND(C7="circulaire",C8&lt;&gt;"",C9=""),PI()*(C8-2)^2/4,IF(AND(C7="circulaire",C8&lt;&gt;"",C9&lt;&gt;""),"Paramètres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1" s="15" t="s">
        <v>45</v>
      </c>
    </row>
    <row r="22" spans="1:4" ht="18" x14ac:dyDescent="0.25">
      <c r="A22" s="1217"/>
      <c r="B22" s="31" t="s">
        <v>234</v>
      </c>
      <c r="C22" s="102" t="str">
        <f>IF(AND(C7="rect./carré",C8&lt;&gt;"",C9&lt;&gt;""),((C8^3)*C9)/12,IF(AND(C7="rect./carré",C8&lt;&gt;"",C9=""),"Paramètres poteau incomplets",IF(AND(C7="rect./carré",C8="",C9=""),"Paramètres poteau incomplets",IF(AND(C7="rect./carré",C8="",C9&lt;&gt;""),"Paramètres poteau incomplets",IF(AND(C7="circulaire",C8&lt;&gt;"",C9=""),PI()*(C8^4)/64,IF(AND(C7="circulaire",C8&lt;&gt;"",C9&lt;&gt;""),"Paramètres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2" s="15" t="s">
        <v>117</v>
      </c>
    </row>
    <row r="23" spans="1:4" x14ac:dyDescent="0.25">
      <c r="A23" s="1217"/>
      <c r="B23" s="31" t="s">
        <v>233</v>
      </c>
      <c r="C23" s="102" t="str">
        <f>IF(AND(C7="rect./carré",C8&lt;&gt;"",C9&lt;&gt;""),SQRT(C22/C20),IF(AND(C7="rect./carré",C8="",C9&lt;&gt;""),"Paramètres poteau incomplets",IF(AND(C7="rect./carré",C8="",C9=""),"Paramètres poteau incomplets",IF(AND(C7="rect./carré",C8&lt;&gt;"",C9=""),"Paramètres poteau incomplets",IF(AND(C7="circulaire",C8&lt;&gt;"",C9=""),SQRT(C22/C20),IF(AND(C7="circulaire",C8&lt;&gt;"",C9&lt;&gt;""),"Paramètres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3" s="15" t="s">
        <v>40</v>
      </c>
    </row>
    <row r="24" spans="1:4" ht="18" x14ac:dyDescent="0.25">
      <c r="A24" s="1217"/>
      <c r="B24" s="31" t="s">
        <v>232</v>
      </c>
      <c r="C24" s="103" t="str">
        <f>IF(OR(C10="",C11=""),"",IF(AND(C10&lt;&gt;"",C11="0,7 l₀"),C10*0.7,IF(AND(C10&lt;&gt;"",C11="l₀"),C10)))</f>
        <v/>
      </c>
      <c r="D24" s="15" t="s">
        <v>40</v>
      </c>
    </row>
    <row r="25" spans="1:4" x14ac:dyDescent="0.25">
      <c r="A25" s="1217"/>
      <c r="B25" s="23" t="s">
        <v>231</v>
      </c>
      <c r="C25" s="102" t="str">
        <f>IF(AND(C7="rect./carré",C8&lt;&gt;"",C9&lt;&gt;""),C24/C23,IF(AND(C7="rect./carré",C8="",C9&lt;&gt;""),"Paramètres poteau incomplets",IF(AND(C7="rect./carré",C8="",C9=""),"Paramètres poteau incomplets",IF(AND(C7="rect./carré",C8&lt;&gt;"",C9=""),"Paramètres poteau incomplets",IF(AND(C7="circulaire",C8&lt;&gt;"",C9=""),C24/C23,IF(AND(C7="circulaire",C8&lt;&gt;"",C9&lt;&gt;""),"Paramètres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5" s="7"/>
    </row>
    <row r="26" spans="1:4" ht="27.75" customHeight="1" x14ac:dyDescent="0.25">
      <c r="A26" s="1217"/>
      <c r="B26" s="1233" t="str">
        <f>IF(AND(C25&lt;&gt;"",C25&gt;70),"Méthode forfaitaire non applicable.",IF(AND(C25&lt;&gt;"",C25&gt;35,C25&lt;=70),"Elancement supérieur à 35. Aciers disposés afin d'augmenter l'inertie du poteau au flambement.",""))</f>
        <v/>
      </c>
      <c r="C26" s="1233"/>
      <c r="D26" s="1234"/>
    </row>
    <row r="27" spans="1:4" ht="18" x14ac:dyDescent="0.25">
      <c r="A27" s="1217"/>
      <c r="B27" s="31" t="s">
        <v>230</v>
      </c>
      <c r="C27" s="101" t="str">
        <f>IF(AND(C25&lt;&gt;"",C25&gt;70),"Méthode forfaitaire non applicable",IF(AND(C25&lt;&gt;"",50&lt;C25,C25&lt;=70),0.6*(50/C25)^2,IF(AND(C25&lt;&gt;"",C25&lt;=50),0.85/(1+0.2*(C25/35)^2),"")))</f>
        <v/>
      </c>
      <c r="D27" s="7"/>
    </row>
    <row r="28" spans="1:4" x14ac:dyDescent="0.25">
      <c r="A28" s="1217"/>
      <c r="B28" s="1233" t="str">
        <f>IF(AND(C5&lt;&gt;"",C5&gt;90),"Majorité des charges appliquée après 90 jours, α invariable :",IF(AND(C5&lt;&gt;"",28&lt;=C5,C5&lt;=90),"Charges appliquées entre 28 et 90 jours, α divisé par 1,10.",IF(AND(C5&lt;&gt;"",C5&lt;28),"Application précoce des charges, divisé α par 1,20 et remplacer fc28 par fcj.","")))</f>
        <v/>
      </c>
      <c r="C28" s="1233"/>
      <c r="D28" s="1234"/>
    </row>
    <row r="29" spans="1:4" ht="18" x14ac:dyDescent="0.25">
      <c r="A29" s="1217"/>
      <c r="B29" s="31" t="s">
        <v>229</v>
      </c>
      <c r="C29" s="101" t="str">
        <f>IF(AND(C5&lt;&gt;"",C5&gt;90),C27/1,IF(AND(C5&lt;&gt;"",28&lt;=C5,C5&lt;=90),C27/1.1,IF(AND(C5&lt;&gt;"",C5&lt;28),C27/1.2,"")))</f>
        <v/>
      </c>
      <c r="D29" s="7"/>
    </row>
    <row r="30" spans="1:4" x14ac:dyDescent="0.25">
      <c r="A30" s="1217"/>
      <c r="C30" s="4"/>
      <c r="D30" s="7"/>
    </row>
    <row r="31" spans="1:4" ht="18" x14ac:dyDescent="0.25">
      <c r="A31" s="1217"/>
      <c r="B31" s="23" t="s">
        <v>228</v>
      </c>
      <c r="C31" s="98" t="str">
        <f>IF(AND(C5&gt;=28,C16="cas général"),(((SUM(C3:C4)*0.000001)/(C29))-((C21*0.0001*C14)/(0.9*1.5)))*((1.15*10^4)/C13),IF(AND(C5&lt;28,C14&lt;=40,C16="cas général"),(((SUM(C3:C4)*0.000001)/(C29))-((C21*0.0001*((C5*C14)/(4.76+0.83*C5)))/(0.9*1.5)))*((1.15*10^4)/C13),IF(AND(C5&lt;28,C14&gt;40,C14&lt;=60,C16="cas général"),(((SUM(C3:C4)*0.000001)/(C29))-((C21*0.0001*((C5*C14)/(1.4+0.95*C5)))/(0.9*1.5)))*((1.15*10^4)/C13),IF(AND(C5&gt;=28,C16="combinaisons accidentelles"),(((SUM(C3:C4)*0.000001)/(C29))-((C21*0.0001*C14)/(0.9*1.15)))*((1*10^4)/C13),IF(AND(C5&lt;28,C14&lt;=40,C16="combinaisons accidentelles"),(((SUM(C3:C4)*0.000001)/(C29))-((C21*0.0001*((C5*C14)/(4.76+0.83*C5)))/(0.9*1.15)))*((1*10^4)/C13),IF(AND(C5&lt;28,C14&gt;40,C14&lt;=60,C16="combinaisons accidentelles"),(((SUM(C3:C4)*0.000001)/(C29))-((C21*0.0001*((C5*C14)/(1.4+0.95*C5)))/(0.9*1.15)))*((1*10^4)/C13),""))))))</f>
        <v/>
      </c>
      <c r="D31" s="15" t="s">
        <v>45</v>
      </c>
    </row>
    <row r="32" spans="1:4" ht="18" x14ac:dyDescent="0.25">
      <c r="A32" s="1217"/>
      <c r="B32" s="19" t="s">
        <v>227</v>
      </c>
      <c r="C32" s="4"/>
      <c r="D32" s="7"/>
    </row>
    <row r="33" spans="1:4" x14ac:dyDescent="0.25">
      <c r="A33" s="1217"/>
      <c r="B33" s="31" t="s">
        <v>226</v>
      </c>
      <c r="C33" s="100" t="str">
        <f>IF(C7="rect./carré",2*0.01*(C8+C9),IF(C7="circulaire",PI()*(C8*0.01),""))</f>
        <v/>
      </c>
      <c r="D33" s="15" t="s">
        <v>225</v>
      </c>
    </row>
    <row r="34" spans="1:4" x14ac:dyDescent="0.25">
      <c r="A34" s="1217"/>
      <c r="B34" s="31" t="s">
        <v>224</v>
      </c>
      <c r="C34" s="100" t="str">
        <f>IF(C33&lt;&gt;"",4*C33,"")</f>
        <v/>
      </c>
      <c r="D34" s="15" t="s">
        <v>45</v>
      </c>
    </row>
    <row r="35" spans="1:4" x14ac:dyDescent="0.25">
      <c r="A35" s="1217"/>
      <c r="B35" s="31" t="s">
        <v>223</v>
      </c>
      <c r="C35" s="100" t="str">
        <f>IF(C20&lt;&gt;"",0.2*C20/100,"")</f>
        <v/>
      </c>
      <c r="D35" s="15" t="s">
        <v>45</v>
      </c>
    </row>
    <row r="36" spans="1:4" ht="18" x14ac:dyDescent="0.25">
      <c r="A36" s="1217"/>
      <c r="B36" s="31" t="s">
        <v>222</v>
      </c>
      <c r="C36" s="98" t="str">
        <f>IF(AND(C34&lt;&gt;"",C35&lt;&gt;""),MAX(C34,C35),"")</f>
        <v/>
      </c>
      <c r="D36" s="15" t="s">
        <v>45</v>
      </c>
    </row>
    <row r="37" spans="1:4" ht="18" x14ac:dyDescent="0.25">
      <c r="A37" s="1217"/>
      <c r="B37" s="31" t="s">
        <v>221</v>
      </c>
      <c r="C37" s="99" t="str">
        <f>IF(AND(C36&lt;&gt;"",C31&lt;&gt;""),MAX(C36,C31),"")</f>
        <v/>
      </c>
      <c r="D37" s="15" t="s">
        <v>45</v>
      </c>
    </row>
    <row r="38" spans="1:4" x14ac:dyDescent="0.25">
      <c r="A38" s="1217"/>
      <c r="B38" s="1226" t="str">
        <f>IF(AND(C37&lt;&gt;"",C37&lt;0),"Section négatif, adopter la section minimal comme section d'acier.","")</f>
        <v/>
      </c>
      <c r="C38" s="1226"/>
      <c r="D38" s="1227"/>
    </row>
    <row r="39" spans="1:4" x14ac:dyDescent="0.25">
      <c r="A39" s="1217"/>
      <c r="B39" s="31" t="s">
        <v>220</v>
      </c>
      <c r="C39" s="98" t="str">
        <f>IF(C20&lt;&gt;"",5*C20/100,"")</f>
        <v/>
      </c>
      <c r="D39" s="15" t="s">
        <v>45</v>
      </c>
    </row>
    <row r="40" spans="1:4" x14ac:dyDescent="0.25">
      <c r="A40" s="1218"/>
      <c r="B40" s="1231" t="str">
        <f>IF(C37&lt;C39,"Ferraillage transversal courant.",IF(C37&gt;C39,"Réaliser un frettage.",""))</f>
        <v/>
      </c>
      <c r="C40" s="1231"/>
      <c r="D40" s="1232"/>
    </row>
    <row r="41" spans="1:4" x14ac:dyDescent="0.25">
      <c r="A41" s="97"/>
      <c r="B41" s="2"/>
      <c r="C41" s="2"/>
      <c r="D41" s="2"/>
    </row>
  </sheetData>
  <sheetProtection password="EE7E" sheet="1" objects="1" scenarios="1"/>
  <mergeCells count="7">
    <mergeCell ref="A1:A40"/>
    <mergeCell ref="B40:D40"/>
    <mergeCell ref="B1:D1"/>
    <mergeCell ref="B28:D28"/>
    <mergeCell ref="B26:D26"/>
    <mergeCell ref="B38:D38"/>
    <mergeCell ref="B18:D18"/>
  </mergeCells>
  <dataValidations count="5">
    <dataValidation type="list" allowBlank="1" showInputMessage="1" showErrorMessage="1" sqref="C13">
      <formula1>$F$10:$F$13</formula1>
    </dataValidation>
    <dataValidation type="list" allowBlank="1" showInputMessage="1" showErrorMessage="1" sqref="C14">
      <formula1>E1:E12</formula1>
    </dataValidation>
    <dataValidation type="list" allowBlank="1" showInputMessage="1" showErrorMessage="1" sqref="C16">
      <formula1>F7:F8</formula1>
    </dataValidation>
    <dataValidation type="list" allowBlank="1" showInputMessage="1" showErrorMessage="1" sqref="C11">
      <formula1>F4:F5</formula1>
    </dataValidation>
    <dataValidation type="list" allowBlank="1" showInputMessage="1" showErrorMessage="1" sqref="C7">
      <formula1>F1:F2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&amp;L&amp;F&amp;C&amp;P/&amp;N&amp;RNote de calcul - &amp;A
Imprimé le &amp;D</oddHead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C000"/>
  </sheetPr>
  <dimension ref="A1:H33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7.42578125" style="11" bestFit="1" customWidth="1"/>
    <col min="3" max="3" width="25.5703125" style="32" bestFit="1" customWidth="1"/>
    <col min="4" max="4" width="4.85546875" style="8" bestFit="1" customWidth="1"/>
    <col min="5" max="5" width="11.42578125" style="11"/>
    <col min="6" max="6" width="12" style="11" hidden="1" customWidth="1"/>
    <col min="7" max="7" width="9.140625" style="11" hidden="1" customWidth="1"/>
    <col min="8" max="8" width="25.85546875" style="11" hidden="1" customWidth="1"/>
    <col min="9" max="16384" width="11.42578125" style="11"/>
  </cols>
  <sheetData>
    <row r="1" spans="1:8" x14ac:dyDescent="0.25">
      <c r="A1" s="1235" t="s">
        <v>219</v>
      </c>
      <c r="B1" s="1208" t="s">
        <v>92</v>
      </c>
      <c r="C1" s="1208"/>
      <c r="D1" s="1209"/>
      <c r="F1" s="11" t="s">
        <v>165</v>
      </c>
      <c r="G1" s="32">
        <v>16</v>
      </c>
      <c r="H1" s="1" t="s">
        <v>78</v>
      </c>
    </row>
    <row r="2" spans="1:8" x14ac:dyDescent="0.25">
      <c r="A2" s="1236"/>
      <c r="B2" s="17" t="s">
        <v>90</v>
      </c>
      <c r="C2" s="34" t="s">
        <v>91</v>
      </c>
      <c r="D2" s="15"/>
      <c r="F2" s="11" t="s">
        <v>163</v>
      </c>
      <c r="G2" s="32">
        <v>18</v>
      </c>
      <c r="H2" s="1" t="s">
        <v>76</v>
      </c>
    </row>
    <row r="3" spans="1:8" x14ac:dyDescent="0.25">
      <c r="A3" s="1236"/>
      <c r="B3" s="19" t="s">
        <v>205</v>
      </c>
      <c r="C3" s="34"/>
      <c r="D3" s="15"/>
      <c r="F3" s="11" t="s">
        <v>161</v>
      </c>
      <c r="G3" s="8">
        <v>20</v>
      </c>
    </row>
    <row r="4" spans="1:8" ht="18" x14ac:dyDescent="0.35">
      <c r="A4" s="1236"/>
      <c r="B4" s="17" t="s">
        <v>172</v>
      </c>
      <c r="C4" s="93"/>
      <c r="D4" s="15" t="s">
        <v>94</v>
      </c>
      <c r="G4" s="8">
        <v>22</v>
      </c>
    </row>
    <row r="5" spans="1:8" ht="18" x14ac:dyDescent="0.35">
      <c r="A5" s="1236"/>
      <c r="B5" s="17" t="s">
        <v>171</v>
      </c>
      <c r="C5" s="82"/>
      <c r="D5" s="15" t="s">
        <v>94</v>
      </c>
      <c r="F5" s="11">
        <v>500</v>
      </c>
      <c r="G5" s="8">
        <v>25</v>
      </c>
    </row>
    <row r="6" spans="1:8" x14ac:dyDescent="0.25">
      <c r="A6" s="1236"/>
      <c r="B6" s="19" t="s">
        <v>170</v>
      </c>
      <c r="C6" s="34"/>
      <c r="D6" s="15"/>
      <c r="F6" s="11">
        <v>400</v>
      </c>
      <c r="G6" s="8">
        <v>27</v>
      </c>
    </row>
    <row r="7" spans="1:8" x14ac:dyDescent="0.25">
      <c r="A7" s="1236"/>
      <c r="B7" s="17" t="s">
        <v>217</v>
      </c>
      <c r="C7" s="92"/>
      <c r="D7" s="15" t="s">
        <v>40</v>
      </c>
      <c r="G7" s="8">
        <v>30</v>
      </c>
    </row>
    <row r="8" spans="1:8" x14ac:dyDescent="0.25">
      <c r="A8" s="1236"/>
      <c r="B8" s="17" t="s">
        <v>216</v>
      </c>
      <c r="C8" s="27"/>
      <c r="D8" s="15" t="s">
        <v>40</v>
      </c>
      <c r="G8" s="8">
        <v>35</v>
      </c>
    </row>
    <row r="9" spans="1:8" x14ac:dyDescent="0.25">
      <c r="A9" s="1236"/>
      <c r="B9" s="35" t="s">
        <v>80</v>
      </c>
      <c r="C9" s="27"/>
      <c r="D9" s="15" t="s">
        <v>40</v>
      </c>
      <c r="G9" s="8">
        <v>40</v>
      </c>
    </row>
    <row r="10" spans="1:8" x14ac:dyDescent="0.25">
      <c r="A10" s="1236"/>
      <c r="B10" s="19" t="s">
        <v>204</v>
      </c>
      <c r="C10" s="34"/>
      <c r="D10" s="15"/>
      <c r="G10" s="8">
        <v>45</v>
      </c>
    </row>
    <row r="11" spans="1:8" ht="18" x14ac:dyDescent="0.25">
      <c r="A11" s="1236"/>
      <c r="B11" s="31" t="s">
        <v>156</v>
      </c>
      <c r="C11" s="30"/>
      <c r="D11" s="15" t="s">
        <v>55</v>
      </c>
      <c r="G11" s="8">
        <v>50</v>
      </c>
    </row>
    <row r="12" spans="1:8" x14ac:dyDescent="0.25">
      <c r="A12" s="1236"/>
      <c r="B12" s="19" t="s">
        <v>203</v>
      </c>
      <c r="C12" s="34"/>
      <c r="D12" s="15"/>
      <c r="G12" s="8">
        <v>55</v>
      </c>
    </row>
    <row r="13" spans="1:8" ht="18" x14ac:dyDescent="0.25">
      <c r="A13" s="1236"/>
      <c r="B13" s="31" t="s">
        <v>66</v>
      </c>
      <c r="C13" s="30"/>
      <c r="D13" s="15" t="s">
        <v>55</v>
      </c>
      <c r="G13" s="8">
        <v>60</v>
      </c>
    </row>
    <row r="14" spans="1:8" x14ac:dyDescent="0.25">
      <c r="A14" s="1236"/>
      <c r="B14" s="26" t="s">
        <v>211</v>
      </c>
      <c r="C14" s="30"/>
      <c r="D14" s="15"/>
    </row>
    <row r="15" spans="1:8" x14ac:dyDescent="0.25">
      <c r="A15" s="1236"/>
      <c r="B15" s="21"/>
      <c r="C15" s="34"/>
      <c r="D15" s="15"/>
    </row>
    <row r="16" spans="1:8" ht="18" x14ac:dyDescent="0.25">
      <c r="A16" s="1236"/>
      <c r="B16" s="29" t="s">
        <v>65</v>
      </c>
      <c r="C16" s="30"/>
      <c r="D16" s="15"/>
    </row>
    <row r="17" spans="1:4" x14ac:dyDescent="0.25">
      <c r="A17" s="1236"/>
      <c r="B17" s="29"/>
      <c r="C17" s="10"/>
      <c r="D17" s="15"/>
    </row>
    <row r="18" spans="1:4" ht="32.25" customHeight="1" x14ac:dyDescent="0.25">
      <c r="A18" s="1236"/>
      <c r="B18" s="1222" t="s">
        <v>202</v>
      </c>
      <c r="C18" s="1222"/>
      <c r="D18" s="1223"/>
    </row>
    <row r="19" spans="1:4" x14ac:dyDescent="0.25">
      <c r="A19" s="1236"/>
      <c r="B19" s="17" t="s">
        <v>63</v>
      </c>
      <c r="C19" s="91" t="str">
        <f>IF(AND(C8&lt;&gt;"",C8&lt;&gt;"",C9&lt;&gt;""),MIN(0.9*C8,C8-C9-3),"")</f>
        <v/>
      </c>
      <c r="D19" s="15" t="s">
        <v>40</v>
      </c>
    </row>
    <row r="20" spans="1:4" ht="18" x14ac:dyDescent="0.35">
      <c r="A20" s="1236"/>
      <c r="B20" s="17" t="s">
        <v>153</v>
      </c>
      <c r="C20" s="24" t="str">
        <f>IF(AND(C16="cas général",C14="t &gt; 24 h"),(0.85*C13)/(1.5*1),IF(AND(C16="cas général",C14="1 h = t = 24 h"),(0.85*C13)/(1.5*0.9),IF(AND(C16="cas général",C14="t &lt; 1 h"),(0.85*C13)/(1.5*0.85),IF(AND(C16="combinaisons accidentelles",C14="t &gt; 24 h"),(0.85*C13)/(1.15*1),IF(AND(C16="combinaisons accidentelles",C14="1 h = t = 24 h"),(0.85*C13)/(1.15*0.9),IF(AND(C16="combinaisons accidentelles",C14="t &lt; 1 h"),(0.85*C13)/(1.15*0.85),""))))))</f>
        <v/>
      </c>
      <c r="D20" s="15" t="s">
        <v>55</v>
      </c>
    </row>
    <row r="21" spans="1:4" ht="18" x14ac:dyDescent="0.35">
      <c r="A21" s="1236"/>
      <c r="B21" s="17" t="s">
        <v>152</v>
      </c>
      <c r="C21" s="24" t="str">
        <f>IF(C16="cas général",C11/1.15,IF(C16="combinaisons accidentelles",C11/1,""))</f>
        <v/>
      </c>
      <c r="D21" s="15" t="s">
        <v>55</v>
      </c>
    </row>
    <row r="22" spans="1:4" ht="18" x14ac:dyDescent="0.25">
      <c r="A22" s="1236"/>
      <c r="B22" s="31" t="s">
        <v>151</v>
      </c>
      <c r="C22" s="24" t="str">
        <f>IF(C13&lt;&gt;"",0.6+0.06*C13,"")</f>
        <v/>
      </c>
      <c r="D22" s="15" t="s">
        <v>55</v>
      </c>
    </row>
    <row r="23" spans="1:4" x14ac:dyDescent="0.25">
      <c r="A23" s="1236"/>
      <c r="B23" s="17" t="s">
        <v>122</v>
      </c>
      <c r="C23" s="24" t="str">
        <f>IF(AND(C5&lt;&gt;"",C4&lt;&gt;""),C5/C4,"")</f>
        <v/>
      </c>
      <c r="D23" s="15"/>
    </row>
    <row r="24" spans="1:4" ht="18" x14ac:dyDescent="0.25">
      <c r="A24" s="1236"/>
      <c r="B24" s="23" t="s">
        <v>199</v>
      </c>
      <c r="C24" s="64" t="str">
        <f>IF(AND(C22&lt;&gt;"",C11&lt;&gt;"",C19&lt;&gt;"",C7&lt;&gt;""),(C22/C11)*0.23*C19*C7,"")</f>
        <v/>
      </c>
      <c r="D24" s="15" t="s">
        <v>45</v>
      </c>
    </row>
    <row r="25" spans="1:4" ht="18" x14ac:dyDescent="0.25">
      <c r="A25" s="1236"/>
      <c r="B25" s="23" t="s">
        <v>130</v>
      </c>
      <c r="C25" s="68" t="str">
        <f>IF(AND(C5&lt;&gt;"",C7&lt;&gt;"",C19&lt;&gt;"",C20&lt;&gt;""),(C5*10^-6)/((C7*10^-2)*((C19*10^-2)^2)*C20),"")</f>
        <v/>
      </c>
      <c r="D25" s="15"/>
    </row>
    <row r="26" spans="1:4" x14ac:dyDescent="0.25">
      <c r="A26" s="1236"/>
      <c r="B26" s="1239" t="str">
        <f>IF(AND(C25&lt;&gt;"",C25&lt;=0.186),"Pivot A, section sans aciers comprimés.",IF(AND(C25&lt;&gt;"",C25&gt;0.186),"Pivot B, risque d'insuffisance du béton. Vérifions !",""))</f>
        <v/>
      </c>
      <c r="C26" s="1239"/>
      <c r="D26" s="15"/>
    </row>
    <row r="27" spans="1:4" ht="18" x14ac:dyDescent="0.25">
      <c r="A27" s="1236"/>
      <c r="B27" s="23" t="s">
        <v>129</v>
      </c>
      <c r="C27" s="53" t="str">
        <f>IF(AND(C13&lt;=30,C14="t &gt; 24 h",C25&gt;0.186,C11=500),(0.322*C23+0.0051*C13-0.31)*(1-((1-1)/8.5))*(1),IF(AND(C13&lt;=30,C14="1 h = t = 24 h",C25&gt;0.186,C11=500),(0.322*C23+0.0051*C13-0.31)*(1-((1-0.9)/8.5))*(0.9),IF(AND(C13&lt;=30,C14="t &lt; 1 h",C25&gt;0.186,C11=500),(0.322*C23+0.0051*C13-0.31)*(1-((1-0.85)/8.5))*(0.85),IF(AND(C13&lt;=30,C14="t &gt; 24 h",C25&gt;0.186,C11=400),(0.344*C23+0.0049*C13-0.305)*(1-((1-1)/8.5))*(1),IF(AND(C13&lt;=30,C14="1 h = t = 24 h",C25&gt;0.186,C11=400),(0.344*C23+0.0049*C13-0.305)*(1-((1-0.9)/8.5))*(0.9),IF(AND(C13&lt;=30,C14="t &lt; 1 h",C25&gt;0.186,C11=400),(0.344*C23+0.0049*C13-0.305)*(1-((1-0.85)/8.5))*(0.85),""))))))</f>
        <v/>
      </c>
      <c r="D27" s="67"/>
    </row>
    <row r="28" spans="1:4" x14ac:dyDescent="0.25">
      <c r="A28" s="1236"/>
      <c r="B28" s="1239" t="str">
        <f>IF(C25&gt;C27,"Section de béton mal dimensionnée, augmenter (b) ou (h).",IF(AND(C25&gt;0.186,C27&gt;C25),"Section de béton optimale.",""))</f>
        <v/>
      </c>
      <c r="C28" s="1239"/>
      <c r="D28" s="15"/>
    </row>
    <row r="29" spans="1:4" ht="18" x14ac:dyDescent="0.25">
      <c r="A29" s="1236"/>
      <c r="B29" s="23" t="s">
        <v>128</v>
      </c>
      <c r="C29" s="66" t="str">
        <f>IF(AND(C25&lt;&gt;"",C27&lt;&gt;"",C27&gt;=C25),1.25*(1-SQRT(1-2*C25)),IF(AND(C25&lt;&gt;"",C27&lt;&gt;"",0.186&gt;=C25),1.25*(1-SQRT(1-2*C25)),""))</f>
        <v/>
      </c>
      <c r="D29" s="15"/>
    </row>
    <row r="30" spans="1:4" ht="18" x14ac:dyDescent="0.25">
      <c r="A30" s="1236"/>
      <c r="B30" s="23" t="s">
        <v>127</v>
      </c>
      <c r="C30" s="65" t="str">
        <f>IF(AND(C19&lt;&gt;"",C29&lt;&gt;""),C29*C19,"")</f>
        <v/>
      </c>
      <c r="D30" s="15" t="s">
        <v>40</v>
      </c>
    </row>
    <row r="31" spans="1:4" ht="18" x14ac:dyDescent="0.25">
      <c r="A31" s="1236"/>
      <c r="B31" s="23" t="s">
        <v>110</v>
      </c>
      <c r="C31" s="65" t="str">
        <f>IF(AND(C19&lt;&gt;"",C29&lt;&gt;""),C19*(1-0.4*C29),"")</f>
        <v/>
      </c>
      <c r="D31" s="15" t="s">
        <v>40</v>
      </c>
    </row>
    <row r="32" spans="1:4" ht="18" x14ac:dyDescent="0.25">
      <c r="A32" s="1236"/>
      <c r="B32" s="23" t="s">
        <v>125</v>
      </c>
      <c r="C32" s="64" t="str">
        <f>IF(AND(C5&lt;&gt;"",C21&lt;&gt;"",C21&gt;0,C31&gt;0,C31&lt;&gt;""),((C5*10^-6)/(C21*C31*(10^-2)))*10^4,"")</f>
        <v/>
      </c>
      <c r="D32" s="15" t="s">
        <v>45</v>
      </c>
    </row>
    <row r="33" spans="1:4" ht="47.25" customHeight="1" x14ac:dyDescent="0.25">
      <c r="A33" s="1237"/>
      <c r="B33" s="1238" t="str">
        <f>IF(AND(C32&gt;=C24,C24&lt;&gt;"",C32&lt;&gt;""),"Condition de non-fragilité respectée. Choisir et disposer les barres d'acier en assurant l'enrobage (c) et les autres dispositions constructives. Vérifier que ''d réel &gt; d choisi''.",IF(AND(C32&lt;C24,C24&lt;&gt;"",C32&lt;&gt;""),"Condition de non-fragilité non conforme. La section d'acier est insuffisante, réduire la section du béton.",""))</f>
        <v/>
      </c>
      <c r="C33" s="1238"/>
      <c r="D33" s="13"/>
    </row>
  </sheetData>
  <sheetProtection password="EE7E" sheet="1" objects="1" scenarios="1"/>
  <mergeCells count="6">
    <mergeCell ref="A1:A33"/>
    <mergeCell ref="B1:D1"/>
    <mergeCell ref="B18:D18"/>
    <mergeCell ref="B33:C33"/>
    <mergeCell ref="B28:C28"/>
    <mergeCell ref="B26:C26"/>
  </mergeCells>
  <dataValidations count="4">
    <dataValidation type="list" allowBlank="1" showInputMessage="1" showErrorMessage="1" sqref="C13">
      <formula1>G1:G13</formula1>
    </dataValidation>
    <dataValidation type="list" allowBlank="1" showInputMessage="1" showErrorMessage="1" sqref="C11">
      <formula1>F5:F6</formula1>
    </dataValidation>
    <dataValidation type="list" allowBlank="1" showInputMessage="1" showErrorMessage="1" sqref="C16:C17">
      <formula1>H1:H2</formula1>
    </dataValidation>
    <dataValidation type="list" allowBlank="1" showInputMessage="1" showErrorMessage="1" sqref="C14">
      <formula1>F1:F3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&amp;L&amp;F&amp;C&amp;P/&amp;N&amp;RNote de calcul - &amp;A
Imprimé le &amp;D</oddHead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FC04D9"/>
  </sheetPr>
  <dimension ref="A1:G32"/>
  <sheetViews>
    <sheetView showGridLines="0" view="pageBreakPreview" zoomScale="90" zoomScaleSheetLayoutView="90" workbookViewId="0">
      <selection activeCell="C2" sqref="C2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1.7109375" style="32" customWidth="1"/>
    <col min="4" max="4" width="5" style="8" bestFit="1" customWidth="1"/>
    <col min="5" max="5" width="16.7109375" style="11" hidden="1" customWidth="1"/>
    <col min="6" max="7" width="0" style="11" hidden="1" customWidth="1"/>
    <col min="8" max="16384" width="11.42578125" style="11"/>
  </cols>
  <sheetData>
    <row r="1" spans="1:7" ht="15" customHeight="1" x14ac:dyDescent="0.25">
      <c r="A1" s="1240" t="s">
        <v>218</v>
      </c>
      <c r="B1" s="1208" t="s">
        <v>92</v>
      </c>
      <c r="C1" s="1208"/>
      <c r="D1" s="1209"/>
      <c r="F1" s="11">
        <v>16</v>
      </c>
      <c r="G1" s="1"/>
    </row>
    <row r="2" spans="1:7" x14ac:dyDescent="0.25">
      <c r="A2" s="1241"/>
      <c r="B2" s="17" t="s">
        <v>90</v>
      </c>
      <c r="C2" s="27"/>
      <c r="D2" s="15"/>
      <c r="F2" s="11">
        <v>18</v>
      </c>
      <c r="G2" s="1"/>
    </row>
    <row r="3" spans="1:7" x14ac:dyDescent="0.25">
      <c r="A3" s="1241"/>
      <c r="B3" s="19" t="s">
        <v>205</v>
      </c>
      <c r="C3" s="34"/>
      <c r="D3" s="15"/>
      <c r="F3" s="1">
        <v>20</v>
      </c>
    </row>
    <row r="4" spans="1:7" ht="18" x14ac:dyDescent="0.35">
      <c r="A4" s="1241"/>
      <c r="B4" s="17" t="s">
        <v>172</v>
      </c>
      <c r="C4" s="82"/>
      <c r="D4" s="15" t="s">
        <v>94</v>
      </c>
      <c r="F4" s="1">
        <v>22</v>
      </c>
    </row>
    <row r="5" spans="1:7" x14ac:dyDescent="0.25">
      <c r="A5" s="1241"/>
      <c r="B5" s="19" t="s">
        <v>170</v>
      </c>
      <c r="C5" s="95"/>
      <c r="D5" s="15"/>
      <c r="E5" s="11">
        <v>500</v>
      </c>
      <c r="F5" s="1">
        <v>25</v>
      </c>
    </row>
    <row r="6" spans="1:7" x14ac:dyDescent="0.25">
      <c r="A6" s="1241"/>
      <c r="B6" s="17" t="s">
        <v>217</v>
      </c>
      <c r="C6" s="27"/>
      <c r="D6" s="15" t="s">
        <v>40</v>
      </c>
      <c r="E6" s="11">
        <v>400</v>
      </c>
      <c r="F6" s="1">
        <v>27</v>
      </c>
    </row>
    <row r="7" spans="1:7" x14ac:dyDescent="0.25">
      <c r="A7" s="1241"/>
      <c r="B7" s="17" t="s">
        <v>216</v>
      </c>
      <c r="C7" s="27"/>
      <c r="D7" s="15" t="s">
        <v>40</v>
      </c>
      <c r="F7" s="1">
        <v>30</v>
      </c>
    </row>
    <row r="8" spans="1:7" x14ac:dyDescent="0.25">
      <c r="A8" s="1241"/>
      <c r="B8" s="35" t="s">
        <v>80</v>
      </c>
      <c r="C8" s="27"/>
      <c r="D8" s="15" t="s">
        <v>40</v>
      </c>
      <c r="F8" s="1">
        <v>35</v>
      </c>
    </row>
    <row r="9" spans="1:7" x14ac:dyDescent="0.25">
      <c r="A9" s="1241"/>
      <c r="B9" s="19" t="s">
        <v>204</v>
      </c>
      <c r="C9" s="34"/>
      <c r="D9" s="15"/>
      <c r="E9" s="94" t="s">
        <v>89</v>
      </c>
      <c r="F9" s="1">
        <v>40</v>
      </c>
    </row>
    <row r="10" spans="1:7" ht="18" x14ac:dyDescent="0.25">
      <c r="A10" s="1241"/>
      <c r="B10" s="31" t="s">
        <v>156</v>
      </c>
      <c r="C10" s="30"/>
      <c r="D10" s="15" t="s">
        <v>55</v>
      </c>
      <c r="E10" s="94" t="s">
        <v>86</v>
      </c>
      <c r="F10" s="1">
        <v>45</v>
      </c>
    </row>
    <row r="11" spans="1:7" x14ac:dyDescent="0.25">
      <c r="A11" s="1241"/>
      <c r="B11" s="19" t="s">
        <v>203</v>
      </c>
      <c r="C11" s="34"/>
      <c r="D11" s="15"/>
      <c r="F11" s="1">
        <v>50</v>
      </c>
    </row>
    <row r="12" spans="1:7" ht="18" x14ac:dyDescent="0.25">
      <c r="A12" s="1241"/>
      <c r="B12" s="31" t="s">
        <v>66</v>
      </c>
      <c r="C12" s="30"/>
      <c r="D12" s="15" t="s">
        <v>55</v>
      </c>
      <c r="F12" s="1">
        <v>55</v>
      </c>
    </row>
    <row r="13" spans="1:7" x14ac:dyDescent="0.25">
      <c r="A13" s="1241"/>
      <c r="B13" s="21"/>
      <c r="C13" s="34"/>
      <c r="D13" s="15"/>
      <c r="F13" s="1">
        <v>60</v>
      </c>
    </row>
    <row r="14" spans="1:7" ht="32.25" customHeight="1" x14ac:dyDescent="0.25">
      <c r="A14" s="1241"/>
      <c r="B14" s="1222" t="s">
        <v>202</v>
      </c>
      <c r="C14" s="1222"/>
      <c r="D14" s="1223"/>
    </row>
    <row r="15" spans="1:7" x14ac:dyDescent="0.25">
      <c r="A15" s="1241"/>
      <c r="B15" s="25" t="s">
        <v>63</v>
      </c>
      <c r="C15" s="88" t="str">
        <f>IF(AND(C7&lt;&gt;"",C7&lt;&gt;"",C8&lt;&gt;""),MIN(0.9*C7,C7-C8-3),"")</f>
        <v/>
      </c>
      <c r="D15" s="15" t="s">
        <v>40</v>
      </c>
    </row>
    <row r="16" spans="1:7" ht="18.75" x14ac:dyDescent="0.35">
      <c r="A16" s="1241"/>
      <c r="B16" s="25" t="s">
        <v>201</v>
      </c>
      <c r="C16" s="24" t="str">
        <f>IF(C12&lt;&gt;"",0.6*C12,"")</f>
        <v/>
      </c>
      <c r="D16" s="15" t="s">
        <v>55</v>
      </c>
    </row>
    <row r="17" spans="1:4" ht="18.75" x14ac:dyDescent="0.35">
      <c r="A17" s="1241"/>
      <c r="B17" s="25" t="s">
        <v>200</v>
      </c>
      <c r="C17" s="24" t="str">
        <f>IF(AND(OR(C10=400,C10=500),C2="très préjudiciable"),MIN(0.5*C10,90*SQRT(1.6*C18)),IF(AND(OR(C10=400,C10=500),C2="préjudiciable"),MIN((2*C10)/3,110*SQRT(1.6*C18)),""))</f>
        <v/>
      </c>
      <c r="D17" s="15" t="s">
        <v>55</v>
      </c>
    </row>
    <row r="18" spans="1:4" ht="18" x14ac:dyDescent="0.25">
      <c r="A18" s="1241"/>
      <c r="B18" s="78" t="s">
        <v>151</v>
      </c>
      <c r="C18" s="24" t="str">
        <f>IF(C12&lt;&gt;"",0.6+0.06*C12,"")</f>
        <v/>
      </c>
      <c r="D18" s="15" t="s">
        <v>55</v>
      </c>
    </row>
    <row r="19" spans="1:4" ht="18" x14ac:dyDescent="0.25">
      <c r="A19" s="1241"/>
      <c r="B19" s="61" t="s">
        <v>199</v>
      </c>
      <c r="C19" s="49" t="str">
        <f>IF(AND(C18&lt;&gt;"",C10&lt;&gt;"",C15&lt;&gt;"",C6&lt;&gt;""),(C18/C10)*0.23*C15*C6,"")</f>
        <v/>
      </c>
      <c r="D19" s="15" t="s">
        <v>45</v>
      </c>
    </row>
    <row r="20" spans="1:4" x14ac:dyDescent="0.25">
      <c r="A20" s="1241"/>
      <c r="B20" s="61" t="s">
        <v>198</v>
      </c>
      <c r="C20" s="52" t="str">
        <f>IF(AND(C16&lt;&gt;"",C16&gt;0,C17&gt;0,C17&lt;&gt;""),(15*C16)/(15*C16+C17),"")</f>
        <v/>
      </c>
      <c r="D20" s="15"/>
    </row>
    <row r="21" spans="1:4" ht="15" customHeight="1" x14ac:dyDescent="0.25">
      <c r="A21" s="1241"/>
      <c r="B21" s="50" t="s">
        <v>215</v>
      </c>
      <c r="C21" s="24" t="str">
        <f>IF(AND(C16&lt;&gt;"",C20&lt;&gt;""),((C16*C20)/2)*(1-(C20/3)),"")</f>
        <v/>
      </c>
      <c r="D21" s="15" t="s">
        <v>55</v>
      </c>
    </row>
    <row r="22" spans="1:4" ht="18" x14ac:dyDescent="0.25">
      <c r="A22" s="1241"/>
      <c r="B22" s="61" t="s">
        <v>191</v>
      </c>
      <c r="C22" s="18" t="str">
        <f>IF(AND(C21&lt;&gt;"",C6&lt;&gt;"",C15&lt;&gt;""),(C21*10^6)*(C6*10^-2)*((C15*10^-2)^2),"")</f>
        <v/>
      </c>
      <c r="D22" s="15" t="s">
        <v>94</v>
      </c>
    </row>
    <row r="23" spans="1:4" x14ac:dyDescent="0.25">
      <c r="A23" s="1241"/>
      <c r="B23" s="1244" t="str">
        <f>IF(AND(C22&lt;&gt;"",C4&lt;&gt;"",C22&lt;=C4),"Moment agissant excessif. Section de béton insuffisante, augmenter (b) ou (h).",IF(AND(C22&lt;&gt;"",C4&lt;&gt;"",C22&gt;C4),"Moment fléchissant supportable par la poutre.",""))</f>
        <v/>
      </c>
      <c r="C23" s="1244"/>
      <c r="D23" s="15"/>
    </row>
    <row r="24" spans="1:4" x14ac:dyDescent="0.25">
      <c r="A24" s="1241"/>
      <c r="B24" s="19" t="s">
        <v>214</v>
      </c>
      <c r="C24" s="24"/>
      <c r="D24" s="15"/>
    </row>
    <row r="25" spans="1:4" ht="18" x14ac:dyDescent="0.25">
      <c r="A25" s="1241"/>
      <c r="B25" s="61" t="s">
        <v>180</v>
      </c>
      <c r="C25" s="49" t="str">
        <f>IF(AND(C20&lt;&gt;"",C15&lt;&gt;""),C20*C15,"")</f>
        <v/>
      </c>
      <c r="D25" s="15" t="s">
        <v>40</v>
      </c>
    </row>
    <row r="26" spans="1:4" s="84" customFormat="1" ht="18" x14ac:dyDescent="0.25">
      <c r="A26" s="1241"/>
      <c r="B26" s="61" t="s">
        <v>179</v>
      </c>
      <c r="C26" s="86" t="str">
        <f>IF(AND(C15&lt;&gt;"",C25&lt;&gt;""),C15-(C25/3),"")</f>
        <v/>
      </c>
      <c r="D26" s="59" t="s">
        <v>40</v>
      </c>
    </row>
    <row r="27" spans="1:4" ht="18" x14ac:dyDescent="0.25">
      <c r="A27" s="1241"/>
      <c r="B27" s="61" t="s">
        <v>178</v>
      </c>
      <c r="C27" s="49" t="str">
        <f>IF(AND(C4&lt;&gt;"",C17&lt;&gt;"",C17&gt;0,C26&lt;&gt;"",C26&gt;0),((C4*10^-6)/((C17*10^-2)*C26))*10^4,"")</f>
        <v/>
      </c>
      <c r="D27" s="15" t="s">
        <v>45</v>
      </c>
    </row>
    <row r="28" spans="1:4" x14ac:dyDescent="0.25">
      <c r="A28" s="1241"/>
      <c r="B28" s="19" t="s">
        <v>213</v>
      </c>
      <c r="C28" s="83"/>
      <c r="D28" s="15"/>
    </row>
    <row r="29" spans="1:4" ht="18" x14ac:dyDescent="0.25">
      <c r="A29" s="1241"/>
      <c r="B29" s="61" t="s">
        <v>176</v>
      </c>
      <c r="C29" s="49" t="str">
        <f>IF(AND(C27&lt;&gt;"",C6&lt;&gt;"",C15&lt;&gt;"",C6&gt;0),(-15*C27+SQRT(((15^2)*(C27^2))+(2*15*C27*C6*C15)))/C6,"")</f>
        <v/>
      </c>
      <c r="D29" s="15" t="s">
        <v>40</v>
      </c>
    </row>
    <row r="30" spans="1:4" ht="18" x14ac:dyDescent="0.25">
      <c r="A30" s="1241"/>
      <c r="B30" s="61" t="s">
        <v>175</v>
      </c>
      <c r="C30" s="24" t="str">
        <f>IF(AND(C15&lt;&gt;"",C29&lt;&gt;""),C15-(C29/3),"")</f>
        <v/>
      </c>
      <c r="D30" s="15" t="s">
        <v>40</v>
      </c>
    </row>
    <row r="31" spans="1:4" ht="18" x14ac:dyDescent="0.25">
      <c r="A31" s="1241"/>
      <c r="B31" s="61" t="s">
        <v>174</v>
      </c>
      <c r="C31" s="18" t="str">
        <f>IF(AND(C4&lt;&gt;"",C17&lt;&gt;"",C17&gt;0,C30&lt;&gt;"",C30&gt;0),((C4*10^-6)/((C17*10^-2)*C30))*10^4,"")</f>
        <v/>
      </c>
      <c r="D31" s="15" t="s">
        <v>45</v>
      </c>
    </row>
    <row r="32" spans="1:4" ht="57" customHeight="1" x14ac:dyDescent="0.25">
      <c r="A32" s="1242"/>
      <c r="B32" s="1243" t="str">
        <f>IF(AND(C31&gt;=C19,C19&lt;&gt;"",C31&lt;&gt;""),"Condition de non-fragilité respectée. Choisir et disposer les barres d'acier en assurant l'enrobage (c) et les autres dispositions constructives. Vérifier que ''d réel &gt; d choisi''.",IF(AND(C31&lt;C19,C19&lt;&gt;"",C31&lt;&gt;""),"Condition de non-fragilité non conforme.  Réduire la section du béton.",""))</f>
        <v/>
      </c>
      <c r="C32" s="1243"/>
      <c r="D32" s="13"/>
    </row>
  </sheetData>
  <sheetProtection password="EE7E" sheet="1" objects="1" scenarios="1"/>
  <mergeCells count="5">
    <mergeCell ref="A1:A32"/>
    <mergeCell ref="B1:D1"/>
    <mergeCell ref="B14:D14"/>
    <mergeCell ref="B32:C32"/>
    <mergeCell ref="B23:C23"/>
  </mergeCells>
  <dataValidations count="3">
    <dataValidation type="list" allowBlank="1" showInputMessage="1" showErrorMessage="1" sqref="C2">
      <formula1>E9:E10</formula1>
    </dataValidation>
    <dataValidation type="list" allowBlank="1" showInputMessage="1" showErrorMessage="1" sqref="C10">
      <formula1>E5:E6</formula1>
    </dataValidation>
    <dataValidation type="list" allowBlank="1" showInputMessage="1" showErrorMessage="1" sqref="C12">
      <formula1>F1:F13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3333CC"/>
  </sheetPr>
  <dimension ref="A1:H50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9.85546875" style="11" bestFit="1" customWidth="1"/>
    <col min="3" max="3" width="25.5703125" style="32" bestFit="1" customWidth="1"/>
    <col min="4" max="4" width="5" style="8" customWidth="1"/>
    <col min="5" max="5" width="11.42578125" style="11"/>
    <col min="6" max="6" width="12" style="11" hidden="1" customWidth="1"/>
    <col min="7" max="7" width="9.140625" style="11" hidden="1" customWidth="1"/>
    <col min="8" max="8" width="25.85546875" style="11" hidden="1" customWidth="1"/>
    <col min="9" max="16384" width="11.42578125" style="11"/>
  </cols>
  <sheetData>
    <row r="1" spans="1:8" ht="15" customHeight="1" x14ac:dyDescent="0.25">
      <c r="A1" s="1219" t="s">
        <v>212</v>
      </c>
      <c r="B1" s="1208" t="s">
        <v>92</v>
      </c>
      <c r="C1" s="1208"/>
      <c r="D1" s="1209"/>
      <c r="F1" s="11" t="s">
        <v>165</v>
      </c>
      <c r="G1" s="32">
        <v>16</v>
      </c>
      <c r="H1" s="1" t="s">
        <v>78</v>
      </c>
    </row>
    <row r="2" spans="1:8" x14ac:dyDescent="0.25">
      <c r="A2" s="1220"/>
      <c r="B2" s="17" t="s">
        <v>90</v>
      </c>
      <c r="C2" s="34" t="s">
        <v>91</v>
      </c>
      <c r="D2" s="15"/>
      <c r="F2" s="11" t="s">
        <v>163</v>
      </c>
      <c r="G2" s="32">
        <v>18</v>
      </c>
      <c r="H2" s="1" t="s">
        <v>76</v>
      </c>
    </row>
    <row r="3" spans="1:8" x14ac:dyDescent="0.25">
      <c r="A3" s="1220"/>
      <c r="B3" s="19" t="s">
        <v>205</v>
      </c>
      <c r="C3" s="34"/>
      <c r="D3" s="15"/>
      <c r="F3" s="11" t="s">
        <v>161</v>
      </c>
      <c r="G3" s="8">
        <v>20</v>
      </c>
    </row>
    <row r="4" spans="1:8" ht="18" x14ac:dyDescent="0.35">
      <c r="A4" s="1220"/>
      <c r="B4" s="17" t="s">
        <v>172</v>
      </c>
      <c r="C4" s="93"/>
      <c r="D4" s="15" t="s">
        <v>94</v>
      </c>
      <c r="G4" s="8">
        <v>22</v>
      </c>
    </row>
    <row r="5" spans="1:8" ht="18" x14ac:dyDescent="0.35">
      <c r="A5" s="1220"/>
      <c r="B5" s="17" t="s">
        <v>171</v>
      </c>
      <c r="C5" s="82"/>
      <c r="D5" s="15" t="s">
        <v>94</v>
      </c>
      <c r="F5" s="11">
        <v>500</v>
      </c>
      <c r="G5" s="8">
        <v>25</v>
      </c>
    </row>
    <row r="6" spans="1:8" x14ac:dyDescent="0.25">
      <c r="A6" s="1220"/>
      <c r="B6" s="19" t="s">
        <v>170</v>
      </c>
      <c r="C6" s="34"/>
      <c r="D6" s="15"/>
      <c r="F6" s="11">
        <v>400</v>
      </c>
      <c r="G6" s="8">
        <v>27</v>
      </c>
    </row>
    <row r="7" spans="1:8" x14ac:dyDescent="0.25">
      <c r="A7" s="1220"/>
      <c r="B7" s="17" t="s">
        <v>169</v>
      </c>
      <c r="C7" s="92"/>
      <c r="D7" s="15" t="s">
        <v>40</v>
      </c>
      <c r="G7" s="8">
        <v>30</v>
      </c>
    </row>
    <row r="8" spans="1:8" ht="18" x14ac:dyDescent="0.35">
      <c r="A8" s="1220"/>
      <c r="B8" s="81" t="s">
        <v>168</v>
      </c>
      <c r="C8" s="92"/>
      <c r="D8" s="15" t="s">
        <v>40</v>
      </c>
      <c r="G8" s="8">
        <v>35</v>
      </c>
    </row>
    <row r="9" spans="1:8" x14ac:dyDescent="0.25">
      <c r="A9" s="1220"/>
      <c r="B9" s="17" t="s">
        <v>167</v>
      </c>
      <c r="C9" s="27"/>
      <c r="D9" s="15" t="s">
        <v>40</v>
      </c>
      <c r="G9" s="8">
        <v>40</v>
      </c>
    </row>
    <row r="10" spans="1:8" ht="18" x14ac:dyDescent="0.35">
      <c r="A10" s="1220"/>
      <c r="B10" s="81" t="s">
        <v>166</v>
      </c>
      <c r="C10" s="27"/>
      <c r="D10" s="15" t="s">
        <v>40</v>
      </c>
      <c r="G10" s="8">
        <v>45</v>
      </c>
    </row>
    <row r="11" spans="1:8" x14ac:dyDescent="0.25">
      <c r="A11" s="1220"/>
      <c r="B11" s="35" t="s">
        <v>80</v>
      </c>
      <c r="C11" s="27"/>
      <c r="D11" s="15" t="s">
        <v>40</v>
      </c>
      <c r="G11" s="8">
        <v>50</v>
      </c>
    </row>
    <row r="12" spans="1:8" x14ac:dyDescent="0.25">
      <c r="A12" s="1220"/>
      <c r="B12" s="19" t="s">
        <v>204</v>
      </c>
      <c r="C12" s="34"/>
      <c r="D12" s="15"/>
      <c r="G12" s="8">
        <v>55</v>
      </c>
    </row>
    <row r="13" spans="1:8" ht="18" x14ac:dyDescent="0.25">
      <c r="A13" s="1220"/>
      <c r="B13" s="31" t="s">
        <v>156</v>
      </c>
      <c r="C13" s="30"/>
      <c r="D13" s="15" t="s">
        <v>55</v>
      </c>
      <c r="G13" s="8">
        <v>60</v>
      </c>
    </row>
    <row r="14" spans="1:8" x14ac:dyDescent="0.25">
      <c r="A14" s="1220"/>
      <c r="B14" s="19" t="s">
        <v>203</v>
      </c>
      <c r="C14" s="34"/>
      <c r="D14" s="15"/>
    </row>
    <row r="15" spans="1:8" ht="18" x14ac:dyDescent="0.25">
      <c r="A15" s="1220"/>
      <c r="B15" s="31" t="s">
        <v>66</v>
      </c>
      <c r="C15" s="30"/>
      <c r="D15" s="15" t="s">
        <v>55</v>
      </c>
    </row>
    <row r="16" spans="1:8" x14ac:dyDescent="0.25">
      <c r="A16" s="1220"/>
      <c r="B16" s="26" t="s">
        <v>211</v>
      </c>
      <c r="C16" s="30"/>
      <c r="D16" s="15"/>
    </row>
    <row r="17" spans="1:4" x14ac:dyDescent="0.25">
      <c r="A17" s="1220"/>
      <c r="B17" s="21"/>
      <c r="C17" s="34"/>
      <c r="D17" s="15"/>
    </row>
    <row r="18" spans="1:4" ht="18" x14ac:dyDescent="0.25">
      <c r="A18" s="1220"/>
      <c r="B18" s="29" t="s">
        <v>65</v>
      </c>
      <c r="C18" s="30"/>
      <c r="D18" s="15"/>
    </row>
    <row r="19" spans="1:4" x14ac:dyDescent="0.25">
      <c r="A19" s="1220"/>
      <c r="B19" s="29"/>
      <c r="C19" s="10"/>
      <c r="D19" s="15"/>
    </row>
    <row r="20" spans="1:4" ht="32.25" customHeight="1" x14ac:dyDescent="0.25">
      <c r="A20" s="1220"/>
      <c r="B20" s="1222" t="s">
        <v>210</v>
      </c>
      <c r="C20" s="1222"/>
      <c r="D20" s="1223"/>
    </row>
    <row r="21" spans="1:4" x14ac:dyDescent="0.25">
      <c r="A21" s="1220"/>
      <c r="B21" s="17" t="s">
        <v>63</v>
      </c>
      <c r="C21" s="91" t="str">
        <f>IF(AND(C9&lt;&gt;"",C11&lt;&gt;""),C9-C11-5,"")</f>
        <v/>
      </c>
      <c r="D21" s="15" t="s">
        <v>40</v>
      </c>
    </row>
    <row r="22" spans="1:4" ht="18" x14ac:dyDescent="0.35">
      <c r="A22" s="1220"/>
      <c r="B22" s="17" t="s">
        <v>153</v>
      </c>
      <c r="C22" s="24" t="str">
        <f>IF(AND(C18="cas général",C16="t &gt; 24 h"),(0.85*C15)/(1.5*1),IF(AND(C18="cas général",C16="1 h = t = 24 h"),(0.85*C15)/(1.5*0.9),IF(AND(C18="cas général",C16="t &lt; 1 h"),(0.85*C15)/(1.5*0.85),IF(AND(C18="combinaisons accidentelles",C16="t &gt; 24 h"),(0.85*C15)/(1.15*1),IF(AND(C18="combinaisons accidentelles",C16="1 h = t = 24 h"),(0.85*C15)/(1.15*0.9),IF(AND(C18="combinaisons accidentelles",C16="t &lt; 1 h"),(0.85*C15)/(1.15*0.85),""))))))</f>
        <v/>
      </c>
      <c r="D22" s="15" t="s">
        <v>55</v>
      </c>
    </row>
    <row r="23" spans="1:4" ht="18" x14ac:dyDescent="0.35">
      <c r="A23" s="1220"/>
      <c r="B23" s="17" t="s">
        <v>152</v>
      </c>
      <c r="C23" s="24" t="str">
        <f>IF(C18="cas général",C13/1.15,IF(C18="combinaisons accidentelles",C13/1,""))</f>
        <v/>
      </c>
      <c r="D23" s="15" t="s">
        <v>55</v>
      </c>
    </row>
    <row r="24" spans="1:4" ht="18" x14ac:dyDescent="0.25">
      <c r="A24" s="1220"/>
      <c r="B24" s="31" t="s">
        <v>151</v>
      </c>
      <c r="C24" s="24" t="str">
        <f>IF(C15&lt;&gt;"",0.6+0.06*C15,"")</f>
        <v/>
      </c>
      <c r="D24" s="15" t="s">
        <v>55</v>
      </c>
    </row>
    <row r="25" spans="1:4" x14ac:dyDescent="0.25">
      <c r="A25" s="1220"/>
      <c r="B25" s="17" t="s">
        <v>122</v>
      </c>
      <c r="C25" s="24" t="str">
        <f>IF(AND(C5&lt;&gt;"",C4&lt;&gt;""),C5/C4,"")</f>
        <v/>
      </c>
      <c r="D25" s="15"/>
    </row>
    <row r="26" spans="1:4" hidden="1" x14ac:dyDescent="0.25">
      <c r="A26" s="1220"/>
      <c r="B26" s="62" t="s">
        <v>121</v>
      </c>
      <c r="C26" s="24" t="str">
        <f>IF(AND(C8&lt;&gt;"",C9&lt;&gt;"",C7&lt;&gt;"",C8&lt;&gt;"",C10&lt;&gt;""),C8*C9+(C7-C8)*C10,"")</f>
        <v/>
      </c>
      <c r="D26" s="15" t="s">
        <v>45</v>
      </c>
    </row>
    <row r="27" spans="1:4" ht="18" hidden="1" x14ac:dyDescent="0.35">
      <c r="A27" s="1220"/>
      <c r="B27" s="62" t="s">
        <v>120</v>
      </c>
      <c r="C27" s="24" t="str">
        <f>IF(AND(C8&lt;&gt;"",C9&lt;&gt;"",C7&lt;&gt;"",C8&lt;&gt;"",C10&lt;&gt;"",C26&gt;0,C26&lt;&gt;""),((C8*C9^2)+(C7-C8)*C10^2)/(2*C26),"")</f>
        <v/>
      </c>
      <c r="D27" s="15" t="s">
        <v>40</v>
      </c>
    </row>
    <row r="28" spans="1:4" ht="18" hidden="1" x14ac:dyDescent="0.35">
      <c r="A28" s="1220"/>
      <c r="B28" s="62" t="s">
        <v>119</v>
      </c>
      <c r="C28" s="24" t="str">
        <f>IF(AND(C21&lt;&gt;"",C27&lt;&gt;""),C21-C27,"")</f>
        <v/>
      </c>
      <c r="D28" s="15" t="s">
        <v>40</v>
      </c>
    </row>
    <row r="29" spans="1:4" ht="17.25" hidden="1" x14ac:dyDescent="0.25">
      <c r="A29" s="1220"/>
      <c r="B29" s="62" t="s">
        <v>118</v>
      </c>
      <c r="C29" s="24" t="str">
        <f>IF(AND(C8&lt;&gt;"",C9&lt;&gt;"",C7&lt;&gt;"",C10&lt;&gt;"",C26&lt;&gt;"",C27&lt;&gt;""),((C8*((C9^3)/3))+((C7-C8)*((C10^3)/3)))-C26*C27^2,"")</f>
        <v/>
      </c>
      <c r="D29" s="15" t="s">
        <v>117</v>
      </c>
    </row>
    <row r="30" spans="1:4" s="84" customFormat="1" ht="18" x14ac:dyDescent="0.25">
      <c r="A30" s="1220"/>
      <c r="B30" s="61" t="s">
        <v>116</v>
      </c>
      <c r="C30" s="60" t="str">
        <f>IF(C37&lt;&gt;"",(C24/C13)*0.23*C21*C7,IF(C49&lt;&gt;"",(C29/(0.81*C9*C28))*C24/C13,""))</f>
        <v/>
      </c>
      <c r="D30" s="59" t="s">
        <v>45</v>
      </c>
    </row>
    <row r="31" spans="1:4" ht="18" x14ac:dyDescent="0.25">
      <c r="A31" s="1220"/>
      <c r="B31" s="50" t="s">
        <v>115</v>
      </c>
      <c r="C31" s="18" t="str">
        <f>IF(AND(C7&lt;&gt;"",C22&lt;&gt;"",C21&lt;&gt;"",C10&lt;&gt;""),(C7*10^-2)*(C10*10^-2)*(C22*10^6)*((C21*10^-2)-((C10*10^-2)/2)),"")</f>
        <v/>
      </c>
      <c r="D31" s="15" t="s">
        <v>94</v>
      </c>
    </row>
    <row r="32" spans="1:4" s="89" customFormat="1" x14ac:dyDescent="0.25">
      <c r="A32" s="1220"/>
      <c r="B32" s="1248" t="str">
        <f>IF(AND(C5&lt;&gt;"",C31&lt;&gt;"",C5&lt;=C31),"Table seule comprimée. Section rectangulaire. Dimensions : b et h.",IF(AND(C5&lt;&gt;"",C31&lt;&gt;"",C5&gt;C31),"Table et nervure comprimées : poutre en 'TE'.",""))</f>
        <v/>
      </c>
      <c r="C32" s="1248"/>
      <c r="D32" s="55"/>
    </row>
    <row r="33" spans="1:6" s="89" customFormat="1" x14ac:dyDescent="0.25">
      <c r="A33" s="1220"/>
      <c r="B33" s="56" t="s">
        <v>114</v>
      </c>
      <c r="C33" s="52"/>
      <c r="D33" s="55"/>
    </row>
    <row r="34" spans="1:6" s="89" customFormat="1" x14ac:dyDescent="0.25">
      <c r="A34" s="1220"/>
      <c r="B34" s="50" t="s">
        <v>113</v>
      </c>
      <c r="C34" s="52" t="str">
        <f>IF(AND(C5&lt;=C31,C31&lt;&gt;"",C5&lt;&gt;"",C7&lt;&gt;"",C21&lt;&gt;"",C22&lt;&gt;""),(C5*10^-6)/((C7*10^-2)*((C21*10^-2)^2)*C22),"")</f>
        <v/>
      </c>
      <c r="D34" s="58"/>
      <c r="F34" s="90"/>
    </row>
    <row r="35" spans="1:6" s="89" customFormat="1" x14ac:dyDescent="0.25">
      <c r="A35" s="1220"/>
      <c r="B35" s="50" t="s">
        <v>112</v>
      </c>
      <c r="C35" s="52" t="str">
        <f>IF(C34&lt;&gt;"",1.25*(1-SQRT(1-2*C34)),"")</f>
        <v/>
      </c>
      <c r="D35" s="15"/>
    </row>
    <row r="36" spans="1:6" s="89" customFormat="1" x14ac:dyDescent="0.25">
      <c r="A36" s="1220"/>
      <c r="B36" s="50" t="s">
        <v>209</v>
      </c>
      <c r="C36" s="24" t="str">
        <f>IF(AND(C21&lt;&gt;"",C35&lt;&gt;""),C21*(1-0.4*C35),"")</f>
        <v/>
      </c>
      <c r="D36" s="15" t="s">
        <v>40</v>
      </c>
    </row>
    <row r="37" spans="1:6" s="89" customFormat="1" ht="18" x14ac:dyDescent="0.25">
      <c r="A37" s="1220"/>
      <c r="B37" s="50" t="s">
        <v>101</v>
      </c>
      <c r="C37" s="49" t="str">
        <f>IF(AND(C36&gt;0,C36&lt;&gt;""),((C5*10^-6)/(C23*(C36*10^-2)))*10^4,"")</f>
        <v/>
      </c>
      <c r="D37" s="15" t="s">
        <v>45</v>
      </c>
    </row>
    <row r="38" spans="1:6" s="89" customFormat="1" ht="45" customHeight="1" x14ac:dyDescent="0.25">
      <c r="A38" s="1220"/>
      <c r="B38" s="1247" t="str">
        <f>IF(AND(C37&gt;=C30,C30&lt;&gt;"",C37&lt;&gt;""),"Condition de non-fragilité respectée. Choisir et disposer les aciers tendus dans 'b₀' en assurant l'enrobage (c) et les autres dispositions constructives. Vérifier que ''d réel &gt; d choisi''.",IF(AND(C37&lt;C30,C30&lt;&gt;"",C37&lt;&gt;""),"Condition de non-fragilité non conforme. La section d'acier est insuffisante, réduire la section du béton.",""))</f>
        <v/>
      </c>
      <c r="C38" s="1247"/>
      <c r="D38" s="15"/>
      <c r="E38" s="90"/>
    </row>
    <row r="39" spans="1:6" s="89" customFormat="1" x14ac:dyDescent="0.25">
      <c r="A39" s="1220"/>
      <c r="B39" s="56" t="s">
        <v>109</v>
      </c>
      <c r="C39" s="52"/>
      <c r="D39" s="55"/>
    </row>
    <row r="40" spans="1:6" ht="18" x14ac:dyDescent="0.25">
      <c r="A40" s="1220"/>
      <c r="B40" s="50" t="s">
        <v>108</v>
      </c>
      <c r="C40" s="16" t="str">
        <f>IF(AND(C5&gt;C31,C31&lt;&gt;"",C5&lt;&gt;"",C7&lt;&gt;"",C8&lt;&gt;"",C22&lt;&gt;"",C21&lt;&gt;"",C10&lt;&gt;""),((C7-C8)*10^-2)*(C10*10^-2)*(C22*10^6)*((C21*10^-2)-((C10*10^-2)/2)),"")</f>
        <v/>
      </c>
      <c r="D40" s="15" t="s">
        <v>94</v>
      </c>
    </row>
    <row r="41" spans="1:6" ht="18" x14ac:dyDescent="0.25">
      <c r="A41" s="1220"/>
      <c r="B41" s="50" t="s">
        <v>107</v>
      </c>
      <c r="C41" s="16" t="str">
        <f>IF(AND(C5&lt;&gt;"",C40&lt;&gt;""),C5-C40,"")</f>
        <v/>
      </c>
      <c r="D41" s="15" t="s">
        <v>94</v>
      </c>
    </row>
    <row r="42" spans="1:6" ht="18" x14ac:dyDescent="0.25">
      <c r="A42" s="1220"/>
      <c r="B42" s="50" t="s">
        <v>106</v>
      </c>
      <c r="C42" s="54" t="str">
        <f>IF(AND(C41&lt;&gt;"",C8&lt;&gt;"",C21&lt;&gt;"",C22&lt;&gt;""),(C41*10^-6)/((C8*10^-2)*((C21*10^-2)^2)*C22),"")</f>
        <v/>
      </c>
      <c r="D42" s="51"/>
    </row>
    <row r="43" spans="1:6" x14ac:dyDescent="0.25">
      <c r="A43" s="1220"/>
      <c r="B43" s="1246" t="str">
        <f>IF(AND(C42&lt;&gt;"",C42&lt;=0.186),"Zone de pivot A. Section sans aciers comprimés.",IF(AND(C42&lt;&gt;"",C42&gt;0.186),"Pivot B. Risque d'insuffisance de la section de béton. Vérifions !",""))</f>
        <v/>
      </c>
      <c r="C43" s="1246"/>
      <c r="D43" s="51"/>
    </row>
    <row r="44" spans="1:6" ht="18" x14ac:dyDescent="0.25">
      <c r="A44" s="1220"/>
      <c r="B44" s="50" t="s">
        <v>105</v>
      </c>
      <c r="C44" s="53" t="str">
        <f>IF(AND(C42&lt;&gt;"",C15&lt;=30,C16="t &gt; 24 h",C42&gt;0.186,C13=500),(0.322*C25+0.0051*C15-0.31)*(1-((1-1)/8.5))*(1),IF(AND(C42&lt;&gt;"",C15&lt;=30,C16="1 h = t = 24 h",C42&gt;0.186,C13=500),(0.322*C25+0.0051*C15-0.31)*(1-((1-0.9)/8.5))*(0.9),IF(AND(C42&lt;&gt;"",C15&lt;=30,C16="t &lt; 1 h",C42&gt;0.186,C13=500),(0.322*C25+0.0051*C15-0.31)*(1-((1-0.85)/8.5))*(0.85),IF(AND(C42&lt;&gt;"",C15&lt;=30,C16="t &gt; 24 h",C42&gt;0.186,C13=400),(0.344*C25+0.0049*C15-0.305)*(1-((1-1)/8.5))*(1),IF(AND(C42&lt;&gt;"",C15&lt;=30,C16="1 h = t = 24 h",C42&gt;0.186,C13=400),(0.344*C25+0.0049*C15-0.305)*(1-((1-0.9)/8.5))*(0.9),IF(AND(C42&lt;&gt;"",C15&lt;=30,C16="t &lt; 1 h",C42&gt;0.186,C13=400),(0.344*C25+0.0049*C15-0.305)*(1-((1-0.85)/8.5))*(0.85),""))))))</f>
        <v/>
      </c>
      <c r="D44" s="51"/>
    </row>
    <row r="45" spans="1:6" x14ac:dyDescent="0.25">
      <c r="A45" s="1220"/>
      <c r="B45" s="1244" t="str">
        <f>IF(AND(C42&lt;&gt;"",C44&lt;&gt;"",C42&gt;C44),"Section de béton insuffisante, augmenter (b) ou (h).",IF(AND(C42&lt;&gt;"",C44&lt;&gt;"",C42&gt;0.186,C44&gt;=C42),"Section de béton suffisante. Aciers comprimés inutile.",""))</f>
        <v/>
      </c>
      <c r="C45" s="1244"/>
      <c r="D45" s="51"/>
    </row>
    <row r="46" spans="1:6" ht="18" x14ac:dyDescent="0.25">
      <c r="A46" s="1220"/>
      <c r="B46" s="50" t="s">
        <v>104</v>
      </c>
      <c r="C46" s="52" t="str">
        <f>IF(OR(AND(C42&lt;=0.186,C42&lt;&gt;""),AND(C42&lt;&gt;"",C44&lt;&gt;"",C42&lt;=C44)),1.25*(1-SQRT(1-2*C42)),"")</f>
        <v/>
      </c>
      <c r="D46" s="51"/>
    </row>
    <row r="47" spans="1:6" ht="18" x14ac:dyDescent="0.35">
      <c r="A47" s="1220"/>
      <c r="B47" s="25" t="s">
        <v>208</v>
      </c>
      <c r="C47" s="16" t="str">
        <f>IF(OR(AND(C44&lt;&gt;"",C42&lt;&gt;"",C42&lt;=C44,C7&lt;&gt;"",C8&lt;&gt;"",C10&lt;&gt;"",C22&lt;&gt;""),AND(C42&lt;=0.186,C42&lt;&gt;"",C7&lt;&gt;"",C8&lt;&gt;"",C10&lt;&gt;"",C22&lt;&gt;"")),10*((C7-C8)*C10*(C22*10)),"")</f>
        <v/>
      </c>
      <c r="D47" s="15" t="s">
        <v>87</v>
      </c>
    </row>
    <row r="48" spans="1:6" ht="18" x14ac:dyDescent="0.35">
      <c r="A48" s="1220"/>
      <c r="B48" s="25" t="s">
        <v>207</v>
      </c>
      <c r="C48" s="16" t="str">
        <f>IF(OR(AND(C21&lt;&gt;"",C8&lt;&gt;"",C22&lt;&gt;"",C46&lt;&gt;"",C42&lt;=0.186,C42&lt;&gt;""),AND(C21&lt;&gt;"",C8&lt;&gt;"",C22&lt;&gt;"",C46&lt;&gt;"",C42&lt;&gt;"",C44&lt;&gt;"",C42&lt;=C44)),10*(0.8*C21*C8*(C22*10)*C46),"")</f>
        <v/>
      </c>
      <c r="D48" s="15" t="s">
        <v>87</v>
      </c>
    </row>
    <row r="49" spans="1:4" ht="18" x14ac:dyDescent="0.25">
      <c r="A49" s="1220"/>
      <c r="B49" s="50" t="s">
        <v>101</v>
      </c>
      <c r="C49" s="49" t="str">
        <f>IF(OR(AND(C47&lt;&gt;"",C48&lt;&gt;"",C23&lt;&gt;"",C42&lt;=0.186,C42&lt;&gt;""),AND(C47&lt;&gt;"",C48&lt;&gt;"",C23&lt;&gt;"",C42&lt;&gt;"",C44&lt;&gt;"",C42&lt;=C44)),(SUM(C47:C48)/C23)*10^-2,"")</f>
        <v/>
      </c>
      <c r="D49" s="15" t="s">
        <v>45</v>
      </c>
    </row>
    <row r="50" spans="1:4" ht="45" customHeight="1" x14ac:dyDescent="0.25">
      <c r="A50" s="1221"/>
      <c r="B50" s="1245" t="str">
        <f>IF(AND(C49&gt;=C30,C30&lt;&gt;"",C49&lt;&gt;""),"Condition de non-fragilité respectée. Choisir et disposer les aciers tendus  dans 'b₀' en assurant l'enrobage (c) et les autres dispositions constructives. Vérifier que ''d réel &gt; d choisi''.",IF(AND(C49&lt;C30,C30&lt;&gt;"",C49&lt;&gt;""),"Condition de non-fragilité non conforme. La section d'acier est insuffisante, réduire la section du béton.",""))</f>
        <v/>
      </c>
      <c r="C50" s="1245"/>
      <c r="D50" s="47"/>
    </row>
  </sheetData>
  <sheetProtection password="EE7E" sheet="1" objects="1" scenarios="1"/>
  <mergeCells count="8">
    <mergeCell ref="B50:C50"/>
    <mergeCell ref="A1:A50"/>
    <mergeCell ref="B1:D1"/>
    <mergeCell ref="B20:D20"/>
    <mergeCell ref="B43:C43"/>
    <mergeCell ref="B38:C38"/>
    <mergeCell ref="B45:C45"/>
    <mergeCell ref="B32:C32"/>
  </mergeCells>
  <dataValidations count="4">
    <dataValidation type="list" allowBlank="1" showInputMessage="1" showErrorMessage="1" sqref="C15">
      <formula1>G1:G13</formula1>
    </dataValidation>
    <dataValidation type="list" allowBlank="1" showInputMessage="1" showErrorMessage="1" sqref="C16">
      <formula1>F1:F3</formula1>
    </dataValidation>
    <dataValidation type="list" allowBlank="1" showInputMessage="1" showErrorMessage="1" sqref="C18:C19">
      <formula1>H1:H2</formula1>
    </dataValidation>
    <dataValidation type="list" allowBlank="1" showInputMessage="1" showErrorMessage="1" sqref="C13">
      <formula1>F5:F6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>
    <oddHeader>&amp;L&amp;F&amp;C&amp;P/&amp;N&amp;RNote de calcul - &amp;A
Imprimé le &amp;D</oddHead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rgb="FF00B050"/>
  </sheetPr>
  <dimension ref="A1:H61"/>
  <sheetViews>
    <sheetView showGridLines="0" view="pageBreakPreview" zoomScale="90" zoomScaleSheetLayoutView="90" workbookViewId="0">
      <selection activeCell="C8" sqref="C8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0.7109375" style="32" customWidth="1"/>
    <col min="4" max="4" width="5" style="8" customWidth="1"/>
    <col min="5" max="5" width="16.7109375" style="11" hidden="1" customWidth="1"/>
    <col min="6" max="6" width="11.42578125" style="32" hidden="1" customWidth="1"/>
    <col min="7" max="7" width="11.42578125" style="11" customWidth="1"/>
    <col min="8" max="16384" width="11.42578125" style="11"/>
  </cols>
  <sheetData>
    <row r="1" spans="1:7" ht="15" customHeight="1" x14ac:dyDescent="0.25">
      <c r="A1" s="1240" t="s">
        <v>206</v>
      </c>
      <c r="B1" s="1208" t="s">
        <v>92</v>
      </c>
      <c r="C1" s="1208"/>
      <c r="D1" s="1209"/>
      <c r="E1" s="37" t="s">
        <v>89</v>
      </c>
      <c r="F1" s="32">
        <v>16</v>
      </c>
      <c r="G1" s="1"/>
    </row>
    <row r="2" spans="1:7" x14ac:dyDescent="0.25">
      <c r="A2" s="1241"/>
      <c r="B2" s="17" t="s">
        <v>90</v>
      </c>
      <c r="C2" s="27" t="s">
        <v>89</v>
      </c>
      <c r="D2" s="15"/>
      <c r="E2" s="37" t="s">
        <v>86</v>
      </c>
      <c r="F2" s="32">
        <v>18</v>
      </c>
      <c r="G2" s="1"/>
    </row>
    <row r="3" spans="1:7" x14ac:dyDescent="0.25">
      <c r="A3" s="1241"/>
      <c r="B3" s="19" t="s">
        <v>205</v>
      </c>
      <c r="C3" s="34"/>
      <c r="D3" s="15"/>
      <c r="F3" s="8">
        <v>20</v>
      </c>
    </row>
    <row r="4" spans="1:7" ht="18" x14ac:dyDescent="0.35">
      <c r="A4" s="1241"/>
      <c r="B4" s="17" t="s">
        <v>172</v>
      </c>
      <c r="C4" s="82">
        <v>404300</v>
      </c>
      <c r="D4" s="15" t="s">
        <v>94</v>
      </c>
      <c r="F4" s="8">
        <v>22</v>
      </c>
    </row>
    <row r="5" spans="1:7" x14ac:dyDescent="0.25">
      <c r="A5" s="1241"/>
      <c r="B5" s="19" t="s">
        <v>170</v>
      </c>
      <c r="C5" s="70"/>
      <c r="D5" s="15"/>
      <c r="E5" s="32">
        <v>500</v>
      </c>
      <c r="F5" s="8">
        <v>25</v>
      </c>
    </row>
    <row r="6" spans="1:7" x14ac:dyDescent="0.25">
      <c r="A6" s="1241"/>
      <c r="B6" s="17" t="s">
        <v>169</v>
      </c>
      <c r="C6" s="27">
        <v>222</v>
      </c>
      <c r="D6" s="15" t="s">
        <v>40</v>
      </c>
      <c r="E6" s="32">
        <v>400</v>
      </c>
      <c r="F6" s="8">
        <v>27</v>
      </c>
    </row>
    <row r="7" spans="1:7" ht="18" x14ac:dyDescent="0.35">
      <c r="A7" s="1241"/>
      <c r="B7" s="81" t="s">
        <v>168</v>
      </c>
      <c r="C7" s="27">
        <v>22</v>
      </c>
      <c r="D7" s="15" t="s">
        <v>40</v>
      </c>
      <c r="F7" s="8">
        <v>30</v>
      </c>
    </row>
    <row r="8" spans="1:7" x14ac:dyDescent="0.25">
      <c r="A8" s="1241"/>
      <c r="B8" s="17" t="s">
        <v>167</v>
      </c>
      <c r="C8" s="27">
        <v>85</v>
      </c>
      <c r="D8" s="15" t="s">
        <v>40</v>
      </c>
      <c r="F8" s="8">
        <v>35</v>
      </c>
    </row>
    <row r="9" spans="1:7" ht="18" x14ac:dyDescent="0.35">
      <c r="A9" s="1241"/>
      <c r="B9" s="81" t="s">
        <v>166</v>
      </c>
      <c r="C9" s="27">
        <v>15</v>
      </c>
      <c r="D9" s="15" t="s">
        <v>40</v>
      </c>
      <c r="F9" s="8">
        <v>40</v>
      </c>
    </row>
    <row r="10" spans="1:7" x14ac:dyDescent="0.25">
      <c r="A10" s="1241"/>
      <c r="B10" s="35" t="s">
        <v>80</v>
      </c>
      <c r="C10" s="27">
        <v>3</v>
      </c>
      <c r="D10" s="15" t="s">
        <v>40</v>
      </c>
      <c r="F10" s="8">
        <v>45</v>
      </c>
    </row>
    <row r="11" spans="1:7" x14ac:dyDescent="0.25">
      <c r="A11" s="1241"/>
      <c r="B11" s="19" t="s">
        <v>204</v>
      </c>
      <c r="C11" s="34"/>
      <c r="D11" s="15"/>
      <c r="F11" s="8">
        <v>50</v>
      </c>
    </row>
    <row r="12" spans="1:7" ht="18" x14ac:dyDescent="0.25">
      <c r="A12" s="1241"/>
      <c r="B12" s="31" t="s">
        <v>156</v>
      </c>
      <c r="C12" s="30">
        <v>500</v>
      </c>
      <c r="D12" s="15" t="s">
        <v>55</v>
      </c>
      <c r="F12" s="8">
        <v>55</v>
      </c>
    </row>
    <row r="13" spans="1:7" x14ac:dyDescent="0.25">
      <c r="A13" s="1241"/>
      <c r="B13" s="19" t="s">
        <v>203</v>
      </c>
      <c r="C13" s="34"/>
      <c r="D13" s="15"/>
      <c r="F13" s="8">
        <v>60</v>
      </c>
    </row>
    <row r="14" spans="1:7" ht="18" x14ac:dyDescent="0.25">
      <c r="A14" s="1241"/>
      <c r="B14" s="31" t="s">
        <v>66</v>
      </c>
      <c r="C14" s="30">
        <v>25</v>
      </c>
      <c r="D14" s="15" t="s">
        <v>55</v>
      </c>
    </row>
    <row r="15" spans="1:7" x14ac:dyDescent="0.25">
      <c r="A15" s="1241"/>
      <c r="B15" s="21"/>
      <c r="C15" s="34"/>
      <c r="D15" s="15"/>
    </row>
    <row r="16" spans="1:7" ht="32.25" customHeight="1" x14ac:dyDescent="0.25">
      <c r="A16" s="1241"/>
      <c r="B16" s="1222" t="s">
        <v>202</v>
      </c>
      <c r="C16" s="1222"/>
      <c r="D16" s="1223"/>
    </row>
    <row r="17" spans="1:4" s="11" customFormat="1" x14ac:dyDescent="0.25">
      <c r="A17" s="1241"/>
      <c r="B17" s="25" t="s">
        <v>63</v>
      </c>
      <c r="C17" s="88">
        <f>IF(AND(C8&lt;&gt;"",C8&lt;&gt;"",C10&lt;&gt;""),C8-C10-5,"")</f>
        <v>77</v>
      </c>
      <c r="D17" s="15" t="s">
        <v>40</v>
      </c>
    </row>
    <row r="18" spans="1:4" s="11" customFormat="1" ht="18.75" x14ac:dyDescent="0.35">
      <c r="A18" s="1241"/>
      <c r="B18" s="25" t="s">
        <v>201</v>
      </c>
      <c r="C18" s="24">
        <f>IF(C14&lt;&gt;"",0.6*C14,"")</f>
        <v>15</v>
      </c>
      <c r="D18" s="15" t="s">
        <v>55</v>
      </c>
    </row>
    <row r="19" spans="1:4" s="11" customFormat="1" ht="18.75" x14ac:dyDescent="0.35">
      <c r="A19" s="1241"/>
      <c r="B19" s="25" t="s">
        <v>200</v>
      </c>
      <c r="C19" s="24">
        <f>IF(AND(OR(C12=400,C12=500),C2="très préjudiciable"),MIN(0.5*C12,90*SQRT(1.6*C20)),IF(AND(OR(C12=400,C12=500),C2="préjudiciable"),MIN((2*C12)/3,110*SQRT(1.6*C20)),""))</f>
        <v>201.63333057805698</v>
      </c>
      <c r="D19" s="15" t="s">
        <v>55</v>
      </c>
    </row>
    <row r="20" spans="1:4" s="11" customFormat="1" ht="18" x14ac:dyDescent="0.25">
      <c r="A20" s="1241"/>
      <c r="B20" s="78" t="s">
        <v>151</v>
      </c>
      <c r="C20" s="24">
        <f>IF(C14&lt;&gt;"",0.6+0.06*C14,"")</f>
        <v>2.1</v>
      </c>
      <c r="D20" s="15" t="s">
        <v>55</v>
      </c>
    </row>
    <row r="21" spans="1:4" s="11" customFormat="1" hidden="1" x14ac:dyDescent="0.25">
      <c r="A21" s="1241"/>
      <c r="B21" s="62" t="s">
        <v>121</v>
      </c>
      <c r="C21" s="24">
        <f>IF(AND(C7&lt;&gt;"",C8&lt;&gt;"",C6&lt;&gt;"",C9&lt;&gt;""),C7*C8+(C6-C7)*C9,"")</f>
        <v>4870</v>
      </c>
      <c r="D21" s="15" t="s">
        <v>45</v>
      </c>
    </row>
    <row r="22" spans="1:4" s="11" customFormat="1" ht="18" hidden="1" x14ac:dyDescent="0.35">
      <c r="A22" s="1241"/>
      <c r="B22" s="62" t="s">
        <v>120</v>
      </c>
      <c r="C22" s="24">
        <f>IF(AND(C8&lt;&gt;"",C6&lt;&gt;"",C7&lt;&gt;"",C9&lt;&gt;"",C21&gt;0,C21&lt;&gt;""),(C7*(C8^2)+(C6-C7)*(C9^2))/(2*C21),"")</f>
        <v>20.939425051334702</v>
      </c>
      <c r="D22" s="15" t="s">
        <v>40</v>
      </c>
    </row>
    <row r="23" spans="1:4" s="11" customFormat="1" ht="18" hidden="1" x14ac:dyDescent="0.35">
      <c r="A23" s="1241"/>
      <c r="B23" s="62" t="s">
        <v>119</v>
      </c>
      <c r="C23" s="24">
        <f>IF(AND(C17&lt;&gt;"",C22&lt;&gt;""),C17-C22,"")</f>
        <v>56.060574948665298</v>
      </c>
      <c r="D23" s="15" t="s">
        <v>40</v>
      </c>
    </row>
    <row r="24" spans="1:4" s="11" customFormat="1" ht="17.25" hidden="1" x14ac:dyDescent="0.25">
      <c r="A24" s="1241"/>
      <c r="B24" s="62" t="s">
        <v>118</v>
      </c>
      <c r="C24" s="24">
        <f>IF(AND(C7&lt;&gt;"",C8&lt;&gt;"",C6&lt;&gt;"",C9&lt;&gt;"",C21&lt;&gt;"",C22&lt;&gt;""),(((C7*(C8^3))/3)+(((C6-C7)*(C9^3))/3))-C21*C22^2,"")</f>
        <v>2593285.463723477</v>
      </c>
      <c r="D24" s="15" t="s">
        <v>117</v>
      </c>
    </row>
    <row r="25" spans="1:4" s="11" customFormat="1" ht="18" x14ac:dyDescent="0.25">
      <c r="A25" s="1241"/>
      <c r="B25" s="61" t="s">
        <v>199</v>
      </c>
      <c r="C25" s="49" t="str">
        <f>IF(C60&lt;&gt;"",(C20/C12)*0.23*C17*C6,IF(C49&lt;&gt;"",(C24/(0.81*C23*C8))*C20/C12,""))</f>
        <v/>
      </c>
      <c r="D25" s="15" t="s">
        <v>45</v>
      </c>
    </row>
    <row r="26" spans="1:4" s="11" customFormat="1" x14ac:dyDescent="0.25">
      <c r="A26" s="1241"/>
      <c r="B26" s="61" t="s">
        <v>198</v>
      </c>
      <c r="C26" s="52">
        <f>IF(AND(C18&lt;&gt;"",C18&gt;0,C19&gt;0,C19&lt;&gt;""),(15*C18)/(15*C18+C19),"")</f>
        <v>0.52738495535531982</v>
      </c>
      <c r="D26" s="15"/>
    </row>
    <row r="27" spans="1:4" s="11" customFormat="1" ht="18" x14ac:dyDescent="0.25">
      <c r="A27" s="1241"/>
      <c r="B27" s="61" t="s">
        <v>197</v>
      </c>
      <c r="C27" s="54">
        <f>IF(AND(C26&lt;&gt;"",C17&lt;&gt;""),C26*C17,"")</f>
        <v>40.608641562359622</v>
      </c>
      <c r="D27" s="15" t="s">
        <v>40</v>
      </c>
    </row>
    <row r="28" spans="1:4" s="11" customFormat="1" x14ac:dyDescent="0.25">
      <c r="A28" s="1241"/>
      <c r="B28" s="1249" t="str">
        <f>IF(AND(C27&gt;=C9,C9&lt;&gt;"",C27&lt;&gt;""),"Table comprimée en totalité. Risque d'insuffisance de béton. Vérifions !",IF(AND(C27&lt;C9,C9&lt;&gt;"",C27&lt;&gt;""),"Table comprimée en partie. Section rectangulaire de largeur 'b'.",""))</f>
        <v>Table comprimée en totalité. Risque d'insuffisance de béton. Vérifions !</v>
      </c>
      <c r="C28" s="1249"/>
      <c r="D28" s="15"/>
    </row>
    <row r="29" spans="1:4" s="11" customFormat="1" ht="18" hidden="1" x14ac:dyDescent="0.25">
      <c r="A29" s="1241"/>
      <c r="B29" s="61" t="s">
        <v>196</v>
      </c>
      <c r="C29" s="52">
        <f>IF(AND(C27&gt;=C9,C9&lt;&gt;"",C27&lt;&gt;"",C6&lt;&gt;""),C27*C6,"")</f>
        <v>9015.1184268438356</v>
      </c>
      <c r="D29" s="15" t="s">
        <v>45</v>
      </c>
    </row>
    <row r="30" spans="1:4" s="11" customFormat="1" ht="18" hidden="1" x14ac:dyDescent="0.25">
      <c r="A30" s="1241"/>
      <c r="B30" s="61" t="s">
        <v>195</v>
      </c>
      <c r="C30" s="52">
        <f>IF(AND(C6&lt;&gt;"",C7&lt;&gt;"",C27&gt;=C9,C27&lt;&gt;"",C9&lt;&gt;""),(C6-C7)*(C27-C9),"")</f>
        <v>5121.7283124719243</v>
      </c>
      <c r="D30" s="15" t="s">
        <v>45</v>
      </c>
    </row>
    <row r="31" spans="1:4" s="11" customFormat="1" ht="18" hidden="1" x14ac:dyDescent="0.25">
      <c r="A31" s="1241"/>
      <c r="B31" s="61" t="s">
        <v>194</v>
      </c>
      <c r="C31" s="52">
        <f>IF(AND(C18&lt;&gt;"",C27&gt;=C9,C27&gt;0,C9&lt;&gt;"",C27&lt;&gt;""),C18*((C27-C9)/C27),"")</f>
        <v>9.4593073950901676</v>
      </c>
      <c r="D31" s="15" t="s">
        <v>55</v>
      </c>
    </row>
    <row r="32" spans="1:4" s="11" customFormat="1" ht="18" hidden="1" x14ac:dyDescent="0.25">
      <c r="A32" s="1241"/>
      <c r="B32" s="61" t="s">
        <v>193</v>
      </c>
      <c r="C32" s="52">
        <f>IF(AND(C29&lt;&gt;"",C18&lt;&gt;"",C27&gt;=C9,C27&lt;&gt;"",C9&lt;&gt;""),C29*100*C18/2,"")</f>
        <v>6761338.8201328758</v>
      </c>
      <c r="D32" s="15" t="s">
        <v>87</v>
      </c>
    </row>
    <row r="33" spans="1:8" ht="18" hidden="1" x14ac:dyDescent="0.25">
      <c r="A33" s="1241"/>
      <c r="B33" s="61" t="s">
        <v>192</v>
      </c>
      <c r="C33" s="52">
        <f>IF(AND(C30&lt;&gt;"",C31&lt;&gt;"",C27&gt;=C9,C9&lt;&gt;"",C27&lt;&gt;""),C30*100*C31/2,"")</f>
        <v>2422400.1250904179</v>
      </c>
      <c r="D33" s="15" t="s">
        <v>87</v>
      </c>
    </row>
    <row r="34" spans="1:8" ht="18" x14ac:dyDescent="0.25">
      <c r="A34" s="1241"/>
      <c r="B34" s="61" t="s">
        <v>191</v>
      </c>
      <c r="C34" s="22">
        <f>IF(AND(C32&lt;&gt;"",C33&lt;&gt;"",C17&lt;&gt;"",C27&lt;&gt;"",C9&lt;&gt;"",C27&gt;=C9),C32*((C17*10^-2)-((C27*10^-2)/3))-C33*((C17*10^-2)-(C27*10^-2)+((C27*10^-2)-(C9*10^-2))*2/3),"")</f>
        <v>2995894.7869316293</v>
      </c>
      <c r="D34" s="15" t="s">
        <v>94</v>
      </c>
    </row>
    <row r="35" spans="1:8" x14ac:dyDescent="0.25">
      <c r="A35" s="1241"/>
      <c r="B35" s="1249" t="str">
        <f>IF(AND(C4&lt;&gt;"",C34&lt;&gt;"",C4&lt;=C34),"Béton suffisant, aciers comprimés inutiles.",IF(AND(C4&lt;&gt;"",C34&lt;&gt;"",C4&gt;C34),"Aciers comprimés dans la table : à éviter. Augmenter 'b' ou 'h'.",""))</f>
        <v>Béton suffisant, aciers comprimés inutiles.</v>
      </c>
      <c r="C35" s="1249"/>
      <c r="D35" s="15"/>
    </row>
    <row r="36" spans="1:8" ht="18" hidden="1" x14ac:dyDescent="0.25">
      <c r="A36" s="1241"/>
      <c r="B36" s="61" t="s">
        <v>190</v>
      </c>
      <c r="C36" s="52">
        <f>IF(AND(C19&lt;&gt;"",C9&lt;&gt;"",C17&lt;&gt;"",C17&gt;0,C9&gt;0,C4&lt;&gt;"",C4&lt;=C34,C34&lt;&gt;""),(C19/15)*(C9/(C17-C9)),"")</f>
        <v>3.2521504931944674</v>
      </c>
      <c r="D36" s="15" t="s">
        <v>55</v>
      </c>
    </row>
    <row r="37" spans="1:8" ht="18" hidden="1" x14ac:dyDescent="0.25">
      <c r="A37" s="1241"/>
      <c r="B37" s="61" t="s">
        <v>189</v>
      </c>
      <c r="C37" s="52">
        <f>IF(AND(C36&lt;&gt;"",C4&lt;&gt;"",C34&lt;&gt;"",C4&lt;=C34,C6&lt;&gt;"",C9&lt;&gt;""),C36*C6*C9*100/2,"")</f>
        <v>541483.0571168788</v>
      </c>
      <c r="D37" s="15" t="s">
        <v>87</v>
      </c>
    </row>
    <row r="38" spans="1:8" ht="18" x14ac:dyDescent="0.25">
      <c r="A38" s="1241"/>
      <c r="B38" s="61" t="s">
        <v>188</v>
      </c>
      <c r="C38" s="22">
        <f>IF(AND(C37&lt;&gt;"",C17&lt;&gt;"",C9&lt;&gt;"",C4&lt;&gt;"",C34&lt;&gt;"",C4&lt;=C34),C37*((C17-(C9/3))*10^-2),"")</f>
        <v>389867.80112415273</v>
      </c>
      <c r="D38" s="15" t="s">
        <v>94</v>
      </c>
      <c r="H38" s="36"/>
    </row>
    <row r="39" spans="1:8" x14ac:dyDescent="0.25">
      <c r="A39" s="1241"/>
      <c r="B39" s="1249" t="str">
        <f>IF(AND(C34&lt;&gt;"",C38&lt;&gt;"",C4&lt;&gt;"",C4&lt;C38),"Axe neutre dans la table. Section rectangulaire de largeur 'b'.",IF(AND(C34&lt;&gt;"",C38&lt;&gt;"",C4&lt;&gt;"",C4&lt;C34,C38&lt;C4),"Axe neutre dans la nervure, poutre en TE.",""))</f>
        <v>Axe neutre dans la nervure, poutre en TE.</v>
      </c>
      <c r="C39" s="1249"/>
      <c r="D39" s="15"/>
    </row>
    <row r="40" spans="1:8" x14ac:dyDescent="0.25">
      <c r="A40" s="1241"/>
      <c r="B40" s="87" t="s">
        <v>124</v>
      </c>
      <c r="C40" s="52"/>
      <c r="D40" s="55"/>
    </row>
    <row r="41" spans="1:8" ht="18" x14ac:dyDescent="0.25">
      <c r="A41" s="1241"/>
      <c r="B41" s="61" t="s">
        <v>180</v>
      </c>
      <c r="C41" s="22">
        <f>IF(AND(C34&lt;&gt;"",C38&lt;&gt;"",C4&lt;&gt;"",C4&lt;C34,C38&lt;C4,C27&lt;&gt;""),C27,"")</f>
        <v>40.608641562359622</v>
      </c>
      <c r="D41" s="15" t="s">
        <v>40</v>
      </c>
    </row>
    <row r="42" spans="1:8" ht="18" hidden="1" x14ac:dyDescent="0.25">
      <c r="A42" s="1241"/>
      <c r="B42" s="61" t="s">
        <v>187</v>
      </c>
      <c r="C42" s="22">
        <f>IF(AND(C34&lt;&gt;"",C38&lt;&gt;"",C4&lt;&gt;"",C4&lt;C34,C38&lt;C4,C27&lt;&gt;""),C17-(C41/3),"")</f>
        <v>63.463786145880128</v>
      </c>
      <c r="D42" s="15" t="s">
        <v>40</v>
      </c>
    </row>
    <row r="43" spans="1:8" ht="18" hidden="1" x14ac:dyDescent="0.25">
      <c r="A43" s="1241"/>
      <c r="B43" s="61" t="s">
        <v>186</v>
      </c>
      <c r="C43" s="22">
        <f>IF(AND(C34&lt;&gt;"",C38&lt;&gt;"",C4&lt;&gt;"",C4&lt;C34,C38&lt;C4,C27&lt;&gt;""),C17-C41+(2/3)*(C41-C9),"")</f>
        <v>53.463786145880121</v>
      </c>
      <c r="D43" s="15" t="s">
        <v>40</v>
      </c>
    </row>
    <row r="44" spans="1:8" ht="18" hidden="1" x14ac:dyDescent="0.25">
      <c r="A44" s="1241"/>
      <c r="B44" s="61" t="s">
        <v>185</v>
      </c>
      <c r="C44" s="22">
        <f>IF(C41&lt;&gt;"",(C18*100*C41*C6)/2,"")</f>
        <v>6761338.8201328767</v>
      </c>
      <c r="D44" s="15" t="s">
        <v>87</v>
      </c>
    </row>
    <row r="45" spans="1:8" ht="18" hidden="1" x14ac:dyDescent="0.25">
      <c r="A45" s="1241"/>
      <c r="B45" s="61" t="s">
        <v>184</v>
      </c>
      <c r="C45" s="22">
        <f>IF(C41&lt;&gt;"",C31*((C6-C7)*10)*((C41-C9)*10/2),"")</f>
        <v>2422400.1250904179</v>
      </c>
      <c r="D45" s="15" t="s">
        <v>87</v>
      </c>
    </row>
    <row r="46" spans="1:8" ht="18" x14ac:dyDescent="0.25">
      <c r="A46" s="1241"/>
      <c r="B46" s="61" t="s">
        <v>183</v>
      </c>
      <c r="C46" s="22">
        <f>IF(C41&lt;&gt;"",(C44*C42*0.01)-(C45*C43*0.01),"")</f>
        <v>2995894.7869316302</v>
      </c>
      <c r="D46" s="15" t="s">
        <v>94</v>
      </c>
    </row>
    <row r="47" spans="1:8" x14ac:dyDescent="0.25">
      <c r="A47" s="1241"/>
      <c r="B47" s="1250" t="str">
        <f>IF(AND(C41&lt;&gt;"",C4&lt;&gt;"",C46&lt;&gt;"",C4&lt;C46),"Moment différent du moment fléchissant. Diminuer y1app de 1 cm.",IF(AND(C41&lt;&gt;"",C4&lt;&gt;"",C46&lt;&gt;"",C4=C46),"Moment identique au moment fléchissant.",""))</f>
        <v>Moment différent du moment fléchissant. Diminuer y1app de 1 cm.</v>
      </c>
      <c r="C47" s="1250"/>
      <c r="D47" s="15"/>
    </row>
    <row r="48" spans="1:8" ht="18" x14ac:dyDescent="0.25">
      <c r="A48" s="1241"/>
      <c r="B48" s="61" t="s">
        <v>175</v>
      </c>
      <c r="C48" s="52" t="str">
        <f>IF(AND(C4&lt;&gt;"",C46&lt;&gt;"",C4=C46,C17&lt;&gt;"",C9&lt;&gt;""),C17-(C9/2),"")</f>
        <v/>
      </c>
      <c r="D48" s="15" t="s">
        <v>40</v>
      </c>
    </row>
    <row r="49" spans="1:6" ht="18" x14ac:dyDescent="0.25">
      <c r="A49" s="1241"/>
      <c r="B49" s="61" t="s">
        <v>174</v>
      </c>
      <c r="C49" s="54" t="str">
        <f>IF(AND(C4&lt;&gt;"",C46&lt;&gt;"",C4=C46,C19&lt;&gt;"",C19&gt;0,C48&lt;&gt;"",C48&gt;0),((C4*10^-6)/((C19*10^-2)*C48))*10^4,"")</f>
        <v/>
      </c>
      <c r="D49" s="15" t="s">
        <v>45</v>
      </c>
    </row>
    <row r="50" spans="1:6" ht="45" customHeight="1" x14ac:dyDescent="0.25">
      <c r="A50" s="1241"/>
      <c r="B50" s="1249" t="str">
        <f>IF(AND(C49&gt;=C25,C25&lt;&gt;"",C49&lt;&gt;""),"Condition de non-fragilité respectée. Choisir et disposer les aciers en assurant l'enrobage (c) et les autres dispositions constructives. Vérifier que ''d réel &gt; d choisi''.",IF(AND(C49&lt;C25,C25&lt;&gt;"",C49&lt;&gt;""),"Condition de non-fragilité non conforme.  Réduire la section du béton.",""))</f>
        <v/>
      </c>
      <c r="C50" s="1249"/>
      <c r="D50" s="15"/>
    </row>
    <row r="51" spans="1:6" x14ac:dyDescent="0.25">
      <c r="A51" s="1241"/>
      <c r="B51" s="87" t="s">
        <v>182</v>
      </c>
      <c r="C51" s="52"/>
      <c r="D51" s="55"/>
    </row>
    <row r="52" spans="1:6" x14ac:dyDescent="0.25">
      <c r="A52" s="1241"/>
      <c r="B52" s="19" t="s">
        <v>181</v>
      </c>
      <c r="C52" s="24"/>
      <c r="D52" s="15"/>
    </row>
    <row r="53" spans="1:6" ht="18" x14ac:dyDescent="0.25">
      <c r="A53" s="1241"/>
      <c r="B53" s="61" t="s">
        <v>180</v>
      </c>
      <c r="C53" s="49" t="str">
        <f>IF(AND(C27&lt;&gt;"",C9&lt;&gt;"",C27&lt;C9),C27,IF(AND(C27&lt;&gt;"",C9&lt;&gt;"",C27&gt;=C9,C4&lt;C38,C4&lt;&gt;"",C38&lt;&gt;""),C27,""))</f>
        <v/>
      </c>
      <c r="D53" s="15" t="s">
        <v>40</v>
      </c>
    </row>
    <row r="54" spans="1:6" s="84" customFormat="1" ht="18" x14ac:dyDescent="0.25">
      <c r="A54" s="1241"/>
      <c r="B54" s="61" t="s">
        <v>179</v>
      </c>
      <c r="C54" s="86" t="str">
        <f>IF(AND(C17&lt;&gt;"",C53&lt;&gt;""),C17-(C53/3),"")</f>
        <v/>
      </c>
      <c r="D54" s="59" t="s">
        <v>40</v>
      </c>
      <c r="F54" s="85"/>
    </row>
    <row r="55" spans="1:6" ht="18" x14ac:dyDescent="0.25">
      <c r="A55" s="1241"/>
      <c r="B55" s="61" t="s">
        <v>178</v>
      </c>
      <c r="C55" s="49" t="str">
        <f>IF(AND(C4&lt;&gt;"",C19&lt;&gt;"",C19&gt;0,C54&lt;&gt;"",C54&gt;0),((C4*10^-6)/((C19*10^-2)*C54))*10^4,"")</f>
        <v/>
      </c>
      <c r="D55" s="15" t="s">
        <v>45</v>
      </c>
    </row>
    <row r="56" spans="1:6" x14ac:dyDescent="0.25">
      <c r="A56" s="1241"/>
      <c r="B56" s="19" t="s">
        <v>177</v>
      </c>
      <c r="C56" s="83"/>
      <c r="D56" s="15"/>
    </row>
    <row r="57" spans="1:6" ht="18" x14ac:dyDescent="0.25">
      <c r="A57" s="1241"/>
      <c r="B57" s="61" t="s">
        <v>176</v>
      </c>
      <c r="C57" s="49" t="str">
        <f>IF(AND(C55&lt;&gt;"",C6&lt;&gt;"",C17&lt;&gt;"",C6&gt;0),(-15*C55+SQRT(((15^2)*(C55^2))+(2*15*C55*C6*C17)))/C6,"")</f>
        <v/>
      </c>
      <c r="D57" s="15" t="s">
        <v>40</v>
      </c>
    </row>
    <row r="58" spans="1:6" x14ac:dyDescent="0.25">
      <c r="A58" s="1241"/>
      <c r="B58" s="1244" t="str">
        <f>IF(AND(C57&lt;&gt;"",C53&lt;&gt;"",C53=C57),"Egalité du béton comprimé. Calcul approché primordial.",IF(AND(C57&lt;&gt;"",C53&lt;&gt;"",OR(C53&lt;C57,C53&gt;C57)),"Variation du béton comprimé, calcul réel primordial.",""))</f>
        <v/>
      </c>
      <c r="C58" s="1244"/>
      <c r="D58" s="15"/>
    </row>
    <row r="59" spans="1:6" ht="18" x14ac:dyDescent="0.25">
      <c r="A59" s="1241"/>
      <c r="B59" s="61" t="s">
        <v>175</v>
      </c>
      <c r="C59" s="24" t="str">
        <f>IF(AND(C17&lt;&gt;"",C57&lt;&gt;""),C17-(C57/3),"")</f>
        <v/>
      </c>
      <c r="D59" s="15" t="s">
        <v>40</v>
      </c>
    </row>
    <row r="60" spans="1:6" ht="18" x14ac:dyDescent="0.25">
      <c r="A60" s="1241"/>
      <c r="B60" s="61" t="s">
        <v>174</v>
      </c>
      <c r="C60" s="18" t="str">
        <f>IF(AND(C4&lt;&gt;"",C19&lt;&gt;"",C19&gt;0,C59&lt;&gt;"",C59&gt;0),((C4*10^-6)/((C19*10^-2)*C59))*10^4,"")</f>
        <v/>
      </c>
      <c r="D60" s="15" t="s">
        <v>45</v>
      </c>
    </row>
    <row r="61" spans="1:6" ht="57" customHeight="1" x14ac:dyDescent="0.25">
      <c r="A61" s="1242"/>
      <c r="B61" s="1243" t="str">
        <f>IF(AND(C60&gt;=C25,C25&lt;&gt;"",C60&lt;&gt;""),"- Condition de non-fragilité respectée. Choisir et disposer les barres d'acier dans 'b₀' en assurant l'enrobage (c) et les autres dispositions constructives. Vérifier que ''d réel &gt; d choisi''.",IF(AND(C60&lt;C25,C25&lt;&gt;"",C60&lt;&gt;""),"- Condition de non-fragilité non conforme.  Réduire la section du béton.",""))</f>
        <v/>
      </c>
      <c r="C61" s="1243"/>
      <c r="D61" s="13"/>
    </row>
  </sheetData>
  <mergeCells count="10">
    <mergeCell ref="A1:A61"/>
    <mergeCell ref="B1:D1"/>
    <mergeCell ref="B16:D16"/>
    <mergeCell ref="B58:C58"/>
    <mergeCell ref="B61:C61"/>
    <mergeCell ref="B50:C50"/>
    <mergeCell ref="B28:C28"/>
    <mergeCell ref="B35:C35"/>
    <mergeCell ref="B39:C39"/>
    <mergeCell ref="B47:C47"/>
  </mergeCells>
  <dataValidations count="3">
    <dataValidation type="list" allowBlank="1" showInputMessage="1" showErrorMessage="1" sqref="C2">
      <formula1>E1:E2</formula1>
    </dataValidation>
    <dataValidation type="list" allowBlank="1" showInputMessage="1" showErrorMessage="1" sqref="C14">
      <formula1>F1:F13</formula1>
    </dataValidation>
    <dataValidation type="list" allowBlank="1" showInputMessage="1" showErrorMessage="1" sqref="C12">
      <formula1>E5:E6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FFFF79"/>
  </sheetPr>
  <dimension ref="A1:G117"/>
  <sheetViews>
    <sheetView showGridLines="0" view="pageBreakPreview" zoomScale="90" zoomScaleSheetLayoutView="90" workbookViewId="0">
      <selection activeCell="M22" sqref="M22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0.7109375" style="32" customWidth="1"/>
    <col min="4" max="4" width="5" style="8" customWidth="1"/>
    <col min="5" max="5" width="16.7109375" style="11" hidden="1" customWidth="1"/>
    <col min="6" max="6" width="11.42578125" style="32" hidden="1" customWidth="1"/>
    <col min="7" max="7" width="11.42578125" style="11" customWidth="1"/>
    <col min="8" max="16384" width="11.42578125" style="11"/>
  </cols>
  <sheetData>
    <row r="1" spans="1:7" ht="15" customHeight="1" x14ac:dyDescent="0.25">
      <c r="A1" s="1205" t="str">
        <f>REPT("E.L.S. : VERIFICATION DES SECTIONS ©Copyright Mohamed KAMAGATE",1)</f>
        <v>E.L.S. : VERIFICATION DES SECTIONS ©Copyright Mohamed KAMAGATE</v>
      </c>
      <c r="B1" s="1208" t="s">
        <v>92</v>
      </c>
      <c r="C1" s="1208"/>
      <c r="D1" s="1209"/>
      <c r="E1" s="37" t="s">
        <v>91</v>
      </c>
      <c r="F1" s="32">
        <v>16</v>
      </c>
      <c r="G1" s="1"/>
    </row>
    <row r="2" spans="1:7" x14ac:dyDescent="0.25">
      <c r="A2" s="1206"/>
      <c r="B2" s="17" t="s">
        <v>90</v>
      </c>
      <c r="C2" s="27"/>
      <c r="D2" s="15"/>
      <c r="E2" s="37" t="s">
        <v>89</v>
      </c>
      <c r="F2" s="32">
        <v>18</v>
      </c>
      <c r="G2" s="1"/>
    </row>
    <row r="3" spans="1:7" x14ac:dyDescent="0.25">
      <c r="A3" s="1206"/>
      <c r="B3" s="19" t="s">
        <v>173</v>
      </c>
      <c r="C3" s="34"/>
      <c r="D3" s="15"/>
      <c r="E3" s="37" t="s">
        <v>86</v>
      </c>
      <c r="F3" s="8">
        <v>20</v>
      </c>
    </row>
    <row r="4" spans="1:7" ht="18" x14ac:dyDescent="0.35">
      <c r="A4" s="1206"/>
      <c r="B4" s="17" t="s">
        <v>172</v>
      </c>
      <c r="C4" s="82"/>
      <c r="D4" s="15" t="s">
        <v>94</v>
      </c>
      <c r="F4" s="8">
        <v>22</v>
      </c>
    </row>
    <row r="5" spans="1:7" ht="18" x14ac:dyDescent="0.35">
      <c r="A5" s="1206"/>
      <c r="B5" s="17" t="s">
        <v>171</v>
      </c>
      <c r="C5" s="82"/>
      <c r="D5" s="15" t="s">
        <v>94</v>
      </c>
      <c r="E5" s="32">
        <v>500</v>
      </c>
      <c r="F5" s="8">
        <v>25</v>
      </c>
    </row>
    <row r="6" spans="1:7" x14ac:dyDescent="0.25">
      <c r="A6" s="1206"/>
      <c r="B6" s="19" t="s">
        <v>170</v>
      </c>
      <c r="C6" s="34"/>
      <c r="D6" s="15"/>
      <c r="E6" s="32">
        <v>400</v>
      </c>
      <c r="F6" s="8">
        <v>27</v>
      </c>
    </row>
    <row r="7" spans="1:7" x14ac:dyDescent="0.25">
      <c r="A7" s="1206"/>
      <c r="B7" s="17" t="s">
        <v>83</v>
      </c>
      <c r="C7" s="82"/>
      <c r="D7" s="15"/>
      <c r="F7" s="8">
        <v>30</v>
      </c>
    </row>
    <row r="8" spans="1:7" x14ac:dyDescent="0.25">
      <c r="A8" s="1206"/>
      <c r="B8" s="17" t="s">
        <v>169</v>
      </c>
      <c r="C8" s="27"/>
      <c r="D8" s="15" t="s">
        <v>40</v>
      </c>
      <c r="E8" s="11" t="s">
        <v>68</v>
      </c>
      <c r="F8" s="8">
        <v>35</v>
      </c>
    </row>
    <row r="9" spans="1:7" ht="18" x14ac:dyDescent="0.35">
      <c r="A9" s="1206"/>
      <c r="B9" s="81" t="s">
        <v>168</v>
      </c>
      <c r="C9" s="27"/>
      <c r="D9" s="15" t="s">
        <v>40</v>
      </c>
      <c r="E9" s="11" t="s">
        <v>67</v>
      </c>
      <c r="F9" s="8">
        <v>40</v>
      </c>
    </row>
    <row r="10" spans="1:7" x14ac:dyDescent="0.25">
      <c r="A10" s="1206"/>
      <c r="B10" s="17" t="s">
        <v>167</v>
      </c>
      <c r="C10" s="27"/>
      <c r="D10" s="15" t="s">
        <v>40</v>
      </c>
      <c r="F10" s="8">
        <v>45</v>
      </c>
    </row>
    <row r="11" spans="1:7" ht="18" x14ac:dyDescent="0.35">
      <c r="A11" s="1206"/>
      <c r="B11" s="81" t="s">
        <v>166</v>
      </c>
      <c r="C11" s="27"/>
      <c r="D11" s="15" t="s">
        <v>40</v>
      </c>
      <c r="E11" s="11" t="s">
        <v>165</v>
      </c>
      <c r="F11" s="8">
        <v>50</v>
      </c>
    </row>
    <row r="12" spans="1:7" x14ac:dyDescent="0.25">
      <c r="A12" s="1206"/>
      <c r="B12" s="25" t="s">
        <v>164</v>
      </c>
      <c r="C12" s="27"/>
      <c r="D12" s="15" t="s">
        <v>40</v>
      </c>
      <c r="E12" s="11" t="s">
        <v>163</v>
      </c>
      <c r="F12" s="8">
        <v>55</v>
      </c>
    </row>
    <row r="13" spans="1:7" x14ac:dyDescent="0.25">
      <c r="A13" s="1206"/>
      <c r="B13" s="25" t="s">
        <v>162</v>
      </c>
      <c r="C13" s="80"/>
      <c r="D13" s="15" t="s">
        <v>40</v>
      </c>
      <c r="E13" s="11" t="s">
        <v>161</v>
      </c>
      <c r="F13" s="8">
        <v>60</v>
      </c>
    </row>
    <row r="14" spans="1:7" x14ac:dyDescent="0.25">
      <c r="A14" s="1206"/>
      <c r="B14" s="19" t="s">
        <v>160</v>
      </c>
      <c r="C14" s="34"/>
      <c r="D14" s="15"/>
      <c r="F14" s="11"/>
    </row>
    <row r="15" spans="1:7" ht="18" x14ac:dyDescent="0.35">
      <c r="A15" s="1206"/>
      <c r="B15" s="35" t="s">
        <v>159</v>
      </c>
      <c r="C15" s="27"/>
      <c r="D15" s="15" t="s">
        <v>45</v>
      </c>
      <c r="E15" s="1" t="s">
        <v>78</v>
      </c>
    </row>
    <row r="16" spans="1:7" ht="18" x14ac:dyDescent="0.35">
      <c r="A16" s="1206"/>
      <c r="B16" s="35" t="s">
        <v>158</v>
      </c>
      <c r="C16" s="27"/>
      <c r="D16" s="15" t="s">
        <v>45</v>
      </c>
      <c r="E16" s="1" t="s">
        <v>76</v>
      </c>
    </row>
    <row r="17" spans="1:4" s="11" customFormat="1" x14ac:dyDescent="0.25">
      <c r="A17" s="1206"/>
      <c r="B17" s="19" t="s">
        <v>157</v>
      </c>
      <c r="C17" s="34"/>
      <c r="D17" s="15"/>
    </row>
    <row r="18" spans="1:4" s="11" customFormat="1" ht="18" x14ac:dyDescent="0.25">
      <c r="A18" s="1206"/>
      <c r="B18" s="31" t="s">
        <v>156</v>
      </c>
      <c r="C18" s="30"/>
      <c r="D18" s="15" t="s">
        <v>55</v>
      </c>
    </row>
    <row r="19" spans="1:4" s="11" customFormat="1" ht="18" x14ac:dyDescent="0.25">
      <c r="A19" s="1206"/>
      <c r="B19" s="31" t="s">
        <v>66</v>
      </c>
      <c r="C19" s="30"/>
      <c r="D19" s="15" t="s">
        <v>55</v>
      </c>
    </row>
    <row r="20" spans="1:4" s="11" customFormat="1" x14ac:dyDescent="0.25">
      <c r="A20" s="1206"/>
      <c r="B20" s="79" t="s">
        <v>155</v>
      </c>
      <c r="C20" s="30"/>
      <c r="D20" s="15"/>
    </row>
    <row r="21" spans="1:4" s="11" customFormat="1" x14ac:dyDescent="0.25">
      <c r="A21" s="1206"/>
      <c r="B21" s="31"/>
      <c r="C21" s="28"/>
      <c r="D21" s="15"/>
    </row>
    <row r="22" spans="1:4" s="11" customFormat="1" ht="18" x14ac:dyDescent="0.25">
      <c r="A22" s="1206"/>
      <c r="B22" s="29" t="s">
        <v>65</v>
      </c>
      <c r="C22" s="30"/>
      <c r="D22" s="15"/>
    </row>
    <row r="23" spans="1:4" s="11" customFormat="1" x14ac:dyDescent="0.25">
      <c r="A23" s="1206"/>
      <c r="B23" s="29"/>
      <c r="C23" s="28"/>
      <c r="D23" s="15"/>
    </row>
    <row r="24" spans="1:4" s="11" customFormat="1" x14ac:dyDescent="0.25">
      <c r="A24" s="1206"/>
      <c r="B24" s="1222" t="s">
        <v>154</v>
      </c>
      <c r="C24" s="1222"/>
      <c r="D24" s="1223"/>
    </row>
    <row r="25" spans="1:4" s="11" customFormat="1" x14ac:dyDescent="0.25">
      <c r="A25" s="1206"/>
      <c r="B25" s="1251" t="str">
        <f>IF(AND(C2&lt;&gt;"",C4&lt;&gt;"",C7="rectangulaire",C8&lt;&gt;"",C10&lt;&gt;"",C12&lt;&gt;"",C15&lt;&gt;"",C18&lt;&gt;"",C19&lt;&gt;""),"Poutre rectangulaire sans aciers comprimés.",IF(AND(C2&lt;&gt;"",C4&lt;&gt;"",C7="rectangulaire",C8&lt;&gt;"",C10&lt;&gt;"",C12&lt;&gt;"",C13&lt;&gt;"",C15&lt;&gt;"",C16&lt;&gt;"",C18&lt;&gt;"",C19&lt;&gt;""),"Poutre rectangulaire avec aciers comprimés.",IF(AND(C2&lt;&gt;"",C4&lt;&gt;"",C7="té",C8&lt;&gt;"",C9&lt;&gt;"",C10&lt;&gt;"",C11&lt;&gt;"",C12&lt;&gt;"",C15&lt;&gt;"",C18&lt;&gt;"",(((C8*C11^2)/2)-15*C15*(C12-C11))&gt;0,C19&lt;&gt;""),"Poutre TE vérifiée comme une section rectangulaire.",IF(AND(C2&lt;&gt;"",C4&lt;&gt;"",C7="té",C8&lt;&gt;"",C9&lt;&gt;"",C10&lt;&gt;"",C11&lt;&gt;"",C12&lt;&gt;"",C15&lt;&gt;"",C18&lt;&gt;"",(((C8*C11^2)/2)-15*C15*(C12-C11))&lt;0,C19&lt;&gt;""),"Poutre TE vérifiée comme telle.",""))))</f>
        <v/>
      </c>
      <c r="C25" s="1251"/>
      <c r="D25" s="15"/>
    </row>
    <row r="26" spans="1:4" s="11" customFormat="1" ht="18" x14ac:dyDescent="0.35">
      <c r="A26" s="1206"/>
      <c r="B26" s="17" t="s">
        <v>153</v>
      </c>
      <c r="C26" s="24" t="str">
        <f>IF(AND(C22="cas général",C20="t &gt; 24 h"),(0.85*C19)/(1.5*1),IF(AND(C22="cas général",C20="1 h = t = 24 h"),(0.85*C19)/(1.5*0.9),IF(AND(C22="cas général",C20="t &lt; 1 h"),(0.85*C19)/(1.5*0.85),IF(AND(C22="combinaisons accidentelles",C20="t &gt; 24 h"),(0.85*C19)/(1.15*1),IF(AND(C22="combinaisons accidentelles",C20="1 h = t = 24 h"),(0.85*C19)/(1.15*0.9),IF(AND(C22="combinaisons accidentelles",C20="t &lt; 1 h"),(0.85*C19)/(1.15*0.85),""))))))</f>
        <v/>
      </c>
      <c r="D26" s="15" t="s">
        <v>55</v>
      </c>
    </row>
    <row r="27" spans="1:4" s="11" customFormat="1" ht="18" x14ac:dyDescent="0.35">
      <c r="A27" s="1206"/>
      <c r="B27" s="17" t="s">
        <v>152</v>
      </c>
      <c r="C27" s="24" t="str">
        <f>IF(C22="cas général",C18/1.15,IF(C22="combinaisons accidentelles",C18/1,""))</f>
        <v/>
      </c>
      <c r="D27" s="15" t="s">
        <v>55</v>
      </c>
    </row>
    <row r="28" spans="1:4" s="11" customFormat="1" ht="18" x14ac:dyDescent="0.25">
      <c r="A28" s="1206"/>
      <c r="B28" s="78" t="s">
        <v>151</v>
      </c>
      <c r="C28" s="16" t="str">
        <f>IF(C19&lt;&gt;"",0.6+0.06*C19,"")</f>
        <v/>
      </c>
      <c r="D28" s="15" t="s">
        <v>55</v>
      </c>
    </row>
    <row r="29" spans="1:4" s="11" customFormat="1" ht="15" hidden="1" customHeight="1" x14ac:dyDescent="0.25">
      <c r="A29" s="1206"/>
      <c r="B29" s="77" t="s">
        <v>150</v>
      </c>
      <c r="C29" s="16" t="str">
        <f>IF(B25="Poutre rectangulaire sans aciers comprimés.",C8/2,IF(B25="Poutre rectangulaire avec aciers comprimés.",C8/2,IF(B25="Poutre TE vérifiée comme telle.",(C8/2)-((C8-C9)/2),IF(B25="Poutre TE vérifiée comme une section rectangulaire.",C8/2,""))))</f>
        <v/>
      </c>
      <c r="D29" s="15"/>
    </row>
    <row r="30" spans="1:4" s="11" customFormat="1" ht="15" hidden="1" customHeight="1" x14ac:dyDescent="0.25">
      <c r="A30" s="1206"/>
      <c r="B30" s="77" t="s">
        <v>149</v>
      </c>
      <c r="C30" s="16" t="str">
        <f>IF(B25="Poutre rectangulaire avec aciers comprimés.",15*(C15+C16),IF(B25="Poutre rectangulaire sans aciers comprimés.",15*C15,IF(B25="Poutre TE vérifiée comme telle.",(C8-C9)*C11+15*C15,IF(B25="Poutre TE vérifiée comme une section rectangulaire.",15*C15,""))))</f>
        <v/>
      </c>
      <c r="D30" s="15"/>
    </row>
    <row r="31" spans="1:4" s="11" customFormat="1" ht="15" hidden="1" customHeight="1" x14ac:dyDescent="0.25">
      <c r="A31" s="1206"/>
      <c r="B31" s="77" t="s">
        <v>148</v>
      </c>
      <c r="C31" s="16" t="str">
        <f>IF(B25="Poutre rectangulaire avec aciers comprimés.",(C15*C12+C16*C13)*-15,IF(B25="Poutre rectangulaire sans aciers comprimés.",-15*C12*C15,IF(B25="Poutre TE vérifiée comme telle.",-(15*C15*C12+(C11^2)*((C8-C9)/2)),IF(B25="Poutre TE vérifiée comme une section rectangulaire.",-15*C12*C15,""))))</f>
        <v/>
      </c>
      <c r="D31" s="15"/>
    </row>
    <row r="32" spans="1:4" s="11" customFormat="1" ht="15" hidden="1" customHeight="1" x14ac:dyDescent="0.25">
      <c r="A32" s="1206"/>
      <c r="B32" s="76" t="s">
        <v>147</v>
      </c>
      <c r="C32" s="16" t="str">
        <f>IF(AND(C30&lt;&gt;"",C29&lt;&gt;"",C31&lt;&gt;""),(C30^2)-4*C29*C31,"")</f>
        <v/>
      </c>
      <c r="D32" s="15"/>
    </row>
    <row r="33" spans="1:7" ht="18" x14ac:dyDescent="0.35">
      <c r="A33" s="1206"/>
      <c r="B33" s="46" t="s">
        <v>146</v>
      </c>
      <c r="C33" s="18" t="str">
        <f>IF(AND(C30&lt;&gt;"",C29&lt;&gt;"",C32&lt;&gt;""),(-C30+SQRT(C32))/(2*C29),"")</f>
        <v/>
      </c>
      <c r="D33" s="15" t="s">
        <v>40</v>
      </c>
    </row>
    <row r="34" spans="1:7" ht="18" x14ac:dyDescent="0.35">
      <c r="A34" s="1206"/>
      <c r="B34" s="17" t="s">
        <v>145</v>
      </c>
      <c r="C34" s="75" t="str">
        <f>IF(B25="Poutre rectangulaire sans aciers comprimés.",((C8*C33^3)/3)+15*C15*(C12-C33)^2,IF(B25="Poutre rectangulaire avec aciers comprimés.",((C8*C33^3)/3)+15*C15*((C12-C33)^2)+15*C16*(C33-C13),IF(B25="Poutre TE vérifiée comme telle.",((C8*C33^3)/3)+15*C15*((C12-C33)^2)+15*C16*((C33-C13)^2)-((C8-C9)*(C33-C11)/3),IF(B25="Poutre TE vérifiée comme une section rectangulaire.",((C8*C33^3)/3)+15*C15*((C12-C33)^2)+15*C16*((C33-C13)^2)-((C8-C9)*(C33-C11)/3),""))))</f>
        <v/>
      </c>
      <c r="D34" s="15" t="s">
        <v>117</v>
      </c>
    </row>
    <row r="35" spans="1:7" x14ac:dyDescent="0.25">
      <c r="A35" s="1206"/>
      <c r="B35" s="19" t="s">
        <v>144</v>
      </c>
      <c r="C35" s="75"/>
      <c r="D35" s="15"/>
    </row>
    <row r="36" spans="1:7" ht="18.75" x14ac:dyDescent="0.35">
      <c r="A36" s="1206"/>
      <c r="B36" s="25" t="s">
        <v>143</v>
      </c>
      <c r="C36" s="74" t="str">
        <f>IF(C19&lt;&gt;"",0.6*C19,"")</f>
        <v/>
      </c>
      <c r="D36" s="15" t="s">
        <v>55</v>
      </c>
    </row>
    <row r="37" spans="1:7" ht="18" x14ac:dyDescent="0.35">
      <c r="A37" s="1206"/>
      <c r="B37" s="25" t="s">
        <v>142</v>
      </c>
      <c r="C37" s="18" t="str">
        <f>IF(AND(C4&lt;&gt;"",C33&lt;&gt;"",C34&gt;0,C34&lt;&gt;""),C4*C33/C34,"")</f>
        <v/>
      </c>
      <c r="D37" s="15" t="s">
        <v>55</v>
      </c>
    </row>
    <row r="38" spans="1:7" x14ac:dyDescent="0.25">
      <c r="A38" s="1206"/>
      <c r="B38" s="1239" t="str">
        <f>IF(AND(C37&lt;&gt;"",C36&lt;&gt;"",C37&lt;=C36),"Condition vérifiée !",IF(AND(C37&lt;&gt;"",C36&lt;&gt;"",C37&gt;C36),"Redimensionner à l'E.L.S.",""))</f>
        <v/>
      </c>
      <c r="C38" s="1239"/>
      <c r="D38" s="15"/>
    </row>
    <row r="39" spans="1:7" ht="18.75" x14ac:dyDescent="0.35">
      <c r="A39" s="1206"/>
      <c r="B39" s="25" t="s">
        <v>141</v>
      </c>
      <c r="C39" s="74" t="str">
        <f>IF(AND(C18&lt;&gt;"",C16&lt;&gt;"",C17&lt;&gt;"",C7="rectangulaire"),0.5*C18,"")</f>
        <v/>
      </c>
      <c r="D39" s="15" t="s">
        <v>55</v>
      </c>
      <c r="G39" s="73"/>
    </row>
    <row r="40" spans="1:7" ht="18" x14ac:dyDescent="0.35">
      <c r="A40" s="1206"/>
      <c r="B40" s="25" t="s">
        <v>140</v>
      </c>
      <c r="C40" s="18" t="str">
        <f>IF(AND(C4&lt;&gt;"",C33&lt;&gt;"",C13&lt;&gt;"",C34&gt;0,C34&lt;&gt;""),15*C4*(C33-C13)/C34,"")</f>
        <v/>
      </c>
      <c r="D40" s="15" t="s">
        <v>55</v>
      </c>
    </row>
    <row r="41" spans="1:7" x14ac:dyDescent="0.25">
      <c r="A41" s="1206"/>
      <c r="B41" s="1239" t="str">
        <f>IF(AND(C40&lt;&gt;"",C39&lt;&gt;"",C40&lt;=C39),"Condition vérifiée !",IF(AND(C40&lt;&gt;"",C39&lt;&gt;"",C40&gt;C39),"Redimensionner à l'E.L.S.",""))</f>
        <v/>
      </c>
      <c r="C41" s="1239"/>
      <c r="D41" s="15"/>
    </row>
    <row r="42" spans="1:7" x14ac:dyDescent="0.25">
      <c r="A42" s="1206"/>
      <c r="B42" s="19" t="s">
        <v>139</v>
      </c>
      <c r="C42" s="16"/>
      <c r="D42" s="15"/>
      <c r="G42" s="73"/>
    </row>
    <row r="43" spans="1:7" ht="18.75" x14ac:dyDescent="0.35">
      <c r="A43" s="1206"/>
      <c r="B43" s="25" t="s">
        <v>138</v>
      </c>
      <c r="C43" s="74" t="str">
        <f>IF(AND(OR(C18=400,C18=500),C2="très préjudiciable"),MIN(0.5*C18,90*SQRT(1.6*C28)),IF(AND(OR(C18=400,C18=500),C2="préjudiciable"),MIN((2*C18)/3,110*SQRT(1.6*C28)),IF(AND(C18&lt;&gt;"",C2="peu préjudiciable"),C18,"")))</f>
        <v/>
      </c>
      <c r="D43" s="15" t="s">
        <v>55</v>
      </c>
      <c r="G43" s="73"/>
    </row>
    <row r="44" spans="1:7" ht="18" x14ac:dyDescent="0.35">
      <c r="A44" s="1206"/>
      <c r="B44" s="25" t="s">
        <v>137</v>
      </c>
      <c r="C44" s="18" t="str">
        <f>IF(AND(C4&lt;&gt;"",C12&lt;&gt;"",C33&lt;&gt;"",C34&lt;&gt;"",C34&gt;0),15*C4*(C12-C33)/C34,"")</f>
        <v/>
      </c>
      <c r="D44" s="15" t="s">
        <v>55</v>
      </c>
    </row>
    <row r="45" spans="1:7" x14ac:dyDescent="0.25">
      <c r="A45" s="1206"/>
      <c r="B45" s="1238" t="str">
        <f>IF(AND(C44&lt;&gt;"",C43&lt;&gt;"",C44&lt;=C43),"Condition vérifiée !",IF(AND(C44&lt;&gt;"",C43&lt;&gt;"",C44&gt;C43),"Redimensionner à l'E.L.S.",""))</f>
        <v/>
      </c>
      <c r="C45" s="1238"/>
      <c r="D45" s="13"/>
    </row>
    <row r="46" spans="1:7" x14ac:dyDescent="0.25">
      <c r="A46" s="1206"/>
      <c r="B46" s="1252" t="s">
        <v>136</v>
      </c>
      <c r="C46" s="1252"/>
      <c r="D46" s="1253"/>
    </row>
    <row r="47" spans="1:7" x14ac:dyDescent="0.25">
      <c r="A47" s="1206"/>
      <c r="B47" s="63" t="s">
        <v>135</v>
      </c>
      <c r="C47" s="34"/>
      <c r="D47" s="15"/>
    </row>
    <row r="48" spans="1:7" hidden="1" x14ac:dyDescent="0.25">
      <c r="A48" s="1206"/>
      <c r="B48" s="19" t="s">
        <v>100</v>
      </c>
      <c r="C48" s="34"/>
      <c r="D48" s="15"/>
    </row>
    <row r="49" spans="1:4" s="11" customFormat="1" ht="18" hidden="1" x14ac:dyDescent="0.35">
      <c r="A49" s="1206"/>
      <c r="B49" s="46" t="s">
        <v>99</v>
      </c>
      <c r="C49" s="72" t="str">
        <f>IF(AND(OR(B25="Poutre rectangulaire avec aciers comprimés.",B25="Poutre rectangulaire sans aciers comprimés."),C8&lt;&gt;"",C33&lt;&gt;"",C37&lt;&gt;""),(C8*C33/2)*C37*100,"")</f>
        <v/>
      </c>
      <c r="D49" s="15" t="s">
        <v>87</v>
      </c>
    </row>
    <row r="50" spans="1:4" s="11" customFormat="1" ht="18" hidden="1" x14ac:dyDescent="0.35">
      <c r="A50" s="1206"/>
      <c r="B50" s="46" t="s">
        <v>134</v>
      </c>
      <c r="C50" s="71" t="str">
        <f>IF(AND(B25="Poutre rectangulaire avec aciers comprimés.",C40&lt;&gt;"",C16&lt;&gt;""),C40*C16*100,"")</f>
        <v/>
      </c>
      <c r="D50" s="15" t="s">
        <v>87</v>
      </c>
    </row>
    <row r="51" spans="1:4" s="11" customFormat="1" ht="18" hidden="1" x14ac:dyDescent="0.35">
      <c r="A51" s="1206"/>
      <c r="B51" s="46" t="s">
        <v>98</v>
      </c>
      <c r="C51" s="18" t="str">
        <f>IF(AND(OR(B25="Poutre rectangulaire avec aciers comprimés.",B25="Poutre rectangulaire sans aciers comprimés."),C15&lt;&gt;"",C44&lt;&gt;""),C15*C44*100,"")</f>
        <v/>
      </c>
      <c r="D51" s="15" t="s">
        <v>87</v>
      </c>
    </row>
    <row r="52" spans="1:4" s="11" customFormat="1" hidden="1" x14ac:dyDescent="0.25">
      <c r="A52" s="1206"/>
      <c r="B52" s="1239" t="str">
        <f>IF(AND(SUM(C49:C50)=C51,C51&lt;&gt;""),"Equilibre des efforts normaux.",IF(AND(SUM(C49:C50)&lt;C51,C51&lt;&gt;""),"Redimensionner la structure à l'ELS.",IF(AND(SUM(C49:C50)&gt;C51,C51&lt;&gt;""),"Redimensionner la structure à l'ELS.","")))</f>
        <v/>
      </c>
      <c r="C52" s="1239"/>
      <c r="D52" s="15"/>
    </row>
    <row r="53" spans="1:4" s="11" customFormat="1" hidden="1" x14ac:dyDescent="0.25">
      <c r="A53" s="1206"/>
      <c r="B53" s="19" t="s">
        <v>133</v>
      </c>
      <c r="C53" s="34"/>
      <c r="D53" s="15"/>
    </row>
    <row r="54" spans="1:4" s="11" customFormat="1" ht="18" hidden="1" x14ac:dyDescent="0.35">
      <c r="A54" s="1206"/>
      <c r="B54" s="17" t="s">
        <v>132</v>
      </c>
      <c r="C54" s="70" t="str">
        <f>IF(AND(OR(B25="Poutre rectangulaire avec aciers comprimés.",B25="Poutre rectangulaire sans aciers comprimés."),C4&lt;&gt;"",C51&lt;&gt;""),C4,"")</f>
        <v/>
      </c>
      <c r="D54" s="15" t="s">
        <v>94</v>
      </c>
    </row>
    <row r="55" spans="1:4" s="11" customFormat="1" ht="18" hidden="1" x14ac:dyDescent="0.35">
      <c r="A55" s="1206"/>
      <c r="B55" s="17" t="s">
        <v>131</v>
      </c>
      <c r="C55" s="69" t="str">
        <f>IF(AND(C2&lt;&gt;"",C4&lt;&gt;"",B25="Poutre rectangulaire sans aciers comprimés.",C8&lt;&gt;"",C10&lt;&gt;"",C12&lt;&gt;"",C15&lt;&gt;"",C18&lt;&gt;"",C19&lt;&gt;""),C49*(C12-C33/3)*10^-2,IF(AND(C2&lt;&gt;"",C4&lt;&gt;"",B25="Poutre rectangulaire avec aciers comprimés.",C8&lt;&gt;"",C10&lt;&gt;"",C12&lt;&gt;"",C13&lt;&gt;"",C15&lt;&gt;"",C16&lt;&gt;"",C18&lt;&gt;"",C19&lt;&gt;""),(C49*(C12-C33/3)*10^-2)+(C50*(C12-C13)*10^-2),""))</f>
        <v/>
      </c>
      <c r="D55" s="15" t="s">
        <v>94</v>
      </c>
    </row>
    <row r="56" spans="1:4" s="11" customFormat="1" hidden="1" x14ac:dyDescent="0.25">
      <c r="A56" s="1206"/>
      <c r="B56" s="1239" t="str">
        <f>IF(AND(C54&lt;&gt;"",C55&lt;&gt;"",C54=C55),"Egalité des moments interne et externe.",IF(AND(C54&lt;&gt;"",C55&lt;&gt;"",C54&gt;C55),"Redimensionner la structure à l'ELS.",IF(AND(C54&lt;&gt;"",C55&lt;&gt;"",C54&lt;C55),"Redimensionner la structure à l'ELS.","")))</f>
        <v/>
      </c>
      <c r="C56" s="1239"/>
      <c r="D56" s="15"/>
    </row>
    <row r="57" spans="1:4" s="11" customFormat="1" hidden="1" x14ac:dyDescent="0.25">
      <c r="A57" s="1206"/>
      <c r="B57" s="19" t="s">
        <v>123</v>
      </c>
      <c r="C57" s="34"/>
      <c r="D57" s="15"/>
    </row>
    <row r="58" spans="1:4" s="11" customFormat="1" ht="15" hidden="1" customHeight="1" x14ac:dyDescent="0.25">
      <c r="A58" s="1206"/>
      <c r="B58" s="17" t="s">
        <v>122</v>
      </c>
      <c r="C58" s="24" t="str">
        <f>IF(AND(B25="Poutre rectangulaire sans aciers comprimés.",C2="préjudiciable",C5&lt;&gt;"",C4&lt;&gt;""),C5/C4,"")</f>
        <v/>
      </c>
      <c r="D58" s="15"/>
    </row>
    <row r="59" spans="1:4" s="11" customFormat="1" ht="18" x14ac:dyDescent="0.25">
      <c r="A59" s="1206"/>
      <c r="B59" s="23" t="s">
        <v>130</v>
      </c>
      <c r="C59" s="68" t="str">
        <f>IF(AND(C2="préjudiciable",B25="Poutre rectangulaire sans aciers comprimés."),(C5*10^-6)/((C8*10^-2)*((C12*10^-2)^2)*C26),"")</f>
        <v/>
      </c>
      <c r="D59" s="15"/>
    </row>
    <row r="60" spans="1:4" s="11" customFormat="1" x14ac:dyDescent="0.25">
      <c r="A60" s="1206"/>
      <c r="B60" s="1239" t="str">
        <f>IF(AND(C59&lt;&gt;"",C59&lt;=0.186),"Pivot A, section sans aciers comprimés.",IF(AND(C59&lt;&gt;"",C59&gt;0.186),"Pivot B, risque d'insuffisance du béton. Vérifions !",""))</f>
        <v/>
      </c>
      <c r="C60" s="1239"/>
      <c r="D60" s="15"/>
    </row>
    <row r="61" spans="1:4" s="11" customFormat="1" ht="18" x14ac:dyDescent="0.25">
      <c r="A61" s="1206"/>
      <c r="B61" s="23" t="s">
        <v>129</v>
      </c>
      <c r="C61" s="53" t="str">
        <f>IF(AND(C59&lt;&gt;"",C19&lt;=30,C20="t &gt; 24 h",C59&gt;0.186,C18=500),(0.322*C58+0.0051*C19-0.31)*(1-((1-1)/8.5))*(1),IF(AND(C59&lt;&gt;"",C19&lt;=30,C20="1 h = t = 24 h",C59&gt;0.186,C18=500),(0.322*C58+0.0051*C19-0.31)*(1-((1-0.9)/8.5))*(0.9),IF(AND(C59&lt;&gt;"",C19&lt;=30,C20="t &lt; 1 h",C59&gt;0.186,C18=500),(0.322*C58+0.0051*C19-0.31)*(1-((1-0.85)/8.5))*(0.85),IF(AND(C59&lt;&gt;"",C19&lt;=30,C20="t &gt; 24 h",C59&gt;0.186,C18=400),(0.344*C58+0.0049*C19-0.305)*(1-((1-1)/8.5))*(1),IF(AND(C59&lt;&gt;"",C19&lt;=30,C20="1 h = t = 24 h",C59&gt;0.186,C18=400),(0.344*C58+0.0049*C19-0.305)*(1-((1-0.9)/8.5))*(0.9),IF(AND(C59&lt;&gt;"",C19&lt;=30,C20="t &lt; 1 h",C59&gt;0.186,C18=400),(0.344*C58+0.0049*C19-0.305)*(1-((1-0.85)/8.5))*(0.85),""))))))</f>
        <v/>
      </c>
      <c r="D61" s="67"/>
    </row>
    <row r="62" spans="1:4" s="11" customFormat="1" x14ac:dyDescent="0.25">
      <c r="A62" s="1206"/>
      <c r="B62" s="1239" t="str">
        <f>IF(C59&gt;C61,"Section de béton mal dimensionnée, augmenter (b) ou (h).",IF(AND(C59&gt;0.186,C61&gt;C59),"Section de béton optimale.",""))</f>
        <v/>
      </c>
      <c r="C62" s="1239"/>
      <c r="D62" s="15"/>
    </row>
    <row r="63" spans="1:4" s="11" customFormat="1" ht="18" customHeight="1" x14ac:dyDescent="0.25">
      <c r="A63" s="1206"/>
      <c r="B63" s="23" t="s">
        <v>128</v>
      </c>
      <c r="C63" s="66" t="str">
        <f>IF(AND(C59&lt;&gt;"",C61&lt;&gt;"",C61&gt;=C59),1.25*(1-SQRT(1-2*C59)),IF(AND(C59&lt;&gt;"",0.186&gt;=C59),1.25*(1-SQRT(1-2*C59)),""))</f>
        <v/>
      </c>
      <c r="D63" s="15"/>
    </row>
    <row r="64" spans="1:4" s="11" customFormat="1" ht="18" customHeight="1" x14ac:dyDescent="0.25">
      <c r="A64" s="1206"/>
      <c r="B64" s="23" t="s">
        <v>127</v>
      </c>
      <c r="C64" s="65" t="str">
        <f>IF(AND(C12&lt;&gt;"",C63&lt;&gt;""),C63*C12,"")</f>
        <v/>
      </c>
      <c r="D64" s="15" t="s">
        <v>40</v>
      </c>
    </row>
    <row r="65" spans="1:4" s="11" customFormat="1" ht="18" customHeight="1" x14ac:dyDescent="0.25">
      <c r="A65" s="1206"/>
      <c r="B65" s="23" t="s">
        <v>110</v>
      </c>
      <c r="C65" s="64" t="str">
        <f>IF(AND(C12&lt;&gt;"",C63&lt;&gt;""),C12*(1-0.4*C63),"")</f>
        <v/>
      </c>
      <c r="D65" s="15" t="s">
        <v>40</v>
      </c>
    </row>
    <row r="66" spans="1:4" s="11" customFormat="1" ht="18" x14ac:dyDescent="0.25">
      <c r="A66" s="1206"/>
      <c r="B66" s="23" t="s">
        <v>126</v>
      </c>
      <c r="C66" s="64" t="str">
        <f>IF(C67&lt;&gt;"",(C28/C18)*0.23*C8*C12,"")</f>
        <v/>
      </c>
      <c r="D66" s="15" t="s">
        <v>45</v>
      </c>
    </row>
    <row r="67" spans="1:4" s="11" customFormat="1" ht="18" x14ac:dyDescent="0.25">
      <c r="A67" s="1206"/>
      <c r="B67" s="23" t="s">
        <v>125</v>
      </c>
      <c r="C67" s="64" t="str">
        <f>IF(AND(C27&lt;&gt;"",C5&lt;&gt;"",C65&lt;&gt;""),((C5*10^-6)/(C27*C65*(10^-2)))*10^4,"")</f>
        <v/>
      </c>
      <c r="D67" s="15" t="s">
        <v>45</v>
      </c>
    </row>
    <row r="68" spans="1:4" s="11" customFormat="1" x14ac:dyDescent="0.25">
      <c r="A68" s="1206"/>
      <c r="B68" s="1239" t="str">
        <f>IF(AND(C15&lt;&gt;"",C15&gt;=C67,C15&gt;=C66,C66&lt;&gt;"",C67&lt;&gt;""),"Section d'acier convenable à l'E.L.S.",IF(AND(C15&lt;&gt;"",C15&gt;=C67,C15&lt;C66,C66&lt;&gt;"",C67&lt;&gt;""),"Redimensionner la structure à l'E.L.U.R.",IF(AND(C15&lt;&gt;"",C67&gt;C15,C15&gt;=C66,C66&lt;&gt;"",C67&lt;&gt;""),"Redimensionner la structure à l'E.L.U.R.",IF(AND(C15&lt;&gt;"",C67&gt;C15,C15&lt;C66,C66&lt;&gt;"",C67&lt;&gt;""),"Redimensionner la structure à l'E.L.U.R.",""))))</f>
        <v/>
      </c>
      <c r="C68" s="1239"/>
      <c r="D68" s="15"/>
    </row>
    <row r="69" spans="1:4" s="11" customFormat="1" x14ac:dyDescent="0.25">
      <c r="A69" s="1206"/>
      <c r="B69" s="63" t="s">
        <v>124</v>
      </c>
      <c r="C69" s="34"/>
      <c r="D69" s="15"/>
    </row>
    <row r="70" spans="1:4" s="11" customFormat="1" hidden="1" x14ac:dyDescent="0.25">
      <c r="A70" s="1206"/>
      <c r="B70" s="19" t="s">
        <v>123</v>
      </c>
      <c r="C70" s="34"/>
      <c r="D70" s="15"/>
    </row>
    <row r="71" spans="1:4" s="11" customFormat="1" hidden="1" x14ac:dyDescent="0.25">
      <c r="A71" s="1206"/>
      <c r="B71" s="17" t="s">
        <v>122</v>
      </c>
      <c r="C71" s="24" t="str">
        <f>IF(AND(C2="préjudiciable",OR(B25="Poutre TE vérifiée comme une section rectangulaire.",B25="Poutre TE vérifiée comme telle.")),C5/C4,"")</f>
        <v/>
      </c>
      <c r="D71" s="15"/>
    </row>
    <row r="72" spans="1:4" s="11" customFormat="1" hidden="1" x14ac:dyDescent="0.25">
      <c r="A72" s="1206"/>
      <c r="B72" s="62" t="s">
        <v>121</v>
      </c>
      <c r="C72" s="16" t="str">
        <f>IF(AND(C2="préjudiciable",OR(B25="Poutre TE vérifiée comme une section rectangulaire.",B25="Poutre TE vérifiée comme telle.")),C9*C10+(C8-C9)*C11,"")</f>
        <v/>
      </c>
      <c r="D72" s="15" t="s">
        <v>45</v>
      </c>
    </row>
    <row r="73" spans="1:4" s="11" customFormat="1" ht="18" hidden="1" x14ac:dyDescent="0.35">
      <c r="A73" s="1206"/>
      <c r="B73" s="62" t="s">
        <v>120</v>
      </c>
      <c r="C73" s="16" t="str">
        <f>IF(AND(C2="préjudiciable",OR(B25="Poutre TE vérifiée comme une section rectangulaire.",B25="Poutre TE vérifiée comme telle.")),((C9*C10^2)+(C8-C9)*C11^2)/(C72*2),"")</f>
        <v/>
      </c>
      <c r="D73" s="15" t="s">
        <v>40</v>
      </c>
    </row>
    <row r="74" spans="1:4" s="11" customFormat="1" ht="18" hidden="1" x14ac:dyDescent="0.35">
      <c r="A74" s="1206"/>
      <c r="B74" s="62" t="s">
        <v>119</v>
      </c>
      <c r="C74" s="16" t="str">
        <f>IF(C73&lt;&gt;"",C12-C73,"")</f>
        <v/>
      </c>
      <c r="D74" s="15" t="s">
        <v>40</v>
      </c>
    </row>
    <row r="75" spans="1:4" s="11" customFormat="1" ht="17.25" hidden="1" x14ac:dyDescent="0.25">
      <c r="A75" s="1206"/>
      <c r="B75" s="62" t="s">
        <v>118</v>
      </c>
      <c r="C75" s="16" t="str">
        <f>IF(C73&lt;&gt;"",(C9*((C10^3)/3)+(C8-C9)*((C11^3)/3))-C72*C73^2,"")</f>
        <v/>
      </c>
      <c r="D75" s="15" t="s">
        <v>117</v>
      </c>
    </row>
    <row r="76" spans="1:4" s="11" customFormat="1" ht="18" x14ac:dyDescent="0.25">
      <c r="A76" s="1206"/>
      <c r="B76" s="61" t="s">
        <v>116</v>
      </c>
      <c r="C76" s="60" t="str">
        <f>IF(C75&lt;&gt;"",(C75/(0.81*C10*C74))*C28/C18,"")</f>
        <v/>
      </c>
      <c r="D76" s="59" t="s">
        <v>45</v>
      </c>
    </row>
    <row r="77" spans="1:4" s="11" customFormat="1" ht="18" x14ac:dyDescent="0.25">
      <c r="A77" s="1206"/>
      <c r="B77" s="50" t="s">
        <v>115</v>
      </c>
      <c r="C77" s="18" t="str">
        <f>IF(AND(C2="préjudiciable",B25="Poutre TE vérifiée comme telle."),(C8*10^-2)*(C11*10^-2)*(C26*10^6)*((C12*10^-2)-((C11*10^-2)/2)),IF(AND(C2="préjudiciable",B25="Poutre TE vérifiée comme une section rectangulaire."),(C8*10^-2)*(C11*10^-2)*(C26*10^6)*((C12*10^-2)-((C11*10^-2)/2)),""))</f>
        <v/>
      </c>
      <c r="D77" s="15" t="s">
        <v>94</v>
      </c>
    </row>
    <row r="78" spans="1:4" s="11" customFormat="1" x14ac:dyDescent="0.25">
      <c r="A78" s="1206"/>
      <c r="B78" s="1248" t="str">
        <f>IF(AND(C5&lt;&gt;"",C77&lt;&gt;"",C5&lt;=C77),"Table seule comprimée : section rectangulaire de dimensions b et h.",IF(AND(C5&lt;&gt;"",C77&lt;&gt;"",C5&gt;C77),"Table et nervure comprimées : poutre en 'TE'.",""))</f>
        <v/>
      </c>
      <c r="C78" s="1248"/>
      <c r="D78" s="55"/>
    </row>
    <row r="79" spans="1:4" s="11" customFormat="1" x14ac:dyDescent="0.25">
      <c r="A79" s="1206"/>
      <c r="B79" s="56" t="s">
        <v>114</v>
      </c>
      <c r="C79" s="52"/>
      <c r="D79" s="55"/>
    </row>
    <row r="80" spans="1:4" s="11" customFormat="1" x14ac:dyDescent="0.25">
      <c r="A80" s="1206"/>
      <c r="B80" s="50" t="s">
        <v>113</v>
      </c>
      <c r="C80" s="52" t="str">
        <f>IF(B78="Table seule comprimée : section rectangulaire de dimensions b et h.",(C5*10^-6)/((C8*10^-2)*((C12*10^-2)^2)*C26),"")</f>
        <v/>
      </c>
      <c r="D80" s="58"/>
    </row>
    <row r="81" spans="1:4" s="11" customFormat="1" x14ac:dyDescent="0.25">
      <c r="A81" s="1206"/>
      <c r="B81" s="50" t="s">
        <v>112</v>
      </c>
      <c r="C81" s="52" t="str">
        <f>IF(C80&lt;&gt;"",1.25*(1-SQRT(1-2*C80)),"")</f>
        <v/>
      </c>
      <c r="D81" s="15"/>
    </row>
    <row r="82" spans="1:4" s="11" customFormat="1" ht="18" x14ac:dyDescent="0.25">
      <c r="A82" s="1206"/>
      <c r="B82" s="50" t="s">
        <v>111</v>
      </c>
      <c r="C82" s="52" t="str">
        <f>IF(C81&lt;&gt;"",C81*C12,"")</f>
        <v/>
      </c>
      <c r="D82" s="15" t="s">
        <v>40</v>
      </c>
    </row>
    <row r="83" spans="1:4" s="11" customFormat="1" ht="18" x14ac:dyDescent="0.25">
      <c r="A83" s="1206"/>
      <c r="B83" s="50" t="s">
        <v>110</v>
      </c>
      <c r="C83" s="24" t="str">
        <f>IF(AND(C12&lt;&gt;"",C81&lt;&gt;""),C12*(1-0.4*C81),"")</f>
        <v/>
      </c>
      <c r="D83" s="15" t="s">
        <v>40</v>
      </c>
    </row>
    <row r="84" spans="1:4" s="11" customFormat="1" ht="18" x14ac:dyDescent="0.25">
      <c r="A84" s="1206"/>
      <c r="B84" s="50" t="s">
        <v>101</v>
      </c>
      <c r="C84" s="49" t="str">
        <f>IF(AND(C83&gt;0,C83&lt;&gt;""),((C5*10^-6)/(C27*(C83*10^-2)))*10^4,"")</f>
        <v/>
      </c>
      <c r="D84" s="15" t="s">
        <v>45</v>
      </c>
    </row>
    <row r="85" spans="1:4" s="11" customFormat="1" x14ac:dyDescent="0.25">
      <c r="A85" s="1206"/>
      <c r="B85" s="57" t="str">
        <f>IF(AND(C15&gt;=C84,C15&gt;=C76,C76&lt;&gt;"",C15&lt;&gt;"",C84&lt;&gt;""),"Section conforme à l'E.L.S.",IF(AND(C15&gt;=C84,C15&lt;C76,C76&lt;&gt;"",C15&lt;&gt;"",C84&lt;&gt;""),"Redimensionner à l'E.L.U.R.",IF(AND(C15&lt;C84,C15&lt;C76,C76&lt;&gt;"",C15&lt;&gt;"",C84&lt;&gt;""),"Redimensionner à l'E.L.U.R.",IF(AND(C15&lt;C84,C15&gt;=C76,C76&lt;&gt;"",C15&lt;&gt;"",C84&lt;&gt;""),"Redimensionner à l'E.L.U.R.",""))))</f>
        <v/>
      </c>
      <c r="C85" s="57"/>
      <c r="D85" s="15"/>
    </row>
    <row r="86" spans="1:4" s="11" customFormat="1" x14ac:dyDescent="0.25">
      <c r="A86" s="1206"/>
      <c r="B86" s="56" t="s">
        <v>109</v>
      </c>
      <c r="C86" s="52"/>
      <c r="D86" s="55"/>
    </row>
    <row r="87" spans="1:4" s="11" customFormat="1" ht="18" x14ac:dyDescent="0.25">
      <c r="A87" s="1206"/>
      <c r="B87" s="50" t="s">
        <v>108</v>
      </c>
      <c r="C87" s="16" t="str">
        <f>IF(B78="Table et nervure comprimées : poutre en 'TE'.",((C8-C9)*10^-2)*(C11*10^-2)*(C26*10^6)*((C12*10^-2)-((C11*10^-2)/2)),"")</f>
        <v/>
      </c>
      <c r="D87" s="15" t="s">
        <v>94</v>
      </c>
    </row>
    <row r="88" spans="1:4" s="11" customFormat="1" ht="18" x14ac:dyDescent="0.25">
      <c r="A88" s="1206"/>
      <c r="B88" s="50" t="s">
        <v>107</v>
      </c>
      <c r="C88" s="16" t="str">
        <f>IF(AND(C5&lt;&gt;"",C87&lt;&gt;""),C5-C87,"")</f>
        <v/>
      </c>
      <c r="D88" s="15" t="s">
        <v>94</v>
      </c>
    </row>
    <row r="89" spans="1:4" s="11" customFormat="1" ht="18" x14ac:dyDescent="0.25">
      <c r="A89" s="1206"/>
      <c r="B89" s="50" t="s">
        <v>106</v>
      </c>
      <c r="C89" s="54" t="str">
        <f>IF(C88&lt;&gt;"",(C88*10^-6)/((C45*10^-2)*((C69*10^-2)^2)*C26),"")</f>
        <v/>
      </c>
      <c r="D89" s="51"/>
    </row>
    <row r="90" spans="1:4" s="11" customFormat="1" x14ac:dyDescent="0.25">
      <c r="A90" s="1206"/>
      <c r="B90" s="1246" t="str">
        <f>IF(AND(C89&lt;&gt;"",C89&lt;=0.186),"Zone de pivot A. Section sans aciers comprimés.",IF(AND(C89&lt;&gt;"",C89&gt;0.186),"Pivot B. Risque d'insuffisance de la section de béton. Vérifions !",""))</f>
        <v/>
      </c>
      <c r="C90" s="1246"/>
      <c r="D90" s="51"/>
    </row>
    <row r="91" spans="1:4" s="11" customFormat="1" ht="18" x14ac:dyDescent="0.25">
      <c r="A91" s="1206"/>
      <c r="B91" s="50" t="s">
        <v>105</v>
      </c>
      <c r="C91" s="53" t="str">
        <f>IF(AND(C89&lt;&gt;"",C19&lt;=30,C20="t &gt; 24 h",C89&gt;0.186,C18=500),(0.322*C71+0.0051*C19-0.31)*(1-((1-1)/8.5))*(1),IF(AND(C89&lt;&gt;"",C19&lt;=30,C20="1 h = t = 24 h",C89&gt;0.186,C18=500),(0.322*C71+0.0051*C19-0.31)*(1-((1-0.9)/8.5))*(0.9),IF(AND(C89&lt;&gt;"",C19&lt;=30,C20="t &lt; 1 h",C89&gt;0.186,C18=500),(0.322*C71+0.0051*C19-0.31)*(1-((1-0.85)/8.5))*(0.85),IF(AND(C89&lt;&gt;"",C19&lt;=30,C20="t &gt; 24 h",C89&gt;0.186,C18=400),(0.344*C71+0.0049*C19-0.305)*(1-((1-1)/8.5))*(1),IF(AND(C89&lt;&gt;"",C19&lt;=30,C20="1 h = t = 24 h",C89&gt;0.186,C18=400),(0.344*C71+0.0049*C19-0.305)*(1-((1-0.9)/8.5))*(0.9),IF(AND(C89&lt;&gt;"",C19&lt;=30,C20="t &lt; 1 h",C89&gt;0.186,C18=400),(0.344*C71+0.0049*C19-0.305)*(1-((1-0.85)/8.5))*(0.85),""))))))</f>
        <v/>
      </c>
      <c r="D91" s="51"/>
    </row>
    <row r="92" spans="1:4" s="11" customFormat="1" x14ac:dyDescent="0.25">
      <c r="A92" s="1206"/>
      <c r="B92" s="1244" t="str">
        <f>IF(AND(C89&lt;&gt;"",C91&lt;&gt;"",C89&gt;C91),"Section de béton insuffisante, augmenter (b) ou (h).",IF(AND(C89&lt;&gt;"",C91&lt;&gt;"",C89&gt;0.186,C91&gt;=C89),"Section de béton suffisante. Aciers comprimés inutile.",""))</f>
        <v/>
      </c>
      <c r="C92" s="1244"/>
      <c r="D92" s="51"/>
    </row>
    <row r="93" spans="1:4" s="11" customFormat="1" ht="18" x14ac:dyDescent="0.25">
      <c r="A93" s="1206"/>
      <c r="B93" s="50" t="s">
        <v>104</v>
      </c>
      <c r="C93" s="52" t="str">
        <f>IF(OR(AND(C89&lt;=0.186,C89&lt;&gt;""),AND(C89&lt;&gt;"",C91&lt;&gt;"",C89&lt;=C91)),1.25*(1-SQRT(1-2*C89)),"")</f>
        <v/>
      </c>
      <c r="D93" s="51"/>
    </row>
    <row r="94" spans="1:4" s="11" customFormat="1" ht="18" x14ac:dyDescent="0.35">
      <c r="A94" s="1206"/>
      <c r="B94" s="25" t="s">
        <v>103</v>
      </c>
      <c r="C94" s="16" t="str">
        <f>IF(C93&lt;&gt;"",((C8-C9)*10)*(C11*10)*C26,"")</f>
        <v/>
      </c>
      <c r="D94" s="15" t="s">
        <v>87</v>
      </c>
    </row>
    <row r="95" spans="1:4" s="11" customFormat="1" ht="18" x14ac:dyDescent="0.35">
      <c r="A95" s="1206"/>
      <c r="B95" s="25" t="s">
        <v>102</v>
      </c>
      <c r="C95" s="16" t="str">
        <f>IF(C93&lt;&gt;"",0.8*C12*C9*C26*100*C93,"")</f>
        <v/>
      </c>
      <c r="D95" s="15" t="s">
        <v>87</v>
      </c>
    </row>
    <row r="96" spans="1:4" s="11" customFormat="1" ht="18" x14ac:dyDescent="0.25">
      <c r="A96" s="1206"/>
      <c r="B96" s="50" t="s">
        <v>101</v>
      </c>
      <c r="C96" s="49" t="str">
        <f>IF(AND(C94&lt;&gt;"",C95&lt;&gt;""),(SUM(C94:C95)/C27)*10^-2,"")</f>
        <v/>
      </c>
      <c r="D96" s="15" t="s">
        <v>45</v>
      </c>
    </row>
    <row r="97" spans="1:4" s="11" customFormat="1" x14ac:dyDescent="0.25">
      <c r="A97" s="1207"/>
      <c r="B97" s="48" t="str">
        <f>IF(AND(C15&gt;=C96,C15&gt;=C76,C76&lt;&gt;"",C15&lt;&gt;"",C96&lt;&gt;""),"Section conforme à l'E.L.S.",IF(AND(C15&gt;=C96,C15&lt;C76,C76&lt;&gt;"",C15&lt;&gt;"",C96&lt;&gt;""),"Redimensionner à l'E.L.U.R.",IF(AND(C15&lt;C96,C15&lt;C76,C76&lt;&gt;"",C15&lt;&gt;"",C96&lt;&gt;""),"Redimensionner à l'E.L.U.R.",IF(AND(C15&lt;C96,C15&gt;=C76,C76&lt;&gt;"",C15&lt;&gt;"",C96&lt;&gt;""),"Redimensionner à l'E.L.U.R.",""))))</f>
        <v/>
      </c>
      <c r="C97" s="48"/>
      <c r="D97" s="47"/>
    </row>
    <row r="98" spans="1:4" s="11" customFormat="1" hidden="1" x14ac:dyDescent="0.25">
      <c r="A98" s="42"/>
      <c r="B98" s="19" t="s">
        <v>100</v>
      </c>
      <c r="C98" s="34"/>
      <c r="D98" s="10"/>
    </row>
    <row r="99" spans="1:4" s="11" customFormat="1" ht="18" hidden="1" x14ac:dyDescent="0.35">
      <c r="A99" s="42"/>
      <c r="B99" s="46" t="s">
        <v>99</v>
      </c>
      <c r="C99" s="22" t="str">
        <f>IF(B85="Section conforme à l'E.L.S.",0.8*C82*100*C8*C26,"")</f>
        <v/>
      </c>
      <c r="D99" s="15" t="s">
        <v>87</v>
      </c>
    </row>
    <row r="100" spans="1:4" s="11" customFormat="1" ht="18" hidden="1" x14ac:dyDescent="0.35">
      <c r="A100" s="42"/>
      <c r="B100" s="46" t="s">
        <v>98</v>
      </c>
      <c r="C100" s="22" t="str">
        <f>IF(B85="Section conforme à l'E.L.S.",C84*100*C27,"")</f>
        <v/>
      </c>
      <c r="D100" s="15" t="s">
        <v>87</v>
      </c>
    </row>
    <row r="101" spans="1:4" s="11" customFormat="1" hidden="1" x14ac:dyDescent="0.25">
      <c r="A101" s="42"/>
      <c r="B101" s="11" t="str">
        <f>IF(AND(C99&lt;&gt;"",C100&lt;&gt;"",C99=C100),"Egalité des efforts normaux.",IF(AND(C100&lt;&gt;"",C99&lt;&gt;"",C99&lt;C100),"Redimensionner à l'ELU.",IF(AND(C99&lt;&gt;"",C100&lt;&gt;"",C99&gt;C100),"Redimensionner à l'ELU.","")))</f>
        <v/>
      </c>
      <c r="C101" s="32"/>
      <c r="D101" s="10"/>
    </row>
    <row r="102" spans="1:4" s="11" customFormat="1" hidden="1" x14ac:dyDescent="0.25">
      <c r="A102" s="42"/>
      <c r="B102" s="19" t="s">
        <v>97</v>
      </c>
      <c r="C102" s="45"/>
      <c r="D102" s="10"/>
    </row>
    <row r="103" spans="1:4" s="11" customFormat="1" ht="18" hidden="1" x14ac:dyDescent="0.35">
      <c r="A103" s="42"/>
      <c r="B103" s="17" t="s">
        <v>96</v>
      </c>
      <c r="C103" s="44" t="str">
        <f>IF(B85="Section conforme à l'E.L.S.",C5,"")</f>
        <v/>
      </c>
      <c r="D103" s="15" t="s">
        <v>94</v>
      </c>
    </row>
    <row r="104" spans="1:4" s="11" customFormat="1" ht="18" hidden="1" x14ac:dyDescent="0.35">
      <c r="A104" s="42"/>
      <c r="B104" s="17" t="s">
        <v>95</v>
      </c>
      <c r="C104" s="43" t="e">
        <f>C99*C83*0.01</f>
        <v>#VALUE!</v>
      </c>
      <c r="D104" s="15" t="s">
        <v>94</v>
      </c>
    </row>
    <row r="105" spans="1:4" s="11" customFormat="1" hidden="1" x14ac:dyDescent="0.25">
      <c r="A105" s="42"/>
      <c r="B105" s="21" t="e">
        <f>IF(AND(C103&lt;&gt;"",C104&lt;&gt;"",C103=C104),"Moment interne = moment externe.",IF(AND(C103&lt;&gt;"",C104&lt;&gt;"",C103&lt;C104),"Redimensionner à l'ELU.",IF(AND(C103&lt;&gt;"",C104&lt;&gt;"",C103&gt;C104),"Redimensionner à l'ELU.","")))</f>
        <v>#VALUE!</v>
      </c>
      <c r="C105" s="34"/>
      <c r="D105" s="10"/>
    </row>
    <row r="106" spans="1:4" s="11" customFormat="1" x14ac:dyDescent="0.25">
      <c r="A106" s="42"/>
      <c r="B106" s="21"/>
      <c r="C106" s="34"/>
      <c r="D106" s="10"/>
    </row>
    <row r="107" spans="1:4" s="11" customFormat="1" x14ac:dyDescent="0.25">
      <c r="A107" s="42"/>
      <c r="B107" s="17"/>
      <c r="C107" s="34"/>
      <c r="D107" s="10"/>
    </row>
    <row r="108" spans="1:4" s="11" customFormat="1" x14ac:dyDescent="0.25">
      <c r="A108" s="41"/>
      <c r="B108" s="21"/>
      <c r="C108" s="34"/>
      <c r="D108" s="10"/>
    </row>
    <row r="109" spans="1:4" s="11" customFormat="1" x14ac:dyDescent="0.25">
      <c r="A109" s="41"/>
      <c r="B109" s="21"/>
      <c r="C109" s="34"/>
      <c r="D109" s="10"/>
    </row>
    <row r="110" spans="1:4" s="11" customFormat="1" x14ac:dyDescent="0.25">
      <c r="A110" s="41"/>
      <c r="B110" s="21"/>
      <c r="C110" s="34"/>
      <c r="D110" s="10"/>
    </row>
    <row r="111" spans="1:4" s="11" customFormat="1" x14ac:dyDescent="0.25">
      <c r="A111" s="41"/>
      <c r="B111" s="21"/>
      <c r="C111" s="34"/>
      <c r="D111" s="10"/>
    </row>
    <row r="112" spans="1:4" s="11" customFormat="1" x14ac:dyDescent="0.25">
      <c r="A112" s="41"/>
      <c r="B112" s="21"/>
      <c r="C112" s="34"/>
      <c r="D112" s="10"/>
    </row>
    <row r="113" spans="1:4" s="11" customFormat="1" x14ac:dyDescent="0.25">
      <c r="A113" s="41"/>
      <c r="B113" s="21"/>
      <c r="C113" s="34"/>
      <c r="D113" s="10"/>
    </row>
    <row r="114" spans="1:4" s="11" customFormat="1" x14ac:dyDescent="0.25">
      <c r="A114" s="41"/>
      <c r="B114" s="21"/>
      <c r="C114" s="34"/>
      <c r="D114" s="10"/>
    </row>
    <row r="115" spans="1:4" s="11" customFormat="1" x14ac:dyDescent="0.25">
      <c r="A115" s="41"/>
      <c r="B115" s="21"/>
      <c r="C115" s="34"/>
      <c r="D115" s="10"/>
    </row>
    <row r="116" spans="1:4" s="11" customFormat="1" x14ac:dyDescent="0.25">
      <c r="A116" s="41"/>
      <c r="B116" s="21"/>
      <c r="C116" s="34"/>
      <c r="D116" s="10"/>
    </row>
    <row r="117" spans="1:4" s="11" customFormat="1" x14ac:dyDescent="0.25">
      <c r="A117" s="41"/>
      <c r="B117" s="21"/>
      <c r="C117" s="34"/>
      <c r="D117" s="10"/>
    </row>
  </sheetData>
  <sheetProtection password="EE7E" sheet="1" objects="1" scenarios="1"/>
  <mergeCells count="16">
    <mergeCell ref="B92:C92"/>
    <mergeCell ref="A1:A97"/>
    <mergeCell ref="B1:D1"/>
    <mergeCell ref="B24:D24"/>
    <mergeCell ref="B25:C25"/>
    <mergeCell ref="B46:D46"/>
    <mergeCell ref="B78:C78"/>
    <mergeCell ref="B60:C60"/>
    <mergeCell ref="B62:C62"/>
    <mergeCell ref="B68:C68"/>
    <mergeCell ref="B56:C56"/>
    <mergeCell ref="B52:C52"/>
    <mergeCell ref="B45:C45"/>
    <mergeCell ref="B41:C41"/>
    <mergeCell ref="B38:C38"/>
    <mergeCell ref="B90:C90"/>
  </mergeCells>
  <dataValidations count="7">
    <dataValidation type="list" allowBlank="1" showInputMessage="1" showErrorMessage="1" sqref="C22">
      <formula1>E15:E16</formula1>
    </dataValidation>
    <dataValidation type="list" allowBlank="1" showInputMessage="1" showErrorMessage="1" sqref="C23">
      <formula1>H6:H7</formula1>
    </dataValidation>
    <dataValidation type="list" allowBlank="1" showInputMessage="1" showErrorMessage="1" sqref="C20">
      <formula1>E11:E13</formula1>
    </dataValidation>
    <dataValidation type="list" allowBlank="1" showInputMessage="1" showErrorMessage="1" sqref="C18">
      <formula1>E5:E6</formula1>
    </dataValidation>
    <dataValidation type="list" allowBlank="1" showInputMessage="1" showErrorMessage="1" sqref="C19 C21">
      <formula1>F1:F13</formula1>
    </dataValidation>
    <dataValidation type="list" allowBlank="1" showInputMessage="1" showErrorMessage="1" sqref="C7">
      <formula1>E8:E9</formula1>
    </dataValidation>
    <dataValidation type="list" allowBlank="1" showInputMessage="1" showErrorMessage="1" sqref="C2">
      <formula1>E1:E3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rowBreaks count="1" manualBreakCount="1">
    <brk id="45" max="3" man="1"/>
  </rowBreaks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tabColor theme="5" tint="-0.249977111117893"/>
  </sheetPr>
  <dimension ref="A1:I44"/>
  <sheetViews>
    <sheetView showGridLines="0" view="pageBreakPreview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" style="12" bestFit="1" customWidth="1"/>
    <col min="2" max="2" width="51.85546875" style="11" bestFit="1" customWidth="1"/>
    <col min="3" max="3" width="18.42578125" style="11" customWidth="1"/>
    <col min="4" max="4" width="4.85546875" style="8" bestFit="1" customWidth="1"/>
    <col min="5" max="5" width="16.7109375" style="11" hidden="1" customWidth="1"/>
    <col min="6" max="6" width="4.85546875" style="11" hidden="1" customWidth="1"/>
    <col min="7" max="7" width="7.7109375" style="11" hidden="1" customWidth="1"/>
    <col min="8" max="8" width="5.7109375" style="11" hidden="1" customWidth="1"/>
    <col min="9" max="16384" width="11.42578125" style="11"/>
  </cols>
  <sheetData>
    <row r="1" spans="1:9" x14ac:dyDescent="0.25">
      <c r="A1" s="1254" t="s">
        <v>93</v>
      </c>
      <c r="B1" s="1208" t="s">
        <v>92</v>
      </c>
      <c r="C1" s="1208"/>
      <c r="D1" s="1209"/>
      <c r="E1" s="37" t="s">
        <v>91</v>
      </c>
      <c r="F1" s="32">
        <v>16</v>
      </c>
      <c r="G1" s="33">
        <v>6</v>
      </c>
      <c r="H1" s="32">
        <v>2</v>
      </c>
    </row>
    <row r="2" spans="1:9" x14ac:dyDescent="0.25">
      <c r="A2" s="1255"/>
      <c r="B2" s="17" t="s">
        <v>90</v>
      </c>
      <c r="C2" s="27"/>
      <c r="D2" s="15"/>
      <c r="E2" s="37" t="s">
        <v>89</v>
      </c>
      <c r="F2" s="32">
        <v>18</v>
      </c>
      <c r="G2" s="33">
        <v>8</v>
      </c>
      <c r="H2" s="32">
        <v>3</v>
      </c>
    </row>
    <row r="3" spans="1:9" ht="18" x14ac:dyDescent="0.35">
      <c r="A3" s="1255"/>
      <c r="B3" s="39" t="s">
        <v>88</v>
      </c>
      <c r="C3" s="38"/>
      <c r="D3" s="15" t="s">
        <v>87</v>
      </c>
      <c r="E3" s="37" t="s">
        <v>86</v>
      </c>
      <c r="F3" s="8">
        <v>20</v>
      </c>
      <c r="G3" s="33">
        <v>10</v>
      </c>
      <c r="H3" s="32">
        <v>4</v>
      </c>
    </row>
    <row r="4" spans="1:9" x14ac:dyDescent="0.25">
      <c r="A4" s="1255"/>
      <c r="B4" s="19" t="s">
        <v>85</v>
      </c>
      <c r="C4" s="21"/>
      <c r="D4" s="15"/>
      <c r="F4" s="8">
        <v>22</v>
      </c>
      <c r="G4" s="33">
        <v>12</v>
      </c>
      <c r="H4" s="32">
        <v>5</v>
      </c>
      <c r="I4" s="36"/>
    </row>
    <row r="5" spans="1:9" x14ac:dyDescent="0.25">
      <c r="A5" s="1255"/>
      <c r="B5" s="17" t="s">
        <v>84</v>
      </c>
      <c r="C5" s="30"/>
      <c r="D5" s="15"/>
      <c r="E5" s="32">
        <v>500</v>
      </c>
      <c r="F5" s="8">
        <v>25</v>
      </c>
      <c r="G5" s="33">
        <v>14</v>
      </c>
      <c r="H5" s="32">
        <v>6</v>
      </c>
    </row>
    <row r="6" spans="1:9" x14ac:dyDescent="0.25">
      <c r="A6" s="1255"/>
      <c r="B6" s="17" t="s">
        <v>83</v>
      </c>
      <c r="C6" s="27"/>
      <c r="D6" s="15"/>
      <c r="E6" s="32">
        <v>400</v>
      </c>
      <c r="F6" s="8">
        <v>27</v>
      </c>
      <c r="G6" s="33">
        <v>16</v>
      </c>
      <c r="H6" s="32">
        <v>7</v>
      </c>
    </row>
    <row r="7" spans="1:9" ht="18" x14ac:dyDescent="0.35">
      <c r="A7" s="1255"/>
      <c r="B7" s="17" t="s">
        <v>82</v>
      </c>
      <c r="C7" s="27"/>
      <c r="D7" s="15" t="s">
        <v>40</v>
      </c>
      <c r="E7" s="8">
        <v>235</v>
      </c>
      <c r="F7" s="8">
        <v>30</v>
      </c>
      <c r="G7" s="33">
        <v>20</v>
      </c>
      <c r="H7" s="32">
        <v>8</v>
      </c>
    </row>
    <row r="8" spans="1:9" x14ac:dyDescent="0.25">
      <c r="A8" s="1255"/>
      <c r="B8" s="17" t="s">
        <v>81</v>
      </c>
      <c r="C8" s="27"/>
      <c r="D8" s="15" t="s">
        <v>40</v>
      </c>
      <c r="E8" s="8">
        <v>215</v>
      </c>
      <c r="F8" s="8">
        <v>35</v>
      </c>
      <c r="G8" s="33">
        <v>25</v>
      </c>
      <c r="H8" s="32">
        <v>9</v>
      </c>
    </row>
    <row r="9" spans="1:9" x14ac:dyDescent="0.25">
      <c r="A9" s="1255"/>
      <c r="B9" s="35" t="s">
        <v>80</v>
      </c>
      <c r="C9" s="27"/>
      <c r="D9" s="15" t="s">
        <v>40</v>
      </c>
      <c r="F9" s="8">
        <v>40</v>
      </c>
      <c r="G9" s="33">
        <v>32</v>
      </c>
    </row>
    <row r="10" spans="1:9" x14ac:dyDescent="0.25">
      <c r="A10" s="1255"/>
      <c r="B10" s="19" t="s">
        <v>79</v>
      </c>
      <c r="C10" s="34"/>
      <c r="D10" s="15"/>
      <c r="E10" s="1" t="s">
        <v>78</v>
      </c>
      <c r="F10" s="8">
        <v>45</v>
      </c>
      <c r="G10" s="33">
        <v>40</v>
      </c>
    </row>
    <row r="11" spans="1:9" ht="18" x14ac:dyDescent="0.35">
      <c r="A11" s="1255"/>
      <c r="B11" s="17" t="s">
        <v>77</v>
      </c>
      <c r="C11" s="30"/>
      <c r="D11" s="15" t="s">
        <v>47</v>
      </c>
      <c r="E11" s="1" t="s">
        <v>76</v>
      </c>
      <c r="F11" s="8">
        <v>50</v>
      </c>
    </row>
    <row r="12" spans="1:9" ht="18" x14ac:dyDescent="0.25">
      <c r="A12" s="1255"/>
      <c r="B12" s="31" t="s">
        <v>75</v>
      </c>
      <c r="C12" s="30"/>
      <c r="D12" s="15" t="s">
        <v>55</v>
      </c>
      <c r="F12" s="8">
        <v>55</v>
      </c>
    </row>
    <row r="13" spans="1:9" x14ac:dyDescent="0.25">
      <c r="A13" s="1255"/>
      <c r="B13" s="19" t="s">
        <v>74</v>
      </c>
      <c r="C13" s="10"/>
      <c r="D13" s="15"/>
      <c r="E13" s="32" t="s">
        <v>73</v>
      </c>
      <c r="F13" s="8">
        <v>60</v>
      </c>
    </row>
    <row r="14" spans="1:9" ht="18" x14ac:dyDescent="0.35">
      <c r="A14" s="1255"/>
      <c r="B14" s="17" t="s">
        <v>72</v>
      </c>
      <c r="C14" s="30"/>
      <c r="D14" s="15" t="s">
        <v>47</v>
      </c>
      <c r="E14" s="32" t="s">
        <v>71</v>
      </c>
      <c r="F14" s="8"/>
    </row>
    <row r="15" spans="1:9" x14ac:dyDescent="0.25">
      <c r="A15" s="1255"/>
      <c r="B15" s="17" t="s">
        <v>70</v>
      </c>
      <c r="C15" s="30"/>
      <c r="D15" s="15"/>
    </row>
    <row r="16" spans="1:9" ht="18" x14ac:dyDescent="0.25">
      <c r="A16" s="1255"/>
      <c r="B16" s="31" t="s">
        <v>69</v>
      </c>
      <c r="C16" s="30"/>
      <c r="D16" s="15" t="s">
        <v>55</v>
      </c>
      <c r="E16" s="32" t="s">
        <v>68</v>
      </c>
      <c r="F16" s="8"/>
    </row>
    <row r="17" spans="1:6" x14ac:dyDescent="0.25">
      <c r="A17" s="1255"/>
      <c r="B17" s="21"/>
      <c r="C17" s="21"/>
      <c r="D17" s="15"/>
      <c r="E17" s="32" t="s">
        <v>67</v>
      </c>
      <c r="F17" s="8"/>
    </row>
    <row r="18" spans="1:6" ht="18" x14ac:dyDescent="0.25">
      <c r="A18" s="1255"/>
      <c r="B18" s="31" t="s">
        <v>66</v>
      </c>
      <c r="C18" s="30"/>
      <c r="D18" s="15" t="s">
        <v>55</v>
      </c>
    </row>
    <row r="19" spans="1:6" ht="18" x14ac:dyDescent="0.25">
      <c r="A19" s="1255"/>
      <c r="B19" s="29" t="s">
        <v>65</v>
      </c>
      <c r="C19" s="30"/>
      <c r="D19" s="15"/>
    </row>
    <row r="20" spans="1:6" x14ac:dyDescent="0.25">
      <c r="A20" s="1255"/>
      <c r="B20" s="29"/>
      <c r="C20" s="28"/>
      <c r="D20" s="15"/>
    </row>
    <row r="21" spans="1:6" x14ac:dyDescent="0.25">
      <c r="A21" s="1255"/>
      <c r="B21" s="1222" t="s">
        <v>64</v>
      </c>
      <c r="C21" s="1222"/>
      <c r="D21" s="1223"/>
    </row>
    <row r="22" spans="1:6" x14ac:dyDescent="0.25">
      <c r="A22" s="1255"/>
      <c r="B22" s="17" t="s">
        <v>63</v>
      </c>
      <c r="C22" s="27" t="str">
        <f>IF(AND(C6="rectangulaire",C8&lt;&gt;"",C9&lt;&gt;""),MIN(C8-C9-3,0.9*C8),IF(AND(C6="té",C8&lt;&gt;"",C9&lt;&gt;""),C8-C9-5,""))</f>
        <v/>
      </c>
      <c r="D22" s="15" t="s">
        <v>40</v>
      </c>
    </row>
    <row r="23" spans="1:6" ht="18" x14ac:dyDescent="0.35">
      <c r="A23" s="1255"/>
      <c r="B23" s="17" t="s">
        <v>62</v>
      </c>
      <c r="C23" s="16" t="str">
        <f>IF(AND(C19="cas général",C12&lt;&gt;""),C12/1.15,IF(AND(C19="combinaisons accidentelles",C12&lt;&gt;""),C12,""))</f>
        <v/>
      </c>
      <c r="D23" s="15" t="s">
        <v>55</v>
      </c>
    </row>
    <row r="24" spans="1:6" ht="18" x14ac:dyDescent="0.35">
      <c r="A24" s="1255"/>
      <c r="B24" s="17" t="s">
        <v>61</v>
      </c>
      <c r="C24" s="16" t="str">
        <f>IF(AND(C19="cas général",C16&lt;&gt;""),C16/1.15,IF(AND(C19="combinaisons accidentelles",C16&lt;&gt;""),C16,""))</f>
        <v/>
      </c>
      <c r="D24" s="15" t="s">
        <v>55</v>
      </c>
    </row>
    <row r="25" spans="1:6" ht="18" x14ac:dyDescent="0.35">
      <c r="A25" s="1255"/>
      <c r="B25" s="17" t="s">
        <v>60</v>
      </c>
      <c r="C25" s="16" t="str">
        <f>IF(C18&lt;&gt;"",MIN(0.6+0.06*C18,3.3),"")</f>
        <v/>
      </c>
      <c r="D25" s="15" t="s">
        <v>55</v>
      </c>
    </row>
    <row r="26" spans="1:6" x14ac:dyDescent="0.25">
      <c r="A26" s="1255"/>
      <c r="B26" s="19" t="s">
        <v>59</v>
      </c>
      <c r="C26" s="21"/>
      <c r="D26" s="15"/>
    </row>
    <row r="27" spans="1:6" ht="18.75" x14ac:dyDescent="0.35">
      <c r="A27" s="1255"/>
      <c r="B27" s="26" t="s">
        <v>58</v>
      </c>
      <c r="C27" s="18" t="str">
        <f>IF(AND(C3&lt;&gt;"",C7&lt;&gt;"",C22&lt;&gt;""),C3*10^-6/(C7*C22*0.01),"")</f>
        <v/>
      </c>
      <c r="D27" s="15" t="s">
        <v>55</v>
      </c>
    </row>
    <row r="28" spans="1:6" ht="18.75" x14ac:dyDescent="0.35">
      <c r="A28" s="1255"/>
      <c r="B28" s="26" t="s">
        <v>57</v>
      </c>
      <c r="C28" s="16" t="str">
        <f>IF(AND(C18&lt;&gt;"",C19="cas général",C2="peu préjudiciable"),MIN(0.2*C18/1.5,5),IF(AND(C18&lt;&gt;"",C19="cas général",OR(C2="préjudiciable",C2="très préjudiciable")),MIN(0.15*C18/1.5,4),IF(AND(C18&lt;&gt;"",C19="combinaisons accidentelles",C2="peu préjudiciable"),MIN(0.2*C18/1.15,5),IF(AND(C18&lt;&gt;"",C19="combinaisons accidentelles",OR(C2="préjudiciable",C2="très préjudiciable")),MIN(0.15*C18/1.15,4),""))))</f>
        <v/>
      </c>
      <c r="D28" s="15" t="s">
        <v>55</v>
      </c>
    </row>
    <row r="29" spans="1:6" ht="18.75" x14ac:dyDescent="0.35">
      <c r="A29" s="1255"/>
      <c r="B29" s="26" t="s">
        <v>56</v>
      </c>
      <c r="C29" s="16" t="str">
        <f>IF(AND(C18&lt;&gt;"",C19="cas général"),MIN(0.27*C18/1.5,7),IF(AND(C18&lt;&gt;"",C19="combinaisons accidentelles"),MIN(0.27*C18/1.15,7),""))</f>
        <v/>
      </c>
      <c r="D29" s="15" t="s">
        <v>55</v>
      </c>
    </row>
    <row r="30" spans="1:6" x14ac:dyDescent="0.25">
      <c r="A30" s="1255"/>
      <c r="B30" s="26" t="str">
        <f>IF(AND(C27&lt;&gt;"",C28&lt;&gt;"",C29&lt;&gt;"",C27&lt;=C28,C28&lt;=C29),"Disposer des armatures transversales droites.",IF(AND(C27&lt;&gt;"",C28&lt;&gt;"",C29&lt;&gt;"",C28&lt;C27,C27&lt;=C29),"Disposer des armatures transversales inclinées à 45°.",IF(AND(C27&lt;&gt;"",C28&lt;&gt;"",C29&lt;&gt;"",C28&lt;=C29,C29&lt;C27),"Redimensionner la poutre. Augmenter h. ",IF(AND(C27&lt;&gt;"",C28&lt;&gt;"",C29&lt;&gt;"",C27&lt;=C29,C29&lt;=C28),"Disposer des armatures transversales inclinées à 45°.",IF(AND(C27&lt;&gt;"",C28&lt;&gt;"",C29&lt;&gt;"",C29&lt;C27,C27&lt;=C28),"Disposer des armatures transversales droites.",IF(AND(C27&lt;&gt;"",C28&lt;&gt;"",C29&lt;&gt;"",C29&lt;=C28,C28&lt;C27),"Redimensionner la poutre. Augmenter h. ",""))))))</f>
        <v/>
      </c>
      <c r="C30" s="16"/>
      <c r="D30" s="15"/>
    </row>
    <row r="31" spans="1:6" x14ac:dyDescent="0.25">
      <c r="A31" s="1255"/>
      <c r="B31" s="19" t="s">
        <v>54</v>
      </c>
      <c r="C31" s="21"/>
      <c r="D31" s="15"/>
    </row>
    <row r="32" spans="1:6" ht="18" x14ac:dyDescent="0.35">
      <c r="A32" s="1255"/>
      <c r="B32" s="17" t="s">
        <v>53</v>
      </c>
      <c r="C32" s="18" t="str">
        <f>IF(AND(C3&lt;&gt;"",C23&lt;&gt;""),C3*10^-2/C23,"")</f>
        <v/>
      </c>
      <c r="D32" s="15" t="s">
        <v>45</v>
      </c>
    </row>
    <row r="33" spans="1:4" ht="18" x14ac:dyDescent="0.35">
      <c r="A33" s="1255"/>
      <c r="B33" s="25" t="s">
        <v>52</v>
      </c>
      <c r="C33" s="16" t="str">
        <f>IF(C32&lt;&gt;"",3.75*C3*10^-2/(C7*C18),"")</f>
        <v/>
      </c>
      <c r="D33" s="15" t="s">
        <v>40</v>
      </c>
    </row>
    <row r="34" spans="1:4" ht="18" x14ac:dyDescent="0.25">
      <c r="A34" s="1255"/>
      <c r="B34" s="19" t="s">
        <v>51</v>
      </c>
      <c r="C34" s="21"/>
      <c r="D34" s="15"/>
    </row>
    <row r="35" spans="1:4" ht="18" x14ac:dyDescent="0.25">
      <c r="A35" s="1255"/>
      <c r="B35" s="23" t="s">
        <v>50</v>
      </c>
      <c r="C35" s="24" t="str">
        <f>IF(AND(C7&lt;&gt;"",C8&lt;&gt;"",C11&lt;&gt;""),MIN(C7,C8*10/35,C11),"")</f>
        <v/>
      </c>
      <c r="D35" s="15" t="s">
        <v>47</v>
      </c>
    </row>
    <row r="36" spans="1:4" ht="18" x14ac:dyDescent="0.25">
      <c r="A36" s="1255"/>
      <c r="B36" s="23" t="s">
        <v>49</v>
      </c>
      <c r="C36" s="24" t="str">
        <f>IF(C11&lt;&gt;"",0.3*C11,"")</f>
        <v/>
      </c>
      <c r="D36" s="15"/>
    </row>
    <row r="37" spans="1:4" ht="18" x14ac:dyDescent="0.25">
      <c r="A37" s="1255"/>
      <c r="B37" s="23" t="s">
        <v>48</v>
      </c>
      <c r="C37" s="22" t="str">
        <f>IF(C14&lt;&gt;"",C14,"")</f>
        <v/>
      </c>
      <c r="D37" s="15" t="s">
        <v>47</v>
      </c>
    </row>
    <row r="38" spans="1:4" x14ac:dyDescent="0.25">
      <c r="A38" s="1255"/>
      <c r="B38" s="21" t="str">
        <f>IF(AND(C36&lt;=C37,C37&lt;=C35,C35&lt;&gt;"",C36&lt;&gt;"",C37&lt;&gt;""),"Diamètre des cadres acceptable.",IF(AND(C35&lt;C37,C37&lt;C36,C35&lt;&gt;"",C36&lt;&gt;"",C37&lt;&gt;""),"Choisir un diamètre supérieur.",IF(AND(C36&lt;C35,C35&lt;C37,C35&lt;&gt;"",C36&lt;&gt;"",C37&lt;&gt;""),"Choisir un diamètre inférieur.",
IF(AND(C37&lt;C35,C35&lt;C36,C35&lt;&gt;"",C36&lt;&gt;"",C37&lt;&gt;""),"Choisir un diamètre supérieur.",IF(AND(C35&lt;C36,C36&lt;C37,C35&lt;&gt;"",C36&lt;&gt;"",C37&lt;&gt;""),"Diamètre des cadres acceptable.",
IF(AND(C37&lt;C36,C36&lt;C35,C35&lt;&gt;"",C36&lt;&gt;"",C37&lt;&gt;""),"Choisir un diamètre supérieur.",""))))))</f>
        <v/>
      </c>
      <c r="C38" s="21"/>
      <c r="D38" s="20"/>
    </row>
    <row r="39" spans="1:4" ht="18" x14ac:dyDescent="0.35">
      <c r="A39" s="1255"/>
      <c r="B39" s="17" t="s">
        <v>46</v>
      </c>
      <c r="C39" s="16" t="str">
        <f>IF(AND(B38="Diamètre des cadres acceptable.",C37=6),0.28,IF(AND(B38="Diamètre des cadres acceptable.",C37=8),0.5,IF(AND(B38="Diamètre des cadres acceptable.",C37=10),0.79,IF(AND(B38="Diamètre des cadres acceptable.",C37=12),1.13,""))))</f>
        <v/>
      </c>
      <c r="D39" s="15" t="s">
        <v>45</v>
      </c>
    </row>
    <row r="40" spans="1:4" x14ac:dyDescent="0.25">
      <c r="A40" s="1255"/>
      <c r="B40" s="19" t="s">
        <v>44</v>
      </c>
      <c r="C40" s="16"/>
      <c r="D40" s="15"/>
    </row>
    <row r="41" spans="1:4" ht="18" x14ac:dyDescent="0.35">
      <c r="A41" s="1255"/>
      <c r="B41" s="17" t="s">
        <v>43</v>
      </c>
      <c r="C41" s="16" t="str">
        <f>IF(AND(C39&lt;&gt;"",C15&lt;&gt;"",C12&lt;&gt;"",(0.4*C7)&gt;0,C7&lt;&gt;""),(C39*C15*C16)/(0.4*C7),"")</f>
        <v/>
      </c>
      <c r="D41" s="15" t="s">
        <v>40</v>
      </c>
    </row>
    <row r="42" spans="1:4" ht="18" x14ac:dyDescent="0.35">
      <c r="A42" s="1255"/>
      <c r="B42" s="17" t="s">
        <v>42</v>
      </c>
      <c r="C42" s="18" t="str">
        <f>IF(AND(C39&lt;&gt;"",C15&lt;&gt;"",C24&lt;&gt;"",C7&lt;&gt;"",C27&lt;&gt;"",C25&lt;&gt;"",C5="non",OR(C2="peu préjudiciable",C2="préjudiciable")),FLOOR((0.9*C39*C15*C24)/(C7*(C27-0.3*1*C25)),1),IF(AND(C39&lt;&gt;"",C15&lt;&gt;"",C24&lt;&gt;"",C7&lt;&gt;"",C27&lt;&gt;"",C25&lt;&gt;"",C5="oui",OR(C2="peu préjudiciable",C2="préjudiciable")),FLOOR((0.9*C39*C15*C24)/(C7*(C27-0.3*0*C25)),1),IF(AND(C39&lt;&gt;"",C15&lt;&gt;"",C24&lt;&gt;"",C7&lt;&gt;"",C27&lt;&gt;"",C25&lt;&gt;"",C5="oui",C2="très préjudiciable"),FLOOR((0.9*C39*C15*C24)/(C7*(C27-0.3*0*C25)),1),IF(AND(C39&lt;&gt;"",C15&lt;&gt;"",C24&lt;&gt;"",C7&lt;&gt;"",C27&lt;&gt;"",C25&lt;&gt;"",C5="non",C2="très préjudiciable"),FLOOR((0.9*C39*C15*C24)/(C7*(C27-0.3*0*C25)),1),""))))</f>
        <v/>
      </c>
      <c r="D42" s="15" t="s">
        <v>40</v>
      </c>
    </row>
    <row r="43" spans="1:4" ht="18" x14ac:dyDescent="0.35">
      <c r="A43" s="1255"/>
      <c r="B43" s="17" t="s">
        <v>41</v>
      </c>
      <c r="C43" s="16" t="str">
        <f>IF(AND(C39&lt;&gt;"",C22&lt;&gt;""),MIN(40,0.9*C22),"")</f>
        <v/>
      </c>
      <c r="D43" s="15" t="s">
        <v>40</v>
      </c>
    </row>
    <row r="44" spans="1:4" x14ac:dyDescent="0.25">
      <c r="A44" s="1256"/>
      <c r="B44" s="14" t="str">
        <f>IF(AND(C42&lt;&gt;"",C43&lt;&gt;"",C41&lt;&gt;"",C42&lt;=C41,C41&lt;=C43),"Espacement initial conforme. Condition de non-fragilité respectée.",IF(AND(C42&lt;&gt;"",C43&lt;&gt;"",C41&lt;&gt;"",C42&lt;=C43,C43&lt;=C41),"Espacement initial conforme. Respect de la condition de non-fragilité.",IF(AND(C42&lt;&gt;"",C43&lt;&gt;"",C41&lt;&gt;"",C41&lt;C42,C42&lt;=C43),"Non respect de la condition de non-fragilité. Augmenter b₀.",IF(AND(C42&lt;&gt;"",C43&lt;&gt;"",C41&lt;&gt;"",C43&lt;C42,C42&lt;=C41),"Espacement initial trop important. Augmenter h.",IF(AND(C42&lt;&gt;"",C43&lt;&gt;"",C41&lt;&gt;"",C41&lt;C43,C43&lt;C42),"Non conformité des dispositions minimales. Redimensionner b₀ et h.",IF(AND(C42&lt;&gt;"",C43&lt;&gt;"",C41&lt;&gt;"",C43&lt;C41,C41&lt;C42),"Non conformité des dispositions minimales. Redimensionner b₀ et h.",""))))))</f>
        <v/>
      </c>
      <c r="C44" s="14"/>
      <c r="D44" s="13"/>
    </row>
  </sheetData>
  <sheetProtection password="EE7E" sheet="1" objects="1" scenarios="1"/>
  <mergeCells count="3">
    <mergeCell ref="B1:D1"/>
    <mergeCell ref="A1:A44"/>
    <mergeCell ref="B21:D21"/>
  </mergeCells>
  <dataValidations count="10">
    <dataValidation type="list" allowBlank="1" showInputMessage="1" showErrorMessage="1" sqref="C6">
      <formula1>E16:E17</formula1>
    </dataValidation>
    <dataValidation type="list" allowBlank="1" showInputMessage="1" showErrorMessage="1" sqref="C11">
      <formula1>G1:G10</formula1>
    </dataValidation>
    <dataValidation type="list" allowBlank="1" showInputMessage="1" showErrorMessage="1" sqref="C5">
      <formula1>E13:E14</formula1>
    </dataValidation>
    <dataValidation type="list" allowBlank="1" showInputMessage="1" showErrorMessage="1" sqref="C15">
      <formula1>H1:H8</formula1>
    </dataValidation>
    <dataValidation type="list" allowBlank="1" showInputMessage="1" showErrorMessage="1" sqref="C13">
      <formula1>G2:G11</formula1>
    </dataValidation>
    <dataValidation type="list" allowBlank="1" showInputMessage="1" showErrorMessage="1" sqref="C19:C20 C16">
      <formula1>E7:E8</formula1>
    </dataValidation>
    <dataValidation type="list" allowBlank="1" showInputMessage="1" showErrorMessage="1" sqref="C18">
      <formula1>F1:F13</formula1>
    </dataValidation>
    <dataValidation type="list" allowBlank="1" showInputMessage="1" showErrorMessage="1" sqref="C14">
      <formula1>G1:G4</formula1>
    </dataValidation>
    <dataValidation type="list" allowBlank="1" showInputMessage="1" showErrorMessage="1" sqref="C12">
      <formula1>E5:E6</formula1>
    </dataValidation>
    <dataValidation type="list" allowBlank="1" showInputMessage="1" showErrorMessage="1" sqref="C2">
      <formula1>E1:E3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24</vt:i4>
      </vt:variant>
    </vt:vector>
  </HeadingPairs>
  <TitlesOfParts>
    <vt:vector size="48" baseType="lpstr">
      <vt:lpstr>P1</vt:lpstr>
      <vt:lpstr>P2</vt:lpstr>
      <vt:lpstr>PUHT</vt:lpstr>
      <vt:lpstr>AH</vt:lpstr>
      <vt:lpstr>BASE DE DONNEES</vt:lpstr>
      <vt:lpstr>DQE</vt:lpstr>
      <vt:lpstr>Repertoire des temps unitaires</vt:lpstr>
      <vt:lpstr>Fiche de descente de charge</vt:lpstr>
      <vt:lpstr>Charges G</vt:lpstr>
      <vt:lpstr>Charges Q</vt:lpstr>
      <vt:lpstr>Sections d'aciers</vt:lpstr>
      <vt:lpstr>Combinaison d'acier</vt:lpstr>
      <vt:lpstr>Semelle filante_section béton</vt:lpstr>
      <vt:lpstr>Semelle isolée_section béton</vt:lpstr>
      <vt:lpstr>Semelle filante_section acier</vt:lpstr>
      <vt:lpstr>Semelle isolée_section acier</vt:lpstr>
      <vt:lpstr>Tirants_traction simple</vt:lpstr>
      <vt:lpstr>Poteau_compression simple</vt:lpstr>
      <vt:lpstr>Flexion simple_sect rect ELUR</vt:lpstr>
      <vt:lpstr>Flexion simple_sect rect ELS</vt:lpstr>
      <vt:lpstr>Flexion simple_sect TE ELUR</vt:lpstr>
      <vt:lpstr>Flexion simple_sect TE ELS</vt:lpstr>
      <vt:lpstr>Vérification poutre ELS</vt:lpstr>
      <vt:lpstr>Justification effort tranchant</vt:lpstr>
      <vt:lpstr>AH!Impression_des_titres</vt:lpstr>
      <vt:lpstr>'Fiche de descente de charge'!Impression_des_titres</vt:lpstr>
      <vt:lpstr>'Repertoire des temps unitaires'!Impression_des_titres</vt:lpstr>
      <vt:lpstr>'Vérification poutre ELS'!Impression_des_titres</vt:lpstr>
      <vt:lpstr>AH!Zone_d_impression</vt:lpstr>
      <vt:lpstr>'Charges G'!Zone_d_impression</vt:lpstr>
      <vt:lpstr>'Charges Q'!Zone_d_impression</vt:lpstr>
      <vt:lpstr>'Combinaison d''acier'!Zone_d_impression</vt:lpstr>
      <vt:lpstr>'Fiche de descente de charge'!Zone_d_impression</vt:lpstr>
      <vt:lpstr>'Flexion simple_sect rect ELS'!Zone_d_impression</vt:lpstr>
      <vt:lpstr>'Flexion simple_sect rect ELUR'!Zone_d_impression</vt:lpstr>
      <vt:lpstr>'Flexion simple_sect TE ELS'!Zone_d_impression</vt:lpstr>
      <vt:lpstr>'Flexion simple_sect TE ELUR'!Zone_d_impression</vt:lpstr>
      <vt:lpstr>'Justification effort tranchant'!Zone_d_impression</vt:lpstr>
      <vt:lpstr>'P1'!Zone_d_impression</vt:lpstr>
      <vt:lpstr>'Poteau_compression simple'!Zone_d_impression</vt:lpstr>
      <vt:lpstr>'Repertoire des temps unitaires'!Zone_d_impression</vt:lpstr>
      <vt:lpstr>'Sections d''aciers'!Zone_d_impression</vt:lpstr>
      <vt:lpstr>'Semelle filante_section acier'!Zone_d_impression</vt:lpstr>
      <vt:lpstr>'Semelle filante_section béton'!Zone_d_impression</vt:lpstr>
      <vt:lpstr>'Semelle isolée_section acier'!Zone_d_impression</vt:lpstr>
      <vt:lpstr>'Semelle isolée_section béton'!Zone_d_impression</vt:lpstr>
      <vt:lpstr>'Tirants_traction simple'!Zone_d_impression</vt:lpstr>
      <vt:lpstr>'Vérification poutre 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Metrec ®</dc:title>
  <dc:subject>DQE en gros-oeuvre, calcul BAEL91.</dc:subject>
  <dc:creator>ETIEN</dc:creator>
  <cp:keywords>ciment, sable, gravier, fer</cp:keywords>
  <dc:description>Calcul quantités de matériaux (ciment-sable-gravier-fer); calcul béton armé BAEL 91.</dc:description>
  <cp:lastModifiedBy>maison</cp:lastModifiedBy>
  <cp:revision>4</cp:revision>
  <cp:lastPrinted>2011-08-15T12:50:45Z</cp:lastPrinted>
  <dcterms:created xsi:type="dcterms:W3CDTF">2009-09-19T16:45:04Z</dcterms:created>
  <dcterms:modified xsi:type="dcterms:W3CDTF">2018-09-15T09:46:24Z</dcterms:modified>
  <cp:category>Utilitaire professionnnel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841360798</vt:i4>
  </property>
  <property fmtid="{D5CDD505-2E9C-101B-9397-08002B2CF9AE}" pid="3" name="_NewReviewCycle">
    <vt:lpwstr/>
  </property>
  <property fmtid="{D5CDD505-2E9C-101B-9397-08002B2CF9AE}" pid="4" name="_EmailSubject">
    <vt:lpwstr>Demande pour accès complet au programme metrec v2012 </vt:lpwstr>
  </property>
  <property fmtid="{D5CDD505-2E9C-101B-9397-08002B2CF9AE}" pid="5" name="_AuthorEmail">
    <vt:lpwstr>momobkou@hotmail.com</vt:lpwstr>
  </property>
  <property fmtid="{D5CDD505-2E9C-101B-9397-08002B2CF9AE}" pid="6" name="_AuthorEmailDisplayName">
    <vt:lpwstr>momobkou@hotmail.com</vt:lpwstr>
  </property>
  <property fmtid="{D5CDD505-2E9C-101B-9397-08002B2CF9AE}" pid="7" name="_PreviousAdHocReviewCycleID">
    <vt:i4>841360798</vt:i4>
  </property>
  <property fmtid="{D5CDD505-2E9C-101B-9397-08002B2CF9AE}" pid="8" name="_ReviewingToolsShownOnce">
    <vt:lpwstr/>
  </property>
</Properties>
</file>