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PLANNING" sheetId="6" r:id="rId1"/>
    <sheet name="Charge K2" sheetId="9" r:id="rId2"/>
    <sheet name="Chantiers livrés" sheetId="5" r:id="rId3"/>
    <sheet name="Sous-traitance" sheetId="3" r:id="rId4"/>
    <sheet name="validation des champs" sheetId="8" r:id="rId5"/>
  </sheets>
  <definedNames>
    <definedName name="_xlnm._FilterDatabase" localSheetId="2" hidden="1">'Chantiers livrés'!$A$1:$I$7</definedName>
    <definedName name="_xlnm._FilterDatabase" localSheetId="1" hidden="1">'Charge K2'!$B$1:$E$94</definedName>
    <definedName name="_xlnm._FilterDatabase" localSheetId="0" hidden="1">PLANNING!$A$1:$AQ$115</definedName>
    <definedName name="_xlnm.Print_Titles" localSheetId="0">PLANNING!$1:$1</definedName>
    <definedName name="_xlnm.Print_Area" localSheetId="2">'Chantiers livrés'!$A$1:$AJ$11</definedName>
    <definedName name="_xlnm.Print_Area" localSheetId="1">'Charge K2'!$A$1:$J$29</definedName>
    <definedName name="_xlnm.Print_Area" localSheetId="3">'Sous-traitance'!$A$1:$I$1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9" l="1"/>
  <c r="C3" i="9"/>
  <c r="D3" i="9"/>
  <c r="E3" i="9"/>
  <c r="B4" i="9"/>
  <c r="C4" i="9"/>
  <c r="D4" i="9"/>
  <c r="E4" i="9"/>
  <c r="B5" i="9"/>
  <c r="C5" i="9"/>
  <c r="D5" i="9"/>
  <c r="E5" i="9"/>
  <c r="B6" i="9"/>
  <c r="C6" i="9"/>
  <c r="D6" i="9"/>
  <c r="E6" i="9"/>
  <c r="B7" i="9"/>
  <c r="C7" i="9"/>
  <c r="D7" i="9"/>
  <c r="E7" i="9"/>
  <c r="B8" i="9"/>
  <c r="C8" i="9"/>
  <c r="D8" i="9"/>
  <c r="E8" i="9"/>
  <c r="B9" i="9"/>
  <c r="C9" i="9"/>
  <c r="D9" i="9"/>
  <c r="E9" i="9"/>
  <c r="B10" i="9"/>
  <c r="C10" i="9"/>
  <c r="D10" i="9"/>
  <c r="E10" i="9"/>
  <c r="B11" i="9"/>
  <c r="C11" i="9"/>
  <c r="D11" i="9"/>
  <c r="E11" i="9"/>
  <c r="B12" i="9"/>
  <c r="C12" i="9"/>
  <c r="D12" i="9"/>
  <c r="E12" i="9"/>
  <c r="B13" i="9"/>
  <c r="C13" i="9"/>
  <c r="D13" i="9"/>
  <c r="E13" i="9"/>
  <c r="B14" i="9"/>
  <c r="C14" i="9"/>
  <c r="D14" i="9"/>
  <c r="E14" i="9"/>
  <c r="B15" i="9"/>
  <c r="C15" i="9"/>
  <c r="D15" i="9"/>
  <c r="E15" i="9"/>
  <c r="B16" i="9"/>
  <c r="C16" i="9"/>
  <c r="D16" i="9"/>
  <c r="E16" i="9"/>
  <c r="B17" i="9"/>
  <c r="C17" i="9"/>
  <c r="D17" i="9"/>
  <c r="E17" i="9"/>
  <c r="B18" i="9"/>
  <c r="C18" i="9"/>
  <c r="D18" i="9"/>
  <c r="E18" i="9"/>
  <c r="B19" i="9"/>
  <c r="C19" i="9"/>
  <c r="D19" i="9"/>
  <c r="E19" i="9"/>
  <c r="B20" i="9"/>
  <c r="C20" i="9"/>
  <c r="D20" i="9"/>
  <c r="E20" i="9"/>
  <c r="B21" i="9"/>
  <c r="C21" i="9"/>
  <c r="D21" i="9"/>
  <c r="E21" i="9"/>
  <c r="B22" i="9"/>
  <c r="C22" i="9"/>
  <c r="D22" i="9"/>
  <c r="E22" i="9"/>
  <c r="B23" i="9"/>
  <c r="C23" i="9"/>
  <c r="D23" i="9"/>
  <c r="E23" i="9"/>
  <c r="B24" i="9"/>
  <c r="C24" i="9"/>
  <c r="D24" i="9"/>
  <c r="E24" i="9"/>
  <c r="B25" i="9"/>
  <c r="C25" i="9"/>
  <c r="D25" i="9"/>
  <c r="E25" i="9"/>
  <c r="B26" i="9"/>
  <c r="C26" i="9"/>
  <c r="D26" i="9"/>
  <c r="E26" i="9"/>
  <c r="B27" i="9"/>
  <c r="C27" i="9"/>
  <c r="D27" i="9"/>
  <c r="E27" i="9"/>
  <c r="B28" i="9"/>
  <c r="C28" i="9"/>
  <c r="D28" i="9"/>
  <c r="E28" i="9"/>
  <c r="B29" i="9"/>
  <c r="C29" i="9"/>
  <c r="D29" i="9"/>
  <c r="E29" i="9"/>
  <c r="B30" i="9"/>
  <c r="C30" i="9"/>
  <c r="D30" i="9"/>
  <c r="E30" i="9"/>
  <c r="B31" i="9"/>
  <c r="C31" i="9"/>
  <c r="D31" i="9"/>
  <c r="E31" i="9"/>
  <c r="B32" i="9"/>
  <c r="C32" i="9"/>
  <c r="D32" i="9"/>
  <c r="E32" i="9"/>
  <c r="B33" i="9"/>
  <c r="C33" i="9"/>
  <c r="D33" i="9"/>
  <c r="E33" i="9"/>
  <c r="B34" i="9"/>
  <c r="C34" i="9"/>
  <c r="D34" i="9"/>
  <c r="E34" i="9"/>
  <c r="B35" i="9"/>
  <c r="C35" i="9"/>
  <c r="D35" i="9"/>
  <c r="E35" i="9"/>
  <c r="B36" i="9"/>
  <c r="C36" i="9"/>
  <c r="D36" i="9"/>
  <c r="E36" i="9"/>
  <c r="B37" i="9"/>
  <c r="C37" i="9"/>
  <c r="D37" i="9"/>
  <c r="E37" i="9"/>
  <c r="B38" i="9"/>
  <c r="C38" i="9"/>
  <c r="D38" i="9"/>
  <c r="E38" i="9"/>
  <c r="B39" i="9"/>
  <c r="C39" i="9"/>
  <c r="D39" i="9"/>
  <c r="E39" i="9"/>
  <c r="B40" i="9"/>
  <c r="C40" i="9"/>
  <c r="D40" i="9"/>
  <c r="E40" i="9"/>
  <c r="B41" i="9"/>
  <c r="C41" i="9"/>
  <c r="D41" i="9"/>
  <c r="E41" i="9"/>
  <c r="B42" i="9"/>
  <c r="C42" i="9"/>
  <c r="D42" i="9"/>
  <c r="E42" i="9"/>
  <c r="B43" i="9"/>
  <c r="C43" i="9"/>
  <c r="D43" i="9"/>
  <c r="E43" i="9"/>
  <c r="B44" i="9"/>
  <c r="C44" i="9"/>
  <c r="D44" i="9"/>
  <c r="E44" i="9"/>
  <c r="B45" i="9"/>
  <c r="C45" i="9"/>
  <c r="D45" i="9"/>
  <c r="E45" i="9"/>
  <c r="B46" i="9"/>
  <c r="C46" i="9"/>
  <c r="D46" i="9"/>
  <c r="E46" i="9"/>
  <c r="B47" i="9"/>
  <c r="C47" i="9"/>
  <c r="D47" i="9"/>
  <c r="E47" i="9"/>
  <c r="B48" i="9"/>
  <c r="C48" i="9"/>
  <c r="D48" i="9"/>
  <c r="E48" i="9"/>
  <c r="B49" i="9"/>
  <c r="C49" i="9"/>
  <c r="D49" i="9"/>
  <c r="E49" i="9"/>
  <c r="B50" i="9"/>
  <c r="C50" i="9"/>
  <c r="D50" i="9"/>
  <c r="E50" i="9"/>
  <c r="B51" i="9"/>
  <c r="C51" i="9"/>
  <c r="D51" i="9"/>
  <c r="E51" i="9"/>
  <c r="B52" i="9"/>
  <c r="C52" i="9"/>
  <c r="D52" i="9"/>
  <c r="E52" i="9"/>
  <c r="B53" i="9"/>
  <c r="C53" i="9"/>
  <c r="D53" i="9"/>
  <c r="E53" i="9"/>
  <c r="B54" i="9"/>
  <c r="C54" i="9"/>
  <c r="D54" i="9"/>
  <c r="E54" i="9"/>
  <c r="B55" i="9"/>
  <c r="C55" i="9"/>
  <c r="D55" i="9"/>
  <c r="E55" i="9"/>
  <c r="B56" i="9"/>
  <c r="C56" i="9"/>
  <c r="D56" i="9"/>
  <c r="E56" i="9"/>
  <c r="B57" i="9"/>
  <c r="C57" i="9"/>
  <c r="D57" i="9"/>
  <c r="E57" i="9"/>
  <c r="B58" i="9"/>
  <c r="C58" i="9"/>
  <c r="D58" i="9"/>
  <c r="E58" i="9"/>
  <c r="B59" i="9"/>
  <c r="C59" i="9"/>
  <c r="D59" i="9"/>
  <c r="E59" i="9"/>
  <c r="B60" i="9"/>
  <c r="C60" i="9"/>
  <c r="D60" i="9"/>
  <c r="E60" i="9"/>
  <c r="B61" i="9"/>
  <c r="C61" i="9"/>
  <c r="D61" i="9"/>
  <c r="E61" i="9"/>
  <c r="B62" i="9"/>
  <c r="C62" i="9"/>
  <c r="D62" i="9"/>
  <c r="E62" i="9"/>
  <c r="B63" i="9"/>
  <c r="C63" i="9"/>
  <c r="D63" i="9"/>
  <c r="E63" i="9"/>
  <c r="B64" i="9"/>
  <c r="C64" i="9"/>
  <c r="D64" i="9"/>
  <c r="E64" i="9"/>
  <c r="B65" i="9"/>
  <c r="C65" i="9"/>
  <c r="D65" i="9"/>
  <c r="E65" i="9"/>
  <c r="B66" i="9"/>
  <c r="C66" i="9"/>
  <c r="D66" i="9"/>
  <c r="E66" i="9"/>
  <c r="B67" i="9"/>
  <c r="C67" i="9"/>
  <c r="D67" i="9"/>
  <c r="E67" i="9"/>
  <c r="B68" i="9"/>
  <c r="C68" i="9"/>
  <c r="D68" i="9"/>
  <c r="E68" i="9"/>
  <c r="B69" i="9"/>
  <c r="C69" i="9"/>
  <c r="D69" i="9"/>
  <c r="E69" i="9"/>
  <c r="B70" i="9"/>
  <c r="C70" i="9"/>
  <c r="D70" i="9"/>
  <c r="E70" i="9"/>
  <c r="B71" i="9"/>
  <c r="C71" i="9"/>
  <c r="D71" i="9"/>
  <c r="E71" i="9"/>
  <c r="B72" i="9"/>
  <c r="C72" i="9"/>
  <c r="D72" i="9"/>
  <c r="E72" i="9"/>
  <c r="B73" i="9"/>
  <c r="C73" i="9"/>
  <c r="D73" i="9"/>
  <c r="E73" i="9"/>
  <c r="B74" i="9"/>
  <c r="C74" i="9"/>
  <c r="D74" i="9"/>
  <c r="E74" i="9"/>
  <c r="B75" i="9"/>
  <c r="C75" i="9"/>
  <c r="D75" i="9"/>
  <c r="E75" i="9"/>
  <c r="B76" i="9"/>
  <c r="C76" i="9"/>
  <c r="D76" i="9"/>
  <c r="E76" i="9"/>
  <c r="B77" i="9"/>
  <c r="C77" i="9"/>
  <c r="D77" i="9"/>
  <c r="E77" i="9"/>
  <c r="B78" i="9"/>
  <c r="C78" i="9"/>
  <c r="D78" i="9"/>
  <c r="E78" i="9"/>
  <c r="B79" i="9"/>
  <c r="C79" i="9"/>
  <c r="D79" i="9"/>
  <c r="E79" i="9"/>
  <c r="B80" i="9"/>
  <c r="C80" i="9"/>
  <c r="D80" i="9"/>
  <c r="E80" i="9"/>
  <c r="B81" i="9"/>
  <c r="C81" i="9"/>
  <c r="D81" i="9"/>
  <c r="E81" i="9"/>
  <c r="B82" i="9"/>
  <c r="C82" i="9"/>
  <c r="D82" i="9"/>
  <c r="E82" i="9"/>
  <c r="B83" i="9"/>
  <c r="C83" i="9"/>
  <c r="D83" i="9"/>
  <c r="E83" i="9"/>
  <c r="B84" i="9"/>
  <c r="C84" i="9"/>
  <c r="D84" i="9"/>
  <c r="E84" i="9"/>
  <c r="B85" i="9"/>
  <c r="C85" i="9"/>
  <c r="D85" i="9"/>
  <c r="E85" i="9"/>
  <c r="B86" i="9"/>
  <c r="C86" i="9"/>
  <c r="D86" i="9"/>
  <c r="E86" i="9"/>
  <c r="B87" i="9"/>
  <c r="C87" i="9"/>
  <c r="D87" i="9"/>
  <c r="E87" i="9"/>
  <c r="B88" i="9"/>
  <c r="C88" i="9"/>
  <c r="D88" i="9"/>
  <c r="E88" i="9"/>
  <c r="B89" i="9"/>
  <c r="C89" i="9"/>
  <c r="D89" i="9"/>
  <c r="E89" i="9"/>
  <c r="B90" i="9"/>
  <c r="C90" i="9"/>
  <c r="D90" i="9"/>
  <c r="E90" i="9"/>
  <c r="B91" i="9"/>
  <c r="C91" i="9"/>
  <c r="D91" i="9"/>
  <c r="E91" i="9"/>
  <c r="B92" i="9"/>
  <c r="C92" i="9"/>
  <c r="D92" i="9"/>
  <c r="E92" i="9"/>
  <c r="B93" i="9"/>
  <c r="C93" i="9"/>
  <c r="D93" i="9"/>
  <c r="E93" i="9"/>
  <c r="B94" i="9"/>
  <c r="C94" i="9"/>
  <c r="D94" i="9"/>
  <c r="E94" i="9"/>
  <c r="E2" i="9"/>
  <c r="D2" i="9"/>
  <c r="C2" i="9"/>
  <c r="B2" i="9"/>
  <c r="Q43" i="6"/>
  <c r="L43" i="6"/>
  <c r="I53" i="9"/>
  <c r="I52" i="9"/>
  <c r="I51" i="9"/>
  <c r="I50" i="9"/>
  <c r="I49" i="9"/>
  <c r="I48" i="9"/>
  <c r="I47" i="9"/>
  <c r="I46" i="9"/>
  <c r="I45" i="9"/>
  <c r="I44" i="9"/>
  <c r="H22" i="9" l="1"/>
  <c r="H41" i="9"/>
  <c r="H21" i="9"/>
  <c r="H40" i="9"/>
  <c r="H20" i="9"/>
  <c r="H19" i="9"/>
  <c r="H7" i="9"/>
  <c r="H39" i="9"/>
  <c r="H38" i="9"/>
  <c r="H18" i="9"/>
  <c r="H37" i="9"/>
  <c r="H17" i="9"/>
  <c r="H36" i="9"/>
  <c r="H16" i="9"/>
  <c r="H35" i="9"/>
  <c r="H15" i="9"/>
  <c r="H34" i="9"/>
  <c r="H14" i="9"/>
  <c r="H53" i="9"/>
  <c r="H33" i="9"/>
  <c r="H12" i="9"/>
  <c r="H52" i="9"/>
  <c r="H32" i="9"/>
  <c r="H11" i="9"/>
  <c r="H51" i="9"/>
  <c r="H31" i="9"/>
  <c r="H10" i="9"/>
  <c r="H50" i="9"/>
  <c r="H30" i="9"/>
  <c r="H9" i="9"/>
  <c r="H49" i="9"/>
  <c r="H29" i="9"/>
  <c r="H8" i="9"/>
  <c r="H48" i="9"/>
  <c r="H28" i="9"/>
  <c r="H47" i="9"/>
  <c r="H27" i="9"/>
  <c r="H6" i="9"/>
  <c r="H46" i="9"/>
  <c r="H26" i="9"/>
  <c r="H5" i="9"/>
  <c r="H45" i="9"/>
  <c r="H25" i="9"/>
  <c r="H4" i="9"/>
  <c r="H44" i="9"/>
  <c r="H24" i="9"/>
  <c r="H3" i="9"/>
  <c r="H43" i="9"/>
  <c r="H23" i="9"/>
  <c r="H2" i="9"/>
  <c r="H42" i="9"/>
  <c r="AO10" i="6"/>
  <c r="AN10" i="6"/>
  <c r="AM10" i="6"/>
  <c r="AL10" i="6"/>
  <c r="Z10" i="6"/>
  <c r="AA10" i="6" s="1"/>
  <c r="T10" i="6"/>
  <c r="U10" i="6" s="1"/>
  <c r="O10" i="6"/>
  <c r="P10" i="6" s="1"/>
  <c r="AB10" i="6"/>
  <c r="I10" i="6"/>
  <c r="G10" i="6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V10" i="6" l="1"/>
  <c r="AD10" i="6" l="1"/>
  <c r="AE10" i="6" s="1"/>
  <c r="G2" i="6"/>
  <c r="I2" i="6"/>
  <c r="O2" i="6"/>
  <c r="P2" i="6" s="1"/>
  <c r="T2" i="6"/>
  <c r="U2" i="6" s="1"/>
  <c r="V2" i="6"/>
  <c r="Z2" i="6"/>
  <c r="AA2" i="6" s="1"/>
  <c r="AB2" i="6"/>
  <c r="AD2" i="6"/>
  <c r="AE2" i="6" s="1"/>
  <c r="AL2" i="6"/>
  <c r="AM2" i="6"/>
  <c r="AN2" i="6"/>
  <c r="AO2" i="6"/>
  <c r="AO19" i="6"/>
  <c r="AN19" i="6"/>
  <c r="AM19" i="6"/>
  <c r="AL19" i="6"/>
  <c r="AB19" i="6"/>
  <c r="Z19" i="6"/>
  <c r="AA19" i="6" s="1"/>
  <c r="V19" i="6"/>
  <c r="T19" i="6"/>
  <c r="U19" i="6" s="1"/>
  <c r="I19" i="6"/>
  <c r="G19" i="6"/>
  <c r="AD19" i="6" l="1"/>
  <c r="AE19" i="6" s="1"/>
  <c r="AO66" i="5"/>
  <c r="AN66" i="5"/>
  <c r="AM66" i="5"/>
  <c r="AL66" i="5"/>
  <c r="Z66" i="5"/>
  <c r="AA66" i="5" s="1"/>
  <c r="T66" i="5"/>
  <c r="U66" i="5" s="1"/>
  <c r="Q66" i="5"/>
  <c r="AB66" i="5" s="1"/>
  <c r="I66" i="5"/>
  <c r="G66" i="5"/>
  <c r="L33" i="6"/>
  <c r="V66" i="5" l="1"/>
  <c r="AO65" i="5"/>
  <c r="AN65" i="5"/>
  <c r="AM65" i="5"/>
  <c r="AL65" i="5"/>
  <c r="AB65" i="5"/>
  <c r="Z65" i="5"/>
  <c r="AA65" i="5" s="1"/>
  <c r="V65" i="5"/>
  <c r="T65" i="5"/>
  <c r="U65" i="5" s="1"/>
  <c r="O65" i="5"/>
  <c r="P65" i="5" s="1"/>
  <c r="I65" i="5"/>
  <c r="G65" i="5"/>
  <c r="AO5" i="6"/>
  <c r="AN5" i="6"/>
  <c r="AM5" i="6"/>
  <c r="AL5" i="6"/>
  <c r="AB5" i="6"/>
  <c r="Z5" i="6"/>
  <c r="AA5" i="6" s="1"/>
  <c r="V5" i="6"/>
  <c r="T5" i="6"/>
  <c r="U5" i="6" s="1"/>
  <c r="I5" i="6"/>
  <c r="G5" i="6"/>
  <c r="AD66" i="5" l="1"/>
  <c r="AE66" i="5" s="1"/>
  <c r="AD65" i="5"/>
  <c r="AE65" i="5" s="1"/>
  <c r="AD5" i="6"/>
  <c r="AE5" i="6" s="1"/>
  <c r="AO45" i="6" l="1"/>
  <c r="AN45" i="6"/>
  <c r="AM45" i="6"/>
  <c r="AL45" i="6"/>
  <c r="AB45" i="6"/>
  <c r="Z45" i="6"/>
  <c r="AA45" i="6" s="1"/>
  <c r="V45" i="6"/>
  <c r="T45" i="6"/>
  <c r="U45" i="6" s="1"/>
  <c r="O45" i="6"/>
  <c r="P45" i="6" s="1"/>
  <c r="I45" i="6"/>
  <c r="G45" i="6"/>
  <c r="AD45" i="6" l="1"/>
  <c r="AE45" i="6" s="1"/>
  <c r="AO15" i="6"/>
  <c r="AN15" i="6"/>
  <c r="AM15" i="6"/>
  <c r="AL15" i="6"/>
  <c r="AB15" i="6"/>
  <c r="Z15" i="6"/>
  <c r="AA15" i="6" s="1"/>
  <c r="V15" i="6"/>
  <c r="T15" i="6"/>
  <c r="U15" i="6" s="1"/>
  <c r="I15" i="6"/>
  <c r="G15" i="6"/>
  <c r="AO64" i="5"/>
  <c r="AN64" i="5"/>
  <c r="AM64" i="5"/>
  <c r="AL64" i="5"/>
  <c r="AB64" i="5"/>
  <c r="Z64" i="5"/>
  <c r="AA64" i="5" s="1"/>
  <c r="V64" i="5"/>
  <c r="T64" i="5"/>
  <c r="U64" i="5" s="1"/>
  <c r="I64" i="5"/>
  <c r="G64" i="5"/>
  <c r="AO63" i="5"/>
  <c r="AN63" i="5"/>
  <c r="AM63" i="5"/>
  <c r="AL63" i="5"/>
  <c r="AB63" i="5"/>
  <c r="Z63" i="5"/>
  <c r="AA63" i="5" s="1"/>
  <c r="V63" i="5"/>
  <c r="T63" i="5"/>
  <c r="U63" i="5" s="1"/>
  <c r="O63" i="5"/>
  <c r="P63" i="5" s="1"/>
  <c r="I63" i="5"/>
  <c r="G63" i="5"/>
  <c r="AO17" i="6"/>
  <c r="AN17" i="6"/>
  <c r="AM17" i="6"/>
  <c r="AL17" i="6"/>
  <c r="AB17" i="6"/>
  <c r="Z17" i="6"/>
  <c r="AA17" i="6" s="1"/>
  <c r="V17" i="6"/>
  <c r="T17" i="6"/>
  <c r="U17" i="6" s="1"/>
  <c r="I17" i="6"/>
  <c r="G17" i="6"/>
  <c r="AO62" i="5"/>
  <c r="AN62" i="5"/>
  <c r="AM62" i="5"/>
  <c r="AL62" i="5"/>
  <c r="AB62" i="5"/>
  <c r="Z62" i="5"/>
  <c r="AA62" i="5" s="1"/>
  <c r="V62" i="5"/>
  <c r="T62" i="5"/>
  <c r="U62" i="5" s="1"/>
  <c r="O62" i="5"/>
  <c r="P62" i="5" s="1"/>
  <c r="I62" i="5"/>
  <c r="G62" i="5"/>
  <c r="AO61" i="5"/>
  <c r="AN61" i="5"/>
  <c r="AM61" i="5"/>
  <c r="AL61" i="5"/>
  <c r="Z61" i="5"/>
  <c r="AA61" i="5" s="1"/>
  <c r="T61" i="5"/>
  <c r="U61" i="5" s="1"/>
  <c r="Q61" i="5"/>
  <c r="AB61" i="5" s="1"/>
  <c r="O61" i="5"/>
  <c r="P61" i="5" s="1"/>
  <c r="I61" i="5"/>
  <c r="G61" i="5"/>
  <c r="AO60" i="5"/>
  <c r="AN60" i="5"/>
  <c r="AM60" i="5"/>
  <c r="AL60" i="5"/>
  <c r="Z60" i="5"/>
  <c r="AA60" i="5" s="1"/>
  <c r="T60" i="5"/>
  <c r="U60" i="5" s="1"/>
  <c r="Q60" i="5"/>
  <c r="AB60" i="5" s="1"/>
  <c r="O60" i="5"/>
  <c r="P60" i="5" s="1"/>
  <c r="I60" i="5"/>
  <c r="G60" i="5"/>
  <c r="L13" i="6"/>
  <c r="Q13" i="6"/>
  <c r="AO29" i="6"/>
  <c r="AN29" i="6"/>
  <c r="AM29" i="6"/>
  <c r="AL29" i="6"/>
  <c r="AB29" i="6"/>
  <c r="Z29" i="6"/>
  <c r="AA29" i="6" s="1"/>
  <c r="V29" i="6"/>
  <c r="T29" i="6"/>
  <c r="U29" i="6" s="1"/>
  <c r="I29" i="6"/>
  <c r="G29" i="6"/>
  <c r="AO59" i="5"/>
  <c r="AN59" i="5"/>
  <c r="AM59" i="5"/>
  <c r="AL59" i="5"/>
  <c r="AB59" i="5"/>
  <c r="Z59" i="5"/>
  <c r="AA59" i="5" s="1"/>
  <c r="V59" i="5"/>
  <c r="T59" i="5"/>
  <c r="U59" i="5" s="1"/>
  <c r="I59" i="5"/>
  <c r="G59" i="5"/>
  <c r="AO58" i="5"/>
  <c r="AN58" i="5"/>
  <c r="AM58" i="5"/>
  <c r="AL58" i="5"/>
  <c r="AD58" i="5"/>
  <c r="AE58" i="5" s="1"/>
  <c r="AB58" i="5"/>
  <c r="AA58" i="5"/>
  <c r="Z58" i="5"/>
  <c r="V58" i="5"/>
  <c r="T58" i="5"/>
  <c r="U58" i="5" s="1"/>
  <c r="I58" i="5"/>
  <c r="G58" i="5"/>
  <c r="AO14" i="6"/>
  <c r="AN14" i="6"/>
  <c r="AM14" i="6"/>
  <c r="AL14" i="6"/>
  <c r="AB14" i="6"/>
  <c r="Z14" i="6"/>
  <c r="AA14" i="6" s="1"/>
  <c r="V14" i="6"/>
  <c r="T14" i="6"/>
  <c r="U14" i="6" s="1"/>
  <c r="I14" i="6"/>
  <c r="G14" i="6"/>
  <c r="Q25" i="6"/>
  <c r="AD15" i="6" l="1"/>
  <c r="AE15" i="6" s="1"/>
  <c r="AD64" i="5"/>
  <c r="AE64" i="5" s="1"/>
  <c r="AD63" i="5"/>
  <c r="AE63" i="5" s="1"/>
  <c r="AD17" i="6"/>
  <c r="AE17" i="6" s="1"/>
  <c r="AD62" i="5"/>
  <c r="AE62" i="5" s="1"/>
  <c r="V61" i="5"/>
  <c r="V60" i="5"/>
  <c r="AD29" i="6"/>
  <c r="AE29" i="6" s="1"/>
  <c r="AD59" i="5"/>
  <c r="AE59" i="5" s="1"/>
  <c r="AD14" i="6"/>
  <c r="AE14" i="6" s="1"/>
  <c r="AD61" i="5" l="1"/>
  <c r="AE61" i="5" s="1"/>
  <c r="AD60" i="5"/>
  <c r="AE60" i="5" s="1"/>
  <c r="AO57" i="5"/>
  <c r="AN57" i="5"/>
  <c r="AM57" i="5"/>
  <c r="AL57" i="5"/>
  <c r="Z57" i="5"/>
  <c r="AA57" i="5" s="1"/>
  <c r="T57" i="5"/>
  <c r="U57" i="5" s="1"/>
  <c r="Q57" i="5"/>
  <c r="AB57" i="5" s="1"/>
  <c r="I57" i="5"/>
  <c r="G57" i="5"/>
  <c r="AO56" i="5"/>
  <c r="AN56" i="5"/>
  <c r="AM56" i="5"/>
  <c r="AL56" i="5"/>
  <c r="AB56" i="5"/>
  <c r="Z56" i="5"/>
  <c r="AA56" i="5" s="1"/>
  <c r="V56" i="5"/>
  <c r="T56" i="5"/>
  <c r="U56" i="5" s="1"/>
  <c r="O56" i="5"/>
  <c r="P56" i="5" s="1"/>
  <c r="I56" i="5"/>
  <c r="G56" i="5"/>
  <c r="AO55" i="5"/>
  <c r="AN55" i="5"/>
  <c r="AM55" i="5"/>
  <c r="AL55" i="5"/>
  <c r="AB55" i="5"/>
  <c r="Z55" i="5"/>
  <c r="AA55" i="5" s="1"/>
  <c r="V55" i="5"/>
  <c r="T55" i="5"/>
  <c r="U55" i="5" s="1"/>
  <c r="O55" i="5"/>
  <c r="P55" i="5" s="1"/>
  <c r="I55" i="5"/>
  <c r="G55" i="5"/>
  <c r="AO54" i="5"/>
  <c r="AN54" i="5"/>
  <c r="AM54" i="5"/>
  <c r="AL54" i="5"/>
  <c r="AD54" i="5"/>
  <c r="AE54" i="5" s="1"/>
  <c r="AB54" i="5"/>
  <c r="AA54" i="5"/>
  <c r="Z54" i="5"/>
  <c r="V54" i="5"/>
  <c r="T54" i="5"/>
  <c r="U54" i="5" s="1"/>
  <c r="O54" i="5"/>
  <c r="P54" i="5" s="1"/>
  <c r="I54" i="5"/>
  <c r="G54" i="5"/>
  <c r="V57" i="5" l="1"/>
  <c r="AD56" i="5"/>
  <c r="AE56" i="5" s="1"/>
  <c r="AD55" i="5"/>
  <c r="AE55" i="5" s="1"/>
  <c r="Q22" i="6"/>
  <c r="AO35" i="6"/>
  <c r="AN35" i="6"/>
  <c r="AM35" i="6"/>
  <c r="AL35" i="6"/>
  <c r="AB35" i="6"/>
  <c r="Z35" i="6"/>
  <c r="AA35" i="6" s="1"/>
  <c r="V35" i="6"/>
  <c r="T35" i="6"/>
  <c r="U35" i="6" s="1"/>
  <c r="O35" i="6"/>
  <c r="P35" i="6" s="1"/>
  <c r="I35" i="6"/>
  <c r="G35" i="6"/>
  <c r="AO73" i="6"/>
  <c r="AN73" i="6"/>
  <c r="AM73" i="6"/>
  <c r="AL73" i="6"/>
  <c r="AB73" i="6"/>
  <c r="Z73" i="6"/>
  <c r="AA73" i="6" s="1"/>
  <c r="V73" i="6"/>
  <c r="T73" i="6"/>
  <c r="U73" i="6" s="1"/>
  <c r="I73" i="6"/>
  <c r="G73" i="6"/>
  <c r="AO66" i="6"/>
  <c r="AN66" i="6"/>
  <c r="AM66" i="6"/>
  <c r="AL66" i="6"/>
  <c r="AB66" i="6"/>
  <c r="Z66" i="6"/>
  <c r="AA66" i="6" s="1"/>
  <c r="V66" i="6"/>
  <c r="T66" i="6"/>
  <c r="U66" i="6" s="1"/>
  <c r="I66" i="6"/>
  <c r="G66" i="6"/>
  <c r="AO4" i="6"/>
  <c r="AN4" i="6"/>
  <c r="AM4" i="6"/>
  <c r="AL4" i="6"/>
  <c r="AB4" i="6"/>
  <c r="Z4" i="6"/>
  <c r="AA4" i="6" s="1"/>
  <c r="V4" i="6"/>
  <c r="AD4" i="6" s="1"/>
  <c r="AE4" i="6" s="1"/>
  <c r="T4" i="6"/>
  <c r="U4" i="6" s="1"/>
  <c r="I4" i="6"/>
  <c r="G4" i="6"/>
  <c r="Q33" i="6"/>
  <c r="AO11" i="6"/>
  <c r="AN11" i="6"/>
  <c r="AM11" i="6"/>
  <c r="AL11" i="6"/>
  <c r="AB11" i="6"/>
  <c r="Z11" i="6"/>
  <c r="AA11" i="6" s="1"/>
  <c r="V11" i="6"/>
  <c r="T11" i="6"/>
  <c r="U11" i="6" s="1"/>
  <c r="I11" i="6"/>
  <c r="G11" i="6"/>
  <c r="AD57" i="5" l="1"/>
  <c r="AE57" i="5" s="1"/>
  <c r="AD35" i="6"/>
  <c r="AE35" i="6" s="1"/>
  <c r="AD73" i="6"/>
  <c r="AE73" i="6" s="1"/>
  <c r="AD66" i="6"/>
  <c r="AE66" i="6" s="1"/>
  <c r="AD11" i="6"/>
  <c r="AE11" i="6" s="1"/>
  <c r="L70" i="6"/>
  <c r="AB70" i="6" s="1"/>
  <c r="AO70" i="6"/>
  <c r="AN70" i="6"/>
  <c r="AM70" i="6"/>
  <c r="AL70" i="6"/>
  <c r="Z70" i="6"/>
  <c r="AA70" i="6" s="1"/>
  <c r="T70" i="6"/>
  <c r="U70" i="6" s="1"/>
  <c r="I70" i="6"/>
  <c r="G70" i="6"/>
  <c r="AO39" i="6"/>
  <c r="AN39" i="6"/>
  <c r="AM39" i="6"/>
  <c r="AL39" i="6"/>
  <c r="AB39" i="6"/>
  <c r="Z39" i="6"/>
  <c r="AA39" i="6" s="1"/>
  <c r="V39" i="6"/>
  <c r="T39" i="6"/>
  <c r="U39" i="6" s="1"/>
  <c r="O39" i="6"/>
  <c r="P39" i="6" s="1"/>
  <c r="I39" i="6"/>
  <c r="G39" i="6"/>
  <c r="L69" i="6"/>
  <c r="Q49" i="6"/>
  <c r="AO69" i="6"/>
  <c r="AN69" i="6"/>
  <c r="AM69" i="6"/>
  <c r="AL69" i="6"/>
  <c r="Z69" i="6"/>
  <c r="AA69" i="6" s="1"/>
  <c r="T69" i="6"/>
  <c r="U69" i="6" s="1"/>
  <c r="V69" i="6"/>
  <c r="I69" i="6"/>
  <c r="G69" i="6"/>
  <c r="AO53" i="5"/>
  <c r="AN53" i="5"/>
  <c r="AM53" i="5"/>
  <c r="AL53" i="5"/>
  <c r="AB53" i="5"/>
  <c r="Z53" i="5"/>
  <c r="AA53" i="5" s="1"/>
  <c r="V53" i="5"/>
  <c r="AD53" i="5" s="1"/>
  <c r="AE53" i="5" s="1"/>
  <c r="T53" i="5"/>
  <c r="U53" i="5" s="1"/>
  <c r="P53" i="5"/>
  <c r="O53" i="5"/>
  <c r="I53" i="5"/>
  <c r="G53" i="5"/>
  <c r="G3" i="9"/>
  <c r="AO52" i="5"/>
  <c r="AN52" i="5"/>
  <c r="AM52" i="5"/>
  <c r="AL52" i="5"/>
  <c r="AB52" i="5"/>
  <c r="Z52" i="5"/>
  <c r="AA52" i="5" s="1"/>
  <c r="V52" i="5"/>
  <c r="AD52" i="5" s="1"/>
  <c r="U52" i="5"/>
  <c r="T52" i="5"/>
  <c r="O52" i="5"/>
  <c r="P52" i="5" s="1"/>
  <c r="I52" i="5"/>
  <c r="G52" i="5"/>
  <c r="AO51" i="5"/>
  <c r="AN51" i="5"/>
  <c r="AM51" i="5"/>
  <c r="AL51" i="5"/>
  <c r="AB51" i="5"/>
  <c r="Z51" i="5"/>
  <c r="AA51" i="5" s="1"/>
  <c r="V51" i="5"/>
  <c r="AD51" i="5" s="1"/>
  <c r="T51" i="5"/>
  <c r="U51" i="5" s="1"/>
  <c r="O51" i="5"/>
  <c r="P51" i="5" s="1"/>
  <c r="I51" i="5"/>
  <c r="G51" i="5"/>
  <c r="L112" i="6"/>
  <c r="AB112" i="6" s="1"/>
  <c r="AO112" i="6"/>
  <c r="AN112" i="6"/>
  <c r="AM112" i="6"/>
  <c r="AL112" i="6"/>
  <c r="Z112" i="6"/>
  <c r="AA112" i="6" s="1"/>
  <c r="T112" i="6"/>
  <c r="U112" i="6" s="1"/>
  <c r="I112" i="6"/>
  <c r="G112" i="6"/>
  <c r="L53" i="6"/>
  <c r="V53" i="6" s="1"/>
  <c r="AO53" i="6"/>
  <c r="AN53" i="6"/>
  <c r="AM53" i="6"/>
  <c r="AL53" i="6"/>
  <c r="Z53" i="6"/>
  <c r="AA53" i="6" s="1"/>
  <c r="T53" i="6"/>
  <c r="U53" i="6" s="1"/>
  <c r="I53" i="6"/>
  <c r="G53" i="6"/>
  <c r="AB21" i="6"/>
  <c r="AO21" i="6"/>
  <c r="AN21" i="6"/>
  <c r="AM21" i="6"/>
  <c r="AL21" i="6"/>
  <c r="Z21" i="6"/>
  <c r="AA21" i="6" s="1"/>
  <c r="T21" i="6"/>
  <c r="U21" i="6" s="1"/>
  <c r="I21" i="6"/>
  <c r="G21" i="6"/>
  <c r="AO36" i="6"/>
  <c r="AN36" i="6"/>
  <c r="AM36" i="6"/>
  <c r="AL36" i="6"/>
  <c r="AB36" i="6"/>
  <c r="Z36" i="6"/>
  <c r="AA36" i="6" s="1"/>
  <c r="V36" i="6"/>
  <c r="T36" i="6"/>
  <c r="U36" i="6" s="1"/>
  <c r="O36" i="6"/>
  <c r="P36" i="6" s="1"/>
  <c r="I36" i="6"/>
  <c r="G36" i="6"/>
  <c r="G50" i="5"/>
  <c r="I50" i="5"/>
  <c r="O50" i="5"/>
  <c r="P50" i="5"/>
  <c r="T50" i="5"/>
  <c r="U50" i="5"/>
  <c r="V50" i="5"/>
  <c r="Z50" i="5"/>
  <c r="AA50" i="5" s="1"/>
  <c r="AB50" i="5"/>
  <c r="AD50" i="5"/>
  <c r="AE50" i="5"/>
  <c r="AL50" i="5"/>
  <c r="AM50" i="5"/>
  <c r="AN50" i="5"/>
  <c r="AO50" i="5"/>
  <c r="AN18" i="6"/>
  <c r="AO18" i="6"/>
  <c r="AN7" i="6"/>
  <c r="AO7" i="6"/>
  <c r="AN3" i="6"/>
  <c r="AO3" i="6"/>
  <c r="AN23" i="6"/>
  <c r="AO23" i="6"/>
  <c r="AN13" i="6"/>
  <c r="AO13" i="6"/>
  <c r="AN6" i="6"/>
  <c r="AO6" i="6"/>
  <c r="AN25" i="6"/>
  <c r="AO25" i="6"/>
  <c r="AN24" i="6"/>
  <c r="AO24" i="6"/>
  <c r="AN22" i="6"/>
  <c r="AO22" i="6"/>
  <c r="AN37" i="6"/>
  <c r="AO37" i="6"/>
  <c r="AN9" i="6"/>
  <c r="AO9" i="6"/>
  <c r="AN38" i="6"/>
  <c r="AO38" i="6"/>
  <c r="AN27" i="6"/>
  <c r="AO27" i="6"/>
  <c r="AN28" i="6"/>
  <c r="AO28" i="6"/>
  <c r="AN8" i="6"/>
  <c r="AO8" i="6"/>
  <c r="AN30" i="6"/>
  <c r="AO30" i="6"/>
  <c r="AN16" i="6"/>
  <c r="AO16" i="6"/>
  <c r="AN33" i="6"/>
  <c r="AO33" i="6"/>
  <c r="AN26" i="6"/>
  <c r="AO26" i="6"/>
  <c r="AN34" i="6"/>
  <c r="AO34" i="6"/>
  <c r="AN41" i="6"/>
  <c r="AO41" i="6"/>
  <c r="AN40" i="6"/>
  <c r="AO40" i="6"/>
  <c r="AN47" i="6"/>
  <c r="AO47" i="6"/>
  <c r="AN32" i="6"/>
  <c r="AO32" i="6"/>
  <c r="AN20" i="6"/>
  <c r="AO20" i="6"/>
  <c r="AN46" i="6"/>
  <c r="AO46" i="6"/>
  <c r="AN48" i="6"/>
  <c r="AO48" i="6"/>
  <c r="AN31" i="6"/>
  <c r="AO31" i="6"/>
  <c r="AN62" i="6"/>
  <c r="AO62" i="6"/>
  <c r="AN51" i="6"/>
  <c r="AO51" i="6"/>
  <c r="AN58" i="6"/>
  <c r="AO58" i="6"/>
  <c r="AN42" i="6"/>
  <c r="AO42" i="6"/>
  <c r="AN44" i="6"/>
  <c r="AO44" i="6"/>
  <c r="AN43" i="6"/>
  <c r="AO43" i="6"/>
  <c r="AN63" i="6"/>
  <c r="AO63" i="6"/>
  <c r="AN50" i="6"/>
  <c r="AO50" i="6"/>
  <c r="AN52" i="6"/>
  <c r="AO52" i="6"/>
  <c r="AN56" i="6"/>
  <c r="AO56" i="6"/>
  <c r="AN57" i="6"/>
  <c r="AO57" i="6"/>
  <c r="AN54" i="6"/>
  <c r="AO54" i="6"/>
  <c r="AN59" i="6"/>
  <c r="AO59" i="6"/>
  <c r="AN60" i="6"/>
  <c r="AO60" i="6"/>
  <c r="AN64" i="6"/>
  <c r="AO64" i="6"/>
  <c r="AN61" i="6"/>
  <c r="AO61" i="6"/>
  <c r="AN65" i="6"/>
  <c r="AO65" i="6"/>
  <c r="AN71" i="6"/>
  <c r="AO71" i="6"/>
  <c r="AN74" i="6"/>
  <c r="AO74" i="6"/>
  <c r="AN67" i="6"/>
  <c r="AO67" i="6"/>
  <c r="AN86" i="6"/>
  <c r="AO86" i="6"/>
  <c r="AN68" i="6"/>
  <c r="AO68" i="6"/>
  <c r="AN79" i="6"/>
  <c r="AO79" i="6"/>
  <c r="AN49" i="6"/>
  <c r="AO49" i="6"/>
  <c r="AN83" i="6"/>
  <c r="AO83" i="6"/>
  <c r="AN81" i="6"/>
  <c r="AO81" i="6"/>
  <c r="AN72" i="6"/>
  <c r="AO72" i="6"/>
  <c r="AN75" i="6"/>
  <c r="AO75" i="6"/>
  <c r="AN78" i="6"/>
  <c r="AO78" i="6"/>
  <c r="AN77" i="6"/>
  <c r="AO77" i="6"/>
  <c r="AN95" i="6"/>
  <c r="AO95" i="6"/>
  <c r="AN76" i="6"/>
  <c r="AO76" i="6"/>
  <c r="AN80" i="6"/>
  <c r="AO80" i="6"/>
  <c r="AN87" i="6"/>
  <c r="AO87" i="6"/>
  <c r="AN88" i="6"/>
  <c r="AO88" i="6"/>
  <c r="AN84" i="6"/>
  <c r="AO84" i="6"/>
  <c r="AN82" i="6"/>
  <c r="AO82" i="6"/>
  <c r="AN85" i="6"/>
  <c r="AO85" i="6"/>
  <c r="AN94" i="6"/>
  <c r="AO94" i="6"/>
  <c r="AN89" i="6"/>
  <c r="AO89" i="6"/>
  <c r="AN90" i="6"/>
  <c r="AO90" i="6"/>
  <c r="AN91" i="6"/>
  <c r="AO91" i="6"/>
  <c r="AN115" i="6"/>
  <c r="AO115" i="6"/>
  <c r="AN92" i="6"/>
  <c r="AO92" i="6"/>
  <c r="AN93" i="6"/>
  <c r="AO93" i="6"/>
  <c r="AN113" i="6"/>
  <c r="AO113" i="6"/>
  <c r="AN114" i="6"/>
  <c r="AO114" i="6"/>
  <c r="AN96" i="6"/>
  <c r="AO96" i="6"/>
  <c r="AN104" i="6"/>
  <c r="AO104" i="6"/>
  <c r="AN110" i="6"/>
  <c r="AO110" i="6"/>
  <c r="AN97" i="6"/>
  <c r="AO97" i="6"/>
  <c r="AN98" i="6"/>
  <c r="AO98" i="6"/>
  <c r="AN99" i="6"/>
  <c r="AO99" i="6"/>
  <c r="AN100" i="6"/>
  <c r="AO100" i="6"/>
  <c r="AN101" i="6"/>
  <c r="AO101" i="6"/>
  <c r="AN102" i="6"/>
  <c r="AO102" i="6"/>
  <c r="AN103" i="6"/>
  <c r="AO103" i="6"/>
  <c r="AN105" i="6"/>
  <c r="AO105" i="6"/>
  <c r="AN106" i="6"/>
  <c r="AO106" i="6"/>
  <c r="AN107" i="6"/>
  <c r="AO107" i="6"/>
  <c r="AN108" i="6"/>
  <c r="AO108" i="6"/>
  <c r="AN109" i="6"/>
  <c r="AO109" i="6"/>
  <c r="AN111" i="6"/>
  <c r="AO111" i="6"/>
  <c r="AN12" i="6"/>
  <c r="AO12" i="6"/>
  <c r="G4" i="9" l="1"/>
  <c r="V70" i="6"/>
  <c r="AD70" i="6" s="1"/>
  <c r="AE70" i="6" s="1"/>
  <c r="V21" i="6"/>
  <c r="AD21" i="6" s="1"/>
  <c r="AE21" i="6" s="1"/>
  <c r="AD39" i="6"/>
  <c r="AE39" i="6" s="1"/>
  <c r="AD69" i="6"/>
  <c r="AE69" i="6" s="1"/>
  <c r="AB69" i="6"/>
  <c r="V112" i="6"/>
  <c r="AD112" i="6" s="1"/>
  <c r="AE112" i="6" s="1"/>
  <c r="AE51" i="5"/>
  <c r="AE52" i="5"/>
  <c r="AD53" i="6"/>
  <c r="AE53" i="6" s="1"/>
  <c r="AB53" i="6"/>
  <c r="AD36" i="6"/>
  <c r="AE36" i="6" s="1"/>
  <c r="AM26" i="6"/>
  <c r="AL26" i="6"/>
  <c r="AB26" i="6"/>
  <c r="Z26" i="6"/>
  <c r="AA26" i="6" s="1"/>
  <c r="V26" i="6"/>
  <c r="T26" i="6"/>
  <c r="U26" i="6" s="1"/>
  <c r="O26" i="6"/>
  <c r="P26" i="6" s="1"/>
  <c r="I26" i="6"/>
  <c r="G26" i="6"/>
  <c r="G5" i="9" l="1"/>
  <c r="AD26" i="6"/>
  <c r="AE26" i="6" s="1"/>
  <c r="G6" i="9" l="1"/>
  <c r="AM33" i="6"/>
  <c r="AL33" i="6"/>
  <c r="AB33" i="6"/>
  <c r="Z33" i="6"/>
  <c r="AA33" i="6" s="1"/>
  <c r="V33" i="6"/>
  <c r="AD33" i="6" s="1"/>
  <c r="AE33" i="6" s="1"/>
  <c r="T33" i="6"/>
  <c r="U33" i="6" s="1"/>
  <c r="O33" i="6"/>
  <c r="P33" i="6" s="1"/>
  <c r="I33" i="6"/>
  <c r="G33" i="6"/>
  <c r="G7" i="9" l="1"/>
  <c r="G8" i="9" l="1"/>
  <c r="G9" i="9" l="1"/>
  <c r="AM46" i="5"/>
  <c r="G49" i="5"/>
  <c r="I49" i="5"/>
  <c r="O49" i="5"/>
  <c r="P49" i="5" s="1"/>
  <c r="Q49" i="5"/>
  <c r="T49" i="5"/>
  <c r="V49" i="5"/>
  <c r="AD49" i="5" s="1"/>
  <c r="AE49" i="5" s="1"/>
  <c r="Z49" i="5"/>
  <c r="AA49" i="5" s="1"/>
  <c r="AB49" i="5"/>
  <c r="AL49" i="5"/>
  <c r="AM49" i="5"/>
  <c r="G46" i="5"/>
  <c r="I46" i="5"/>
  <c r="T46" i="5"/>
  <c r="U46" i="5" s="1"/>
  <c r="V46" i="5"/>
  <c r="Z46" i="5"/>
  <c r="AA46" i="5" s="1"/>
  <c r="AB46" i="5"/>
  <c r="AD46" i="5"/>
  <c r="AE46" i="5" s="1"/>
  <c r="AL46" i="5"/>
  <c r="G47" i="5"/>
  <c r="I47" i="5"/>
  <c r="T47" i="5"/>
  <c r="U47" i="5" s="1"/>
  <c r="V47" i="5"/>
  <c r="Z47" i="5"/>
  <c r="AA47" i="5" s="1"/>
  <c r="AB47" i="5"/>
  <c r="AD47" i="5"/>
  <c r="AE47" i="5" s="1"/>
  <c r="AL47" i="5"/>
  <c r="AM47" i="5"/>
  <c r="G48" i="5"/>
  <c r="I48" i="5"/>
  <c r="T48" i="5"/>
  <c r="U48" i="5" s="1"/>
  <c r="V48" i="5"/>
  <c r="AD48" i="5" s="1"/>
  <c r="AE48" i="5" s="1"/>
  <c r="Z48" i="5"/>
  <c r="AA48" i="5" s="1"/>
  <c r="AB48" i="5"/>
  <c r="AL48" i="5"/>
  <c r="AM48" i="5"/>
  <c r="W76" i="6"/>
  <c r="L76" i="6"/>
  <c r="V76" i="6" s="1"/>
  <c r="AM80" i="6"/>
  <c r="AL80" i="6"/>
  <c r="AB80" i="6"/>
  <c r="Z80" i="6"/>
  <c r="AA80" i="6" s="1"/>
  <c r="V80" i="6"/>
  <c r="T80" i="6"/>
  <c r="U80" i="6" s="1"/>
  <c r="I80" i="6"/>
  <c r="G80" i="6"/>
  <c r="AM76" i="6"/>
  <c r="AL76" i="6"/>
  <c r="Z76" i="6"/>
  <c r="AA76" i="6" s="1"/>
  <c r="T76" i="6"/>
  <c r="U76" i="6" s="1"/>
  <c r="I76" i="6"/>
  <c r="G76" i="6"/>
  <c r="AM6" i="6"/>
  <c r="AL6" i="6"/>
  <c r="AB6" i="6"/>
  <c r="Z6" i="6"/>
  <c r="AA6" i="6" s="1"/>
  <c r="V6" i="6"/>
  <c r="AD6" i="6" s="1"/>
  <c r="T6" i="6"/>
  <c r="U6" i="6" s="1"/>
  <c r="I6" i="6"/>
  <c r="G6" i="6"/>
  <c r="AM18" i="6"/>
  <c r="AL18" i="6"/>
  <c r="AB18" i="6"/>
  <c r="Z18" i="6"/>
  <c r="AA18" i="6" s="1"/>
  <c r="V18" i="6"/>
  <c r="AD18" i="6" s="1"/>
  <c r="AE18" i="6" s="1"/>
  <c r="T18" i="6"/>
  <c r="U18" i="6" s="1"/>
  <c r="I18" i="6"/>
  <c r="G18" i="6"/>
  <c r="G44" i="5"/>
  <c r="I44" i="5"/>
  <c r="M44" i="5"/>
  <c r="O44" i="5" s="1"/>
  <c r="P44" i="5" s="1"/>
  <c r="T44" i="5"/>
  <c r="U44" i="5" s="1"/>
  <c r="V44" i="5"/>
  <c r="AD44" i="5" s="1"/>
  <c r="AE44" i="5" s="1"/>
  <c r="Z44" i="5"/>
  <c r="AA44" i="5" s="1"/>
  <c r="AB44" i="5"/>
  <c r="AL44" i="5"/>
  <c r="AM44" i="5"/>
  <c r="G45" i="5"/>
  <c r="I45" i="5"/>
  <c r="L45" i="5"/>
  <c r="V45" i="5" s="1"/>
  <c r="O45" i="5"/>
  <c r="P45" i="5" s="1"/>
  <c r="T45" i="5"/>
  <c r="U45" i="5" s="1"/>
  <c r="Z45" i="5"/>
  <c r="AA45" i="5"/>
  <c r="AL45" i="5"/>
  <c r="AM45" i="5"/>
  <c r="AM114" i="6"/>
  <c r="AL114" i="6"/>
  <c r="AB114" i="6"/>
  <c r="Z114" i="6"/>
  <c r="AA114" i="6" s="1"/>
  <c r="V114" i="6"/>
  <c r="AD114" i="6" s="1"/>
  <c r="T114" i="6"/>
  <c r="U114" i="6" s="1"/>
  <c r="I114" i="6"/>
  <c r="G114" i="6"/>
  <c r="AM113" i="6"/>
  <c r="AL113" i="6"/>
  <c r="AB113" i="6"/>
  <c r="Z113" i="6"/>
  <c r="AA113" i="6" s="1"/>
  <c r="V113" i="6"/>
  <c r="AD113" i="6" s="1"/>
  <c r="T113" i="6"/>
  <c r="U113" i="6" s="1"/>
  <c r="I113" i="6"/>
  <c r="G113" i="6"/>
  <c r="AM111" i="6"/>
  <c r="AL111" i="6"/>
  <c r="AB111" i="6"/>
  <c r="Z111" i="6"/>
  <c r="AA111" i="6" s="1"/>
  <c r="V111" i="6"/>
  <c r="AD111" i="6" s="1"/>
  <c r="T111" i="6"/>
  <c r="U111" i="6" s="1"/>
  <c r="I111" i="6"/>
  <c r="G111" i="6"/>
  <c r="AM110" i="6"/>
  <c r="AL110" i="6"/>
  <c r="AB110" i="6"/>
  <c r="Z110" i="6"/>
  <c r="AA110" i="6" s="1"/>
  <c r="V110" i="6"/>
  <c r="AD110" i="6" s="1"/>
  <c r="T110" i="6"/>
  <c r="U110" i="6" s="1"/>
  <c r="I110" i="6"/>
  <c r="G110" i="6"/>
  <c r="AM109" i="6"/>
  <c r="AL109" i="6"/>
  <c r="AB109" i="6"/>
  <c r="Z109" i="6"/>
  <c r="AA109" i="6" s="1"/>
  <c r="V109" i="6"/>
  <c r="AD109" i="6" s="1"/>
  <c r="T109" i="6"/>
  <c r="U109" i="6" s="1"/>
  <c r="I109" i="6"/>
  <c r="G109" i="6"/>
  <c r="AM108" i="6"/>
  <c r="AL108" i="6"/>
  <c r="AB108" i="6"/>
  <c r="Z108" i="6"/>
  <c r="AA108" i="6" s="1"/>
  <c r="V108" i="6"/>
  <c r="AD108" i="6" s="1"/>
  <c r="T108" i="6"/>
  <c r="U108" i="6" s="1"/>
  <c r="I108" i="6"/>
  <c r="G108" i="6"/>
  <c r="AM107" i="6"/>
  <c r="AL107" i="6"/>
  <c r="Z107" i="6"/>
  <c r="AA107" i="6" s="1"/>
  <c r="V107" i="6"/>
  <c r="AD107" i="6" s="1"/>
  <c r="AE107" i="6" s="1"/>
  <c r="T107" i="6"/>
  <c r="U107" i="6" s="1"/>
  <c r="I107" i="6"/>
  <c r="G107" i="6"/>
  <c r="AM106" i="6"/>
  <c r="AL106" i="6"/>
  <c r="AB106" i="6"/>
  <c r="Z106" i="6"/>
  <c r="AA106" i="6" s="1"/>
  <c r="V106" i="6"/>
  <c r="T106" i="6"/>
  <c r="U106" i="6" s="1"/>
  <c r="I106" i="6"/>
  <c r="G106" i="6"/>
  <c r="AM105" i="6"/>
  <c r="AL105" i="6"/>
  <c r="AB105" i="6"/>
  <c r="Z105" i="6"/>
  <c r="AA105" i="6" s="1"/>
  <c r="V105" i="6"/>
  <c r="AD105" i="6" s="1"/>
  <c r="T105" i="6"/>
  <c r="U105" i="6" s="1"/>
  <c r="I105" i="6"/>
  <c r="G105" i="6"/>
  <c r="AM104" i="6"/>
  <c r="AL104" i="6"/>
  <c r="AB104" i="6"/>
  <c r="Z104" i="6"/>
  <c r="AA104" i="6" s="1"/>
  <c r="V104" i="6"/>
  <c r="T104" i="6"/>
  <c r="U104" i="6" s="1"/>
  <c r="I104" i="6"/>
  <c r="G104" i="6"/>
  <c r="AM103" i="6"/>
  <c r="AL103" i="6"/>
  <c r="AB103" i="6"/>
  <c r="Z103" i="6"/>
  <c r="AA103" i="6" s="1"/>
  <c r="V103" i="6"/>
  <c r="AD103" i="6" s="1"/>
  <c r="T103" i="6"/>
  <c r="U103" i="6" s="1"/>
  <c r="I103" i="6"/>
  <c r="G103" i="6"/>
  <c r="AM102" i="6"/>
  <c r="AL102" i="6"/>
  <c r="AB102" i="6"/>
  <c r="Z102" i="6"/>
  <c r="AA102" i="6" s="1"/>
  <c r="V102" i="6"/>
  <c r="T102" i="6"/>
  <c r="U102" i="6" s="1"/>
  <c r="I102" i="6"/>
  <c r="G102" i="6"/>
  <c r="AM101" i="6"/>
  <c r="AL101" i="6"/>
  <c r="AB101" i="6"/>
  <c r="Z101" i="6"/>
  <c r="AA101" i="6" s="1"/>
  <c r="V101" i="6"/>
  <c r="AD101" i="6" s="1"/>
  <c r="T101" i="6"/>
  <c r="U101" i="6" s="1"/>
  <c r="I101" i="6"/>
  <c r="G101" i="6"/>
  <c r="AM100" i="6"/>
  <c r="AL100" i="6"/>
  <c r="AB100" i="6"/>
  <c r="Z100" i="6"/>
  <c r="AA100" i="6" s="1"/>
  <c r="V100" i="6"/>
  <c r="T100" i="6"/>
  <c r="U100" i="6" s="1"/>
  <c r="I100" i="6"/>
  <c r="G100" i="6"/>
  <c r="AM99" i="6"/>
  <c r="AL99" i="6"/>
  <c r="AB99" i="6"/>
  <c r="Z99" i="6"/>
  <c r="AA99" i="6" s="1"/>
  <c r="V99" i="6"/>
  <c r="AD99" i="6" s="1"/>
  <c r="T99" i="6"/>
  <c r="U99" i="6" s="1"/>
  <c r="I99" i="6"/>
  <c r="G99" i="6"/>
  <c r="AM98" i="6"/>
  <c r="AL98" i="6"/>
  <c r="AB98" i="6"/>
  <c r="Z98" i="6"/>
  <c r="AA98" i="6" s="1"/>
  <c r="V98" i="6"/>
  <c r="T98" i="6"/>
  <c r="U98" i="6" s="1"/>
  <c r="I98" i="6"/>
  <c r="G98" i="6"/>
  <c r="AM97" i="6"/>
  <c r="AL97" i="6"/>
  <c r="AB97" i="6"/>
  <c r="Z97" i="6"/>
  <c r="AA97" i="6" s="1"/>
  <c r="V97" i="6"/>
  <c r="AD97" i="6" s="1"/>
  <c r="T97" i="6"/>
  <c r="U97" i="6" s="1"/>
  <c r="I97" i="6"/>
  <c r="G97" i="6"/>
  <c r="AM96" i="6"/>
  <c r="AL96" i="6"/>
  <c r="AB96" i="6"/>
  <c r="Z96" i="6"/>
  <c r="AA96" i="6" s="1"/>
  <c r="V96" i="6"/>
  <c r="T96" i="6"/>
  <c r="U96" i="6" s="1"/>
  <c r="I96" i="6"/>
  <c r="G96" i="6"/>
  <c r="AM47" i="6"/>
  <c r="AL47" i="6"/>
  <c r="AB47" i="6"/>
  <c r="Z47" i="6"/>
  <c r="AA47" i="6" s="1"/>
  <c r="V47" i="6"/>
  <c r="AD47" i="6" s="1"/>
  <c r="T47" i="6"/>
  <c r="U47" i="6" s="1"/>
  <c r="I47" i="6"/>
  <c r="G47" i="6"/>
  <c r="AM41" i="6"/>
  <c r="AL41" i="6"/>
  <c r="AB41" i="6"/>
  <c r="Z41" i="6"/>
  <c r="AA41" i="6" s="1"/>
  <c r="V41" i="6"/>
  <c r="T41" i="6"/>
  <c r="U41" i="6" s="1"/>
  <c r="I41" i="6"/>
  <c r="G41" i="6"/>
  <c r="AM34" i="6"/>
  <c r="AL34" i="6"/>
  <c r="AB34" i="6"/>
  <c r="Z34" i="6"/>
  <c r="AA34" i="6" s="1"/>
  <c r="V34" i="6"/>
  <c r="AD34" i="6" s="1"/>
  <c r="T34" i="6"/>
  <c r="U34" i="6" s="1"/>
  <c r="I34" i="6"/>
  <c r="G34" i="6"/>
  <c r="AM93" i="6"/>
  <c r="AL93" i="6"/>
  <c r="AB93" i="6"/>
  <c r="Z93" i="6"/>
  <c r="AA93" i="6" s="1"/>
  <c r="V93" i="6"/>
  <c r="T93" i="6"/>
  <c r="U93" i="6" s="1"/>
  <c r="I93" i="6"/>
  <c r="G93" i="6"/>
  <c r="AM92" i="6"/>
  <c r="AL92" i="6"/>
  <c r="AB92" i="6"/>
  <c r="Z92" i="6"/>
  <c r="AA92" i="6" s="1"/>
  <c r="V92" i="6"/>
  <c r="AD92" i="6" s="1"/>
  <c r="T92" i="6"/>
  <c r="U92" i="6" s="1"/>
  <c r="I92" i="6"/>
  <c r="G92" i="6"/>
  <c r="AM115" i="6"/>
  <c r="AL115" i="6"/>
  <c r="AB115" i="6"/>
  <c r="Z115" i="6"/>
  <c r="AA115" i="6" s="1"/>
  <c r="V115" i="6"/>
  <c r="AD115" i="6" s="1"/>
  <c r="T115" i="6"/>
  <c r="U115" i="6" s="1"/>
  <c r="O115" i="6"/>
  <c r="P115" i="6" s="1"/>
  <c r="I115" i="6"/>
  <c r="G115" i="6"/>
  <c r="AM91" i="6"/>
  <c r="AL91" i="6"/>
  <c r="Z91" i="6"/>
  <c r="AA91" i="6" s="1"/>
  <c r="T91" i="6"/>
  <c r="U91" i="6" s="1"/>
  <c r="L91" i="6"/>
  <c r="V91" i="6" s="1"/>
  <c r="I91" i="6"/>
  <c r="G91" i="6"/>
  <c r="AM90" i="6"/>
  <c r="AL90" i="6"/>
  <c r="Z90" i="6"/>
  <c r="AA90" i="6" s="1"/>
  <c r="T90" i="6"/>
  <c r="U90" i="6" s="1"/>
  <c r="L90" i="6"/>
  <c r="AB90" i="6" s="1"/>
  <c r="I90" i="6"/>
  <c r="G90" i="6"/>
  <c r="AM89" i="6"/>
  <c r="AL89" i="6"/>
  <c r="AB89" i="6"/>
  <c r="Z89" i="6"/>
  <c r="AA89" i="6" s="1"/>
  <c r="V89" i="6"/>
  <c r="T89" i="6"/>
  <c r="U89" i="6" s="1"/>
  <c r="O89" i="6"/>
  <c r="P89" i="6" s="1"/>
  <c r="I89" i="6"/>
  <c r="G89" i="6"/>
  <c r="AM94" i="6"/>
  <c r="AL94" i="6"/>
  <c r="AB94" i="6"/>
  <c r="Z94" i="6"/>
  <c r="AA94" i="6" s="1"/>
  <c r="V94" i="6"/>
  <c r="AD94" i="6" s="1"/>
  <c r="AE94" i="6" s="1"/>
  <c r="T94" i="6"/>
  <c r="U94" i="6" s="1"/>
  <c r="I94" i="6"/>
  <c r="G94" i="6"/>
  <c r="AM85" i="6"/>
  <c r="AL85" i="6"/>
  <c r="AB85" i="6"/>
  <c r="Z85" i="6"/>
  <c r="AA85" i="6" s="1"/>
  <c r="V85" i="6"/>
  <c r="AD85" i="6" s="1"/>
  <c r="AE85" i="6" s="1"/>
  <c r="T85" i="6"/>
  <c r="U85" i="6" s="1"/>
  <c r="O85" i="6"/>
  <c r="P85" i="6" s="1"/>
  <c r="I85" i="6"/>
  <c r="G85" i="6"/>
  <c r="AM82" i="6"/>
  <c r="AL82" i="6"/>
  <c r="Z82" i="6"/>
  <c r="AA82" i="6" s="1"/>
  <c r="T82" i="6"/>
  <c r="U82" i="6" s="1"/>
  <c r="L82" i="6"/>
  <c r="AB82" i="6" s="1"/>
  <c r="I82" i="6"/>
  <c r="G82" i="6"/>
  <c r="AM84" i="6"/>
  <c r="AL84" i="6"/>
  <c r="AB84" i="6"/>
  <c r="Z84" i="6"/>
  <c r="AA84" i="6" s="1"/>
  <c r="V84" i="6"/>
  <c r="AD84" i="6" s="1"/>
  <c r="AE84" i="6" s="1"/>
  <c r="T84" i="6"/>
  <c r="U84" i="6" s="1"/>
  <c r="I84" i="6"/>
  <c r="G84" i="6"/>
  <c r="AM88" i="6"/>
  <c r="AL88" i="6"/>
  <c r="AB88" i="6"/>
  <c r="Z88" i="6"/>
  <c r="AA88" i="6" s="1"/>
  <c r="V88" i="6"/>
  <c r="T88" i="6"/>
  <c r="U88" i="6" s="1"/>
  <c r="O88" i="6"/>
  <c r="P88" i="6" s="1"/>
  <c r="I88" i="6"/>
  <c r="G88" i="6"/>
  <c r="AM87" i="6"/>
  <c r="AL87" i="6"/>
  <c r="AB87" i="6"/>
  <c r="Z87" i="6"/>
  <c r="AA87" i="6" s="1"/>
  <c r="V87" i="6"/>
  <c r="T87" i="6"/>
  <c r="U87" i="6" s="1"/>
  <c r="O87" i="6"/>
  <c r="P87" i="6" s="1"/>
  <c r="I87" i="6"/>
  <c r="G87" i="6"/>
  <c r="AM95" i="6"/>
  <c r="AL95" i="6"/>
  <c r="AB95" i="6"/>
  <c r="Z95" i="6"/>
  <c r="AA95" i="6" s="1"/>
  <c r="V95" i="6"/>
  <c r="AD95" i="6" s="1"/>
  <c r="AE95" i="6" s="1"/>
  <c r="T95" i="6"/>
  <c r="U95" i="6" s="1"/>
  <c r="O95" i="6"/>
  <c r="P95" i="6" s="1"/>
  <c r="I95" i="6"/>
  <c r="G95" i="6"/>
  <c r="AM77" i="6"/>
  <c r="AL77" i="6"/>
  <c r="Z77" i="6"/>
  <c r="AA77" i="6" s="1"/>
  <c r="T77" i="6"/>
  <c r="U77" i="6" s="1"/>
  <c r="L77" i="6"/>
  <c r="AB77" i="6" s="1"/>
  <c r="I77" i="6"/>
  <c r="G77" i="6"/>
  <c r="AM78" i="6"/>
  <c r="AL78" i="6"/>
  <c r="Z78" i="6"/>
  <c r="AA78" i="6" s="1"/>
  <c r="T78" i="6"/>
  <c r="U78" i="6" s="1"/>
  <c r="Q78" i="6"/>
  <c r="L78" i="6"/>
  <c r="I78" i="6"/>
  <c r="G78" i="6"/>
  <c r="AM75" i="6"/>
  <c r="AL75" i="6"/>
  <c r="AB75" i="6"/>
  <c r="Z75" i="6"/>
  <c r="AA75" i="6" s="1"/>
  <c r="V75" i="6"/>
  <c r="AD75" i="6" s="1"/>
  <c r="AE75" i="6" s="1"/>
  <c r="T75" i="6"/>
  <c r="U75" i="6" s="1"/>
  <c r="I75" i="6"/>
  <c r="G75" i="6"/>
  <c r="AM72" i="6"/>
  <c r="AL72" i="6"/>
  <c r="AB72" i="6"/>
  <c r="Z72" i="6"/>
  <c r="AA72" i="6" s="1"/>
  <c r="V72" i="6"/>
  <c r="AD72" i="6" s="1"/>
  <c r="AE72" i="6" s="1"/>
  <c r="T72" i="6"/>
  <c r="U72" i="6" s="1"/>
  <c r="O72" i="6"/>
  <c r="P72" i="6" s="1"/>
  <c r="I72" i="6"/>
  <c r="G72" i="6"/>
  <c r="AM81" i="6"/>
  <c r="AL81" i="6"/>
  <c r="AB81" i="6"/>
  <c r="Z81" i="6"/>
  <c r="AA81" i="6" s="1"/>
  <c r="V81" i="6"/>
  <c r="AD81" i="6" s="1"/>
  <c r="T81" i="6"/>
  <c r="U81" i="6" s="1"/>
  <c r="O81" i="6"/>
  <c r="P81" i="6" s="1"/>
  <c r="I81" i="6"/>
  <c r="G81" i="6"/>
  <c r="AM83" i="6"/>
  <c r="AL83" i="6"/>
  <c r="AB83" i="6"/>
  <c r="Z83" i="6"/>
  <c r="AA83" i="6" s="1"/>
  <c r="V83" i="6"/>
  <c r="AD83" i="6" s="1"/>
  <c r="AE83" i="6" s="1"/>
  <c r="T83" i="6"/>
  <c r="U83" i="6" s="1"/>
  <c r="O83" i="6"/>
  <c r="P83" i="6" s="1"/>
  <c r="I83" i="6"/>
  <c r="G83" i="6"/>
  <c r="AM49" i="6"/>
  <c r="AL49" i="6"/>
  <c r="Z49" i="6"/>
  <c r="AA49" i="6" s="1"/>
  <c r="T49" i="6"/>
  <c r="U49" i="6" s="1"/>
  <c r="AB49" i="6"/>
  <c r="I49" i="6"/>
  <c r="G49" i="6"/>
  <c r="AM79" i="6"/>
  <c r="AL79" i="6"/>
  <c r="AB79" i="6"/>
  <c r="Z79" i="6"/>
  <c r="AA79" i="6" s="1"/>
  <c r="V79" i="6"/>
  <c r="T79" i="6"/>
  <c r="U79" i="6" s="1"/>
  <c r="O79" i="6"/>
  <c r="P79" i="6" s="1"/>
  <c r="I79" i="6"/>
  <c r="G79" i="6"/>
  <c r="AM68" i="6"/>
  <c r="AL68" i="6"/>
  <c r="AB68" i="6"/>
  <c r="Z68" i="6"/>
  <c r="AA68" i="6" s="1"/>
  <c r="V68" i="6"/>
  <c r="T68" i="6"/>
  <c r="U68" i="6" s="1"/>
  <c r="O68" i="6"/>
  <c r="P68" i="6" s="1"/>
  <c r="I68" i="6"/>
  <c r="G68" i="6"/>
  <c r="AM86" i="6"/>
  <c r="AL86" i="6"/>
  <c r="AB86" i="6"/>
  <c r="Z86" i="6"/>
  <c r="AA86" i="6" s="1"/>
  <c r="V86" i="6"/>
  <c r="AD86" i="6" s="1"/>
  <c r="AE86" i="6" s="1"/>
  <c r="T86" i="6"/>
  <c r="U86" i="6" s="1"/>
  <c r="I86" i="6"/>
  <c r="G86" i="6"/>
  <c r="AM67" i="6"/>
  <c r="AL67" i="6"/>
  <c r="AB67" i="6"/>
  <c r="Z67" i="6"/>
  <c r="AA67" i="6" s="1"/>
  <c r="V67" i="6"/>
  <c r="AD67" i="6" s="1"/>
  <c r="AE67" i="6" s="1"/>
  <c r="T67" i="6"/>
  <c r="U67" i="6" s="1"/>
  <c r="O67" i="6"/>
  <c r="P67" i="6" s="1"/>
  <c r="I67" i="6"/>
  <c r="G67" i="6"/>
  <c r="AM74" i="6"/>
  <c r="AL74" i="6"/>
  <c r="AB74" i="6"/>
  <c r="Z74" i="6"/>
  <c r="AA74" i="6" s="1"/>
  <c r="V74" i="6"/>
  <c r="T74" i="6"/>
  <c r="U74" i="6" s="1"/>
  <c r="O74" i="6"/>
  <c r="P74" i="6" s="1"/>
  <c r="I74" i="6"/>
  <c r="G74" i="6"/>
  <c r="AM71" i="6"/>
  <c r="AL71" i="6"/>
  <c r="AB71" i="6"/>
  <c r="Z71" i="6"/>
  <c r="AA71" i="6" s="1"/>
  <c r="V71" i="6"/>
  <c r="AD71" i="6" s="1"/>
  <c r="AE71" i="6" s="1"/>
  <c r="T71" i="6"/>
  <c r="U71" i="6" s="1"/>
  <c r="O71" i="6"/>
  <c r="P71" i="6" s="1"/>
  <c r="I71" i="6"/>
  <c r="G71" i="6"/>
  <c r="AM65" i="6"/>
  <c r="AL65" i="6"/>
  <c r="AB65" i="6"/>
  <c r="Z65" i="6"/>
  <c r="AA65" i="6" s="1"/>
  <c r="V65" i="6"/>
  <c r="T65" i="6"/>
  <c r="U65" i="6" s="1"/>
  <c r="O65" i="6"/>
  <c r="P65" i="6" s="1"/>
  <c r="I65" i="6"/>
  <c r="G65" i="6"/>
  <c r="AM61" i="6"/>
  <c r="AL61" i="6"/>
  <c r="AB61" i="6"/>
  <c r="Z61" i="6"/>
  <c r="AA61" i="6" s="1"/>
  <c r="V61" i="6"/>
  <c r="T61" i="6"/>
  <c r="U61" i="6" s="1"/>
  <c r="O61" i="6"/>
  <c r="P61" i="6" s="1"/>
  <c r="I61" i="6"/>
  <c r="G61" i="6"/>
  <c r="AM64" i="6"/>
  <c r="AL64" i="6"/>
  <c r="AB64" i="6"/>
  <c r="Z64" i="6"/>
  <c r="AA64" i="6" s="1"/>
  <c r="V64" i="6"/>
  <c r="T64" i="6"/>
  <c r="U64" i="6" s="1"/>
  <c r="O64" i="6"/>
  <c r="P64" i="6" s="1"/>
  <c r="I64" i="6"/>
  <c r="G64" i="6"/>
  <c r="AM60" i="6"/>
  <c r="AL60" i="6"/>
  <c r="AB60" i="6"/>
  <c r="Z60" i="6"/>
  <c r="AA60" i="6" s="1"/>
  <c r="V60" i="6"/>
  <c r="AD60" i="6" s="1"/>
  <c r="T60" i="6"/>
  <c r="U60" i="6" s="1"/>
  <c r="O60" i="6"/>
  <c r="P60" i="6" s="1"/>
  <c r="I60" i="6"/>
  <c r="G60" i="6"/>
  <c r="AM59" i="6"/>
  <c r="AL59" i="6"/>
  <c r="AB59" i="6"/>
  <c r="Z59" i="6"/>
  <c r="AA59" i="6" s="1"/>
  <c r="V59" i="6"/>
  <c r="T59" i="6"/>
  <c r="U59" i="6" s="1"/>
  <c r="O59" i="6"/>
  <c r="P59" i="6" s="1"/>
  <c r="I59" i="6"/>
  <c r="G59" i="6"/>
  <c r="AM54" i="6"/>
  <c r="AL54" i="6"/>
  <c r="AB54" i="6"/>
  <c r="Z54" i="6"/>
  <c r="AA54" i="6" s="1"/>
  <c r="V54" i="6"/>
  <c r="T54" i="6"/>
  <c r="U54" i="6" s="1"/>
  <c r="I54" i="6"/>
  <c r="G54" i="6"/>
  <c r="AM57" i="6"/>
  <c r="AL57" i="6"/>
  <c r="AB57" i="6"/>
  <c r="Z57" i="6"/>
  <c r="AA57" i="6" s="1"/>
  <c r="V57" i="6"/>
  <c r="T57" i="6"/>
  <c r="U57" i="6" s="1"/>
  <c r="O57" i="6"/>
  <c r="P57" i="6" s="1"/>
  <c r="I57" i="6"/>
  <c r="G57" i="6"/>
  <c r="AM56" i="6"/>
  <c r="AL56" i="6"/>
  <c r="AB56" i="6"/>
  <c r="Z56" i="6"/>
  <c r="AA56" i="6" s="1"/>
  <c r="V56" i="6"/>
  <c r="T56" i="6"/>
  <c r="U56" i="6" s="1"/>
  <c r="O56" i="6"/>
  <c r="P56" i="6" s="1"/>
  <c r="I56" i="6"/>
  <c r="G56" i="6"/>
  <c r="AM52" i="6"/>
  <c r="AL52" i="6"/>
  <c r="AB52" i="6"/>
  <c r="Z52" i="6"/>
  <c r="AA52" i="6" s="1"/>
  <c r="V52" i="6"/>
  <c r="AD52" i="6" s="1"/>
  <c r="AE52" i="6" s="1"/>
  <c r="T52" i="6"/>
  <c r="U52" i="6" s="1"/>
  <c r="I52" i="6"/>
  <c r="G52" i="6"/>
  <c r="AM43" i="6"/>
  <c r="AL43" i="6"/>
  <c r="Z43" i="6"/>
  <c r="AA43" i="6" s="1"/>
  <c r="T43" i="6"/>
  <c r="U43" i="6" s="1"/>
  <c r="AB43" i="6"/>
  <c r="I43" i="6"/>
  <c r="G43" i="6"/>
  <c r="AM50" i="6"/>
  <c r="AL50" i="6"/>
  <c r="Z50" i="6"/>
  <c r="AA50" i="6" s="1"/>
  <c r="T50" i="6"/>
  <c r="U50" i="6" s="1"/>
  <c r="L50" i="6"/>
  <c r="V50" i="6" s="1"/>
  <c r="I50" i="6"/>
  <c r="G50" i="6"/>
  <c r="AM44" i="6"/>
  <c r="AL44" i="6"/>
  <c r="AB44" i="6"/>
  <c r="Z44" i="6"/>
  <c r="AA44" i="6" s="1"/>
  <c r="V44" i="6"/>
  <c r="T44" i="6"/>
  <c r="U44" i="6" s="1"/>
  <c r="I44" i="6"/>
  <c r="G44" i="6"/>
  <c r="AM42" i="6"/>
  <c r="AL42" i="6"/>
  <c r="AB42" i="6"/>
  <c r="Z42" i="6"/>
  <c r="AA42" i="6" s="1"/>
  <c r="V42" i="6"/>
  <c r="T42" i="6"/>
  <c r="U42" i="6" s="1"/>
  <c r="O42" i="6"/>
  <c r="P42" i="6" s="1"/>
  <c r="I42" i="6"/>
  <c r="G42" i="6"/>
  <c r="AM63" i="6"/>
  <c r="AL63" i="6"/>
  <c r="AB63" i="6"/>
  <c r="Z63" i="6"/>
  <c r="AA63" i="6" s="1"/>
  <c r="V63" i="6"/>
  <c r="T63" i="6"/>
  <c r="U63" i="6" s="1"/>
  <c r="O63" i="6"/>
  <c r="P63" i="6" s="1"/>
  <c r="I63" i="6"/>
  <c r="G63" i="6"/>
  <c r="AM51" i="6"/>
  <c r="AL51" i="6"/>
  <c r="AB51" i="6"/>
  <c r="Z51" i="6"/>
  <c r="AA51" i="6" s="1"/>
  <c r="V51" i="6"/>
  <c r="T51" i="6"/>
  <c r="U51" i="6" s="1"/>
  <c r="O51" i="6"/>
  <c r="P51" i="6" s="1"/>
  <c r="I51" i="6"/>
  <c r="G51" i="6"/>
  <c r="AM62" i="6"/>
  <c r="AL62" i="6"/>
  <c r="AB62" i="6"/>
  <c r="Z62" i="6"/>
  <c r="AA62" i="6" s="1"/>
  <c r="V62" i="6"/>
  <c r="AD62" i="6" s="1"/>
  <c r="AE62" i="6" s="1"/>
  <c r="T62" i="6"/>
  <c r="U62" i="6" s="1"/>
  <c r="I62" i="6"/>
  <c r="G62" i="6"/>
  <c r="AM31" i="6"/>
  <c r="AL31" i="6"/>
  <c r="AB31" i="6"/>
  <c r="Z31" i="6"/>
  <c r="AA31" i="6" s="1"/>
  <c r="V31" i="6"/>
  <c r="AD31" i="6" s="1"/>
  <c r="T31" i="6"/>
  <c r="U31" i="6" s="1"/>
  <c r="I31" i="6"/>
  <c r="G31" i="6"/>
  <c r="AM48" i="6"/>
  <c r="AL48" i="6"/>
  <c r="AB48" i="6"/>
  <c r="Z48" i="6"/>
  <c r="AA48" i="6" s="1"/>
  <c r="V48" i="6"/>
  <c r="T48" i="6"/>
  <c r="U48" i="6" s="1"/>
  <c r="O48" i="6"/>
  <c r="P48" i="6" s="1"/>
  <c r="I48" i="6"/>
  <c r="G48" i="6"/>
  <c r="AM46" i="6"/>
  <c r="AL46" i="6"/>
  <c r="AB46" i="6"/>
  <c r="Z46" i="6"/>
  <c r="AA46" i="6" s="1"/>
  <c r="V46" i="6"/>
  <c r="T46" i="6"/>
  <c r="U46" i="6" s="1"/>
  <c r="O46" i="6"/>
  <c r="P46" i="6" s="1"/>
  <c r="I46" i="6"/>
  <c r="G46" i="6"/>
  <c r="AM58" i="6"/>
  <c r="AL58" i="6"/>
  <c r="Z58" i="6"/>
  <c r="AA58" i="6" s="1"/>
  <c r="T58" i="6"/>
  <c r="U58" i="6" s="1"/>
  <c r="O58" i="6"/>
  <c r="P58" i="6" s="1"/>
  <c r="L58" i="6"/>
  <c r="AB58" i="6" s="1"/>
  <c r="I58" i="6"/>
  <c r="G58" i="6"/>
  <c r="AM20" i="6"/>
  <c r="AL20" i="6"/>
  <c r="AB20" i="6"/>
  <c r="Z20" i="6"/>
  <c r="AA20" i="6" s="1"/>
  <c r="V20" i="6"/>
  <c r="AD20" i="6" s="1"/>
  <c r="T20" i="6"/>
  <c r="U20" i="6" s="1"/>
  <c r="I20" i="6"/>
  <c r="G20" i="6"/>
  <c r="AM40" i="6"/>
  <c r="AL40" i="6"/>
  <c r="AB40" i="6"/>
  <c r="Z40" i="6"/>
  <c r="AA40" i="6" s="1"/>
  <c r="V40" i="6"/>
  <c r="T40" i="6"/>
  <c r="U40" i="6" s="1"/>
  <c r="O40" i="6"/>
  <c r="P40" i="6" s="1"/>
  <c r="I40" i="6"/>
  <c r="G40" i="6"/>
  <c r="AM28" i="6"/>
  <c r="AL28" i="6"/>
  <c r="AB28" i="6"/>
  <c r="Z28" i="6"/>
  <c r="AA28" i="6" s="1"/>
  <c r="V28" i="6"/>
  <c r="AD28" i="6" s="1"/>
  <c r="AE28" i="6" s="1"/>
  <c r="T28" i="6"/>
  <c r="U28" i="6" s="1"/>
  <c r="O28" i="6"/>
  <c r="P28" i="6" s="1"/>
  <c r="I28" i="6"/>
  <c r="G28" i="6"/>
  <c r="AM16" i="6"/>
  <c r="AL16" i="6"/>
  <c r="AB16" i="6"/>
  <c r="Z16" i="6"/>
  <c r="AA16" i="6" s="1"/>
  <c r="V16" i="6"/>
  <c r="AD16" i="6" s="1"/>
  <c r="T16" i="6"/>
  <c r="U16" i="6" s="1"/>
  <c r="I16" i="6"/>
  <c r="G16" i="6"/>
  <c r="AM30" i="6"/>
  <c r="AL30" i="6"/>
  <c r="Z30" i="6"/>
  <c r="AA30" i="6" s="1"/>
  <c r="T30" i="6"/>
  <c r="U30" i="6" s="1"/>
  <c r="AB30" i="6"/>
  <c r="I30" i="6"/>
  <c r="G30" i="6"/>
  <c r="AM37" i="6"/>
  <c r="AL37" i="6"/>
  <c r="AB37" i="6"/>
  <c r="Z37" i="6"/>
  <c r="AA37" i="6" s="1"/>
  <c r="V37" i="6"/>
  <c r="AD37" i="6" s="1"/>
  <c r="T37" i="6"/>
  <c r="U37" i="6" s="1"/>
  <c r="O37" i="6"/>
  <c r="P37" i="6" s="1"/>
  <c r="I37" i="6"/>
  <c r="G37" i="6"/>
  <c r="AM22" i="6"/>
  <c r="AL22" i="6"/>
  <c r="AB22" i="6"/>
  <c r="Z22" i="6"/>
  <c r="AA22" i="6" s="1"/>
  <c r="V22" i="6"/>
  <c r="T22" i="6"/>
  <c r="U22" i="6" s="1"/>
  <c r="O22" i="6"/>
  <c r="P22" i="6" s="1"/>
  <c r="I22" i="6"/>
  <c r="G22" i="6"/>
  <c r="AM25" i="6"/>
  <c r="AL25" i="6"/>
  <c r="Z25" i="6"/>
  <c r="AA25" i="6" s="1"/>
  <c r="T25" i="6"/>
  <c r="U25" i="6" s="1"/>
  <c r="O25" i="6"/>
  <c r="P25" i="6" s="1"/>
  <c r="AB25" i="6"/>
  <c r="I25" i="6"/>
  <c r="G25" i="6"/>
  <c r="AM8" i="6"/>
  <c r="AL8" i="6"/>
  <c r="AB8" i="6"/>
  <c r="Z8" i="6"/>
  <c r="AA8" i="6" s="1"/>
  <c r="V8" i="6"/>
  <c r="AD8" i="6" s="1"/>
  <c r="T8" i="6"/>
  <c r="U8" i="6" s="1"/>
  <c r="O8" i="6"/>
  <c r="P8" i="6" s="1"/>
  <c r="I8" i="6"/>
  <c r="G8" i="6"/>
  <c r="AM24" i="6"/>
  <c r="AL24" i="6"/>
  <c r="AB24" i="6"/>
  <c r="Z24" i="6"/>
  <c r="AA24" i="6" s="1"/>
  <c r="V24" i="6"/>
  <c r="AD24" i="6" s="1"/>
  <c r="T24" i="6"/>
  <c r="U24" i="6" s="1"/>
  <c r="O24" i="6"/>
  <c r="P24" i="6" s="1"/>
  <c r="I24" i="6"/>
  <c r="G24" i="6"/>
  <c r="AM27" i="6"/>
  <c r="AL27" i="6"/>
  <c r="Z27" i="6"/>
  <c r="AA27" i="6" s="1"/>
  <c r="T27" i="6"/>
  <c r="U27" i="6" s="1"/>
  <c r="V27" i="6"/>
  <c r="AD27" i="6" s="1"/>
  <c r="I27" i="6"/>
  <c r="G27" i="6"/>
  <c r="AM13" i="6"/>
  <c r="AL13" i="6"/>
  <c r="Z13" i="6"/>
  <c r="AA13" i="6" s="1"/>
  <c r="T13" i="6"/>
  <c r="U13" i="6" s="1"/>
  <c r="AB13" i="6"/>
  <c r="O13" i="6"/>
  <c r="P13" i="6" s="1"/>
  <c r="I13" i="6"/>
  <c r="G13" i="6"/>
  <c r="AM23" i="6"/>
  <c r="AL23" i="6"/>
  <c r="AB23" i="6"/>
  <c r="Z23" i="6"/>
  <c r="AA23" i="6" s="1"/>
  <c r="V23" i="6"/>
  <c r="AD23" i="6" s="1"/>
  <c r="AE23" i="6" s="1"/>
  <c r="T23" i="6"/>
  <c r="U23" i="6" s="1"/>
  <c r="O23" i="6"/>
  <c r="P23" i="6" s="1"/>
  <c r="I23" i="6"/>
  <c r="G23" i="6"/>
  <c r="AM9" i="6"/>
  <c r="AL9" i="6"/>
  <c r="Z9" i="6"/>
  <c r="AA9" i="6" s="1"/>
  <c r="T9" i="6"/>
  <c r="U9" i="6" s="1"/>
  <c r="Q9" i="6"/>
  <c r="I9" i="6"/>
  <c r="G9" i="6"/>
  <c r="AM7" i="6"/>
  <c r="AL7" i="6"/>
  <c r="AB7" i="6"/>
  <c r="Z7" i="6"/>
  <c r="AA7" i="6" s="1"/>
  <c r="V7" i="6"/>
  <c r="T7" i="6"/>
  <c r="U7" i="6" s="1"/>
  <c r="O7" i="6"/>
  <c r="P7" i="6" s="1"/>
  <c r="I7" i="6"/>
  <c r="G7" i="6"/>
  <c r="AM38" i="6"/>
  <c r="AL38" i="6"/>
  <c r="AB38" i="6"/>
  <c r="Z38" i="6"/>
  <c r="AA38" i="6" s="1"/>
  <c r="V38" i="6"/>
  <c r="AD38" i="6" s="1"/>
  <c r="T38" i="6"/>
  <c r="U38" i="6" s="1"/>
  <c r="O38" i="6"/>
  <c r="P38" i="6" s="1"/>
  <c r="I38" i="6"/>
  <c r="G38" i="6"/>
  <c r="AM32" i="6"/>
  <c r="AL32" i="6"/>
  <c r="AB32" i="6"/>
  <c r="Z32" i="6"/>
  <c r="AA32" i="6" s="1"/>
  <c r="V32" i="6"/>
  <c r="AD32" i="6" s="1"/>
  <c r="AE32" i="6" s="1"/>
  <c r="T32" i="6"/>
  <c r="U32" i="6" s="1"/>
  <c r="O32" i="6"/>
  <c r="P32" i="6" s="1"/>
  <c r="I32" i="6"/>
  <c r="G32" i="6"/>
  <c r="AM12" i="6"/>
  <c r="AL12" i="6"/>
  <c r="Z12" i="6"/>
  <c r="AA12" i="6" s="1"/>
  <c r="T12" i="6"/>
  <c r="U12" i="6" s="1"/>
  <c r="Q12" i="6"/>
  <c r="O12" i="6"/>
  <c r="P12" i="6" s="1"/>
  <c r="I12" i="6"/>
  <c r="G12" i="6"/>
  <c r="AM3" i="6"/>
  <c r="AL3" i="6"/>
  <c r="AB3" i="6"/>
  <c r="Z3" i="6"/>
  <c r="AA3" i="6" s="1"/>
  <c r="V3" i="6"/>
  <c r="T3" i="6"/>
  <c r="U3" i="6" s="1"/>
  <c r="O3" i="6"/>
  <c r="P3" i="6" s="1"/>
  <c r="I3" i="6"/>
  <c r="G3" i="6"/>
  <c r="G43" i="5"/>
  <c r="I43" i="5"/>
  <c r="O43" i="5"/>
  <c r="P43" i="5" s="1"/>
  <c r="T43" i="5"/>
  <c r="U43" i="5" s="1"/>
  <c r="V43" i="5"/>
  <c r="AD43" i="5" s="1"/>
  <c r="AE43" i="5" s="1"/>
  <c r="Z43" i="5"/>
  <c r="AA43" i="5" s="1"/>
  <c r="AB43" i="5"/>
  <c r="AL43" i="5"/>
  <c r="AM43" i="5"/>
  <c r="G42" i="5"/>
  <c r="I42" i="5"/>
  <c r="T42" i="5"/>
  <c r="U42" i="5" s="1"/>
  <c r="V42" i="5"/>
  <c r="AD42" i="5" s="1"/>
  <c r="AE42" i="5" s="1"/>
  <c r="Z42" i="5"/>
  <c r="AA42" i="5" s="1"/>
  <c r="AL42" i="5"/>
  <c r="AM42" i="5"/>
  <c r="G41" i="5"/>
  <c r="I41" i="5"/>
  <c r="O41" i="5"/>
  <c r="P41" i="5" s="1"/>
  <c r="T41" i="5"/>
  <c r="U41" i="5" s="1"/>
  <c r="V41" i="5"/>
  <c r="AD41" i="5" s="1"/>
  <c r="Z41" i="5"/>
  <c r="AA41" i="5" s="1"/>
  <c r="AB41" i="5"/>
  <c r="AL41" i="5"/>
  <c r="AM41" i="5"/>
  <c r="G40" i="5"/>
  <c r="I40" i="5"/>
  <c r="T40" i="5"/>
  <c r="U40" i="5" s="1"/>
  <c r="V40" i="5"/>
  <c r="AD40" i="5" s="1"/>
  <c r="AE40" i="5" s="1"/>
  <c r="Z40" i="5"/>
  <c r="AA40" i="5" s="1"/>
  <c r="AB40" i="5"/>
  <c r="AL40" i="5"/>
  <c r="AM40" i="5"/>
  <c r="G39" i="5"/>
  <c r="I39" i="5"/>
  <c r="T39" i="5"/>
  <c r="U39" i="5" s="1"/>
  <c r="V39" i="5"/>
  <c r="AD39" i="5" s="1"/>
  <c r="AE39" i="5" s="1"/>
  <c r="Z39" i="5"/>
  <c r="AA39" i="5" s="1"/>
  <c r="AB39" i="5"/>
  <c r="AL39" i="5"/>
  <c r="AM39" i="5"/>
  <c r="AM38" i="5"/>
  <c r="AM36" i="5"/>
  <c r="G38" i="5"/>
  <c r="I38" i="5"/>
  <c r="T38" i="5"/>
  <c r="U38" i="5" s="1"/>
  <c r="V38" i="5"/>
  <c r="AD38" i="5" s="1"/>
  <c r="AE38" i="5" s="1"/>
  <c r="Z38" i="5"/>
  <c r="AA38" i="5" s="1"/>
  <c r="AB38" i="5"/>
  <c r="AL38" i="5"/>
  <c r="G37" i="5"/>
  <c r="I37" i="5"/>
  <c r="O37" i="5"/>
  <c r="P37" i="5" s="1"/>
  <c r="T37" i="5"/>
  <c r="U37" i="5" s="1"/>
  <c r="V37" i="5"/>
  <c r="AD37" i="5" s="1"/>
  <c r="AE37" i="5" s="1"/>
  <c r="Z37" i="5"/>
  <c r="AA37" i="5" s="1"/>
  <c r="AB37" i="5"/>
  <c r="AL37" i="5"/>
  <c r="AM37" i="5"/>
  <c r="G36" i="5"/>
  <c r="I36" i="5"/>
  <c r="T36" i="5"/>
  <c r="U36" i="5" s="1"/>
  <c r="V36" i="5"/>
  <c r="AD36" i="5" s="1"/>
  <c r="AE36" i="5" s="1"/>
  <c r="Z36" i="5"/>
  <c r="AA36" i="5" s="1"/>
  <c r="AB36" i="5"/>
  <c r="AL36" i="5"/>
  <c r="AM35" i="5"/>
  <c r="G35" i="5"/>
  <c r="I35" i="5"/>
  <c r="T35" i="5"/>
  <c r="U35" i="5" s="1"/>
  <c r="V35" i="5"/>
  <c r="AD35" i="5" s="1"/>
  <c r="AE35" i="5" s="1"/>
  <c r="Z35" i="5"/>
  <c r="AA35" i="5" s="1"/>
  <c r="AB35" i="5"/>
  <c r="AL35" i="5"/>
  <c r="G34" i="5"/>
  <c r="I34" i="5"/>
  <c r="T34" i="5"/>
  <c r="U34" i="5" s="1"/>
  <c r="V34" i="5"/>
  <c r="Z34" i="5"/>
  <c r="AA34" i="5" s="1"/>
  <c r="AB34" i="5"/>
  <c r="AL34" i="5"/>
  <c r="AM34" i="5"/>
  <c r="AM32" i="5"/>
  <c r="G33" i="5"/>
  <c r="I33" i="5"/>
  <c r="T33" i="5"/>
  <c r="U33" i="5" s="1"/>
  <c r="V33" i="5"/>
  <c r="AD33" i="5" s="1"/>
  <c r="Z33" i="5"/>
  <c r="AA33" i="5" s="1"/>
  <c r="AB33" i="5"/>
  <c r="AL33" i="5"/>
  <c r="AM33" i="5"/>
  <c r="G32" i="5"/>
  <c r="I32" i="5"/>
  <c r="O32" i="5"/>
  <c r="P32" i="5" s="1"/>
  <c r="Q32" i="5"/>
  <c r="AB32" i="5" s="1"/>
  <c r="T32" i="5"/>
  <c r="U32" i="5" s="1"/>
  <c r="Z32" i="5"/>
  <c r="AA32" i="5" s="1"/>
  <c r="AL32" i="5"/>
  <c r="G29" i="5"/>
  <c r="I29" i="5"/>
  <c r="O29" i="5"/>
  <c r="P29" i="5" s="1"/>
  <c r="T29" i="5"/>
  <c r="U29" i="5" s="1"/>
  <c r="V29" i="5"/>
  <c r="AD29" i="5" s="1"/>
  <c r="AE29" i="5" s="1"/>
  <c r="Z29" i="5"/>
  <c r="AA29" i="5" s="1"/>
  <c r="AB29" i="5"/>
  <c r="AL29" i="5"/>
  <c r="AM29" i="5"/>
  <c r="G30" i="5"/>
  <c r="I30" i="5"/>
  <c r="O30" i="5"/>
  <c r="P30" i="5" s="1"/>
  <c r="T30" i="5"/>
  <c r="U30" i="5" s="1"/>
  <c r="V30" i="5"/>
  <c r="AD30" i="5" s="1"/>
  <c r="Z30" i="5"/>
  <c r="AA30" i="5" s="1"/>
  <c r="AB30" i="5"/>
  <c r="AL30" i="5"/>
  <c r="AM30" i="5"/>
  <c r="G31" i="5"/>
  <c r="I31" i="5"/>
  <c r="O31" i="5"/>
  <c r="P31" i="5" s="1"/>
  <c r="T31" i="5"/>
  <c r="U31" i="5" s="1"/>
  <c r="V31" i="5"/>
  <c r="AD31" i="5" s="1"/>
  <c r="AE31" i="5" s="1"/>
  <c r="Z31" i="5"/>
  <c r="AA31" i="5" s="1"/>
  <c r="AB31" i="5"/>
  <c r="AL31" i="5"/>
  <c r="AM31" i="5"/>
  <c r="G27" i="5"/>
  <c r="I27" i="5"/>
  <c r="L27" i="5"/>
  <c r="O27" i="5"/>
  <c r="P27" i="5" s="1"/>
  <c r="Q27" i="5"/>
  <c r="T27" i="5"/>
  <c r="U27" i="5" s="1"/>
  <c r="Z27" i="5"/>
  <c r="AA27" i="5" s="1"/>
  <c r="AL27" i="5"/>
  <c r="AM27" i="5"/>
  <c r="G28" i="5"/>
  <c r="I28" i="5"/>
  <c r="O28" i="5"/>
  <c r="P28" i="5" s="1"/>
  <c r="T28" i="5"/>
  <c r="U28" i="5" s="1"/>
  <c r="V28" i="5"/>
  <c r="AD28" i="5" s="1"/>
  <c r="AE28" i="5" s="1"/>
  <c r="Z28" i="5"/>
  <c r="AA28" i="5" s="1"/>
  <c r="AB28" i="5"/>
  <c r="AL28" i="5"/>
  <c r="AM28" i="5"/>
  <c r="AB45" i="5" l="1"/>
  <c r="V25" i="6"/>
  <c r="AD25" i="6" s="1"/>
  <c r="V58" i="6"/>
  <c r="AD58" i="6" s="1"/>
  <c r="AE58" i="6" s="1"/>
  <c r="V43" i="6"/>
  <c r="AD43" i="6" s="1"/>
  <c r="V49" i="6"/>
  <c r="AD49" i="6" s="1"/>
  <c r="AE49" i="6" s="1"/>
  <c r="AB78" i="6"/>
  <c r="AD80" i="6"/>
  <c r="AE80" i="6" s="1"/>
  <c r="AB76" i="6"/>
  <c r="AD76" i="6"/>
  <c r="AE76" i="6" s="1"/>
  <c r="AE6" i="6"/>
  <c r="V13" i="6"/>
  <c r="AD13" i="6" s="1"/>
  <c r="AE13" i="6" s="1"/>
  <c r="V82" i="6"/>
  <c r="AD82" i="6" s="1"/>
  <c r="V77" i="6"/>
  <c r="AD77" i="6" s="1"/>
  <c r="AE77" i="6" s="1"/>
  <c r="AD45" i="5"/>
  <c r="AE45" i="5" s="1"/>
  <c r="V30" i="6"/>
  <c r="AD30" i="6" s="1"/>
  <c r="V90" i="6"/>
  <c r="AD90" i="6" s="1"/>
  <c r="AE90" i="6" s="1"/>
  <c r="AE111" i="6"/>
  <c r="AE8" i="6"/>
  <c r="AE16" i="6"/>
  <c r="AE20" i="6"/>
  <c r="AE60" i="6"/>
  <c r="AE108" i="6"/>
  <c r="AE113" i="6"/>
  <c r="AE27" i="6"/>
  <c r="AE24" i="6"/>
  <c r="AE115" i="6"/>
  <c r="AE109" i="6"/>
  <c r="AE114" i="6"/>
  <c r="AE38" i="6"/>
  <c r="AD40" i="6"/>
  <c r="AE40" i="6" s="1"/>
  <c r="AD48" i="6"/>
  <c r="AE48" i="6" s="1"/>
  <c r="AD57" i="6"/>
  <c r="AE57" i="6" s="1"/>
  <c r="AD89" i="6"/>
  <c r="AE89" i="6" s="1"/>
  <c r="AE110" i="6"/>
  <c r="V9" i="6"/>
  <c r="AB9" i="6"/>
  <c r="AE31" i="6"/>
  <c r="V12" i="6"/>
  <c r="AB12" i="6"/>
  <c r="AE37" i="6"/>
  <c r="AD22" i="6"/>
  <c r="AE22" i="6" s="1"/>
  <c r="AD106" i="6"/>
  <c r="AE106" i="6" s="1"/>
  <c r="AD3" i="6"/>
  <c r="AE3" i="6" s="1"/>
  <c r="AD44" i="6"/>
  <c r="AE44" i="6" s="1"/>
  <c r="AD54" i="6"/>
  <c r="AE54" i="6" s="1"/>
  <c r="AD64" i="6"/>
  <c r="AE64" i="6" s="1"/>
  <c r="AD61" i="6"/>
  <c r="AE61" i="6" s="1"/>
  <c r="AD68" i="6"/>
  <c r="AE68" i="6" s="1"/>
  <c r="AD79" i="6"/>
  <c r="AE79" i="6" s="1"/>
  <c r="V78" i="6"/>
  <c r="AD87" i="6"/>
  <c r="AE87" i="6" s="1"/>
  <c r="AD88" i="6"/>
  <c r="AE88" i="6" s="1"/>
  <c r="AD96" i="6"/>
  <c r="AE96" i="6" s="1"/>
  <c r="AD104" i="6"/>
  <c r="AE104" i="6" s="1"/>
  <c r="AD56" i="6"/>
  <c r="AE56" i="6" s="1"/>
  <c r="AD7" i="6"/>
  <c r="AE7" i="6" s="1"/>
  <c r="AD51" i="6"/>
  <c r="AE51" i="6" s="1"/>
  <c r="AD63" i="6"/>
  <c r="AE63" i="6" s="1"/>
  <c r="AD50" i="6"/>
  <c r="AE50" i="6" s="1"/>
  <c r="AB50" i="6"/>
  <c r="AD59" i="6"/>
  <c r="AE59" i="6" s="1"/>
  <c r="AD91" i="6"/>
  <c r="AE91" i="6" s="1"/>
  <c r="AB91" i="6"/>
  <c r="AD41" i="6"/>
  <c r="AE41" i="6" s="1"/>
  <c r="AD102" i="6"/>
  <c r="AE102" i="6" s="1"/>
  <c r="AD98" i="6"/>
  <c r="AE98" i="6" s="1"/>
  <c r="AB27" i="6"/>
  <c r="AD46" i="6"/>
  <c r="AE46" i="6" s="1"/>
  <c r="AD42" i="6"/>
  <c r="AE42" i="6" s="1"/>
  <c r="AD74" i="6"/>
  <c r="AE74" i="6" s="1"/>
  <c r="AE81" i="6"/>
  <c r="AD93" i="6"/>
  <c r="AE93" i="6" s="1"/>
  <c r="AD100" i="6"/>
  <c r="AE100" i="6" s="1"/>
  <c r="AD65" i="6"/>
  <c r="AE65" i="6" s="1"/>
  <c r="AE92" i="6"/>
  <c r="AE34" i="6"/>
  <c r="AE47" i="6"/>
  <c r="AE97" i="6"/>
  <c r="AE99" i="6"/>
  <c r="AE101" i="6"/>
  <c r="AE103" i="6"/>
  <c r="AE105" i="6"/>
  <c r="AE41" i="5"/>
  <c r="AB27" i="5"/>
  <c r="AD34" i="5"/>
  <c r="AE34" i="5" s="1"/>
  <c r="AE33" i="5"/>
  <c r="V32" i="5"/>
  <c r="AD32" i="5" s="1"/>
  <c r="AE32" i="5" s="1"/>
  <c r="AE30" i="5"/>
  <c r="V27" i="5"/>
  <c r="AD27" i="5" s="1"/>
  <c r="AE27" i="5" s="1"/>
  <c r="G26" i="5"/>
  <c r="I26" i="5"/>
  <c r="O26" i="5"/>
  <c r="P26" i="5" s="1"/>
  <c r="T26" i="5"/>
  <c r="U26" i="5" s="1"/>
  <c r="V26" i="5"/>
  <c r="AD26" i="5" s="1"/>
  <c r="AE26" i="5" s="1"/>
  <c r="Z26" i="5"/>
  <c r="AA26" i="5" s="1"/>
  <c r="AB26" i="5"/>
  <c r="AL26" i="5"/>
  <c r="AM26" i="5"/>
  <c r="AM25" i="5"/>
  <c r="AL25" i="5"/>
  <c r="AB25" i="5"/>
  <c r="Z25" i="5"/>
  <c r="AA25" i="5" s="1"/>
  <c r="V25" i="5"/>
  <c r="T25" i="5"/>
  <c r="U25" i="5" s="1"/>
  <c r="O25" i="5"/>
  <c r="P25" i="5" s="1"/>
  <c r="I25" i="5"/>
  <c r="G25" i="5"/>
  <c r="AM24" i="5"/>
  <c r="AL24" i="5"/>
  <c r="AB24" i="5"/>
  <c r="Z24" i="5"/>
  <c r="AA24" i="5" s="1"/>
  <c r="V24" i="5"/>
  <c r="AD24" i="5" s="1"/>
  <c r="AE24" i="5" s="1"/>
  <c r="T24" i="5"/>
  <c r="U24" i="5" s="1"/>
  <c r="O24" i="5"/>
  <c r="P24" i="5" s="1"/>
  <c r="I24" i="5"/>
  <c r="G24" i="5"/>
  <c r="AM23" i="5"/>
  <c r="AL23" i="5"/>
  <c r="AB23" i="5"/>
  <c r="Z23" i="5"/>
  <c r="AA23" i="5" s="1"/>
  <c r="V23" i="5"/>
  <c r="AD23" i="5" s="1"/>
  <c r="T23" i="5"/>
  <c r="U23" i="5" s="1"/>
  <c r="I23" i="5"/>
  <c r="G23" i="5"/>
  <c r="G22" i="5"/>
  <c r="I22" i="5"/>
  <c r="T22" i="5"/>
  <c r="U22" i="5" s="1"/>
  <c r="V22" i="5"/>
  <c r="AD22" i="5" s="1"/>
  <c r="AE22" i="5" s="1"/>
  <c r="Z22" i="5"/>
  <c r="AA22" i="5" s="1"/>
  <c r="AB22" i="5"/>
  <c r="AL22" i="5"/>
  <c r="AM22" i="5"/>
  <c r="AM21" i="5"/>
  <c r="AL21" i="5"/>
  <c r="Z21" i="5"/>
  <c r="AA21" i="5" s="1"/>
  <c r="T21" i="5"/>
  <c r="U21" i="5" s="1"/>
  <c r="Q21" i="5"/>
  <c r="O21" i="5"/>
  <c r="P21" i="5" s="1"/>
  <c r="L21" i="5"/>
  <c r="I21" i="5"/>
  <c r="G21" i="5"/>
  <c r="AM20" i="5"/>
  <c r="AL20" i="5"/>
  <c r="AB20" i="5"/>
  <c r="Z20" i="5"/>
  <c r="AA20" i="5" s="1"/>
  <c r="V20" i="5"/>
  <c r="T20" i="5"/>
  <c r="U20" i="5" s="1"/>
  <c r="O20" i="5"/>
  <c r="P20" i="5" s="1"/>
  <c r="I20" i="5"/>
  <c r="G20" i="5"/>
  <c r="AM18" i="5"/>
  <c r="AM17" i="5"/>
  <c r="AM16" i="5"/>
  <c r="AM15" i="5"/>
  <c r="AM14" i="5"/>
  <c r="AM13" i="5"/>
  <c r="AM12" i="5"/>
  <c r="AM11" i="5"/>
  <c r="AM10" i="5"/>
  <c r="AM9" i="5"/>
  <c r="AM8" i="5"/>
  <c r="AM7" i="5"/>
  <c r="AM6" i="5"/>
  <c r="AM5" i="5"/>
  <c r="AM4" i="5"/>
  <c r="AM3" i="5"/>
  <c r="AM2" i="5"/>
  <c r="AM19" i="5"/>
  <c r="AL19" i="5"/>
  <c r="AB19" i="5"/>
  <c r="V19" i="5"/>
  <c r="AD19" i="5" s="1"/>
  <c r="T19" i="5"/>
  <c r="U19" i="5" s="1"/>
  <c r="O19" i="5"/>
  <c r="I19" i="5"/>
  <c r="G19" i="5"/>
  <c r="AE25" i="6" l="1"/>
  <c r="AE43" i="6"/>
  <c r="AE30" i="6"/>
  <c r="AE82" i="6"/>
  <c r="AD78" i="6"/>
  <c r="AE78" i="6" s="1"/>
  <c r="AD12" i="6"/>
  <c r="AE12" i="6" s="1"/>
  <c r="AD9" i="6"/>
  <c r="AE9" i="6" s="1"/>
  <c r="V21" i="5"/>
  <c r="AD21" i="5" s="1"/>
  <c r="AE21" i="5" s="1"/>
  <c r="AB21" i="5"/>
  <c r="AD25" i="5"/>
  <c r="AE25" i="5" s="1"/>
  <c r="AE23" i="5"/>
  <c r="AD20" i="5"/>
  <c r="AE20" i="5" s="1"/>
  <c r="AE19" i="5"/>
  <c r="G18" i="5" l="1"/>
  <c r="I18" i="5"/>
  <c r="T18" i="5"/>
  <c r="U18" i="5" s="1"/>
  <c r="V18" i="5"/>
  <c r="AD18" i="5" s="1"/>
  <c r="AE18" i="5" s="1"/>
  <c r="Z18" i="5"/>
  <c r="AA18" i="5" s="1"/>
  <c r="AB18" i="5"/>
  <c r="G17" i="5"/>
  <c r="I17" i="5"/>
  <c r="O17" i="5"/>
  <c r="P17" i="5" s="1"/>
  <c r="T17" i="5"/>
  <c r="U17" i="5" s="1"/>
  <c r="V17" i="5"/>
  <c r="AD17" i="5" s="1"/>
  <c r="Z17" i="5"/>
  <c r="AA17" i="5" s="1"/>
  <c r="AB17" i="5"/>
  <c r="AB16" i="5"/>
  <c r="Z16" i="5"/>
  <c r="AA16" i="5" s="1"/>
  <c r="V16" i="5"/>
  <c r="T16" i="5"/>
  <c r="U16" i="5" s="1"/>
  <c r="I16" i="5"/>
  <c r="G16" i="5"/>
  <c r="AB15" i="5"/>
  <c r="Z15" i="5"/>
  <c r="AA15" i="5" s="1"/>
  <c r="V15" i="5"/>
  <c r="T15" i="5"/>
  <c r="U15" i="5" s="1"/>
  <c r="I15" i="5"/>
  <c r="G15" i="5"/>
  <c r="AB14" i="5"/>
  <c r="Z14" i="5"/>
  <c r="AA14" i="5" s="1"/>
  <c r="V14" i="5"/>
  <c r="T14" i="5"/>
  <c r="U14" i="5" s="1"/>
  <c r="I14" i="5"/>
  <c r="G14" i="5"/>
  <c r="AB13" i="5"/>
  <c r="Z13" i="5"/>
  <c r="AA13" i="5" s="1"/>
  <c r="V13" i="5"/>
  <c r="T13" i="5"/>
  <c r="U13" i="5" s="1"/>
  <c r="I13" i="5"/>
  <c r="G13" i="5"/>
  <c r="AB12" i="5"/>
  <c r="Z12" i="5"/>
  <c r="AA12" i="5" s="1"/>
  <c r="V12" i="5"/>
  <c r="T12" i="5"/>
  <c r="U12" i="5" s="1"/>
  <c r="I12" i="5"/>
  <c r="G12" i="5"/>
  <c r="F1" i="8"/>
  <c r="AB11" i="5"/>
  <c r="Z11" i="5"/>
  <c r="AA11" i="5" s="1"/>
  <c r="V11" i="5"/>
  <c r="T11" i="5"/>
  <c r="O11" i="5"/>
  <c r="P11" i="5" s="1"/>
  <c r="I11" i="5"/>
  <c r="G11" i="5"/>
  <c r="Z10" i="5"/>
  <c r="AA10" i="5" s="1"/>
  <c r="AB10" i="5"/>
  <c r="T10" i="5"/>
  <c r="V10" i="5"/>
  <c r="AD10" i="5" s="1"/>
  <c r="O10" i="5"/>
  <c r="P10" i="5" s="1"/>
  <c r="G10" i="5"/>
  <c r="I10" i="5"/>
  <c r="AB9" i="5"/>
  <c r="Z9" i="5"/>
  <c r="AA9" i="5" s="1"/>
  <c r="V9" i="5"/>
  <c r="T9" i="5"/>
  <c r="U9" i="5" s="1"/>
  <c r="O9" i="5"/>
  <c r="P9" i="5" s="1"/>
  <c r="I9" i="5"/>
  <c r="G9" i="5"/>
  <c r="AB8" i="5"/>
  <c r="Z8" i="5"/>
  <c r="AA8" i="5" s="1"/>
  <c r="V8" i="5"/>
  <c r="T8" i="5"/>
  <c r="U8" i="5" s="1"/>
  <c r="O8" i="5"/>
  <c r="P8" i="5" s="1"/>
  <c r="I8" i="5"/>
  <c r="G8" i="5"/>
  <c r="AB7" i="5"/>
  <c r="Z7" i="5"/>
  <c r="AA7" i="5" s="1"/>
  <c r="V7" i="5"/>
  <c r="T7" i="5"/>
  <c r="O7" i="5"/>
  <c r="P7" i="5" s="1"/>
  <c r="I7" i="5"/>
  <c r="G7" i="5"/>
  <c r="AB6" i="5"/>
  <c r="Z6" i="5"/>
  <c r="AA6" i="5" s="1"/>
  <c r="V6" i="5"/>
  <c r="T6" i="5"/>
  <c r="U6" i="5" s="1"/>
  <c r="O6" i="5"/>
  <c r="P6" i="5" s="1"/>
  <c r="I6" i="5"/>
  <c r="G6" i="5"/>
  <c r="AB5" i="5"/>
  <c r="Z5" i="5"/>
  <c r="AA5" i="5" s="1"/>
  <c r="V5" i="5"/>
  <c r="T5" i="5"/>
  <c r="U5" i="5" s="1"/>
  <c r="O5" i="5"/>
  <c r="P5" i="5" s="1"/>
  <c r="I5" i="5"/>
  <c r="G5" i="5"/>
  <c r="AB4" i="5"/>
  <c r="Z4" i="5"/>
  <c r="AA4" i="5" s="1"/>
  <c r="V4" i="5"/>
  <c r="AD4" i="5" s="1"/>
  <c r="AE4" i="5" s="1"/>
  <c r="T4" i="5"/>
  <c r="U4" i="5" s="1"/>
  <c r="O4" i="5"/>
  <c r="P4" i="5" s="1"/>
  <c r="I4" i="5"/>
  <c r="G4" i="5"/>
  <c r="AB3" i="5"/>
  <c r="Z3" i="5"/>
  <c r="AA3" i="5" s="1"/>
  <c r="V3" i="5"/>
  <c r="T3" i="5"/>
  <c r="U3" i="5" s="1"/>
  <c r="O3" i="5"/>
  <c r="P3" i="5" s="1"/>
  <c r="I3" i="5"/>
  <c r="G3" i="5"/>
  <c r="AB2" i="5"/>
  <c r="Z2" i="5"/>
  <c r="AA2" i="5" s="1"/>
  <c r="V2" i="5"/>
  <c r="AD2" i="5" s="1"/>
  <c r="T2" i="5"/>
  <c r="U2" i="5" s="1"/>
  <c r="O2" i="5"/>
  <c r="P2" i="5" s="1"/>
  <c r="I2" i="5"/>
  <c r="G2" i="5"/>
  <c r="AE17" i="5" l="1"/>
  <c r="AE10" i="5"/>
  <c r="AD13" i="5"/>
  <c r="AE13" i="5" s="1"/>
  <c r="AD15" i="5"/>
  <c r="AE15" i="5" s="1"/>
  <c r="AD12" i="5"/>
  <c r="AE12" i="5" s="1"/>
  <c r="AD14" i="5"/>
  <c r="AE14" i="5" s="1"/>
  <c r="AD16" i="5"/>
  <c r="AE16" i="5" s="1"/>
  <c r="AD11" i="5"/>
  <c r="AE11" i="5" s="1"/>
  <c r="AD9" i="5"/>
  <c r="AE9" i="5" s="1"/>
  <c r="AD8" i="5"/>
  <c r="AE8" i="5" s="1"/>
  <c r="AD7" i="5"/>
  <c r="AE7" i="5" s="1"/>
  <c r="AD6" i="5"/>
  <c r="AE6" i="5" s="1"/>
  <c r="AD5" i="5"/>
  <c r="AE5" i="5" s="1"/>
  <c r="AD3" i="5"/>
  <c r="AE3" i="5" s="1"/>
  <c r="AE2" i="5"/>
  <c r="G10" i="9" l="1"/>
  <c r="G11" i="9" l="1"/>
  <c r="G12" i="9" l="1"/>
  <c r="G13" i="9" l="1"/>
  <c r="G14" i="9" s="1"/>
  <c r="G15" i="9" l="1"/>
  <c r="G16" i="9" l="1"/>
  <c r="G17" i="9" l="1"/>
  <c r="G18" i="9" l="1"/>
  <c r="G19" i="9" l="1"/>
  <c r="G20" i="9" l="1"/>
  <c r="G21" i="9" l="1"/>
  <c r="G22" i="9" l="1"/>
  <c r="G23" i="9" l="1"/>
  <c r="G24" i="9" l="1"/>
  <c r="G25" i="9" l="1"/>
  <c r="G26" i="9" l="1"/>
  <c r="G27" i="9" l="1"/>
  <c r="G28" i="9" l="1"/>
  <c r="G29" i="9" l="1"/>
  <c r="G30" i="9" l="1"/>
  <c r="G31" i="9" l="1"/>
  <c r="G32" i="9" l="1"/>
  <c r="G33" i="9" l="1"/>
  <c r="G34" i="9" l="1"/>
  <c r="G35" i="9" l="1"/>
  <c r="G36" i="9" l="1"/>
  <c r="G37" i="9" l="1"/>
  <c r="G38" i="9" l="1"/>
  <c r="G39" i="9" l="1"/>
  <c r="G40" i="9" l="1"/>
  <c r="G41" i="9" l="1"/>
  <c r="G42" i="9" l="1"/>
  <c r="G43" i="9" l="1"/>
  <c r="G44" i="9" l="1"/>
  <c r="G45" i="9" l="1"/>
  <c r="G46" i="9" l="1"/>
  <c r="G47" i="9" l="1"/>
  <c r="G48" i="9" l="1"/>
  <c r="G49" i="9" l="1"/>
  <c r="G50" i="9" l="1"/>
  <c r="G51" i="9" l="1"/>
  <c r="G52" i="9" l="1"/>
  <c r="G53" i="9" l="1"/>
</calcChain>
</file>

<file path=xl/sharedStrings.xml><?xml version="1.0" encoding="utf-8"?>
<sst xmlns="http://schemas.openxmlformats.org/spreadsheetml/2006/main" count="1697" uniqueCount="396">
  <si>
    <t>Chantier</t>
  </si>
  <si>
    <t>Traitement</t>
  </si>
  <si>
    <t>Quincaillerie</t>
  </si>
  <si>
    <t>Ferrures</t>
  </si>
  <si>
    <t>Oui</t>
  </si>
  <si>
    <t>OK Fait</t>
  </si>
  <si>
    <t>?</t>
  </si>
  <si>
    <t>2 huile Blanchon Ultra Mat</t>
  </si>
  <si>
    <t>Non</t>
  </si>
  <si>
    <t>SMJM Bruyeres le Chatel Bois ronds</t>
  </si>
  <si>
    <t>LIDL à ST AMAND MONTROND -18</t>
  </si>
  <si>
    <t xml:space="preserve">TEX + OP 9010 / 7024 </t>
  </si>
  <si>
    <t>22.74 ml</t>
  </si>
  <si>
    <t>LIDL à ETAIN - 55</t>
  </si>
  <si>
    <t>24,66 ml</t>
  </si>
  <si>
    <t>LATTES Cœur du Bois</t>
  </si>
  <si>
    <t>TEX + LMC Chêne Clair</t>
  </si>
  <si>
    <t>14,25 ml</t>
  </si>
  <si>
    <t>CROLLES Bat.Indu. Z1A</t>
  </si>
  <si>
    <t>OBBIATEX</t>
  </si>
  <si>
    <t>18.75 ml et 30,00 ml</t>
  </si>
  <si>
    <t>TEX + Cryl. LMC Incolore</t>
  </si>
  <si>
    <t>6.62ml</t>
  </si>
  <si>
    <t>10.89 ml</t>
  </si>
  <si>
    <t>GENAS - 69 Bat. Indus. Weishaupt</t>
  </si>
  <si>
    <t>30.66 ml</t>
  </si>
  <si>
    <t>CROLLES Bat.Indu. Z2</t>
  </si>
  <si>
    <t>17 ml et 23 ml</t>
  </si>
  <si>
    <t>ALDI à THIONVILLE - 57</t>
  </si>
  <si>
    <t>25,49ml</t>
  </si>
  <si>
    <t>MOUVAUX-59 CGC. Ext. Collège</t>
  </si>
  <si>
    <t>15,3 ml</t>
  </si>
  <si>
    <t>14.00 ml</t>
  </si>
  <si>
    <t>VILLEURBANNE SMJM  I-Factory</t>
  </si>
  <si>
    <t xml:space="preserve">TEX + LMC 15% BLANC </t>
  </si>
  <si>
    <t>Bois d.Alpes</t>
  </si>
  <si>
    <t>11.00 ml</t>
  </si>
  <si>
    <t>12.50 ml</t>
  </si>
  <si>
    <t>DEMO CHARPENTE "LE GUA"</t>
  </si>
  <si>
    <t>LIDL DRUMETTAZ-SCI DRUMIMMO</t>
  </si>
  <si>
    <t>HANGEST SANTERRE - 80 LCR</t>
  </si>
  <si>
    <t>MARSEILLE Eiffage Cons. Gymnase</t>
  </si>
  <si>
    <t>REIGNIER ESERY-74 Hall Accueil</t>
  </si>
  <si>
    <t>REIGNIER ESERY-74 Salle P. Audit.</t>
  </si>
  <si>
    <t>COUDEKERQUE BC Nord Piscine</t>
  </si>
  <si>
    <t>LOOS -59 Cuisine centrale</t>
  </si>
  <si>
    <t>N°dossier</t>
  </si>
  <si>
    <t>Longueur</t>
  </si>
  <si>
    <t>Déjà collé</t>
  </si>
  <si>
    <t>Reste à coller</t>
  </si>
  <si>
    <t>TEX + 2 Obbiasat Incolore ou TEX + PRO Chêne-Clair ( voir liste )</t>
  </si>
  <si>
    <t>TEX + OP 9010 / 7024  ou TEX Seul ou TEX + LMC Incolore ( voir liste )</t>
  </si>
  <si>
    <t>TEX + Cryl. LMC Chêne clair ou TEX + 2 OBBIAU'SAT Chêne clair (Douglas)</t>
  </si>
  <si>
    <t>TEX + PRO Incolore ou TEX Seul ou TEX + ….... ( voir liste )</t>
  </si>
  <si>
    <t>TEX + 2 PRO Chataignier ou TEX + 2 Obbiasat Chêne-Clair ( voir liste )</t>
  </si>
  <si>
    <t>TEX + OP 9010 / 7024 ou TEX Seul ou TEX + LMC Incolore ( voir liste )</t>
  </si>
  <si>
    <t>Commercial / BE</t>
  </si>
  <si>
    <t>TOTAL BLC +BM</t>
  </si>
  <si>
    <t xml:space="preserve">TOTAL BLC </t>
  </si>
  <si>
    <t>Chêne</t>
  </si>
  <si>
    <t>0.46ml</t>
  </si>
  <si>
    <t>Date de Livraison sur chantier</t>
  </si>
  <si>
    <t>BRIGNAIS - VAGANAY - Z2/2</t>
  </si>
  <si>
    <t>oui</t>
  </si>
  <si>
    <t xml:space="preserve">TEX </t>
  </si>
  <si>
    <t>non</t>
  </si>
  <si>
    <t>TEX</t>
  </si>
  <si>
    <t>MAUBOURGUET -65 LIDL</t>
  </si>
  <si>
    <t>Commercial</t>
  </si>
  <si>
    <t>Chef de projet</t>
  </si>
  <si>
    <t>Denis</t>
  </si>
  <si>
    <t>Thibault</t>
  </si>
  <si>
    <t>Yannick</t>
  </si>
  <si>
    <t>Hugo</t>
  </si>
  <si>
    <t>Franck</t>
  </si>
  <si>
    <t>Vincent</t>
  </si>
  <si>
    <t>EST BOIS</t>
  </si>
  <si>
    <t>Laurent</t>
  </si>
  <si>
    <t>Olivier</t>
  </si>
  <si>
    <t>César</t>
  </si>
  <si>
    <t>Robin</t>
  </si>
  <si>
    <t>BATIFLEX</t>
  </si>
  <si>
    <t>ACT BOIS</t>
  </si>
  <si>
    <t>Traitement en stock</t>
  </si>
  <si>
    <t>Evolution quincaillerie</t>
  </si>
  <si>
    <t>Qualité visuel</t>
  </si>
  <si>
    <t>UZES -30 Piscine</t>
  </si>
  <si>
    <t>TEX + ,,,</t>
  </si>
  <si>
    <t>Adrien</t>
  </si>
  <si>
    <t>13,32 ml</t>
  </si>
  <si>
    <t>TEX + LMC incolore</t>
  </si>
  <si>
    <t>ARBONIS</t>
  </si>
  <si>
    <t>13,59 ml</t>
  </si>
  <si>
    <t>LE HAVRE - Chemillé</t>
  </si>
  <si>
    <t>10,66 ml</t>
  </si>
  <si>
    <t>MONTBARTIER Z2/3</t>
  </si>
  <si>
    <t>FOURNIER</t>
  </si>
  <si>
    <t>9,91 ml</t>
  </si>
  <si>
    <t>Mr BON</t>
  </si>
  <si>
    <t>17,19 ml</t>
  </si>
  <si>
    <t>10,10 ml</t>
  </si>
  <si>
    <t>VAUDAGNE Z2/7</t>
  </si>
  <si>
    <t>5,38 ml</t>
  </si>
  <si>
    <t>MARLE -02 ALDI</t>
  </si>
  <si>
    <t>HAGUENAU -67 ALDI</t>
  </si>
  <si>
    <t>CROLLES Bat.Indu. Z3</t>
  </si>
  <si>
    <t>Rémi</t>
  </si>
  <si>
    <t>8,5 ml</t>
  </si>
  <si>
    <t>Taille K2 BLC (heures)</t>
  </si>
  <si>
    <t>Reste à tailler K2 BLC (heures)</t>
  </si>
  <si>
    <t>Taille K2 BM (heures)</t>
  </si>
  <si>
    <t>Déjà taillé K2 BM (heures)</t>
  </si>
  <si>
    <t>Reste à tailler K2 BM (heures)</t>
  </si>
  <si>
    <t>PUISEUX en FRANCE - MEZZANINES</t>
  </si>
  <si>
    <t>WCB</t>
  </si>
  <si>
    <t>NON</t>
  </si>
  <si>
    <t>SMAC Océan Ind. MAYOTTE</t>
  </si>
  <si>
    <t>Douglas</t>
  </si>
  <si>
    <t>VAUVERT Cuisine cœur du bois</t>
  </si>
  <si>
    <t>GIROD M. 122</t>
  </si>
  <si>
    <t>GIROD M. 123 - 124 - 137</t>
  </si>
  <si>
    <t>FAVRAT 128 - 129 - 130 - 216</t>
  </si>
  <si>
    <t>FAVRAT 211 -212</t>
  </si>
  <si>
    <t>8,10 ml</t>
  </si>
  <si>
    <t>FAVRAT 116 - 117 - 118</t>
  </si>
  <si>
    <t>FAVRAT 208 -209</t>
  </si>
  <si>
    <t>FAVRAT 125 - 126 - 127</t>
  </si>
  <si>
    <t>FAVRAT 223 - 224 - 225 - 226 - 227</t>
  </si>
  <si>
    <t>FAVRAT 207</t>
  </si>
  <si>
    <t>FAVRAT 201 - 231 Restau</t>
  </si>
  <si>
    <t>FAVRAT 228 - 229 - 230 Restau</t>
  </si>
  <si>
    <t>FAVRAT 131 - 132 - 133</t>
  </si>
  <si>
    <t>GIROD M. 105 - 106 - 107 - 108</t>
  </si>
  <si>
    <t>GIROD M. 101 - 102 - 103 - 136 Restau</t>
  </si>
  <si>
    <t>NEUVECELLE EVIAN DOME</t>
  </si>
  <si>
    <t>Sven</t>
  </si>
  <si>
    <t>Sébastien</t>
  </si>
  <si>
    <t>Mathieu</t>
  </si>
  <si>
    <t>François</t>
  </si>
  <si>
    <t>Jérémy</t>
  </si>
  <si>
    <t>Martin</t>
  </si>
  <si>
    <t>Télephone commercial</t>
  </si>
  <si>
    <t>Télephone chef de projet</t>
  </si>
  <si>
    <t>BLC MAIN (m3)</t>
  </si>
  <si>
    <t xml:space="preserve">Déjà taillé K2 BLC (heures)   </t>
  </si>
  <si>
    <t>BLC K2 (m3)</t>
  </si>
  <si>
    <t>BM K2 (m3)</t>
  </si>
  <si>
    <t>Taille Main BLC (heures)</t>
  </si>
  <si>
    <t>% Taille main BLC fait</t>
  </si>
  <si>
    <t>% Taille K2 BLC fait</t>
  </si>
  <si>
    <t>Déjà taillé main BLC (heures)</t>
  </si>
  <si>
    <t>Reste à tailler main BLC (heures)</t>
  </si>
  <si>
    <t>% Taille K2 BM fait</t>
  </si>
  <si>
    <t>N° dossier</t>
  </si>
  <si>
    <t>% collé au 12/02/24</t>
  </si>
  <si>
    <t>SMJM Bruyeres le Chatel Charpente</t>
  </si>
  <si>
    <t>ARBONIS colombier Saug. Z3/3</t>
  </si>
  <si>
    <t>15,63 .ml</t>
  </si>
  <si>
    <t xml:space="preserve">ST PRIVAS Des VIEUX </t>
  </si>
  <si>
    <t>TEX + LMC incolre</t>
  </si>
  <si>
    <t>TEX + LMC Chêne clair</t>
  </si>
  <si>
    <t>SEMUR en AUXOIS</t>
  </si>
  <si>
    <t>STEEL-GLASS "Chêne" Z2/2</t>
  </si>
  <si>
    <t>2 Huile BLANCHON Ultra Mat</t>
  </si>
  <si>
    <t>Batiflex</t>
  </si>
  <si>
    <t>LOUHANS Médiathèque</t>
  </si>
  <si>
    <t>TEX + LMC 15% Chêne clair</t>
  </si>
  <si>
    <t>BASTIA DELTA BOIS</t>
  </si>
  <si>
    <t>12,42 ml</t>
  </si>
  <si>
    <t>CHAVELOT Z3B</t>
  </si>
  <si>
    <t>TEX + LMC Blond clair</t>
  </si>
  <si>
    <t xml:space="preserve">LOSBERGER </t>
  </si>
  <si>
    <t>18,71 ml</t>
  </si>
  <si>
    <t>Nb lignes</t>
  </si>
  <si>
    <t>Douglas + épicéa</t>
  </si>
  <si>
    <t>UGINE -73 Bâtiment industriel</t>
  </si>
  <si>
    <t>MERLE</t>
  </si>
  <si>
    <t>PIA ANSE - Arche à pain</t>
  </si>
  <si>
    <t>5,6 ml</t>
  </si>
  <si>
    <t>Fourniture</t>
  </si>
  <si>
    <t>14,68 ml</t>
  </si>
  <si>
    <t>8,00 ml</t>
  </si>
  <si>
    <t>6,00 ml</t>
  </si>
  <si>
    <t>CREATION BOIS</t>
  </si>
  <si>
    <t>7,70 ml</t>
  </si>
  <si>
    <t>VAUDRAY - BIAU</t>
  </si>
  <si>
    <t>6,10 ml</t>
  </si>
  <si>
    <t>JACQUET Michel</t>
  </si>
  <si>
    <t>2,40 ml</t>
  </si>
  <si>
    <t>SAULIEU -21 CBM ZANCA</t>
  </si>
  <si>
    <t>HP2F</t>
  </si>
  <si>
    <t>13,975 ml</t>
  </si>
  <si>
    <t>2,65 ml</t>
  </si>
  <si>
    <t>TEX + 2 OBBIACRYL INCOLORE</t>
  </si>
  <si>
    <t>Sébastien M</t>
  </si>
  <si>
    <t>Sébastien B</t>
  </si>
  <si>
    <t>Chantier prêt a partir</t>
  </si>
  <si>
    <t>Chantier collage complet</t>
  </si>
  <si>
    <t>Chantier collage incomplet</t>
  </si>
  <si>
    <t>Chantier en prévision</t>
  </si>
  <si>
    <t>10,60 ml</t>
  </si>
  <si>
    <t>Délai de Livraison</t>
  </si>
  <si>
    <t>TOTAL BM</t>
  </si>
  <si>
    <t>Appro donner</t>
  </si>
  <si>
    <t>Fichier de taille K2</t>
  </si>
  <si>
    <t>13,53 ml</t>
  </si>
  <si>
    <t>FAVRAT 203 - 204 - 205</t>
  </si>
  <si>
    <t>GIROD 134 - 135</t>
  </si>
  <si>
    <t>VALREAS -84 LIDL</t>
  </si>
  <si>
    <t>TECKICEA</t>
  </si>
  <si>
    <t>FC WENDLING Michel</t>
  </si>
  <si>
    <t>FC PMDP - 7010 Les CHERES</t>
  </si>
  <si>
    <t>FC SCIERIE DU BURLANDIER</t>
  </si>
  <si>
    <t>FC AIX-LES-BAINS Mr COHADON</t>
  </si>
  <si>
    <t>Légende colonne chantier</t>
  </si>
  <si>
    <t>Chantier Fourniture</t>
  </si>
  <si>
    <t>Fourniture courante?</t>
  </si>
  <si>
    <t>Particularités collage</t>
  </si>
  <si>
    <t>Particularités essence de bois</t>
  </si>
  <si>
    <t>SO</t>
  </si>
  <si>
    <t>TOURNAGE</t>
  </si>
  <si>
    <t>BANANES</t>
  </si>
  <si>
    <t>RECOLLAGE</t>
  </si>
  <si>
    <t>IVD</t>
  </si>
  <si>
    <t>ARCS</t>
  </si>
  <si>
    <t>RECOLLAGE, BANANES, CANTILEVER</t>
  </si>
  <si>
    <t>IVD + RECOLLAGE</t>
  </si>
  <si>
    <t>BANDEAUX CINTRES RECOLLES</t>
  </si>
  <si>
    <t>DOUGLAS</t>
  </si>
  <si>
    <t>POTEAUX RECOLLES</t>
  </si>
  <si>
    <t>BDA + DOUGLAS</t>
  </si>
  <si>
    <t>BDA</t>
  </si>
  <si>
    <t>BANANES, PTX RONDS , RECOLLAGES</t>
  </si>
  <si>
    <t>FC LYVET Cédric</t>
  </si>
  <si>
    <t>FC TOITRE ET PATRIMOINE</t>
  </si>
  <si>
    <t>13,00 ml</t>
  </si>
  <si>
    <t>LIDL CLERMONT</t>
  </si>
  <si>
    <t>Nb de zones</t>
  </si>
  <si>
    <t>STEEL-GLASS "Chêne" Z1B</t>
  </si>
  <si>
    <t>CROLLES Bat.Indu.Z1B</t>
  </si>
  <si>
    <t>CONTREVOZ   Manège Z1</t>
  </si>
  <si>
    <t>MARSEILLE Eiffage Cons. Ecole Z1</t>
  </si>
  <si>
    <t>BIESHEIM Z6</t>
  </si>
  <si>
    <t>FERNEY VOLTAIRE Parking Z1</t>
  </si>
  <si>
    <t>MARSEILLE Eiffage Cons. Ecole Z2</t>
  </si>
  <si>
    <t>SMJM Crèches sur Saône Restau Z1</t>
  </si>
  <si>
    <t>BATIFLEX - VAUDAGNE Z3</t>
  </si>
  <si>
    <t>REIGNIER ESERY-74 Communs Z1</t>
  </si>
  <si>
    <t>CONTREVOZ   Manège Z2</t>
  </si>
  <si>
    <t>FERNEY VOLTAIRE Parking Z2</t>
  </si>
  <si>
    <t>SMJM Crèches sur Saône Bibliothèque Z2</t>
  </si>
  <si>
    <t>TOUCY-89  Centre Aquatique Z1</t>
  </si>
  <si>
    <t>FERNEY VOLTAIRE Parking Z3</t>
  </si>
  <si>
    <t>ST EGREVE LEGENDRE Z1</t>
  </si>
  <si>
    <t>VICHY TENNIS Z1A</t>
  </si>
  <si>
    <t>VICHY TENNIS Z1B</t>
  </si>
  <si>
    <t>CONTREVOZ   Manège Z3</t>
  </si>
  <si>
    <t>REIGNIER ESERY-74 Gymnase Z1</t>
  </si>
  <si>
    <t>ST EGREVE LEGENDRE Z2</t>
  </si>
  <si>
    <t>FERNEY VOLTAIRE Parking Z4</t>
  </si>
  <si>
    <t>REIGNIER ESERY-74 Gymnase Z2</t>
  </si>
  <si>
    <t>ISSOIRE -63 Groupe scolaire Z1</t>
  </si>
  <si>
    <t>FERNEY VOLTAIRE Parking Z5</t>
  </si>
  <si>
    <t>VICHY TENNIS Z2A</t>
  </si>
  <si>
    <t>ST GENIS POUILLY Z1</t>
  </si>
  <si>
    <t>VICHY TENNIS Z2B</t>
  </si>
  <si>
    <t>LYON Gymn. VAGANAY Z1</t>
  </si>
  <si>
    <t>PUISEUX en France Z1</t>
  </si>
  <si>
    <t>ST GENIS POUILLY Z2</t>
  </si>
  <si>
    <t>FERNEY VOLTAIRE Parking Z6</t>
  </si>
  <si>
    <t>ST GENIS POUILLY Z3</t>
  </si>
  <si>
    <t>PUISEUX en France Z2</t>
  </si>
  <si>
    <t>LYON Gymn. VAGANAY Z2</t>
  </si>
  <si>
    <t>REIGNIER ESERY-74 Tennis Z1</t>
  </si>
  <si>
    <t>BATIFLEX - VAUDAGNE Z7</t>
  </si>
  <si>
    <t>PUISEUX en France Z3</t>
  </si>
  <si>
    <t>TOUCY-89  Centre Aquatique Z2</t>
  </si>
  <si>
    <t>FERNEY VOLTAIRE Parking Z7</t>
  </si>
  <si>
    <t>LYON Gymn. VAGANAY Z3</t>
  </si>
  <si>
    <t>REIGNIER ESERY-74 Tennis Z2</t>
  </si>
  <si>
    <t>REIGNIER ESERY-74 Tennis Z3</t>
  </si>
  <si>
    <t>FERNEY VOLTAIRE Parking Z8</t>
  </si>
  <si>
    <t>REIGNIER ESERY-74 Tennis Z4</t>
  </si>
  <si>
    <t>ISSOIRE -63 Groupe scolaire Z2</t>
  </si>
  <si>
    <t>REIGNIER ESERY-74 Communs Z2</t>
  </si>
  <si>
    <t>CHENEVIERES sur MARNE Z1</t>
  </si>
  <si>
    <t>CHENEVIERES sur MARNE Z2</t>
  </si>
  <si>
    <t>CHENEVIERES sur MARNE Z3</t>
  </si>
  <si>
    <t>Chantier : VILLE - DEPARTEMENT -TYPE DE BÂT. - ZONE</t>
  </si>
  <si>
    <t>FC COLLONGE</t>
  </si>
  <si>
    <t xml:space="preserve">FC BOIRON - BIAU </t>
  </si>
  <si>
    <t>8,20 ml</t>
  </si>
  <si>
    <t>BAGNOLS SUR CEZE -30 ALDI</t>
  </si>
  <si>
    <t>OUI</t>
  </si>
  <si>
    <t>NANTERRE -92 GYMNASE</t>
  </si>
  <si>
    <t>FC MR LEVEQUE</t>
  </si>
  <si>
    <t>5,50 ml</t>
  </si>
  <si>
    <t>TEX + LMC 15% BLANC (poteaux seulement)</t>
  </si>
  <si>
    <t>JEREMY</t>
  </si>
  <si>
    <t>VINCENT</t>
  </si>
  <si>
    <t>18,40 ml</t>
  </si>
  <si>
    <t>FC RENARD Alain</t>
  </si>
  <si>
    <t>GAP</t>
  </si>
  <si>
    <t>BRIANCON -05 Gymnase Z1a</t>
  </si>
  <si>
    <t>BRIANCON -05 Gymnase Z1b</t>
  </si>
  <si>
    <t>BRIANCON -05 Gymnase Z2</t>
  </si>
  <si>
    <t>SAINT JUST RAMBERT -42 Piscine Halle bassin Z1</t>
  </si>
  <si>
    <t>SAINT JUST RAMBERT -42 Piscine Annexes Z2</t>
  </si>
  <si>
    <t>Recollage + Jumelage et vissage</t>
  </si>
  <si>
    <t>Tél. comm.</t>
  </si>
  <si>
    <t>Tél. chef de projet</t>
  </si>
  <si>
    <t>TOTAL BLC + BM</t>
  </si>
  <si>
    <t>FC CALLOUD CHARPENTE</t>
  </si>
  <si>
    <t>FC THONON (MAISON CHARBON) -74 BIAU</t>
  </si>
  <si>
    <t>10,25 ml</t>
  </si>
  <si>
    <t>FC PUIGROS -73 MR CLAUDEL</t>
  </si>
  <si>
    <t>TEX + Cryl. LMC Chêne clair ou TEX + 2 OBBIA'SAT Chêne clair (Douglas)</t>
  </si>
  <si>
    <t>Heures disponible K2/semaines :</t>
  </si>
  <si>
    <t xml:space="preserve">Douglas </t>
  </si>
  <si>
    <t>L'ISLE SUR LA SORGUE -84 LIDL Zone 2</t>
  </si>
  <si>
    <t>L'ISLE SUR LA SORGUE -84 LIDL Zone 1</t>
  </si>
  <si>
    <t>L'ISLE SUR LA SORGUE -84 LIDL Zone 3</t>
  </si>
  <si>
    <t>LA COTE ST ANDRE-38 VAGANAY Z3</t>
  </si>
  <si>
    <t>LA COTE ST ANDRE-38 VAGANAY Z1</t>
  </si>
  <si>
    <t>PIENNES -54 LIDL</t>
  </si>
  <si>
    <t>TEX + LMC 15% BLANC (voir liste) ?</t>
  </si>
  <si>
    <t xml:space="preserve">TEX + LMC INCOLRE + VAGANAY </t>
  </si>
  <si>
    <t>IVD + POTEAUX RECOLLES</t>
  </si>
  <si>
    <t>IVD + BANANES + CANTILEVER</t>
  </si>
  <si>
    <t>Reste à tailler K2 BLC (h)</t>
  </si>
  <si>
    <t>Numéro de semaine</t>
  </si>
  <si>
    <t>Temps disponible par semaine (h)</t>
  </si>
  <si>
    <t>Total reste à tailler K2 BLC par semaine (h)</t>
  </si>
  <si>
    <t>PELISSANNE Gymnase - 13 Z1</t>
  </si>
  <si>
    <t>PELISSANNE Gymnase - 13 Z2</t>
  </si>
  <si>
    <t>Semaine de taille</t>
  </si>
  <si>
    <t>Taille Main BLC (jours)</t>
  </si>
  <si>
    <t>Déjà taillé main BLC (jours)</t>
  </si>
  <si>
    <t>Reste à tailler main BLC (jours)</t>
  </si>
  <si>
    <t>FC LE TOUVET -38 DE BUYER</t>
  </si>
  <si>
    <t>FC FEYZIN - 69 LOSBERGER</t>
  </si>
  <si>
    <t>TEX + 1 PRO Chêne clair</t>
  </si>
  <si>
    <t xml:space="preserve">TEX + Cryl. LMC Chêne clair </t>
  </si>
  <si>
    <t>FC BELLEY -01 SCEA LA PELISSIERE</t>
  </si>
  <si>
    <t>FC VERANNE -42 SAUVIGNET DUMAS</t>
  </si>
  <si>
    <t>BEAUNE -21 EXTENTION VINALIX Z1</t>
  </si>
  <si>
    <t>BEAUNE -21 EXTENTION VINALIX Z2</t>
  </si>
  <si>
    <t>ST EGREVE LEGENDRE Z1 convoi 1</t>
  </si>
  <si>
    <t>ST EGREVE LEGENDRE Z1 convoi 2</t>
  </si>
  <si>
    <t>ST EGREVE LEGENDRE Z1 convoi 4</t>
  </si>
  <si>
    <t>ST EGREVE LEGENDRE Z1 convoi 5</t>
  </si>
  <si>
    <t>ST EGREVE LEGENDRE Z2 convoi 3</t>
  </si>
  <si>
    <t>PELISSANNE Gymnase - 13 Z3 abri à vélo</t>
  </si>
  <si>
    <t xml:space="preserve">        Comm.</t>
  </si>
  <si>
    <t xml:space="preserve">         Longueur maximale</t>
  </si>
  <si>
    <t>Volume initial vendu LC</t>
  </si>
  <si>
    <t>Volume initial vendu BM</t>
  </si>
  <si>
    <t>Semaine de livraison</t>
  </si>
  <si>
    <t>Année de livraison</t>
  </si>
  <si>
    <t>BATIFLEX - VAUDAGNE Z4a</t>
  </si>
  <si>
    <t>BATIFLEX - VAUDAGNE Z4b</t>
  </si>
  <si>
    <t>L'ISLE SUR LA SORGUE -84 LIDL Zone 4</t>
  </si>
  <si>
    <t>MARSEILLE -13 Gymnase BOUGE</t>
  </si>
  <si>
    <t>MARSEILLE -13 Gymnase MALPASSE</t>
  </si>
  <si>
    <t>Douglas + épicéa BDF</t>
  </si>
  <si>
    <t>ISSOIRE -63 Groupe scolaire Z3</t>
  </si>
  <si>
    <t xml:space="preserve">ST EGREVE LEGENDRE Z3 </t>
  </si>
  <si>
    <t>WEYERSHEIM-67 ALDI</t>
  </si>
  <si>
    <t>TEX + 1 LMC Incolore</t>
  </si>
  <si>
    <t>FC LA BRIDOIRE-73 MR MONTAUBAN</t>
  </si>
  <si>
    <t>FC BRENS-01 MR LANTHELME</t>
  </si>
  <si>
    <t>TEX + LMC Incolore</t>
  </si>
  <si>
    <t>LE LUC-83 LIDL Z1</t>
  </si>
  <si>
    <t>LE LUC-83 LIDL Z2</t>
  </si>
  <si>
    <t>BATIFLEX - VAUDAGNE Z5a</t>
  </si>
  <si>
    <t>BATIFLEX - VAUDAGNE Z5b</t>
  </si>
  <si>
    <t>Mathieu 140</t>
  </si>
  <si>
    <t>vendu</t>
  </si>
  <si>
    <t>BATIFLEX - VAUDAGNE Z6b</t>
  </si>
  <si>
    <t>BATIFLEX - VAUDAGNE Z6a</t>
  </si>
  <si>
    <t>% collé au 15/04/24</t>
  </si>
  <si>
    <t>BANANES + POTEUX RONDS DOUGLAS</t>
  </si>
  <si>
    <t>IVD EN TETE BECHE</t>
  </si>
  <si>
    <t>POTEAU ROND DOUGLAS + BANANES</t>
  </si>
  <si>
    <t>FC POIZAT LALLEYRIAT -01 SCIERIE DU BURLANDIER</t>
  </si>
  <si>
    <t>FC - AVRESSIEUX LES CHARPENTIERS DU GUIERS</t>
  </si>
  <si>
    <t>FC CRESSIN ROCHEFORT -01 MME TIGHILT-FERHAT</t>
  </si>
  <si>
    <t>BANANES + IVD</t>
  </si>
  <si>
    <t>FC PORCIEU AMBLEGNIEU -38 SARL BIAU GUILHEM</t>
  </si>
  <si>
    <t>ST EGREVE LEGENDRE Z4</t>
  </si>
  <si>
    <t>FC CHAMBERY -73 ETS AMALGAME</t>
  </si>
  <si>
    <t>UGINE -73 Batiment indus</t>
  </si>
  <si>
    <t>FC NICE -06 SARL GASTAUD</t>
  </si>
  <si>
    <t>LA COTE ST ANDRE-38 VAGANAY Z2A</t>
  </si>
  <si>
    <t>LA COTE ST ANDRE-38 VAGANAY Z2B</t>
  </si>
  <si>
    <t>Déjà taillé K2 BLC (heures)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</si>
</sst>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"/>
    <numFmt numFmtId="165" formatCode="[$-F800]dddd\,\ mmmm\ dd\,\ yyyy"/>
    <numFmt numFmtId="166" formatCode="dd/mm/yy;@"/>
    <numFmt numFmtId="167" formatCode="0.0"/>
    <numFmt numFmtId="168" formatCode="&quot;semaine&quot;\ 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5EFFB"/>
        <bgColor indexed="64"/>
      </patternFill>
    </fill>
    <fill>
      <patternFill patternType="solid">
        <fgColor theme="0" tint="-0.34998626667073579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2">
    <xf numFmtId="0" fontId="0" fillId="0" borderId="0" xfId="0"/>
    <xf numFmtId="16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0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7" borderId="0" xfId="0" applyFill="1"/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8" borderId="0" xfId="0" applyFill="1"/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5" fontId="6" fillId="0" borderId="7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9" fontId="6" fillId="0" borderId="6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0" xfId="1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" fontId="6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6" fillId="0" borderId="0" xfId="0" applyNumberFormat="1" applyFont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9" fontId="6" fillId="0" borderId="6" xfId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" fontId="6" fillId="0" borderId="0" xfId="0" applyNumberFormat="1" applyFont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 wrapText="1"/>
    </xf>
    <xf numFmtId="166" fontId="6" fillId="0" borderId="3" xfId="0" applyNumberFormat="1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horizontal="center" vertical="center" wrapText="1"/>
    </xf>
    <xf numFmtId="167" fontId="2" fillId="0" borderId="4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2" fillId="0" borderId="3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7" fontId="2" fillId="0" borderId="8" xfId="0" applyNumberFormat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167" fontId="2" fillId="4" borderId="8" xfId="0" applyNumberFormat="1" applyFont="1" applyFill="1" applyBorder="1" applyAlignment="1">
      <alignment horizontal="center" vertical="center" wrapText="1"/>
    </xf>
    <xf numFmtId="167" fontId="2" fillId="9" borderId="8" xfId="0" applyNumberFormat="1" applyFont="1" applyFill="1" applyBorder="1" applyAlignment="1">
      <alignment horizontal="center" vertical="center" wrapText="1"/>
    </xf>
    <xf numFmtId="9" fontId="2" fillId="9" borderId="8" xfId="0" applyNumberFormat="1" applyFont="1" applyFill="1" applyBorder="1" applyAlignment="1">
      <alignment horizontal="center" vertical="center" wrapText="1"/>
    </xf>
    <xf numFmtId="167" fontId="2" fillId="7" borderId="8" xfId="0" applyNumberFormat="1" applyFont="1" applyFill="1" applyBorder="1" applyAlignment="1">
      <alignment horizontal="center" vertical="center" wrapText="1"/>
    </xf>
    <xf numFmtId="9" fontId="2" fillId="7" borderId="8" xfId="0" applyNumberFormat="1" applyFont="1" applyFill="1" applyBorder="1" applyAlignment="1">
      <alignment horizontal="center" vertical="center" wrapText="1"/>
    </xf>
    <xf numFmtId="9" fontId="2" fillId="4" borderId="8" xfId="0" applyNumberFormat="1" applyFont="1" applyFill="1" applyBorder="1" applyAlignment="1">
      <alignment horizontal="center" vertical="center" wrapText="1"/>
    </xf>
    <xf numFmtId="9" fontId="2" fillId="0" borderId="8" xfId="1" applyFont="1" applyBorder="1" applyAlignment="1">
      <alignment horizontal="center" vertical="center" wrapText="1"/>
    </xf>
    <xf numFmtId="9" fontId="2" fillId="7" borderId="8" xfId="1" applyFont="1" applyFill="1" applyBorder="1" applyAlignment="1">
      <alignment horizontal="center" vertical="center" wrapText="1"/>
    </xf>
    <xf numFmtId="9" fontId="2" fillId="9" borderId="8" xfId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166" fontId="2" fillId="0" borderId="11" xfId="0" applyNumberFormat="1" applyFont="1" applyBorder="1" applyAlignment="1">
      <alignment horizontal="center" vertical="center" wrapText="1"/>
    </xf>
    <xf numFmtId="166" fontId="2" fillId="9" borderId="11" xfId="0" applyNumberFormat="1" applyFont="1" applyFill="1" applyBorder="1" applyAlignment="1">
      <alignment horizontal="center" vertical="center" wrapText="1"/>
    </xf>
    <xf numFmtId="166" fontId="2" fillId="7" borderId="11" xfId="0" applyNumberFormat="1" applyFont="1" applyFill="1" applyBorder="1" applyAlignment="1">
      <alignment horizontal="center" vertical="center" wrapText="1"/>
    </xf>
    <xf numFmtId="167" fontId="2" fillId="0" borderId="11" xfId="0" applyNumberFormat="1" applyFont="1" applyBorder="1" applyAlignment="1">
      <alignment horizontal="center" vertical="center" wrapText="1"/>
    </xf>
    <xf numFmtId="167" fontId="2" fillId="4" borderId="10" xfId="0" applyNumberFormat="1" applyFont="1" applyFill="1" applyBorder="1" applyAlignment="1">
      <alignment horizontal="center" vertical="center" wrapText="1"/>
    </xf>
    <xf numFmtId="167" fontId="2" fillId="9" borderId="10" xfId="0" applyNumberFormat="1" applyFont="1" applyFill="1" applyBorder="1" applyAlignment="1">
      <alignment horizontal="center" vertical="center" wrapText="1"/>
    </xf>
    <xf numFmtId="167" fontId="2" fillId="9" borderId="11" xfId="0" applyNumberFormat="1" applyFont="1" applyFill="1" applyBorder="1" applyAlignment="1">
      <alignment horizontal="center" vertical="center" wrapText="1"/>
    </xf>
    <xf numFmtId="167" fontId="2" fillId="7" borderId="10" xfId="0" applyNumberFormat="1" applyFont="1" applyFill="1" applyBorder="1" applyAlignment="1">
      <alignment horizontal="center" vertical="center" wrapText="1"/>
    </xf>
    <xf numFmtId="167" fontId="2" fillId="7" borderId="11" xfId="0" applyNumberFormat="1" applyFont="1" applyFill="1" applyBorder="1" applyAlignment="1">
      <alignment horizontal="center" vertical="center" wrapText="1"/>
    </xf>
    <xf numFmtId="167" fontId="4" fillId="7" borderId="10" xfId="0" applyNumberFormat="1" applyFont="1" applyFill="1" applyBorder="1" applyAlignment="1">
      <alignment horizontal="center" vertical="center" wrapText="1"/>
    </xf>
    <xf numFmtId="167" fontId="2" fillId="5" borderId="10" xfId="0" applyNumberFormat="1" applyFont="1" applyFill="1" applyBorder="1" applyAlignment="1">
      <alignment horizontal="center" vertical="center" wrapText="1"/>
    </xf>
    <xf numFmtId="167" fontId="2" fillId="6" borderId="10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Border="1" applyAlignment="1">
      <alignment horizontal="center" vertical="center" wrapText="1"/>
    </xf>
    <xf numFmtId="167" fontId="2" fillId="9" borderId="9" xfId="0" applyNumberFormat="1" applyFont="1" applyFill="1" applyBorder="1" applyAlignment="1">
      <alignment horizontal="center" vertical="center" wrapText="1"/>
    </xf>
    <xf numFmtId="167" fontId="2" fillId="7" borderId="9" xfId="0" applyNumberFormat="1" applyFont="1" applyFill="1" applyBorder="1" applyAlignment="1">
      <alignment horizontal="center" vertical="center" wrapText="1"/>
    </xf>
    <xf numFmtId="167" fontId="3" fillId="2" borderId="10" xfId="0" applyNumberFormat="1" applyFont="1" applyFill="1" applyBorder="1" applyAlignment="1">
      <alignment horizontal="center" vertical="center" wrapText="1"/>
    </xf>
    <xf numFmtId="167" fontId="4" fillId="6" borderId="10" xfId="0" applyNumberFormat="1" applyFont="1" applyFill="1" applyBorder="1" applyAlignment="1">
      <alignment horizontal="center" vertical="center" wrapText="1"/>
    </xf>
    <xf numFmtId="9" fontId="2" fillId="0" borderId="10" xfId="0" applyNumberFormat="1" applyFont="1" applyBorder="1" applyAlignment="1">
      <alignment horizontal="center" vertical="center" wrapText="1"/>
    </xf>
    <xf numFmtId="9" fontId="2" fillId="9" borderId="10" xfId="0" applyNumberFormat="1" applyFont="1" applyFill="1" applyBorder="1" applyAlignment="1">
      <alignment horizontal="center" vertical="center" wrapText="1"/>
    </xf>
    <xf numFmtId="9" fontId="2" fillId="7" borderId="10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9" borderId="9" xfId="0" applyNumberFormat="1" applyFont="1" applyFill="1" applyBorder="1" applyAlignment="1">
      <alignment horizontal="center" vertical="center" wrapText="1"/>
    </xf>
    <xf numFmtId="164" fontId="2" fillId="7" borderId="9" xfId="0" applyNumberFormat="1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9" borderId="11" xfId="0" applyNumberFormat="1" applyFont="1" applyFill="1" applyBorder="1" applyAlignment="1">
      <alignment horizontal="center" vertical="center" wrapText="1"/>
    </xf>
    <xf numFmtId="164" fontId="2" fillId="7" borderId="11" xfId="0" applyNumberFormat="1" applyFont="1" applyFill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 wrapText="1"/>
    </xf>
    <xf numFmtId="14" fontId="2" fillId="9" borderId="11" xfId="0" applyNumberFormat="1" applyFont="1" applyFill="1" applyBorder="1" applyAlignment="1">
      <alignment horizontal="center" vertical="center" wrapText="1"/>
    </xf>
    <xf numFmtId="14" fontId="2" fillId="5" borderId="11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66" fontId="2" fillId="0" borderId="18" xfId="0" applyNumberFormat="1" applyFont="1" applyBorder="1" applyAlignment="1">
      <alignment horizontal="center" vertical="center" wrapText="1"/>
    </xf>
    <xf numFmtId="167" fontId="2" fillId="0" borderId="16" xfId="0" applyNumberFormat="1" applyFont="1" applyBorder="1" applyAlignment="1">
      <alignment horizontal="center" vertical="center" wrapText="1"/>
    </xf>
    <xf numFmtId="167" fontId="2" fillId="0" borderId="17" xfId="0" applyNumberFormat="1" applyFont="1" applyBorder="1" applyAlignment="1">
      <alignment horizontal="center" vertical="center" wrapText="1"/>
    </xf>
    <xf numFmtId="9" fontId="2" fillId="0" borderId="17" xfId="0" applyNumberFormat="1" applyFont="1" applyBorder="1" applyAlignment="1">
      <alignment horizontal="center" vertical="center" wrapText="1"/>
    </xf>
    <xf numFmtId="167" fontId="2" fillId="0" borderId="18" xfId="0" applyNumberFormat="1" applyFont="1" applyBorder="1" applyAlignment="1">
      <alignment horizontal="center" vertical="center" wrapText="1"/>
    </xf>
    <xf numFmtId="9" fontId="2" fillId="0" borderId="17" xfId="1" applyFont="1" applyBorder="1" applyAlignment="1">
      <alignment horizontal="center" vertical="center" wrapText="1"/>
    </xf>
    <xf numFmtId="9" fontId="2" fillId="0" borderId="16" xfId="0" applyNumberFormat="1" applyFont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 wrapText="1"/>
    </xf>
    <xf numFmtId="14" fontId="2" fillId="0" borderId="18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" fontId="2" fillId="0" borderId="18" xfId="0" applyNumberFormat="1" applyFont="1" applyBorder="1" applyAlignment="1">
      <alignment horizontal="center" vertical="center" wrapText="1"/>
    </xf>
    <xf numFmtId="1" fontId="2" fillId="9" borderId="11" xfId="0" applyNumberFormat="1" applyFont="1" applyFill="1" applyBorder="1" applyAlignment="1">
      <alignment horizontal="center" vertical="center" wrapText="1"/>
    </xf>
    <xf numFmtId="1" fontId="2" fillId="7" borderId="11" xfId="0" applyNumberFormat="1" applyFont="1" applyFill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66" fontId="6" fillId="0" borderId="11" xfId="0" applyNumberFormat="1" applyFont="1" applyBorder="1" applyAlignment="1">
      <alignment horizontal="center" vertical="center" wrapText="1"/>
    </xf>
    <xf numFmtId="167" fontId="6" fillId="0" borderId="10" xfId="0" applyNumberFormat="1" applyFont="1" applyBorder="1" applyAlignment="1">
      <alignment horizontal="center" vertical="center" wrapText="1"/>
    </xf>
    <xf numFmtId="167" fontId="6" fillId="0" borderId="8" xfId="0" applyNumberFormat="1" applyFont="1" applyBorder="1" applyAlignment="1">
      <alignment horizontal="center" vertical="center" wrapText="1"/>
    </xf>
    <xf numFmtId="9" fontId="6" fillId="0" borderId="8" xfId="0" applyNumberFormat="1" applyFont="1" applyBorder="1" applyAlignment="1">
      <alignment horizontal="center" vertical="center" wrapText="1"/>
    </xf>
    <xf numFmtId="167" fontId="6" fillId="0" borderId="11" xfId="0" applyNumberFormat="1" applyFont="1" applyBorder="1" applyAlignment="1">
      <alignment horizontal="center" vertical="center" wrapText="1"/>
    </xf>
    <xf numFmtId="1" fontId="6" fillId="0" borderId="11" xfId="0" applyNumberFormat="1" applyFont="1" applyBorder="1" applyAlignment="1">
      <alignment horizontal="center" vertical="center" wrapText="1"/>
    </xf>
    <xf numFmtId="167" fontId="6" fillId="0" borderId="9" xfId="0" applyNumberFormat="1" applyFont="1" applyBorder="1" applyAlignment="1">
      <alignment horizontal="center" vertical="center" wrapText="1"/>
    </xf>
    <xf numFmtId="9" fontId="6" fillId="0" borderId="10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9" fontId="6" fillId="0" borderId="8" xfId="1" applyFont="1" applyFill="1" applyBorder="1" applyAlignment="1">
      <alignment horizontal="center" vertical="center" wrapText="1"/>
    </xf>
    <xf numFmtId="167" fontId="9" fillId="0" borderId="8" xfId="0" applyNumberFormat="1" applyFont="1" applyBorder="1" applyAlignment="1">
      <alignment horizontal="center" vertical="center" wrapText="1"/>
    </xf>
    <xf numFmtId="167" fontId="8" fillId="0" borderId="10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8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168" fontId="2" fillId="0" borderId="12" xfId="0" applyNumberFormat="1" applyFont="1" applyBorder="1" applyAlignment="1">
      <alignment horizontal="center" vertical="center"/>
    </xf>
    <xf numFmtId="168" fontId="2" fillId="0" borderId="10" xfId="0" applyNumberFormat="1" applyFont="1" applyBorder="1" applyAlignment="1">
      <alignment horizontal="center" vertical="center"/>
    </xf>
    <xf numFmtId="168" fontId="2" fillId="0" borderId="19" xfId="0" applyNumberFormat="1" applyFont="1" applyBorder="1" applyAlignment="1">
      <alignment horizontal="center" vertical="center"/>
    </xf>
    <xf numFmtId="167" fontId="9" fillId="0" borderId="10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 wrapText="1"/>
    </xf>
    <xf numFmtId="167" fontId="6" fillId="0" borderId="12" xfId="0" applyNumberFormat="1" applyFont="1" applyBorder="1" applyAlignment="1">
      <alignment horizontal="center" vertical="center" wrapText="1"/>
    </xf>
    <xf numFmtId="167" fontId="6" fillId="0" borderId="13" xfId="0" applyNumberFormat="1" applyFont="1" applyBorder="1" applyAlignment="1">
      <alignment horizontal="center" vertical="center" wrapText="1"/>
    </xf>
    <xf numFmtId="9" fontId="6" fillId="0" borderId="13" xfId="0" applyNumberFormat="1" applyFont="1" applyBorder="1" applyAlignment="1">
      <alignment horizontal="center" vertical="center" wrapText="1"/>
    </xf>
    <xf numFmtId="167" fontId="6" fillId="0" borderId="14" xfId="0" applyNumberFormat="1" applyFont="1" applyBorder="1" applyAlignment="1">
      <alignment horizontal="center" vertical="center" wrapText="1"/>
    </xf>
    <xf numFmtId="1" fontId="6" fillId="0" borderId="14" xfId="0" applyNumberFormat="1" applyFont="1" applyBorder="1" applyAlignment="1">
      <alignment horizontal="center" vertical="center" wrapText="1"/>
    </xf>
    <xf numFmtId="167" fontId="6" fillId="0" borderId="15" xfId="0" applyNumberFormat="1" applyFont="1" applyBorder="1" applyAlignment="1">
      <alignment horizontal="center" vertical="center" wrapText="1"/>
    </xf>
    <xf numFmtId="9" fontId="6" fillId="0" borderId="13" xfId="1" applyFont="1" applyFill="1" applyBorder="1" applyAlignment="1">
      <alignment horizontal="center" vertical="center" wrapText="1"/>
    </xf>
    <xf numFmtId="9" fontId="6" fillId="0" borderId="12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14" fontId="6" fillId="0" borderId="14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2" fontId="2" fillId="7" borderId="8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9" borderId="8" xfId="0" applyNumberFormat="1" applyFont="1" applyFill="1" applyBorder="1" applyAlignment="1">
      <alignment horizontal="center" vertical="center" wrapText="1"/>
    </xf>
    <xf numFmtId="2" fontId="2" fillId="0" borderId="17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167" fontId="2" fillId="4" borderId="13" xfId="0" applyNumberFormat="1" applyFont="1" applyFill="1" applyBorder="1" applyAlignment="1">
      <alignment horizontal="center" vertical="center" wrapText="1"/>
    </xf>
    <xf numFmtId="167" fontId="2" fillId="0" borderId="13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6" fontId="2" fillId="0" borderId="14" xfId="0" applyNumberFormat="1" applyFont="1" applyBorder="1" applyAlignment="1">
      <alignment horizontal="center" vertical="center" wrapText="1"/>
    </xf>
    <xf numFmtId="167" fontId="2" fillId="4" borderId="12" xfId="0" applyNumberFormat="1" applyFont="1" applyFill="1" applyBorder="1" applyAlignment="1">
      <alignment horizontal="center" vertical="center" wrapText="1"/>
    </xf>
    <xf numFmtId="167" fontId="2" fillId="0" borderId="14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67" fontId="2" fillId="0" borderId="15" xfId="0" applyNumberFormat="1" applyFont="1" applyBorder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14" fontId="2" fillId="4" borderId="14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2" fontId="2" fillId="0" borderId="26" xfId="0" applyNumberFormat="1" applyFont="1" applyBorder="1" applyAlignment="1">
      <alignment horizontal="center" vertical="center" wrapText="1"/>
    </xf>
    <xf numFmtId="167" fontId="2" fillId="4" borderId="26" xfId="0" applyNumberFormat="1" applyFont="1" applyFill="1" applyBorder="1" applyAlignment="1">
      <alignment horizontal="center" vertical="center" wrapText="1"/>
    </xf>
    <xf numFmtId="9" fontId="2" fillId="0" borderId="26" xfId="0" applyNumberFormat="1" applyFont="1" applyBorder="1" applyAlignment="1">
      <alignment horizontal="center" vertical="center" wrapText="1"/>
    </xf>
    <xf numFmtId="167" fontId="2" fillId="0" borderId="26" xfId="0" applyNumberFormat="1" applyFont="1" applyBorder="1" applyAlignment="1">
      <alignment horizontal="center" vertical="center" wrapText="1"/>
    </xf>
    <xf numFmtId="9" fontId="2" fillId="0" borderId="26" xfId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2" fontId="2" fillId="0" borderId="31" xfId="0" applyNumberFormat="1" applyFont="1" applyBorder="1" applyAlignment="1">
      <alignment horizontal="center" vertical="center" wrapText="1"/>
    </xf>
    <xf numFmtId="167" fontId="2" fillId="0" borderId="31" xfId="0" applyNumberFormat="1" applyFont="1" applyBorder="1" applyAlignment="1">
      <alignment horizontal="center" vertical="center" wrapText="1"/>
    </xf>
    <xf numFmtId="9" fontId="2" fillId="0" borderId="31" xfId="0" applyNumberFormat="1" applyFont="1" applyBorder="1" applyAlignment="1">
      <alignment horizontal="center" vertical="center" wrapText="1"/>
    </xf>
    <xf numFmtId="9" fontId="2" fillId="0" borderId="31" xfId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2" fontId="2" fillId="0" borderId="32" xfId="0" applyNumberFormat="1" applyFont="1" applyBorder="1" applyAlignment="1">
      <alignment horizontal="center" vertical="center" wrapText="1"/>
    </xf>
    <xf numFmtId="167" fontId="2" fillId="0" borderId="32" xfId="0" applyNumberFormat="1" applyFont="1" applyBorder="1" applyAlignment="1">
      <alignment horizontal="center" vertical="center" wrapText="1"/>
    </xf>
    <xf numFmtId="9" fontId="2" fillId="0" borderId="32" xfId="0" applyNumberFormat="1" applyFont="1" applyBorder="1" applyAlignment="1">
      <alignment horizontal="center" vertical="center" wrapText="1"/>
    </xf>
    <xf numFmtId="9" fontId="2" fillId="0" borderId="32" xfId="1" applyFont="1" applyBorder="1" applyAlignment="1">
      <alignment horizontal="center" vertical="center" wrapText="1"/>
    </xf>
    <xf numFmtId="9" fontId="2" fillId="0" borderId="13" xfId="0" applyNumberFormat="1" applyFont="1" applyBorder="1" applyAlignment="1">
      <alignment horizontal="center" vertical="center" wrapText="1"/>
    </xf>
    <xf numFmtId="9" fontId="2" fillId="0" borderId="13" xfId="1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167" fontId="2" fillId="4" borderId="27" xfId="0" applyNumberFormat="1" applyFont="1" applyFill="1" applyBorder="1" applyAlignment="1">
      <alignment horizontal="center" vertical="center" wrapText="1"/>
    </xf>
    <xf numFmtId="14" fontId="2" fillId="4" borderId="25" xfId="0" applyNumberFormat="1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167" fontId="2" fillId="4" borderId="37" xfId="0" applyNumberFormat="1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66" fontId="2" fillId="0" borderId="25" xfId="0" applyNumberFormat="1" applyFont="1" applyBorder="1" applyAlignment="1">
      <alignment horizontal="center" vertical="center" wrapText="1"/>
    </xf>
    <xf numFmtId="167" fontId="2" fillId="0" borderId="25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167" fontId="2" fillId="0" borderId="24" xfId="0" applyNumberFormat="1" applyFont="1" applyBorder="1" applyAlignment="1">
      <alignment horizontal="center" vertical="center" wrapText="1"/>
    </xf>
    <xf numFmtId="9" fontId="2" fillId="0" borderId="27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64" fontId="2" fillId="0" borderId="25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167" fontId="2" fillId="5" borderId="27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166" fontId="2" fillId="0" borderId="34" xfId="0" applyNumberFormat="1" applyFont="1" applyBorder="1" applyAlignment="1">
      <alignment horizontal="center" vertical="center" wrapText="1"/>
    </xf>
    <xf numFmtId="167" fontId="2" fillId="4" borderId="33" xfId="0" applyNumberFormat="1" applyFont="1" applyFill="1" applyBorder="1" applyAlignment="1">
      <alignment horizontal="center" vertical="center" wrapText="1"/>
    </xf>
    <xf numFmtId="167" fontId="2" fillId="0" borderId="34" xfId="0" applyNumberFormat="1" applyFont="1" applyBorder="1" applyAlignment="1">
      <alignment horizontal="center" vertical="center" wrapText="1"/>
    </xf>
    <xf numFmtId="167" fontId="2" fillId="5" borderId="33" xfId="0" applyNumberFormat="1" applyFont="1" applyFill="1" applyBorder="1" applyAlignment="1">
      <alignment horizontal="center" vertical="center" wrapText="1"/>
    </xf>
    <xf numFmtId="1" fontId="2" fillId="0" borderId="34" xfId="0" applyNumberFormat="1" applyFont="1" applyBorder="1" applyAlignment="1">
      <alignment horizontal="center" vertical="center" wrapText="1"/>
    </xf>
    <xf numFmtId="167" fontId="2" fillId="0" borderId="35" xfId="0" applyNumberFormat="1" applyFont="1" applyBorder="1" applyAlignment="1">
      <alignment horizontal="center" vertical="center" wrapText="1"/>
    </xf>
    <xf numFmtId="9" fontId="2" fillId="0" borderId="33" xfId="0" applyNumberFormat="1" applyFont="1" applyBorder="1" applyAlignment="1">
      <alignment horizontal="center" vertical="center" wrapText="1"/>
    </xf>
    <xf numFmtId="164" fontId="2" fillId="0" borderId="35" xfId="0" applyNumberFormat="1" applyFont="1" applyBorder="1" applyAlignment="1">
      <alignment horizontal="center" vertical="center" wrapText="1"/>
    </xf>
    <xf numFmtId="164" fontId="2" fillId="0" borderId="34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9" borderId="26" xfId="0" applyFont="1" applyFill="1" applyBorder="1" applyAlignment="1">
      <alignment horizontal="center" vertical="center" wrapText="1"/>
    </xf>
    <xf numFmtId="167" fontId="4" fillId="6" borderId="27" xfId="0" applyNumberFormat="1" applyFont="1" applyFill="1" applyBorder="1" applyAlignment="1">
      <alignment horizontal="center" vertical="center" wrapText="1"/>
    </xf>
    <xf numFmtId="14" fontId="2" fillId="0" borderId="25" xfId="0" applyNumberFormat="1" applyFont="1" applyBorder="1" applyAlignment="1">
      <alignment horizontal="center" vertical="center" wrapText="1"/>
    </xf>
    <xf numFmtId="14" fontId="2" fillId="0" borderId="34" xfId="0" applyNumberFormat="1" applyFont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2" fontId="2" fillId="0" borderId="38" xfId="0" applyNumberFormat="1" applyFont="1" applyBorder="1" applyAlignment="1">
      <alignment horizontal="center" vertical="center" wrapText="1"/>
    </xf>
    <xf numFmtId="166" fontId="2" fillId="0" borderId="39" xfId="0" applyNumberFormat="1" applyFont="1" applyBorder="1" applyAlignment="1">
      <alignment horizontal="center" vertical="center" wrapText="1"/>
    </xf>
    <xf numFmtId="167" fontId="2" fillId="5" borderId="37" xfId="0" applyNumberFormat="1" applyFont="1" applyFill="1" applyBorder="1" applyAlignment="1">
      <alignment horizontal="center" vertical="center" wrapText="1"/>
    </xf>
    <xf numFmtId="167" fontId="2" fillId="0" borderId="38" xfId="0" applyNumberFormat="1" applyFont="1" applyBorder="1" applyAlignment="1">
      <alignment horizontal="center" vertical="center" wrapText="1"/>
    </xf>
    <xf numFmtId="9" fontId="2" fillId="0" borderId="38" xfId="0" applyNumberFormat="1" applyFont="1" applyBorder="1" applyAlignment="1">
      <alignment horizontal="center" vertical="center" wrapText="1"/>
    </xf>
    <xf numFmtId="167" fontId="2" fillId="0" borderId="39" xfId="0" applyNumberFormat="1" applyFont="1" applyBorder="1" applyAlignment="1">
      <alignment horizontal="center" vertical="center" wrapText="1"/>
    </xf>
    <xf numFmtId="1" fontId="2" fillId="0" borderId="39" xfId="0" applyNumberFormat="1" applyFont="1" applyBorder="1" applyAlignment="1">
      <alignment horizontal="center" vertical="center" wrapText="1"/>
    </xf>
    <xf numFmtId="167" fontId="2" fillId="0" borderId="23" xfId="0" applyNumberFormat="1" applyFont="1" applyBorder="1" applyAlignment="1">
      <alignment horizontal="center" vertical="center" wrapText="1"/>
    </xf>
    <xf numFmtId="9" fontId="2" fillId="0" borderId="38" xfId="1" applyFont="1" applyBorder="1" applyAlignment="1">
      <alignment horizontal="center" vertical="center" wrapText="1"/>
    </xf>
    <xf numFmtId="9" fontId="2" fillId="0" borderId="37" xfId="0" applyNumberFormat="1" applyFont="1" applyBorder="1" applyAlignment="1">
      <alignment horizontal="center" vertical="center" wrapText="1"/>
    </xf>
    <xf numFmtId="164" fontId="2" fillId="0" borderId="23" xfId="0" applyNumberFormat="1" applyFont="1" applyBorder="1" applyAlignment="1">
      <alignment horizontal="center" vertical="center" wrapText="1"/>
    </xf>
    <xf numFmtId="164" fontId="2" fillId="0" borderId="39" xfId="0" applyNumberFormat="1" applyFont="1" applyBorder="1" applyAlignment="1">
      <alignment horizontal="center" vertical="center" wrapText="1"/>
    </xf>
    <xf numFmtId="14" fontId="2" fillId="0" borderId="39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9" fontId="2" fillId="0" borderId="12" xfId="0" applyNumberFormat="1" applyFont="1" applyBorder="1" applyAlignment="1">
      <alignment horizontal="center" vertical="center" wrapText="1"/>
    </xf>
    <xf numFmtId="167" fontId="2" fillId="5" borderId="12" xfId="0" applyNumberFormat="1" applyFont="1" applyFill="1" applyBorder="1" applyAlignment="1">
      <alignment horizontal="center" vertical="center" wrapText="1"/>
    </xf>
    <xf numFmtId="167" fontId="4" fillId="6" borderId="12" xfId="0" applyNumberFormat="1" applyFont="1" applyFill="1" applyBorder="1" applyAlignment="1">
      <alignment horizontal="center" vertical="center" wrapText="1"/>
    </xf>
    <xf numFmtId="14" fontId="2" fillId="0" borderId="14" xfId="0" applyNumberFormat="1" applyFont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167" fontId="2" fillId="5" borderId="41" xfId="0" applyNumberFormat="1" applyFont="1" applyFill="1" applyBorder="1" applyAlignment="1">
      <alignment horizontal="center" vertical="center" wrapText="1"/>
    </xf>
    <xf numFmtId="167" fontId="2" fillId="0" borderId="42" xfId="0" applyNumberFormat="1" applyFont="1" applyBorder="1" applyAlignment="1">
      <alignment horizontal="center" vertical="center" wrapText="1"/>
    </xf>
    <xf numFmtId="1" fontId="2" fillId="0" borderId="42" xfId="0" applyNumberFormat="1" applyFont="1" applyBorder="1" applyAlignment="1">
      <alignment horizontal="center" vertical="center" wrapText="1"/>
    </xf>
    <xf numFmtId="9" fontId="2" fillId="0" borderId="41" xfId="0" applyNumberFormat="1" applyFont="1" applyBorder="1" applyAlignment="1">
      <alignment horizontal="center" vertical="center" wrapText="1"/>
    </xf>
    <xf numFmtId="164" fontId="2" fillId="0" borderId="42" xfId="0" applyNumberFormat="1" applyFont="1" applyBorder="1" applyAlignment="1">
      <alignment horizontal="center" vertical="center" wrapText="1"/>
    </xf>
    <xf numFmtId="14" fontId="2" fillId="0" borderId="42" xfId="0" applyNumberFormat="1" applyFont="1" applyBorder="1" applyAlignment="1">
      <alignment horizontal="center" vertical="center" wrapText="1"/>
    </xf>
    <xf numFmtId="166" fontId="2" fillId="0" borderId="42" xfId="0" applyNumberFormat="1" applyFont="1" applyBorder="1" applyAlignment="1">
      <alignment horizontal="center" vertical="center" wrapText="1"/>
    </xf>
    <xf numFmtId="167" fontId="2" fillId="4" borderId="41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14" fontId="2" fillId="11" borderId="11" xfId="0" applyNumberFormat="1" applyFont="1" applyFill="1" applyBorder="1" applyAlignment="1">
      <alignment horizontal="center" vertical="center" wrapText="1"/>
    </xf>
    <xf numFmtId="0" fontId="2" fillId="9" borderId="33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2" fillId="9" borderId="34" xfId="0" applyFont="1" applyFill="1" applyBorder="1" applyAlignment="1">
      <alignment horizontal="center" vertical="center" wrapText="1"/>
    </xf>
    <xf numFmtId="2" fontId="2" fillId="9" borderId="31" xfId="0" applyNumberFormat="1" applyFont="1" applyFill="1" applyBorder="1" applyAlignment="1">
      <alignment horizontal="center" vertical="center" wrapText="1"/>
    </xf>
    <xf numFmtId="166" fontId="2" fillId="9" borderId="34" xfId="0" applyNumberFormat="1" applyFont="1" applyFill="1" applyBorder="1" applyAlignment="1">
      <alignment horizontal="center" vertical="center" wrapText="1"/>
    </xf>
    <xf numFmtId="167" fontId="2" fillId="9" borderId="33" xfId="0" applyNumberFormat="1" applyFont="1" applyFill="1" applyBorder="1" applyAlignment="1">
      <alignment horizontal="center" vertical="center" wrapText="1"/>
    </xf>
    <xf numFmtId="167" fontId="2" fillId="9" borderId="31" xfId="0" applyNumberFormat="1" applyFont="1" applyFill="1" applyBorder="1" applyAlignment="1">
      <alignment horizontal="center" vertical="center" wrapText="1"/>
    </xf>
    <xf numFmtId="9" fontId="2" fillId="9" borderId="31" xfId="0" applyNumberFormat="1" applyFont="1" applyFill="1" applyBorder="1" applyAlignment="1">
      <alignment horizontal="center" vertical="center" wrapText="1"/>
    </xf>
    <xf numFmtId="167" fontId="2" fillId="9" borderId="34" xfId="0" applyNumberFormat="1" applyFont="1" applyFill="1" applyBorder="1" applyAlignment="1">
      <alignment horizontal="center" vertical="center" wrapText="1"/>
    </xf>
    <xf numFmtId="1" fontId="2" fillId="9" borderId="34" xfId="0" applyNumberFormat="1" applyFont="1" applyFill="1" applyBorder="1" applyAlignment="1">
      <alignment horizontal="center" vertical="center" wrapText="1"/>
    </xf>
    <xf numFmtId="167" fontId="2" fillId="9" borderId="35" xfId="0" applyNumberFormat="1" applyFont="1" applyFill="1" applyBorder="1" applyAlignment="1">
      <alignment horizontal="center" vertical="center" wrapText="1"/>
    </xf>
    <xf numFmtId="9" fontId="2" fillId="9" borderId="31" xfId="1" applyFont="1" applyFill="1" applyBorder="1" applyAlignment="1">
      <alignment horizontal="center" vertical="center" wrapText="1"/>
    </xf>
    <xf numFmtId="9" fontId="2" fillId="9" borderId="33" xfId="0" applyNumberFormat="1" applyFont="1" applyFill="1" applyBorder="1" applyAlignment="1">
      <alignment horizontal="center" vertical="center" wrapText="1"/>
    </xf>
    <xf numFmtId="164" fontId="2" fillId="9" borderId="35" xfId="0" applyNumberFormat="1" applyFont="1" applyFill="1" applyBorder="1" applyAlignment="1">
      <alignment horizontal="center" vertical="center" wrapText="1"/>
    </xf>
    <xf numFmtId="164" fontId="2" fillId="9" borderId="34" xfId="0" applyNumberFormat="1" applyFont="1" applyFill="1" applyBorder="1" applyAlignment="1">
      <alignment horizontal="center" vertical="center" wrapText="1"/>
    </xf>
    <xf numFmtId="14" fontId="2" fillId="9" borderId="34" xfId="0" applyNumberFormat="1" applyFont="1" applyFill="1" applyBorder="1" applyAlignment="1">
      <alignment horizontal="center" vertical="center" wrapText="1"/>
    </xf>
    <xf numFmtId="0" fontId="2" fillId="9" borderId="35" xfId="0" applyFont="1" applyFill="1" applyBorder="1" applyAlignment="1">
      <alignment horizontal="center" vertical="center" wrapText="1"/>
    </xf>
    <xf numFmtId="0" fontId="2" fillId="9" borderId="36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2" fontId="6" fillId="0" borderId="26" xfId="0" applyNumberFormat="1" applyFont="1" applyBorder="1" applyAlignment="1">
      <alignment horizontal="center" vertical="center" wrapText="1"/>
    </xf>
    <xf numFmtId="166" fontId="6" fillId="0" borderId="25" xfId="0" applyNumberFormat="1" applyFont="1" applyBorder="1" applyAlignment="1">
      <alignment horizontal="center" vertical="center" wrapText="1"/>
    </xf>
    <xf numFmtId="167" fontId="6" fillId="0" borderId="27" xfId="0" applyNumberFormat="1" applyFont="1" applyBorder="1" applyAlignment="1">
      <alignment horizontal="center" vertical="center" wrapText="1"/>
    </xf>
    <xf numFmtId="167" fontId="6" fillId="0" borderId="26" xfId="0" applyNumberFormat="1" applyFont="1" applyBorder="1" applyAlignment="1">
      <alignment horizontal="center" vertical="center" wrapText="1"/>
    </xf>
    <xf numFmtId="9" fontId="6" fillId="0" borderId="26" xfId="0" applyNumberFormat="1" applyFont="1" applyBorder="1" applyAlignment="1">
      <alignment horizontal="center" vertical="center" wrapText="1"/>
    </xf>
    <xf numFmtId="167" fontId="6" fillId="0" borderId="25" xfId="0" applyNumberFormat="1" applyFont="1" applyBorder="1" applyAlignment="1">
      <alignment horizontal="center" vertical="center" wrapText="1"/>
    </xf>
    <xf numFmtId="1" fontId="6" fillId="0" borderId="25" xfId="0" applyNumberFormat="1" applyFont="1" applyBorder="1" applyAlignment="1">
      <alignment horizontal="center" vertical="center" wrapText="1"/>
    </xf>
    <xf numFmtId="167" fontId="6" fillId="0" borderId="24" xfId="0" applyNumberFormat="1" applyFont="1" applyBorder="1" applyAlignment="1">
      <alignment horizontal="center" vertical="center" wrapText="1"/>
    </xf>
    <xf numFmtId="167" fontId="8" fillId="0" borderId="27" xfId="0" applyNumberFormat="1" applyFont="1" applyBorder="1" applyAlignment="1">
      <alignment horizontal="center" vertical="center" wrapText="1"/>
    </xf>
    <xf numFmtId="9" fontId="6" fillId="0" borderId="26" xfId="1" applyFont="1" applyFill="1" applyBorder="1" applyAlignment="1">
      <alignment horizontal="center" vertical="center" wrapText="1"/>
    </xf>
    <xf numFmtId="9" fontId="6" fillId="0" borderId="27" xfId="0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4" fontId="6" fillId="0" borderId="25" xfId="0" applyNumberFormat="1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2" fontId="2" fillId="9" borderId="26" xfId="0" applyNumberFormat="1" applyFont="1" applyFill="1" applyBorder="1" applyAlignment="1">
      <alignment horizontal="center" vertical="center" wrapText="1"/>
    </xf>
    <xf numFmtId="166" fontId="2" fillId="9" borderId="25" xfId="0" applyNumberFormat="1" applyFont="1" applyFill="1" applyBorder="1" applyAlignment="1">
      <alignment horizontal="center" vertical="center" wrapText="1"/>
    </xf>
    <xf numFmtId="167" fontId="2" fillId="9" borderId="27" xfId="0" applyNumberFormat="1" applyFont="1" applyFill="1" applyBorder="1" applyAlignment="1">
      <alignment horizontal="center" vertical="center" wrapText="1"/>
    </xf>
    <xf numFmtId="167" fontId="2" fillId="9" borderId="26" xfId="0" applyNumberFormat="1" applyFont="1" applyFill="1" applyBorder="1" applyAlignment="1">
      <alignment horizontal="center" vertical="center" wrapText="1"/>
    </xf>
    <xf numFmtId="9" fontId="2" fillId="9" borderId="26" xfId="0" applyNumberFormat="1" applyFont="1" applyFill="1" applyBorder="1" applyAlignment="1">
      <alignment horizontal="center" vertical="center" wrapText="1"/>
    </xf>
    <xf numFmtId="167" fontId="2" fillId="9" borderId="25" xfId="0" applyNumberFormat="1" applyFont="1" applyFill="1" applyBorder="1" applyAlignment="1">
      <alignment horizontal="center" vertical="center" wrapText="1"/>
    </xf>
    <xf numFmtId="1" fontId="2" fillId="9" borderId="25" xfId="0" applyNumberFormat="1" applyFont="1" applyFill="1" applyBorder="1" applyAlignment="1">
      <alignment horizontal="center" vertical="center" wrapText="1"/>
    </xf>
    <xf numFmtId="167" fontId="2" fillId="9" borderId="24" xfId="0" applyNumberFormat="1" applyFont="1" applyFill="1" applyBorder="1" applyAlignment="1">
      <alignment horizontal="center" vertical="center" wrapText="1"/>
    </xf>
    <xf numFmtId="9" fontId="2" fillId="9" borderId="26" xfId="1" applyFont="1" applyFill="1" applyBorder="1" applyAlignment="1">
      <alignment horizontal="center" vertical="center" wrapText="1"/>
    </xf>
    <xf numFmtId="9" fontId="2" fillId="9" borderId="27" xfId="0" applyNumberFormat="1" applyFont="1" applyFill="1" applyBorder="1" applyAlignment="1">
      <alignment horizontal="center" vertical="center" wrapText="1"/>
    </xf>
    <xf numFmtId="164" fontId="2" fillId="9" borderId="24" xfId="0" applyNumberFormat="1" applyFont="1" applyFill="1" applyBorder="1" applyAlignment="1">
      <alignment horizontal="center" vertical="center" wrapText="1"/>
    </xf>
    <xf numFmtId="164" fontId="2" fillId="9" borderId="25" xfId="0" applyNumberFormat="1" applyFont="1" applyFill="1" applyBorder="1" applyAlignment="1">
      <alignment horizontal="center" vertical="center" wrapText="1"/>
    </xf>
    <xf numFmtId="14" fontId="2" fillId="9" borderId="25" xfId="0" applyNumberFormat="1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166" fontId="2" fillId="10" borderId="14" xfId="0" applyNumberFormat="1" applyFont="1" applyFill="1" applyBorder="1" applyAlignment="1">
      <alignment horizontal="center" vertical="center" wrapText="1"/>
    </xf>
    <xf numFmtId="167" fontId="4" fillId="4" borderId="10" xfId="0" applyNumberFormat="1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 wrapText="1"/>
    </xf>
    <xf numFmtId="2" fontId="2" fillId="7" borderId="31" xfId="0" applyNumberFormat="1" applyFont="1" applyFill="1" applyBorder="1" applyAlignment="1">
      <alignment horizontal="center" vertical="center" wrapText="1"/>
    </xf>
    <xf numFmtId="166" fontId="2" fillId="7" borderId="34" xfId="0" applyNumberFormat="1" applyFont="1" applyFill="1" applyBorder="1" applyAlignment="1">
      <alignment horizontal="center" vertical="center" wrapText="1"/>
    </xf>
    <xf numFmtId="167" fontId="4" fillId="7" borderId="33" xfId="0" applyNumberFormat="1" applyFont="1" applyFill="1" applyBorder="1" applyAlignment="1">
      <alignment horizontal="center" vertical="center" wrapText="1"/>
    </xf>
    <xf numFmtId="167" fontId="2" fillId="7" borderId="31" xfId="0" applyNumberFormat="1" applyFont="1" applyFill="1" applyBorder="1" applyAlignment="1">
      <alignment horizontal="center" vertical="center" wrapText="1"/>
    </xf>
    <xf numFmtId="9" fontId="2" fillId="7" borderId="31" xfId="0" applyNumberFormat="1" applyFont="1" applyFill="1" applyBorder="1" applyAlignment="1">
      <alignment horizontal="center" vertical="center" wrapText="1"/>
    </xf>
    <xf numFmtId="167" fontId="2" fillId="7" borderId="34" xfId="0" applyNumberFormat="1" applyFont="1" applyFill="1" applyBorder="1" applyAlignment="1">
      <alignment horizontal="center" vertical="center" wrapText="1"/>
    </xf>
    <xf numFmtId="1" fontId="2" fillId="7" borderId="34" xfId="0" applyNumberFormat="1" applyFont="1" applyFill="1" applyBorder="1" applyAlignment="1">
      <alignment horizontal="center" vertical="center" wrapText="1"/>
    </xf>
    <xf numFmtId="167" fontId="2" fillId="7" borderId="35" xfId="0" applyNumberFormat="1" applyFont="1" applyFill="1" applyBorder="1" applyAlignment="1">
      <alignment horizontal="center" vertical="center" wrapText="1"/>
    </xf>
    <xf numFmtId="167" fontId="2" fillId="7" borderId="33" xfId="0" applyNumberFormat="1" applyFont="1" applyFill="1" applyBorder="1" applyAlignment="1">
      <alignment horizontal="center" vertical="center" wrapText="1"/>
    </xf>
    <xf numFmtId="9" fontId="2" fillId="7" borderId="31" xfId="1" applyFont="1" applyFill="1" applyBorder="1" applyAlignment="1">
      <alignment horizontal="center" vertical="center" wrapText="1"/>
    </xf>
    <xf numFmtId="9" fontId="2" fillId="7" borderId="33" xfId="0" applyNumberFormat="1" applyFont="1" applyFill="1" applyBorder="1" applyAlignment="1">
      <alignment horizontal="center" vertical="center" wrapText="1"/>
    </xf>
    <xf numFmtId="164" fontId="2" fillId="7" borderId="35" xfId="0" applyNumberFormat="1" applyFont="1" applyFill="1" applyBorder="1" applyAlignment="1">
      <alignment horizontal="center" vertical="center" wrapText="1"/>
    </xf>
    <xf numFmtId="164" fontId="2" fillId="7" borderId="34" xfId="0" applyNumberFormat="1" applyFont="1" applyFill="1" applyBorder="1" applyAlignment="1">
      <alignment horizontal="center" vertical="center" wrapText="1"/>
    </xf>
    <xf numFmtId="0" fontId="2" fillId="7" borderId="35" xfId="0" applyFont="1" applyFill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2" fontId="6" fillId="0" borderId="31" xfId="0" applyNumberFormat="1" applyFont="1" applyBorder="1" applyAlignment="1">
      <alignment horizontal="center" vertical="center" wrapText="1"/>
    </xf>
    <xf numFmtId="166" fontId="6" fillId="0" borderId="34" xfId="0" applyNumberFormat="1" applyFont="1" applyBorder="1" applyAlignment="1">
      <alignment horizontal="center" vertical="center" wrapText="1"/>
    </xf>
    <xf numFmtId="167" fontId="6" fillId="0" borderId="33" xfId="0" applyNumberFormat="1" applyFont="1" applyBorder="1" applyAlignment="1">
      <alignment horizontal="center" vertical="center" wrapText="1"/>
    </xf>
    <xf numFmtId="167" fontId="6" fillId="0" borderId="31" xfId="0" applyNumberFormat="1" applyFont="1" applyBorder="1" applyAlignment="1">
      <alignment horizontal="center" vertical="center" wrapText="1"/>
    </xf>
    <xf numFmtId="9" fontId="6" fillId="0" borderId="31" xfId="0" applyNumberFormat="1" applyFont="1" applyBorder="1" applyAlignment="1">
      <alignment horizontal="center" vertical="center" wrapText="1"/>
    </xf>
    <xf numFmtId="167" fontId="6" fillId="0" borderId="34" xfId="0" applyNumberFormat="1" applyFont="1" applyBorder="1" applyAlignment="1">
      <alignment horizontal="center" vertical="center" wrapText="1"/>
    </xf>
    <xf numFmtId="1" fontId="6" fillId="0" borderId="34" xfId="0" applyNumberFormat="1" applyFont="1" applyBorder="1" applyAlignment="1">
      <alignment horizontal="center" vertical="center" wrapText="1"/>
    </xf>
    <xf numFmtId="167" fontId="6" fillId="0" borderId="35" xfId="0" applyNumberFormat="1" applyFont="1" applyBorder="1" applyAlignment="1">
      <alignment horizontal="center" vertical="center" wrapText="1"/>
    </xf>
    <xf numFmtId="9" fontId="6" fillId="0" borderId="31" xfId="1" applyFont="1" applyFill="1" applyBorder="1" applyAlignment="1">
      <alignment horizontal="center" vertical="center" wrapText="1"/>
    </xf>
    <xf numFmtId="9" fontId="6" fillId="0" borderId="33" xfId="0" applyNumberFormat="1" applyFont="1" applyBorder="1" applyAlignment="1">
      <alignment horizontal="center" vertical="center" wrapText="1"/>
    </xf>
    <xf numFmtId="164" fontId="6" fillId="0" borderId="35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 wrapText="1"/>
    </xf>
    <xf numFmtId="14" fontId="6" fillId="0" borderId="34" xfId="0" applyNumberFormat="1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166" fontId="2" fillId="10" borderId="25" xfId="0" applyNumberFormat="1" applyFont="1" applyFill="1" applyBorder="1" applyAlignment="1">
      <alignment horizontal="center" vertical="center" wrapText="1"/>
    </xf>
    <xf numFmtId="167" fontId="4" fillId="6" borderId="37" xfId="0" applyNumberFormat="1" applyFont="1" applyFill="1" applyBorder="1" applyAlignment="1">
      <alignment horizontal="center" vertical="center" wrapText="1"/>
    </xf>
    <xf numFmtId="14" fontId="2" fillId="4" borderId="34" xfId="0" applyNumberFormat="1" applyFont="1" applyFill="1" applyBorder="1" applyAlignment="1">
      <alignment horizontal="center" vertical="center" wrapText="1"/>
    </xf>
    <xf numFmtId="166" fontId="2" fillId="10" borderId="11" xfId="0" applyNumberFormat="1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14" fontId="2" fillId="4" borderId="39" xfId="0" applyNumberFormat="1" applyFont="1" applyFill="1" applyBorder="1" applyAlignment="1">
      <alignment horizontal="center" vertical="center" wrapText="1"/>
    </xf>
    <xf numFmtId="167" fontId="2" fillId="4" borderId="38" xfId="0" applyNumberFormat="1" applyFont="1" applyFill="1" applyBorder="1" applyAlignment="1">
      <alignment horizontal="center" vertical="center" wrapText="1"/>
    </xf>
    <xf numFmtId="0" fontId="2" fillId="9" borderId="41" xfId="0" applyFont="1" applyFill="1" applyBorder="1" applyAlignment="1">
      <alignment horizontal="center" vertical="center" wrapText="1"/>
    </xf>
    <xf numFmtId="0" fontId="2" fillId="9" borderId="32" xfId="0" applyFont="1" applyFill="1" applyBorder="1" applyAlignment="1">
      <alignment horizontal="center" vertical="center" wrapText="1"/>
    </xf>
    <xf numFmtId="0" fontId="2" fillId="9" borderId="42" xfId="0" applyFont="1" applyFill="1" applyBorder="1" applyAlignment="1">
      <alignment horizontal="center" vertical="center" wrapText="1"/>
    </xf>
    <xf numFmtId="2" fontId="2" fillId="9" borderId="32" xfId="0" applyNumberFormat="1" applyFont="1" applyFill="1" applyBorder="1" applyAlignment="1">
      <alignment horizontal="center" vertical="center" wrapText="1"/>
    </xf>
    <xf numFmtId="167" fontId="2" fillId="9" borderId="32" xfId="0" applyNumberFormat="1" applyFont="1" applyFill="1" applyBorder="1" applyAlignment="1">
      <alignment horizontal="center" vertical="center" wrapText="1"/>
    </xf>
    <xf numFmtId="9" fontId="2" fillId="9" borderId="32" xfId="0" applyNumberFormat="1" applyFont="1" applyFill="1" applyBorder="1" applyAlignment="1">
      <alignment horizontal="center" vertical="center" wrapText="1"/>
    </xf>
    <xf numFmtId="167" fontId="2" fillId="9" borderId="42" xfId="0" applyNumberFormat="1" applyFont="1" applyFill="1" applyBorder="1" applyAlignment="1">
      <alignment horizontal="center" vertical="center" wrapText="1"/>
    </xf>
    <xf numFmtId="167" fontId="2" fillId="9" borderId="41" xfId="0" applyNumberFormat="1" applyFont="1" applyFill="1" applyBorder="1" applyAlignment="1">
      <alignment horizontal="center" vertical="center" wrapText="1"/>
    </xf>
    <xf numFmtId="1" fontId="2" fillId="9" borderId="42" xfId="0" applyNumberFormat="1" applyFont="1" applyFill="1" applyBorder="1" applyAlignment="1">
      <alignment horizontal="center" vertical="center" wrapText="1"/>
    </xf>
    <xf numFmtId="167" fontId="2" fillId="9" borderId="1" xfId="0" applyNumberFormat="1" applyFont="1" applyFill="1" applyBorder="1" applyAlignment="1">
      <alignment horizontal="center" vertical="center" wrapText="1"/>
    </xf>
    <xf numFmtId="9" fontId="2" fillId="9" borderId="32" xfId="1" applyFont="1" applyFill="1" applyBorder="1" applyAlignment="1">
      <alignment horizontal="center" vertical="center" wrapText="1"/>
    </xf>
    <xf numFmtId="9" fontId="2" fillId="9" borderId="41" xfId="0" applyNumberFormat="1" applyFont="1" applyFill="1" applyBorder="1" applyAlignment="1">
      <alignment horizontal="center" vertical="center" wrapText="1"/>
    </xf>
    <xf numFmtId="164" fontId="2" fillId="9" borderId="1" xfId="0" applyNumberFormat="1" applyFont="1" applyFill="1" applyBorder="1" applyAlignment="1">
      <alignment horizontal="center" vertical="center" wrapText="1"/>
    </xf>
    <xf numFmtId="164" fontId="2" fillId="9" borderId="42" xfId="0" applyNumberFormat="1" applyFont="1" applyFill="1" applyBorder="1" applyAlignment="1">
      <alignment horizontal="center" vertical="center" wrapText="1"/>
    </xf>
    <xf numFmtId="14" fontId="2" fillId="9" borderId="42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 vertical="center" wrapText="1"/>
    </xf>
    <xf numFmtId="14" fontId="2" fillId="5" borderId="25" xfId="0" applyNumberFormat="1" applyFont="1" applyFill="1" applyBorder="1" applyAlignment="1">
      <alignment horizontal="center" vertical="center" wrapText="1"/>
    </xf>
    <xf numFmtId="167" fontId="4" fillId="9" borderId="27" xfId="0" applyNumberFormat="1" applyFont="1" applyFill="1" applyBorder="1" applyAlignment="1">
      <alignment horizontal="center" vertical="center" wrapText="1"/>
    </xf>
    <xf numFmtId="167" fontId="4" fillId="6" borderId="41" xfId="0" applyNumberFormat="1" applyFont="1" applyFill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27" xfId="0" applyNumberFormat="1" applyFont="1" applyBorder="1" applyAlignment="1">
      <alignment horizontal="center" vertical="center" wrapText="1"/>
    </xf>
    <xf numFmtId="14" fontId="2" fillId="5" borderId="14" xfId="0" applyNumberFormat="1" applyFont="1" applyFill="1" applyBorder="1" applyAlignment="1">
      <alignment horizontal="center" vertical="center" wrapText="1"/>
    </xf>
    <xf numFmtId="14" fontId="4" fillId="4" borderId="11" xfId="0" applyNumberFormat="1" applyFont="1" applyFill="1" applyBorder="1" applyAlignment="1">
      <alignment horizontal="center" vertical="center" wrapText="1"/>
    </xf>
    <xf numFmtId="0" fontId="2" fillId="8" borderId="38" xfId="0" applyFont="1" applyFill="1" applyBorder="1" applyAlignment="1">
      <alignment horizontal="center" vertical="center" wrapText="1"/>
    </xf>
    <xf numFmtId="167" fontId="4" fillId="4" borderId="33" xfId="0" applyNumberFormat="1" applyFont="1" applyFill="1" applyBorder="1" applyAlignment="1">
      <alignment horizontal="center" vertical="center" wrapText="1"/>
    </xf>
    <xf numFmtId="9" fontId="2" fillId="0" borderId="26" xfId="1" applyFont="1" applyFill="1" applyBorder="1" applyAlignment="1">
      <alignment horizontal="center" vertical="center" wrapText="1"/>
    </xf>
    <xf numFmtId="0" fontId="2" fillId="6" borderId="3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166" fontId="2" fillId="10" borderId="42" xfId="0" applyNumberFormat="1" applyFont="1" applyFill="1" applyBorder="1" applyAlignment="1">
      <alignment horizontal="center" vertical="center" wrapText="1"/>
    </xf>
    <xf numFmtId="166" fontId="9" fillId="0" borderId="11" xfId="0" applyNumberFormat="1" applyFont="1" applyBorder="1" applyAlignment="1">
      <alignment horizontal="center" vertical="center" wrapText="1"/>
    </xf>
    <xf numFmtId="167" fontId="3" fillId="2" borderId="27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1" fontId="2" fillId="0" borderId="44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6" fontId="2" fillId="0" borderId="43" xfId="0" applyNumberFormat="1" applyFont="1" applyBorder="1" applyAlignment="1">
      <alignment horizontal="center" vertical="center" wrapText="1"/>
    </xf>
    <xf numFmtId="166" fontId="2" fillId="0" borderId="17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2" fillId="0" borderId="0" xfId="0" applyFont="1"/>
    <xf numFmtId="14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2" fontId="2" fillId="9" borderId="13" xfId="0" applyNumberFormat="1" applyFont="1" applyFill="1" applyBorder="1" applyAlignment="1">
      <alignment horizontal="center" vertical="center" wrapText="1"/>
    </xf>
    <xf numFmtId="166" fontId="2" fillId="9" borderId="14" xfId="0" applyNumberFormat="1" applyFont="1" applyFill="1" applyBorder="1" applyAlignment="1">
      <alignment horizontal="center" vertical="center" wrapText="1"/>
    </xf>
    <xf numFmtId="167" fontId="2" fillId="9" borderId="12" xfId="0" applyNumberFormat="1" applyFont="1" applyFill="1" applyBorder="1" applyAlignment="1">
      <alignment horizontal="center" vertical="center" wrapText="1"/>
    </xf>
    <xf numFmtId="167" fontId="2" fillId="9" borderId="13" xfId="0" applyNumberFormat="1" applyFont="1" applyFill="1" applyBorder="1" applyAlignment="1">
      <alignment horizontal="center" vertical="center" wrapText="1"/>
    </xf>
    <xf numFmtId="9" fontId="2" fillId="9" borderId="13" xfId="0" applyNumberFormat="1" applyFont="1" applyFill="1" applyBorder="1" applyAlignment="1">
      <alignment horizontal="center" vertical="center" wrapText="1"/>
    </xf>
    <xf numFmtId="167" fontId="2" fillId="9" borderId="14" xfId="0" applyNumberFormat="1" applyFont="1" applyFill="1" applyBorder="1" applyAlignment="1">
      <alignment horizontal="center" vertical="center" wrapText="1"/>
    </xf>
    <xf numFmtId="1" fontId="2" fillId="9" borderId="14" xfId="0" applyNumberFormat="1" applyFont="1" applyFill="1" applyBorder="1" applyAlignment="1">
      <alignment horizontal="center" vertical="center" wrapText="1"/>
    </xf>
    <xf numFmtId="167" fontId="2" fillId="9" borderId="15" xfId="0" applyNumberFormat="1" applyFont="1" applyFill="1" applyBorder="1" applyAlignment="1">
      <alignment horizontal="center" vertical="center" wrapText="1"/>
    </xf>
    <xf numFmtId="167" fontId="4" fillId="9" borderId="12" xfId="0" applyNumberFormat="1" applyFont="1" applyFill="1" applyBorder="1" applyAlignment="1">
      <alignment horizontal="center" vertical="center" wrapText="1"/>
    </xf>
    <xf numFmtId="9" fontId="2" fillId="9" borderId="13" xfId="1" applyFont="1" applyFill="1" applyBorder="1" applyAlignment="1">
      <alignment horizontal="center" vertical="center" wrapText="1"/>
    </xf>
    <xf numFmtId="9" fontId="2" fillId="9" borderId="12" xfId="0" applyNumberFormat="1" applyFont="1" applyFill="1" applyBorder="1" applyAlignment="1">
      <alignment horizontal="center" vertical="center" wrapText="1"/>
    </xf>
    <xf numFmtId="164" fontId="2" fillId="9" borderId="15" xfId="0" applyNumberFormat="1" applyFont="1" applyFill="1" applyBorder="1" applyAlignment="1">
      <alignment horizontal="center" vertical="center" wrapText="1"/>
    </xf>
    <xf numFmtId="164" fontId="2" fillId="9" borderId="14" xfId="0" applyNumberFormat="1" applyFont="1" applyFill="1" applyBorder="1" applyAlignment="1">
      <alignment horizontal="center" vertical="center" wrapText="1"/>
    </xf>
    <xf numFmtId="14" fontId="2" fillId="9" borderId="14" xfId="0" applyNumberFormat="1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167" fontId="4" fillId="9" borderId="33" xfId="0" applyNumberFormat="1" applyFont="1" applyFill="1" applyBorder="1" applyAlignment="1">
      <alignment horizontal="center" vertical="center" wrapText="1"/>
    </xf>
    <xf numFmtId="166" fontId="2" fillId="10" borderId="34" xfId="0" applyNumberFormat="1" applyFont="1" applyFill="1" applyBorder="1" applyAlignment="1">
      <alignment horizontal="center" vertical="center" wrapText="1"/>
    </xf>
    <xf numFmtId="167" fontId="2" fillId="6" borderId="12" xfId="0" applyNumberFormat="1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horizontal="center" vertical="center" wrapText="1"/>
    </xf>
    <xf numFmtId="2" fontId="2" fillId="7" borderId="26" xfId="0" applyNumberFormat="1" applyFont="1" applyFill="1" applyBorder="1" applyAlignment="1">
      <alignment horizontal="center" vertical="center" wrapText="1"/>
    </xf>
    <xf numFmtId="166" fontId="2" fillId="7" borderId="25" xfId="0" applyNumberFormat="1" applyFont="1" applyFill="1" applyBorder="1" applyAlignment="1">
      <alignment horizontal="center" vertical="center" wrapText="1"/>
    </xf>
    <xf numFmtId="167" fontId="4" fillId="7" borderId="27" xfId="0" applyNumberFormat="1" applyFont="1" applyFill="1" applyBorder="1" applyAlignment="1">
      <alignment horizontal="center" vertical="center" wrapText="1"/>
    </xf>
    <xf numFmtId="167" fontId="4" fillId="9" borderId="10" xfId="0" applyNumberFormat="1" applyFont="1" applyFill="1" applyBorder="1" applyAlignment="1">
      <alignment horizontal="center" vertical="center" wrapText="1"/>
    </xf>
    <xf numFmtId="167" fontId="2" fillId="7" borderId="26" xfId="0" applyNumberFormat="1" applyFont="1" applyFill="1" applyBorder="1" applyAlignment="1">
      <alignment horizontal="center" vertical="center" wrapText="1"/>
    </xf>
    <xf numFmtId="9" fontId="2" fillId="7" borderId="26" xfId="0" applyNumberFormat="1" applyFont="1" applyFill="1" applyBorder="1" applyAlignment="1">
      <alignment horizontal="center" vertical="center" wrapText="1"/>
    </xf>
    <xf numFmtId="167" fontId="2" fillId="7" borderId="25" xfId="0" applyNumberFormat="1" applyFont="1" applyFill="1" applyBorder="1" applyAlignment="1">
      <alignment horizontal="center" vertical="center" wrapText="1"/>
    </xf>
    <xf numFmtId="1" fontId="2" fillId="7" borderId="25" xfId="0" applyNumberFormat="1" applyFont="1" applyFill="1" applyBorder="1" applyAlignment="1">
      <alignment horizontal="center" vertical="center" wrapText="1"/>
    </xf>
    <xf numFmtId="167" fontId="2" fillId="7" borderId="24" xfId="0" applyNumberFormat="1" applyFont="1" applyFill="1" applyBorder="1" applyAlignment="1">
      <alignment horizontal="center" vertical="center" wrapText="1"/>
    </xf>
    <xf numFmtId="167" fontId="2" fillId="7" borderId="27" xfId="0" applyNumberFormat="1" applyFont="1" applyFill="1" applyBorder="1" applyAlignment="1">
      <alignment horizontal="center" vertical="center" wrapText="1"/>
    </xf>
    <xf numFmtId="9" fontId="2" fillId="7" borderId="26" xfId="1" applyFont="1" applyFill="1" applyBorder="1" applyAlignment="1">
      <alignment horizontal="center" vertical="center" wrapText="1"/>
    </xf>
    <xf numFmtId="9" fontId="2" fillId="0" borderId="8" xfId="1" applyFont="1" applyFill="1" applyBorder="1" applyAlignment="1">
      <alignment horizontal="center" vertical="center" wrapText="1"/>
    </xf>
    <xf numFmtId="9" fontId="2" fillId="7" borderId="27" xfId="0" applyNumberFormat="1" applyFont="1" applyFill="1" applyBorder="1" applyAlignment="1">
      <alignment horizontal="center" vertical="center" wrapText="1"/>
    </xf>
    <xf numFmtId="164" fontId="2" fillId="7" borderId="24" xfId="0" applyNumberFormat="1" applyFont="1" applyFill="1" applyBorder="1" applyAlignment="1">
      <alignment horizontal="center" vertical="center" wrapText="1"/>
    </xf>
    <xf numFmtId="164" fontId="2" fillId="7" borderId="25" xfId="0" applyNumberFormat="1" applyFont="1" applyFill="1" applyBorder="1" applyAlignment="1">
      <alignment horizontal="center" vertical="center" wrapText="1"/>
    </xf>
    <xf numFmtId="14" fontId="2" fillId="5" borderId="34" xfId="0" applyNumberFormat="1" applyFont="1" applyFill="1" applyBorder="1" applyAlignment="1">
      <alignment horizontal="center" vertical="center" wrapText="1"/>
    </xf>
    <xf numFmtId="14" fontId="2" fillId="6" borderId="14" xfId="0" applyNumberFormat="1" applyFont="1" applyFill="1" applyBorder="1" applyAlignment="1">
      <alignment horizontal="center" vertical="center" wrapText="1"/>
    </xf>
    <xf numFmtId="14" fontId="2" fillId="11" borderId="25" xfId="0" applyNumberFormat="1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13"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F95DF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5EFFB"/>
      <color rgb="FFBF95DF"/>
      <color rgb="FFFF5050"/>
      <color rgb="FFFF7C80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kumimoji="0" lang="fr-FR" sz="1600" b="1" i="0" u="none" strike="noStrike" kern="1200" cap="none" spc="100" normalizeH="0" baseline="0" noProof="0">
                <a:ln>
                  <a:noFill/>
                </a:ln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uLnTx/>
                <a:uFillTx/>
                <a:latin typeface="Calibri" panose="020F0502020204030204"/>
              </a:rPr>
              <a:t>Cadence K2</a:t>
            </a:r>
          </a:p>
        </c:rich>
      </c:tx>
      <c:layout>
        <c:manualLayout>
          <c:xMode val="edge"/>
          <c:yMode val="edge"/>
          <c:x val="0.4404502936435904"/>
          <c:y val="2.59400504887819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300433380980147E-2"/>
          <c:y val="5.2688820198684684E-2"/>
          <c:w val="0.95969956661901989"/>
          <c:h val="0.8693790499789920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'Charge K2'!$H$1</c:f>
              <c:strCache>
                <c:ptCount val="1"/>
                <c:pt idx="0">
                  <c:v>Total reste à tailler K2 BLC par semaine (h)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'Charge K2'!$H$2:$H$43</c:f>
              <c:numCache>
                <c:formatCode>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17</c:v>
                </c:pt>
                <c:pt idx="18">
                  <c:v>7.5</c:v>
                </c:pt>
                <c:pt idx="19">
                  <c:v>0</c:v>
                </c:pt>
                <c:pt idx="20">
                  <c:v>178.5</c:v>
                </c:pt>
                <c:pt idx="21">
                  <c:v>16.600000000000001</c:v>
                </c:pt>
                <c:pt idx="22">
                  <c:v>260</c:v>
                </c:pt>
                <c:pt idx="23">
                  <c:v>16</c:v>
                </c:pt>
                <c:pt idx="24">
                  <c:v>0</c:v>
                </c:pt>
                <c:pt idx="25">
                  <c:v>9</c:v>
                </c:pt>
                <c:pt idx="26">
                  <c:v>360.5</c:v>
                </c:pt>
                <c:pt idx="27">
                  <c:v>360.5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16</c:v>
                </c:pt>
                <c:pt idx="35">
                  <c:v>181</c:v>
                </c:pt>
                <c:pt idx="36">
                  <c:v>181</c:v>
                </c:pt>
                <c:pt idx="37">
                  <c:v>181</c:v>
                </c:pt>
                <c:pt idx="38">
                  <c:v>181</c:v>
                </c:pt>
                <c:pt idx="39">
                  <c:v>0</c:v>
                </c:pt>
                <c:pt idx="40">
                  <c:v>15</c:v>
                </c:pt>
                <c:pt idx="41">
                  <c:v>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6E4-4D0D-824D-D78E75B7B0E9}"/>
            </c:ext>
          </c:extLst>
        </c:ser>
        <c:ser>
          <c:idx val="1"/>
          <c:order val="1"/>
          <c:tx>
            <c:strRef>
              <c:f>'Charge K2'!$I$1</c:f>
              <c:strCache>
                <c:ptCount val="1"/>
                <c:pt idx="0">
                  <c:v>Temps disponible par semaine (h)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'Charge K2'!$I$2:$I$43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55</c:v>
                </c:pt>
                <c:pt idx="17">
                  <c:v>45</c:v>
                </c:pt>
                <c:pt idx="18">
                  <c:v>55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55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  <c:pt idx="29">
                  <c:v>55</c:v>
                </c:pt>
                <c:pt idx="30">
                  <c:v>55</c:v>
                </c:pt>
                <c:pt idx="31">
                  <c:v>55</c:v>
                </c:pt>
                <c:pt idx="32">
                  <c:v>55</c:v>
                </c:pt>
                <c:pt idx="33">
                  <c:v>55</c:v>
                </c:pt>
                <c:pt idx="34">
                  <c:v>55</c:v>
                </c:pt>
                <c:pt idx="35">
                  <c:v>55</c:v>
                </c:pt>
                <c:pt idx="36">
                  <c:v>55</c:v>
                </c:pt>
                <c:pt idx="37">
                  <c:v>55</c:v>
                </c:pt>
                <c:pt idx="38">
                  <c:v>55</c:v>
                </c:pt>
                <c:pt idx="39">
                  <c:v>55</c:v>
                </c:pt>
                <c:pt idx="40">
                  <c:v>55</c:v>
                </c:pt>
                <c:pt idx="41">
                  <c:v>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6E4-4D0D-824D-D78E75B7B0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747840"/>
        <c:axId val="84312832"/>
      </c:barChart>
      <c:catAx>
        <c:axId val="1157478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12832"/>
        <c:crosses val="autoZero"/>
        <c:auto val="1"/>
        <c:lblAlgn val="ctr"/>
        <c:lblOffset val="100"/>
        <c:noMultiLvlLbl val="0"/>
      </c:catAx>
      <c:valAx>
        <c:axId val="8431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747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0</xdr:row>
          <xdr:rowOff>28575</xdr:rowOff>
        </xdr:from>
        <xdr:to>
          <xdr:col>3</xdr:col>
          <xdr:colOff>1657350</xdr:colOff>
          <xdr:row>0</xdr:row>
          <xdr:rowOff>542925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COLLAGE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0</xdr:row>
          <xdr:rowOff>9525</xdr:rowOff>
        </xdr:from>
        <xdr:to>
          <xdr:col>5</xdr:col>
          <xdr:colOff>1114425</xdr:colOff>
          <xdr:row>0</xdr:row>
          <xdr:rowOff>695325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HERVE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0</xdr:row>
          <xdr:rowOff>200025</xdr:rowOff>
        </xdr:from>
        <xdr:to>
          <xdr:col>1</xdr:col>
          <xdr:colOff>2314575</xdr:colOff>
          <xdr:row>0</xdr:row>
          <xdr:rowOff>762000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8</xdr:col>
          <xdr:colOff>0</xdr:colOff>
          <xdr:row>0</xdr:row>
          <xdr:rowOff>542925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ATELIER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57150</xdr:rowOff>
        </xdr:from>
        <xdr:to>
          <xdr:col>9</xdr:col>
          <xdr:colOff>952500</xdr:colOff>
          <xdr:row>0</xdr:row>
          <xdr:rowOff>676275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JENNIFER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0</xdr:row>
          <xdr:rowOff>28575</xdr:rowOff>
        </xdr:from>
        <xdr:to>
          <xdr:col>3</xdr:col>
          <xdr:colOff>1657350</xdr:colOff>
          <xdr:row>0</xdr:row>
          <xdr:rowOff>542925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COLLAGE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0</xdr:row>
          <xdr:rowOff>9525</xdr:rowOff>
        </xdr:from>
        <xdr:to>
          <xdr:col>5</xdr:col>
          <xdr:colOff>1114425</xdr:colOff>
          <xdr:row>0</xdr:row>
          <xdr:rowOff>695325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HERVE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0</xdr:row>
          <xdr:rowOff>200025</xdr:rowOff>
        </xdr:from>
        <xdr:to>
          <xdr:col>1</xdr:col>
          <xdr:colOff>2314575</xdr:colOff>
          <xdr:row>0</xdr:row>
          <xdr:rowOff>762000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8</xdr:col>
          <xdr:colOff>0</xdr:colOff>
          <xdr:row>0</xdr:row>
          <xdr:rowOff>542925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ATELIER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57150</xdr:rowOff>
        </xdr:from>
        <xdr:to>
          <xdr:col>9</xdr:col>
          <xdr:colOff>952500</xdr:colOff>
          <xdr:row>0</xdr:row>
          <xdr:rowOff>676275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JENNIFER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0</xdr:row>
          <xdr:rowOff>38100</xdr:rowOff>
        </xdr:from>
        <xdr:to>
          <xdr:col>4</xdr:col>
          <xdr:colOff>981075</xdr:colOff>
          <xdr:row>0</xdr:row>
          <xdr:rowOff>723900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PAGE REMI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535617</xdr:colOff>
      <xdr:row>1</xdr:row>
      <xdr:rowOff>11340</xdr:rowOff>
    </xdr:from>
    <xdr:to>
      <xdr:col>26</xdr:col>
      <xdr:colOff>38555</xdr:colOff>
      <xdr:row>33</xdr:row>
      <xdr:rowOff>238127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504265</xdr:colOff>
      <xdr:row>0</xdr:row>
      <xdr:rowOff>200906</xdr:rowOff>
    </xdr:from>
    <xdr:to>
      <xdr:col>14</xdr:col>
      <xdr:colOff>558693</xdr:colOff>
      <xdr:row>0</xdr:row>
      <xdr:rowOff>799621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4993471" y="200906"/>
          <a:ext cx="3864428" cy="59871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Actualiser tableau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314325</xdr:colOff>
          <xdr:row>0</xdr:row>
          <xdr:rowOff>114300</xdr:rowOff>
        </xdr:from>
        <xdr:to>
          <xdr:col>41</xdr:col>
          <xdr:colOff>609600</xdr:colOff>
          <xdr:row>0</xdr:row>
          <xdr:rowOff>438150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COLLAGE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K2" displayName="TableauK2" ref="B1:E94" totalsRowShown="0" dataDxfId="107" headerRowBorderDxfId="108" tableBorderDxfId="106">
  <autoFilter ref="B1:E94"/>
  <tableColumns count="4">
    <tableColumn id="1" name="Chantier" dataDxfId="105">
      <calculatedColumnFormula>PLANNING!B2</calculatedColumnFormula>
    </tableColumn>
    <tableColumn id="2" name="Date de Livraison sur chantier" dataDxfId="104">
      <calculatedColumnFormula>PLANNING!K2</calculatedColumnFormula>
    </tableColumn>
    <tableColumn id="3" name="Semaine de taille" dataDxfId="103">
      <calculatedColumnFormula>WEEKNUM(C2,2)</calculatedColumnFormula>
    </tableColumn>
    <tableColumn id="4" name="Reste à tailler K2 BLC (h)" dataDxfId="102">
      <calculatedColumnFormula>PLANNING!U2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Q196"/>
  <sheetViews>
    <sheetView tabSelected="1" zoomScale="68" zoomScaleNormal="68" zoomScaleSheetLayoutView="25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baseColWidth="10" defaultRowHeight="18.75" x14ac:dyDescent="0.25"/>
  <cols>
    <col min="1" max="1" width="10.7109375" style="3" customWidth="1"/>
    <col min="2" max="2" width="40.7109375" style="429" customWidth="1"/>
    <col min="3" max="3" width="8.7109375" style="10" customWidth="1"/>
    <col min="4" max="4" width="25.7109375" style="3" customWidth="1"/>
    <col min="5" max="5" width="16.7109375" style="10" customWidth="1"/>
    <col min="6" max="6" width="12.7109375" style="3" customWidth="1"/>
    <col min="7" max="7" width="8.7109375" style="429" customWidth="1"/>
    <col min="8" max="8" width="14.7109375" style="429" customWidth="1"/>
    <col min="9" max="9" width="10.7109375" style="429" customWidth="1"/>
    <col min="10" max="10" width="14.7109375" style="489" customWidth="1"/>
    <col min="11" max="11" width="12.7109375" style="58" customWidth="1"/>
    <col min="12" max="12" width="8.7109375" style="60" customWidth="1"/>
    <col min="13" max="13" width="8.7109375" style="490" customWidth="1"/>
    <col min="14" max="14" width="8.7109375" style="491" customWidth="1"/>
    <col min="15" max="15" width="8.7109375" style="490" customWidth="1"/>
    <col min="16" max="16" width="8.7109375" style="63" customWidth="1"/>
    <col min="17" max="17" width="8.7109375" style="60" customWidth="1"/>
    <col min="18" max="18" width="8.7109375" style="490" customWidth="1"/>
    <col min="19" max="19" width="8.7109375" style="491" customWidth="1"/>
    <col min="20" max="20" width="8.7109375" style="490" customWidth="1"/>
    <col min="21" max="21" width="8.7109375" style="137" customWidth="1"/>
    <col min="22" max="22" width="8.7109375" style="62" customWidth="1"/>
    <col min="23" max="23" width="8.7109375" style="60" customWidth="1"/>
    <col min="24" max="24" width="8.7109375" style="490" customWidth="1"/>
    <col min="25" max="25" width="8.7109375" style="9" customWidth="1"/>
    <col min="26" max="26" width="8.7109375" style="490" customWidth="1"/>
    <col min="27" max="27" width="8.7109375" style="63" customWidth="1"/>
    <col min="28" max="28" width="8.7109375" style="62" customWidth="1"/>
    <col min="29" max="29" width="8.7109375" style="6" customWidth="1"/>
    <col min="30" max="30" width="8.7109375" style="490" customWidth="1"/>
    <col min="31" max="31" width="8.7109375" style="63" customWidth="1"/>
    <col min="32" max="32" width="8.7109375" style="5" customWidth="1"/>
    <col min="33" max="33" width="60.7109375" style="3" customWidth="1"/>
    <col min="34" max="34" width="14.7109375" style="7" customWidth="1"/>
    <col min="35" max="35" width="16.7109375" style="3" customWidth="1"/>
    <col min="36" max="36" width="16.7109375" style="4" customWidth="1"/>
    <col min="37" max="37" width="10.7109375" style="8" customWidth="1"/>
    <col min="38" max="38" width="14.7109375" style="3" customWidth="1"/>
    <col min="39" max="39" width="14.7109375" style="10" customWidth="1"/>
    <col min="40" max="40" width="14.7109375" style="3" customWidth="1"/>
    <col min="41" max="41" width="12" style="429" customWidth="1"/>
    <col min="42" max="42" width="11.42578125" style="429" customWidth="1"/>
    <col min="43" max="43" width="11.42578125" style="10" customWidth="1"/>
    <col min="44" max="16384" width="11.42578125" style="429"/>
  </cols>
  <sheetData>
    <row r="1" spans="1:43" ht="113.25" thickBot="1" x14ac:dyDescent="0.35">
      <c r="A1" s="119" t="s">
        <v>153</v>
      </c>
      <c r="B1" s="120" t="s">
        <v>288</v>
      </c>
      <c r="C1" s="121" t="s">
        <v>237</v>
      </c>
      <c r="D1" s="119" t="s">
        <v>217</v>
      </c>
      <c r="E1" s="183" t="s">
        <v>218</v>
      </c>
      <c r="F1" s="119" t="s">
        <v>353</v>
      </c>
      <c r="G1" s="122" t="s">
        <v>309</v>
      </c>
      <c r="H1" s="122" t="s">
        <v>69</v>
      </c>
      <c r="I1" s="122" t="s">
        <v>310</v>
      </c>
      <c r="J1" s="187" t="s">
        <v>354</v>
      </c>
      <c r="K1" s="123" t="s">
        <v>61</v>
      </c>
      <c r="L1" s="124" t="s">
        <v>143</v>
      </c>
      <c r="M1" s="125" t="s">
        <v>336</v>
      </c>
      <c r="N1" s="126" t="s">
        <v>148</v>
      </c>
      <c r="O1" s="125" t="s">
        <v>337</v>
      </c>
      <c r="P1" s="127" t="s">
        <v>338</v>
      </c>
      <c r="Q1" s="124" t="s">
        <v>145</v>
      </c>
      <c r="R1" s="125" t="s">
        <v>108</v>
      </c>
      <c r="S1" s="126" t="s">
        <v>149</v>
      </c>
      <c r="T1" s="125" t="s">
        <v>395</v>
      </c>
      <c r="U1" s="133" t="s">
        <v>109</v>
      </c>
      <c r="V1" s="61" t="s">
        <v>58</v>
      </c>
      <c r="W1" s="124" t="s">
        <v>146</v>
      </c>
      <c r="X1" s="125" t="s">
        <v>110</v>
      </c>
      <c r="Y1" s="128" t="s">
        <v>152</v>
      </c>
      <c r="Z1" s="125" t="s">
        <v>111</v>
      </c>
      <c r="AA1" s="127" t="s">
        <v>112</v>
      </c>
      <c r="AB1" s="61" t="s">
        <v>311</v>
      </c>
      <c r="AC1" s="129" t="s">
        <v>380</v>
      </c>
      <c r="AD1" s="125" t="s">
        <v>48</v>
      </c>
      <c r="AE1" s="127" t="s">
        <v>49</v>
      </c>
      <c r="AF1" s="1" t="s">
        <v>85</v>
      </c>
      <c r="AG1" s="119" t="s">
        <v>1</v>
      </c>
      <c r="AH1" s="130" t="s">
        <v>83</v>
      </c>
      <c r="AI1" s="119" t="s">
        <v>2</v>
      </c>
      <c r="AJ1" s="131" t="s">
        <v>84</v>
      </c>
      <c r="AK1" s="2" t="s">
        <v>3</v>
      </c>
      <c r="AL1" s="119" t="s">
        <v>216</v>
      </c>
      <c r="AM1" s="121" t="s">
        <v>199</v>
      </c>
      <c r="AN1" s="119" t="s">
        <v>358</v>
      </c>
      <c r="AO1" s="261" t="s">
        <v>357</v>
      </c>
      <c r="AP1" s="122" t="s">
        <v>355</v>
      </c>
      <c r="AQ1" s="121" t="s">
        <v>356</v>
      </c>
    </row>
    <row r="2" spans="1:43" ht="36.950000000000003" customHeight="1" thickBot="1" x14ac:dyDescent="0.3">
      <c r="A2" s="400">
        <v>210402</v>
      </c>
      <c r="B2" s="401" t="s">
        <v>251</v>
      </c>
      <c r="C2" s="402">
        <v>2</v>
      </c>
      <c r="D2" s="400" t="s">
        <v>219</v>
      </c>
      <c r="E2" s="402"/>
      <c r="F2" s="400" t="s">
        <v>74</v>
      </c>
      <c r="G2" s="401">
        <f>IF(F2="","",IFERROR(VLOOKUP(F2,'validation des champs'!A:B,2,FALSE),"vide"))</f>
        <v>131</v>
      </c>
      <c r="H2" s="401" t="s">
        <v>78</v>
      </c>
      <c r="I2" s="401">
        <f>IF(H2="","",IFERROR(VLOOKUP(H2,'validation des champs'!C:D,2,FALSE),"Mathieu 140"))</f>
        <v>118</v>
      </c>
      <c r="J2" s="403">
        <v>10.74</v>
      </c>
      <c r="K2" s="431">
        <v>45397</v>
      </c>
      <c r="L2" s="407">
        <v>0</v>
      </c>
      <c r="M2" s="404">
        <v>0</v>
      </c>
      <c r="N2" s="405">
        <v>1</v>
      </c>
      <c r="O2" s="404">
        <f>+N2*M2</f>
        <v>0</v>
      </c>
      <c r="P2" s="406">
        <f>+M2-O2</f>
        <v>0</v>
      </c>
      <c r="Q2" s="407">
        <v>24.12</v>
      </c>
      <c r="R2" s="404">
        <v>10.71</v>
      </c>
      <c r="S2" s="405">
        <v>1</v>
      </c>
      <c r="T2" s="404">
        <f t="shared" ref="T2:T31" si="0">+S2*R2</f>
        <v>10.71</v>
      </c>
      <c r="U2" s="408">
        <f t="shared" ref="U2:U31" si="1">+R2-T2</f>
        <v>0</v>
      </c>
      <c r="V2" s="409">
        <f t="shared" ref="V2:V31" si="2">+Q2+L2</f>
        <v>24.12</v>
      </c>
      <c r="W2" s="407">
        <v>0.25600000000000001</v>
      </c>
      <c r="X2" s="404">
        <v>1</v>
      </c>
      <c r="Y2" s="410">
        <v>1</v>
      </c>
      <c r="Z2" s="404">
        <f t="shared" ref="Z2:Z31" si="3">+X2*Y2</f>
        <v>1</v>
      </c>
      <c r="AA2" s="406">
        <f t="shared" ref="AA2:AA31" si="4">+X2-Z2</f>
        <v>0</v>
      </c>
      <c r="AB2" s="409">
        <f t="shared" ref="AB2:AB31" si="5">+L2+Q2+W2</f>
        <v>24.376000000000001</v>
      </c>
      <c r="AC2" s="411">
        <v>1</v>
      </c>
      <c r="AD2" s="404">
        <f t="shared" ref="AD2:AD31" si="6">+AC2*V2</f>
        <v>24.12</v>
      </c>
      <c r="AE2" s="406">
        <f t="shared" ref="AE2:AE31" si="7">+V2-AD2</f>
        <v>0</v>
      </c>
      <c r="AF2" s="412"/>
      <c r="AG2" s="400" t="s">
        <v>54</v>
      </c>
      <c r="AH2" s="413" t="s">
        <v>63</v>
      </c>
      <c r="AI2" s="400" t="s">
        <v>4</v>
      </c>
      <c r="AJ2" s="414">
        <v>45280</v>
      </c>
      <c r="AK2" s="415" t="s">
        <v>4</v>
      </c>
      <c r="AL2" s="400" t="str">
        <f t="shared" ref="AL2:AL31" si="8">IF(B2="","",IF(LEFT(B2,2)="FC","OUI","NON"))</f>
        <v>NON</v>
      </c>
      <c r="AM2" s="402" t="str">
        <f t="shared" ref="AM2:AM31" si="9">IF(A2="","incertain","vendu")</f>
        <v>vendu</v>
      </c>
      <c r="AN2" s="416">
        <f t="shared" ref="AN2:AN31" si="10">YEAR(K2)</f>
        <v>2024</v>
      </c>
      <c r="AO2" s="351">
        <f t="shared" ref="AO2:AO31" si="11">_xlfn.ISOWEEKNUM(K2)</f>
        <v>16</v>
      </c>
      <c r="AP2" s="417"/>
      <c r="AQ2" s="402"/>
    </row>
    <row r="3" spans="1:43" ht="36.950000000000003" customHeight="1" x14ac:dyDescent="0.25">
      <c r="A3" s="336">
        <v>230074</v>
      </c>
      <c r="B3" s="256" t="s">
        <v>248</v>
      </c>
      <c r="C3" s="282">
        <v>3</v>
      </c>
      <c r="D3" s="336" t="s">
        <v>224</v>
      </c>
      <c r="E3" s="282"/>
      <c r="F3" s="336" t="s">
        <v>72</v>
      </c>
      <c r="G3" s="256">
        <f>IF(F3="","",IFERROR(VLOOKUP(F3,'validation des champs'!A:B,2,FALSE),"vide"))</f>
        <v>117</v>
      </c>
      <c r="H3" s="256" t="s">
        <v>139</v>
      </c>
      <c r="I3" s="256">
        <f>IF(H3="","",IFERROR(VLOOKUP(H3,'validation des champs'!C:D,2,FALSE),"Mathieu 140"))</f>
        <v>134</v>
      </c>
      <c r="J3" s="337">
        <v>21</v>
      </c>
      <c r="K3" s="338">
        <v>45404</v>
      </c>
      <c r="L3" s="339">
        <v>35.97</v>
      </c>
      <c r="M3" s="340">
        <v>0</v>
      </c>
      <c r="N3" s="341">
        <v>1</v>
      </c>
      <c r="O3" s="340">
        <f>+N3*M3</f>
        <v>0</v>
      </c>
      <c r="P3" s="342">
        <f>+M3-O3</f>
        <v>0</v>
      </c>
      <c r="Q3" s="339">
        <v>2.71</v>
      </c>
      <c r="R3" s="340">
        <v>0</v>
      </c>
      <c r="S3" s="341">
        <v>1</v>
      </c>
      <c r="T3" s="340">
        <f t="shared" si="0"/>
        <v>0</v>
      </c>
      <c r="U3" s="343">
        <f t="shared" si="1"/>
        <v>0</v>
      </c>
      <c r="V3" s="344">
        <f t="shared" si="2"/>
        <v>38.68</v>
      </c>
      <c r="W3" s="433">
        <v>2.75</v>
      </c>
      <c r="X3" s="340">
        <v>0</v>
      </c>
      <c r="Y3" s="345">
        <v>1</v>
      </c>
      <c r="Z3" s="340">
        <f t="shared" si="3"/>
        <v>0</v>
      </c>
      <c r="AA3" s="342">
        <f t="shared" si="4"/>
        <v>0</v>
      </c>
      <c r="AB3" s="344">
        <f t="shared" si="5"/>
        <v>41.43</v>
      </c>
      <c r="AC3" s="346">
        <v>1</v>
      </c>
      <c r="AD3" s="340">
        <f t="shared" si="6"/>
        <v>38.68</v>
      </c>
      <c r="AE3" s="342">
        <f t="shared" si="7"/>
        <v>0</v>
      </c>
      <c r="AF3" s="347"/>
      <c r="AG3" s="336" t="s">
        <v>19</v>
      </c>
      <c r="AH3" s="348" t="s">
        <v>63</v>
      </c>
      <c r="AI3" s="336" t="s">
        <v>4</v>
      </c>
      <c r="AJ3" s="349" t="s">
        <v>5</v>
      </c>
      <c r="AK3" s="350" t="s">
        <v>4</v>
      </c>
      <c r="AL3" s="336" t="str">
        <f t="shared" si="8"/>
        <v>NON</v>
      </c>
      <c r="AM3" s="282" t="str">
        <f t="shared" si="9"/>
        <v>vendu</v>
      </c>
      <c r="AN3" s="336">
        <f t="shared" si="10"/>
        <v>2024</v>
      </c>
      <c r="AO3" s="335">
        <f t="shared" si="11"/>
        <v>17</v>
      </c>
      <c r="AP3" s="256"/>
      <c r="AQ3" s="282"/>
    </row>
    <row r="4" spans="1:43" s="463" customFormat="1" ht="36.950000000000003" customHeight="1" x14ac:dyDescent="0.25">
      <c r="A4" s="446">
        <v>240033</v>
      </c>
      <c r="B4" s="335" t="s">
        <v>370</v>
      </c>
      <c r="C4" s="447">
        <v>1</v>
      </c>
      <c r="D4" s="446" t="s">
        <v>219</v>
      </c>
      <c r="E4" s="447"/>
      <c r="F4" s="446" t="s">
        <v>194</v>
      </c>
      <c r="G4" s="335">
        <f>IF(F4="","",IFERROR(VLOOKUP(F4,'validation des champs'!A:B,2,FALSE),"vide"))</f>
        <v>124</v>
      </c>
      <c r="H4" s="335" t="s">
        <v>179</v>
      </c>
      <c r="I4" s="335" t="str">
        <f>IF(H4="","",IFERROR(VLOOKUP(H4,'validation des champs'!C:D,2,FALSE),"Mathieu 140"))</f>
        <v>Mathieu 140</v>
      </c>
      <c r="J4" s="448">
        <v>2.5</v>
      </c>
      <c r="K4" s="449">
        <v>45407</v>
      </c>
      <c r="L4" s="456">
        <v>0.33300000000000002</v>
      </c>
      <c r="M4" s="451">
        <v>0</v>
      </c>
      <c r="N4" s="452">
        <v>1</v>
      </c>
      <c r="O4" s="451">
        <v>0</v>
      </c>
      <c r="P4" s="453">
        <v>0</v>
      </c>
      <c r="Q4" s="450">
        <v>0</v>
      </c>
      <c r="R4" s="451">
        <v>0</v>
      </c>
      <c r="S4" s="452">
        <v>1</v>
      </c>
      <c r="T4" s="451">
        <f t="shared" si="0"/>
        <v>0</v>
      </c>
      <c r="U4" s="454">
        <f t="shared" si="1"/>
        <v>0</v>
      </c>
      <c r="V4" s="455">
        <f t="shared" si="2"/>
        <v>0.33300000000000002</v>
      </c>
      <c r="W4" s="450">
        <v>0</v>
      </c>
      <c r="X4" s="451">
        <v>0</v>
      </c>
      <c r="Y4" s="457">
        <v>1</v>
      </c>
      <c r="Z4" s="451">
        <f t="shared" si="3"/>
        <v>0</v>
      </c>
      <c r="AA4" s="453">
        <f t="shared" si="4"/>
        <v>0</v>
      </c>
      <c r="AB4" s="455">
        <f t="shared" si="5"/>
        <v>0.33300000000000002</v>
      </c>
      <c r="AC4" s="458">
        <v>1</v>
      </c>
      <c r="AD4" s="451">
        <f t="shared" si="6"/>
        <v>0.33300000000000002</v>
      </c>
      <c r="AE4" s="453">
        <f t="shared" si="7"/>
        <v>0</v>
      </c>
      <c r="AF4" s="459"/>
      <c r="AG4" s="446" t="s">
        <v>19</v>
      </c>
      <c r="AH4" s="460" t="s">
        <v>63</v>
      </c>
      <c r="AI4" s="446" t="s">
        <v>8</v>
      </c>
      <c r="AJ4" s="461" t="s">
        <v>5</v>
      </c>
      <c r="AK4" s="462" t="s">
        <v>8</v>
      </c>
      <c r="AL4" s="446" t="str">
        <f t="shared" si="8"/>
        <v>OUI</v>
      </c>
      <c r="AM4" s="447" t="str">
        <f t="shared" si="9"/>
        <v>vendu</v>
      </c>
      <c r="AN4" s="446">
        <f t="shared" si="10"/>
        <v>2024</v>
      </c>
      <c r="AO4" s="401">
        <f t="shared" si="11"/>
        <v>17</v>
      </c>
      <c r="AP4" s="335">
        <v>0.33300000000000002</v>
      </c>
      <c r="AQ4" s="447">
        <v>0</v>
      </c>
    </row>
    <row r="5" spans="1:43" ht="36.950000000000003" customHeight="1" thickBot="1" x14ac:dyDescent="0.3">
      <c r="A5" s="296">
        <v>240141</v>
      </c>
      <c r="B5" s="297" t="s">
        <v>390</v>
      </c>
      <c r="C5" s="298">
        <v>1</v>
      </c>
      <c r="D5" s="296" t="s">
        <v>219</v>
      </c>
      <c r="E5" s="298"/>
      <c r="F5" s="296" t="s">
        <v>194</v>
      </c>
      <c r="G5" s="297">
        <f>IF(F5="","",IFERROR(VLOOKUP(F5,'validation des champs'!A:B,2,FALSE),"vide"))</f>
        <v>124</v>
      </c>
      <c r="H5" s="297" t="s">
        <v>179</v>
      </c>
      <c r="I5" s="297" t="str">
        <f>IF(H5="","",IFERROR(VLOOKUP(H5,'validation des champs'!C:D,2,FALSE),"Mathieu 140"))</f>
        <v>Mathieu 140</v>
      </c>
      <c r="J5" s="299">
        <v>3.6</v>
      </c>
      <c r="K5" s="300">
        <v>45408</v>
      </c>
      <c r="L5" s="464">
        <v>0.5</v>
      </c>
      <c r="M5" s="302">
        <v>0</v>
      </c>
      <c r="N5" s="303">
        <v>1</v>
      </c>
      <c r="O5" s="302">
        <v>0</v>
      </c>
      <c r="P5" s="304">
        <v>0</v>
      </c>
      <c r="Q5" s="301">
        <v>0</v>
      </c>
      <c r="R5" s="302">
        <v>0</v>
      </c>
      <c r="S5" s="303">
        <v>1</v>
      </c>
      <c r="T5" s="302">
        <f t="shared" si="0"/>
        <v>0</v>
      </c>
      <c r="U5" s="305">
        <f t="shared" si="1"/>
        <v>0</v>
      </c>
      <c r="V5" s="306">
        <f t="shared" si="2"/>
        <v>0.5</v>
      </c>
      <c r="W5" s="301">
        <v>0</v>
      </c>
      <c r="X5" s="302">
        <v>0</v>
      </c>
      <c r="Y5" s="307">
        <v>1</v>
      </c>
      <c r="Z5" s="302">
        <f t="shared" si="3"/>
        <v>0</v>
      </c>
      <c r="AA5" s="304">
        <f t="shared" si="4"/>
        <v>0</v>
      </c>
      <c r="AB5" s="306">
        <f t="shared" si="5"/>
        <v>0.5</v>
      </c>
      <c r="AC5" s="308">
        <v>1</v>
      </c>
      <c r="AD5" s="302">
        <f t="shared" si="6"/>
        <v>0.5</v>
      </c>
      <c r="AE5" s="304">
        <f t="shared" si="7"/>
        <v>0</v>
      </c>
      <c r="AF5" s="309"/>
      <c r="AG5" s="296" t="s">
        <v>19</v>
      </c>
      <c r="AH5" s="310" t="s">
        <v>63</v>
      </c>
      <c r="AI5" s="296" t="s">
        <v>8</v>
      </c>
      <c r="AJ5" s="311" t="s">
        <v>5</v>
      </c>
      <c r="AK5" s="312" t="s">
        <v>8</v>
      </c>
      <c r="AL5" s="296" t="str">
        <f t="shared" si="8"/>
        <v>OUI</v>
      </c>
      <c r="AM5" s="298" t="str">
        <f t="shared" si="9"/>
        <v>vendu</v>
      </c>
      <c r="AN5" s="313">
        <f t="shared" si="10"/>
        <v>2024</v>
      </c>
      <c r="AO5" s="351">
        <f t="shared" si="11"/>
        <v>17</v>
      </c>
      <c r="AP5" s="314">
        <v>0.5</v>
      </c>
      <c r="AQ5" s="298">
        <v>0</v>
      </c>
    </row>
    <row r="6" spans="1:43" s="463" customFormat="1" ht="36.950000000000003" customHeight="1" x14ac:dyDescent="0.25">
      <c r="A6" s="336">
        <v>240097</v>
      </c>
      <c r="B6" s="256" t="s">
        <v>340</v>
      </c>
      <c r="C6" s="282">
        <v>1</v>
      </c>
      <c r="D6" s="336" t="s">
        <v>219</v>
      </c>
      <c r="E6" s="282" t="s">
        <v>117</v>
      </c>
      <c r="F6" s="336" t="s">
        <v>194</v>
      </c>
      <c r="G6" s="256">
        <f>IF(F6="","",IFERROR(VLOOKUP(F6,'validation des champs'!A:B,2,FALSE),"vide"))</f>
        <v>124</v>
      </c>
      <c r="H6" s="256" t="s">
        <v>179</v>
      </c>
      <c r="I6" s="256" t="str">
        <f>IF(H6="","",IFERROR(VLOOKUP(H6,'validation des champs'!C:D,2,FALSE),"Mathieu 140"))</f>
        <v>Mathieu 140</v>
      </c>
      <c r="J6" s="337">
        <v>9.75</v>
      </c>
      <c r="K6" s="338">
        <v>45411</v>
      </c>
      <c r="L6" s="419">
        <v>0</v>
      </c>
      <c r="M6" s="340">
        <v>0</v>
      </c>
      <c r="N6" s="341">
        <v>1</v>
      </c>
      <c r="O6" s="340">
        <v>0</v>
      </c>
      <c r="P6" s="342">
        <v>0</v>
      </c>
      <c r="Q6" s="339">
        <v>12.12</v>
      </c>
      <c r="R6" s="340">
        <v>12</v>
      </c>
      <c r="S6" s="341">
        <v>1</v>
      </c>
      <c r="T6" s="340">
        <f t="shared" si="0"/>
        <v>12</v>
      </c>
      <c r="U6" s="343">
        <f t="shared" si="1"/>
        <v>0</v>
      </c>
      <c r="V6" s="344">
        <f t="shared" si="2"/>
        <v>12.12</v>
      </c>
      <c r="W6" s="339">
        <v>0</v>
      </c>
      <c r="X6" s="340">
        <v>0</v>
      </c>
      <c r="Y6" s="345">
        <v>1</v>
      </c>
      <c r="Z6" s="340">
        <f t="shared" si="3"/>
        <v>0</v>
      </c>
      <c r="AA6" s="342">
        <f t="shared" si="4"/>
        <v>0</v>
      </c>
      <c r="AB6" s="344">
        <f t="shared" si="5"/>
        <v>12.12</v>
      </c>
      <c r="AC6" s="346">
        <v>1</v>
      </c>
      <c r="AD6" s="340">
        <f t="shared" si="6"/>
        <v>12.12</v>
      </c>
      <c r="AE6" s="342">
        <f t="shared" si="7"/>
        <v>0</v>
      </c>
      <c r="AF6" s="347"/>
      <c r="AG6" s="336" t="s">
        <v>341</v>
      </c>
      <c r="AH6" s="348"/>
      <c r="AI6" s="336" t="s">
        <v>4</v>
      </c>
      <c r="AJ6" s="349"/>
      <c r="AK6" s="350" t="s">
        <v>8</v>
      </c>
      <c r="AL6" s="336" t="str">
        <f t="shared" si="8"/>
        <v>OUI</v>
      </c>
      <c r="AM6" s="282" t="str">
        <f t="shared" si="9"/>
        <v>vendu</v>
      </c>
      <c r="AN6" s="336">
        <f t="shared" si="10"/>
        <v>2024</v>
      </c>
      <c r="AO6" s="335">
        <f t="shared" si="11"/>
        <v>18</v>
      </c>
      <c r="AP6" s="256"/>
      <c r="AQ6" s="282"/>
    </row>
    <row r="7" spans="1:43" s="463" customFormat="1" ht="36.950000000000003" customHeight="1" x14ac:dyDescent="0.25">
      <c r="A7" s="446">
        <v>230378</v>
      </c>
      <c r="B7" s="335" t="s">
        <v>393</v>
      </c>
      <c r="C7" s="447">
        <v>3</v>
      </c>
      <c r="D7" s="446" t="s">
        <v>221</v>
      </c>
      <c r="E7" s="447" t="s">
        <v>231</v>
      </c>
      <c r="F7" s="446" t="s">
        <v>73</v>
      </c>
      <c r="G7" s="335">
        <f>IF(F7="","",IFERROR(VLOOKUP(F7,'validation des champs'!A:B,2,FALSE),"vide"))</f>
        <v>101</v>
      </c>
      <c r="H7" s="335" t="s">
        <v>80</v>
      </c>
      <c r="I7" s="335">
        <f>IF(H7="","",IFERROR(VLOOKUP(H7,'validation des champs'!C:D,2,FALSE),"Mathieu 140"))</f>
        <v>122</v>
      </c>
      <c r="J7" s="448">
        <v>13</v>
      </c>
      <c r="K7" s="449">
        <v>45411</v>
      </c>
      <c r="L7" s="450">
        <v>7.7</v>
      </c>
      <c r="M7" s="451">
        <v>0</v>
      </c>
      <c r="N7" s="452">
        <v>1</v>
      </c>
      <c r="O7" s="451">
        <f>+N7*M7</f>
        <v>0</v>
      </c>
      <c r="P7" s="453">
        <f>+M7-O7</f>
        <v>0</v>
      </c>
      <c r="Q7" s="450">
        <v>9.48</v>
      </c>
      <c r="R7" s="451">
        <v>10</v>
      </c>
      <c r="S7" s="452">
        <v>1</v>
      </c>
      <c r="T7" s="451">
        <f t="shared" si="0"/>
        <v>10</v>
      </c>
      <c r="U7" s="454">
        <f t="shared" si="1"/>
        <v>0</v>
      </c>
      <c r="V7" s="455">
        <f t="shared" si="2"/>
        <v>17.18</v>
      </c>
      <c r="W7" s="450">
        <v>0</v>
      </c>
      <c r="X7" s="451">
        <v>0</v>
      </c>
      <c r="Y7" s="457">
        <v>1</v>
      </c>
      <c r="Z7" s="451">
        <f t="shared" si="3"/>
        <v>0</v>
      </c>
      <c r="AA7" s="453">
        <f t="shared" si="4"/>
        <v>0</v>
      </c>
      <c r="AB7" s="455">
        <f t="shared" si="5"/>
        <v>17.18</v>
      </c>
      <c r="AC7" s="458">
        <v>1</v>
      </c>
      <c r="AD7" s="451">
        <f t="shared" si="6"/>
        <v>17.18</v>
      </c>
      <c r="AE7" s="453">
        <f t="shared" si="7"/>
        <v>0</v>
      </c>
      <c r="AF7" s="459"/>
      <c r="AG7" s="446" t="s">
        <v>326</v>
      </c>
      <c r="AH7" s="460" t="s">
        <v>63</v>
      </c>
      <c r="AI7" s="446" t="s">
        <v>4</v>
      </c>
      <c r="AJ7" s="461">
        <v>45379</v>
      </c>
      <c r="AK7" s="462" t="s">
        <v>4</v>
      </c>
      <c r="AL7" s="446" t="str">
        <f t="shared" si="8"/>
        <v>NON</v>
      </c>
      <c r="AM7" s="447" t="str">
        <f t="shared" si="9"/>
        <v>vendu</v>
      </c>
      <c r="AN7" s="446">
        <f t="shared" si="10"/>
        <v>2024</v>
      </c>
      <c r="AO7" s="335">
        <f t="shared" si="11"/>
        <v>18</v>
      </c>
      <c r="AP7" s="335"/>
      <c r="AQ7" s="447"/>
    </row>
    <row r="8" spans="1:43" ht="36.950000000000003" customHeight="1" x14ac:dyDescent="0.25">
      <c r="A8" s="82">
        <v>220421</v>
      </c>
      <c r="B8" s="66" t="s">
        <v>351</v>
      </c>
      <c r="C8" s="83">
        <v>4</v>
      </c>
      <c r="D8" s="82" t="s">
        <v>225</v>
      </c>
      <c r="E8" s="83"/>
      <c r="F8" s="82" t="s">
        <v>72</v>
      </c>
      <c r="G8" s="66">
        <f>IF(F8="","",IFERROR(VLOOKUP(F8,'validation des champs'!A:B,2,FALSE),"vide"))</f>
        <v>117</v>
      </c>
      <c r="H8" s="66" t="s">
        <v>106</v>
      </c>
      <c r="I8" s="66">
        <f>IF(H8="","",IFERROR(VLOOKUP(H8,'validation des champs'!C:D,2,FALSE),"Mathieu 140"))</f>
        <v>123</v>
      </c>
      <c r="J8" s="186">
        <v>31.4</v>
      </c>
      <c r="K8" s="87">
        <v>45411</v>
      </c>
      <c r="L8" s="91">
        <v>49.22</v>
      </c>
      <c r="M8" s="72">
        <v>0</v>
      </c>
      <c r="N8" s="73">
        <v>1</v>
      </c>
      <c r="O8" s="72">
        <f>+N8*M8</f>
        <v>0</v>
      </c>
      <c r="P8" s="92">
        <f>+M8-O8</f>
        <v>0</v>
      </c>
      <c r="Q8" s="91">
        <v>0</v>
      </c>
      <c r="R8" s="72">
        <v>0</v>
      </c>
      <c r="S8" s="73">
        <v>1</v>
      </c>
      <c r="T8" s="72">
        <f t="shared" si="0"/>
        <v>0</v>
      </c>
      <c r="U8" s="134">
        <f t="shared" si="1"/>
        <v>0</v>
      </c>
      <c r="V8" s="99">
        <f t="shared" si="2"/>
        <v>49.22</v>
      </c>
      <c r="W8" s="473">
        <v>0</v>
      </c>
      <c r="X8" s="72">
        <v>0</v>
      </c>
      <c r="Y8" s="79">
        <v>1</v>
      </c>
      <c r="Z8" s="72">
        <f t="shared" si="3"/>
        <v>0</v>
      </c>
      <c r="AA8" s="92">
        <f t="shared" si="4"/>
        <v>0</v>
      </c>
      <c r="AB8" s="99">
        <f t="shared" si="5"/>
        <v>49.22</v>
      </c>
      <c r="AC8" s="104">
        <v>1</v>
      </c>
      <c r="AD8" s="72">
        <f t="shared" si="6"/>
        <v>49.22</v>
      </c>
      <c r="AE8" s="92">
        <f t="shared" si="7"/>
        <v>0</v>
      </c>
      <c r="AF8" s="107"/>
      <c r="AG8" s="82" t="s">
        <v>19</v>
      </c>
      <c r="AH8" s="110" t="s">
        <v>63</v>
      </c>
      <c r="AI8" s="82" t="s">
        <v>4</v>
      </c>
      <c r="AJ8" s="114"/>
      <c r="AK8" s="117" t="s">
        <v>4</v>
      </c>
      <c r="AL8" s="82" t="str">
        <f t="shared" si="8"/>
        <v>NON</v>
      </c>
      <c r="AM8" s="83" t="str">
        <f t="shared" si="9"/>
        <v>vendu</v>
      </c>
      <c r="AN8" s="82">
        <f t="shared" si="10"/>
        <v>2024</v>
      </c>
      <c r="AO8" s="66">
        <f t="shared" si="11"/>
        <v>18</v>
      </c>
      <c r="AP8" s="66"/>
      <c r="AQ8" s="83"/>
    </row>
    <row r="9" spans="1:43" s="463" customFormat="1" ht="36.950000000000003" customHeight="1" x14ac:dyDescent="0.25">
      <c r="A9" s="82">
        <v>220314</v>
      </c>
      <c r="B9" s="66" t="s">
        <v>169</v>
      </c>
      <c r="C9" s="83">
        <v>3</v>
      </c>
      <c r="D9" s="82" t="s">
        <v>219</v>
      </c>
      <c r="E9" s="83"/>
      <c r="F9" s="82" t="s">
        <v>72</v>
      </c>
      <c r="G9" s="66">
        <f>IF(F9="","",IFERROR(VLOOKUP(F9,'validation des champs'!A:B,2,FALSE),"vide"))</f>
        <v>117</v>
      </c>
      <c r="H9" s="66" t="s">
        <v>135</v>
      </c>
      <c r="I9" s="66">
        <f>IF(H9="","",IFERROR(VLOOKUP(H9,'validation des champs'!C:D,2,FALSE),"Mathieu 140"))</f>
        <v>147</v>
      </c>
      <c r="J9" s="186">
        <v>32.56</v>
      </c>
      <c r="K9" s="87">
        <v>45414</v>
      </c>
      <c r="L9" s="91">
        <v>18.469000000000001</v>
      </c>
      <c r="M9" s="72">
        <v>0</v>
      </c>
      <c r="N9" s="73">
        <v>1</v>
      </c>
      <c r="O9" s="72">
        <v>0</v>
      </c>
      <c r="P9" s="92">
        <v>0</v>
      </c>
      <c r="Q9" s="91">
        <f>13.206+10.864</f>
        <v>24.07</v>
      </c>
      <c r="R9" s="72">
        <v>0</v>
      </c>
      <c r="S9" s="73">
        <v>1</v>
      </c>
      <c r="T9" s="72">
        <f t="shared" si="0"/>
        <v>0</v>
      </c>
      <c r="U9" s="134">
        <f t="shared" si="1"/>
        <v>0</v>
      </c>
      <c r="V9" s="99">
        <f t="shared" si="2"/>
        <v>42.539000000000001</v>
      </c>
      <c r="W9" s="91">
        <v>1.179</v>
      </c>
      <c r="X9" s="72">
        <v>0</v>
      </c>
      <c r="Y9" s="79">
        <v>1</v>
      </c>
      <c r="Z9" s="72">
        <f t="shared" si="3"/>
        <v>0</v>
      </c>
      <c r="AA9" s="92">
        <f t="shared" si="4"/>
        <v>0</v>
      </c>
      <c r="AB9" s="99">
        <f t="shared" si="5"/>
        <v>43.718000000000004</v>
      </c>
      <c r="AC9" s="104">
        <v>1</v>
      </c>
      <c r="AD9" s="72">
        <f t="shared" si="6"/>
        <v>42.539000000000001</v>
      </c>
      <c r="AE9" s="92">
        <f t="shared" si="7"/>
        <v>0</v>
      </c>
      <c r="AF9" s="107"/>
      <c r="AG9" s="82" t="s">
        <v>170</v>
      </c>
      <c r="AH9" s="110" t="s">
        <v>63</v>
      </c>
      <c r="AI9" s="82" t="s">
        <v>4</v>
      </c>
      <c r="AJ9" s="114" t="s">
        <v>5</v>
      </c>
      <c r="AK9" s="117" t="s">
        <v>4</v>
      </c>
      <c r="AL9" s="82" t="str">
        <f t="shared" si="8"/>
        <v>NON</v>
      </c>
      <c r="AM9" s="83" t="str">
        <f t="shared" si="9"/>
        <v>vendu</v>
      </c>
      <c r="AN9" s="80">
        <f t="shared" si="10"/>
        <v>2024</v>
      </c>
      <c r="AO9" s="214">
        <f t="shared" si="11"/>
        <v>18</v>
      </c>
      <c r="AP9" s="64"/>
      <c r="AQ9" s="81"/>
    </row>
    <row r="10" spans="1:43" ht="36.950000000000003" customHeight="1" thickBot="1" x14ac:dyDescent="0.3">
      <c r="A10" s="226">
        <v>230378</v>
      </c>
      <c r="B10" s="244" t="s">
        <v>394</v>
      </c>
      <c r="C10" s="245">
        <v>3</v>
      </c>
      <c r="D10" s="226" t="s">
        <v>221</v>
      </c>
      <c r="E10" s="245" t="s">
        <v>231</v>
      </c>
      <c r="F10" s="226" t="s">
        <v>73</v>
      </c>
      <c r="G10" s="214">
        <f>IF(F10="","",IFERROR(VLOOKUP(F10,'validation des champs'!A:B,2,FALSE),"vide"))</f>
        <v>101</v>
      </c>
      <c r="H10" s="214" t="s">
        <v>80</v>
      </c>
      <c r="I10" s="214">
        <f>IF(H10="","",IFERROR(VLOOKUP(H10,'validation des champs'!C:D,2,FALSE),"Mathieu 140"))</f>
        <v>122</v>
      </c>
      <c r="J10" s="215">
        <v>13</v>
      </c>
      <c r="K10" s="246">
        <v>45415</v>
      </c>
      <c r="L10" s="247">
        <v>0</v>
      </c>
      <c r="M10" s="216">
        <v>0</v>
      </c>
      <c r="N10" s="217">
        <v>1</v>
      </c>
      <c r="O10" s="216">
        <f>+N10*M10</f>
        <v>0</v>
      </c>
      <c r="P10" s="248">
        <f>+M10-O10</f>
        <v>0</v>
      </c>
      <c r="Q10" s="247">
        <v>23.77</v>
      </c>
      <c r="R10" s="216">
        <v>17</v>
      </c>
      <c r="S10" s="217">
        <v>0</v>
      </c>
      <c r="T10" s="216">
        <f t="shared" si="0"/>
        <v>0</v>
      </c>
      <c r="U10" s="250">
        <f t="shared" si="1"/>
        <v>17</v>
      </c>
      <c r="V10" s="251">
        <f t="shared" si="2"/>
        <v>23.77</v>
      </c>
      <c r="W10" s="247">
        <v>0.2</v>
      </c>
      <c r="X10" s="216">
        <v>1</v>
      </c>
      <c r="Y10" s="218">
        <v>0</v>
      </c>
      <c r="Z10" s="216">
        <f t="shared" si="3"/>
        <v>0</v>
      </c>
      <c r="AA10" s="248">
        <f t="shared" si="4"/>
        <v>1</v>
      </c>
      <c r="AB10" s="251">
        <f t="shared" si="5"/>
        <v>23.97</v>
      </c>
      <c r="AC10" s="252">
        <v>1</v>
      </c>
      <c r="AD10" s="216">
        <f t="shared" si="6"/>
        <v>23.77</v>
      </c>
      <c r="AE10" s="248">
        <f t="shared" si="7"/>
        <v>0</v>
      </c>
      <c r="AF10" s="253"/>
      <c r="AG10" s="226" t="s">
        <v>326</v>
      </c>
      <c r="AH10" s="254" t="s">
        <v>63</v>
      </c>
      <c r="AI10" s="226" t="s">
        <v>4</v>
      </c>
      <c r="AJ10" s="485">
        <v>45379</v>
      </c>
      <c r="AK10" s="255" t="s">
        <v>4</v>
      </c>
      <c r="AL10" s="226" t="str">
        <f t="shared" si="8"/>
        <v>NON</v>
      </c>
      <c r="AM10" s="245" t="str">
        <f t="shared" si="9"/>
        <v>vendu</v>
      </c>
      <c r="AN10" s="229">
        <f t="shared" si="10"/>
        <v>2024</v>
      </c>
      <c r="AO10" s="204">
        <f t="shared" si="11"/>
        <v>18</v>
      </c>
      <c r="AP10" s="212"/>
      <c r="AQ10" s="245"/>
    </row>
    <row r="11" spans="1:43" ht="36.950000000000003" customHeight="1" x14ac:dyDescent="0.25">
      <c r="A11" s="467">
        <v>240118</v>
      </c>
      <c r="B11" s="468" t="s">
        <v>369</v>
      </c>
      <c r="C11" s="469">
        <v>1</v>
      </c>
      <c r="D11" s="467" t="s">
        <v>219</v>
      </c>
      <c r="E11" s="469"/>
      <c r="F11" s="467" t="s">
        <v>194</v>
      </c>
      <c r="G11" s="468">
        <f>IF(F11="","",IFERROR(VLOOKUP(F11,'validation des champs'!A:B,2,FALSE),"vide"))</f>
        <v>124</v>
      </c>
      <c r="H11" s="468" t="s">
        <v>179</v>
      </c>
      <c r="I11" s="468" t="str">
        <f>IF(H11="","",IFERROR(VLOOKUP(H11,'validation des champs'!C:D,2,FALSE),"Mathieu 140"))</f>
        <v>Mathieu 140</v>
      </c>
      <c r="J11" s="470">
        <v>13.5</v>
      </c>
      <c r="K11" s="471">
        <v>45418</v>
      </c>
      <c r="L11" s="472">
        <v>1.361</v>
      </c>
      <c r="M11" s="474">
        <v>0</v>
      </c>
      <c r="N11" s="475">
        <v>1</v>
      </c>
      <c r="O11" s="474">
        <v>0</v>
      </c>
      <c r="P11" s="476">
        <v>0</v>
      </c>
      <c r="Q11" s="227">
        <v>0</v>
      </c>
      <c r="R11" s="209">
        <v>0</v>
      </c>
      <c r="S11" s="475">
        <v>1</v>
      </c>
      <c r="T11" s="474">
        <f t="shared" si="0"/>
        <v>0</v>
      </c>
      <c r="U11" s="477">
        <f t="shared" si="1"/>
        <v>0</v>
      </c>
      <c r="V11" s="478">
        <f t="shared" si="2"/>
        <v>1.361</v>
      </c>
      <c r="W11" s="479">
        <v>0</v>
      </c>
      <c r="X11" s="474">
        <v>0</v>
      </c>
      <c r="Y11" s="480">
        <v>1</v>
      </c>
      <c r="Z11" s="474">
        <f t="shared" si="3"/>
        <v>0</v>
      </c>
      <c r="AA11" s="476">
        <f t="shared" si="4"/>
        <v>0</v>
      </c>
      <c r="AB11" s="478">
        <f t="shared" si="5"/>
        <v>1.361</v>
      </c>
      <c r="AC11" s="482">
        <v>0</v>
      </c>
      <c r="AD11" s="474">
        <f t="shared" si="6"/>
        <v>0</v>
      </c>
      <c r="AE11" s="476">
        <f t="shared" si="7"/>
        <v>1.361</v>
      </c>
      <c r="AF11" s="483"/>
      <c r="AG11" s="467" t="s">
        <v>19</v>
      </c>
      <c r="AH11" s="484" t="s">
        <v>63</v>
      </c>
      <c r="AI11" s="467" t="s">
        <v>8</v>
      </c>
      <c r="AJ11" s="487" t="s">
        <v>5</v>
      </c>
      <c r="AK11" s="488" t="s">
        <v>8</v>
      </c>
      <c r="AL11" s="467" t="str">
        <f t="shared" si="8"/>
        <v>OUI</v>
      </c>
      <c r="AM11" s="469" t="str">
        <f t="shared" si="9"/>
        <v>vendu</v>
      </c>
      <c r="AN11" s="211">
        <f t="shared" si="10"/>
        <v>2024</v>
      </c>
      <c r="AO11" s="188">
        <f t="shared" si="11"/>
        <v>19</v>
      </c>
      <c r="AP11" s="205">
        <v>1.361</v>
      </c>
      <c r="AQ11" s="233">
        <v>0</v>
      </c>
    </row>
    <row r="12" spans="1:43" s="463" customFormat="1" ht="36.950000000000003" customHeight="1" x14ac:dyDescent="0.25">
      <c r="A12" s="446">
        <v>200275</v>
      </c>
      <c r="B12" s="335" t="s">
        <v>243</v>
      </c>
      <c r="C12" s="447">
        <v>8</v>
      </c>
      <c r="D12" s="446" t="s">
        <v>222</v>
      </c>
      <c r="E12" s="447"/>
      <c r="F12" s="446" t="s">
        <v>70</v>
      </c>
      <c r="G12" s="335">
        <f>IF(F12="","",IFERROR(VLOOKUP(F12,'validation des champs'!A:B,2,FALSE),"vide"))</f>
        <v>116</v>
      </c>
      <c r="H12" s="335" t="s">
        <v>79</v>
      </c>
      <c r="I12" s="335">
        <f>IF(H12="","",IFERROR(VLOOKUP(H12,'validation des champs'!C:D,2,FALSE),"Mathieu 140"))</f>
        <v>114</v>
      </c>
      <c r="J12" s="448">
        <v>11.1</v>
      </c>
      <c r="K12" s="449">
        <v>45418</v>
      </c>
      <c r="L12" s="450">
        <v>0</v>
      </c>
      <c r="M12" s="451">
        <v>0</v>
      </c>
      <c r="N12" s="452">
        <v>1</v>
      </c>
      <c r="O12" s="451">
        <f>+N12*M12</f>
        <v>0</v>
      </c>
      <c r="P12" s="453">
        <f>+M12-O12</f>
        <v>0</v>
      </c>
      <c r="Q12" s="450">
        <f>16.059+74.59</f>
        <v>90.649000000000001</v>
      </c>
      <c r="R12" s="451">
        <v>30</v>
      </c>
      <c r="S12" s="452">
        <v>1</v>
      </c>
      <c r="T12" s="451">
        <f t="shared" si="0"/>
        <v>30</v>
      </c>
      <c r="U12" s="454">
        <f t="shared" si="1"/>
        <v>0</v>
      </c>
      <c r="V12" s="455">
        <f t="shared" si="2"/>
        <v>90.649000000000001</v>
      </c>
      <c r="W12" s="450">
        <v>0</v>
      </c>
      <c r="X12" s="451">
        <v>0</v>
      </c>
      <c r="Y12" s="457">
        <v>1</v>
      </c>
      <c r="Z12" s="451">
        <f t="shared" si="3"/>
        <v>0</v>
      </c>
      <c r="AA12" s="453">
        <f t="shared" si="4"/>
        <v>0</v>
      </c>
      <c r="AB12" s="455">
        <f t="shared" si="5"/>
        <v>90.649000000000001</v>
      </c>
      <c r="AC12" s="458">
        <v>1</v>
      </c>
      <c r="AD12" s="451">
        <f t="shared" si="6"/>
        <v>90.649000000000001</v>
      </c>
      <c r="AE12" s="453">
        <f t="shared" si="7"/>
        <v>0</v>
      </c>
      <c r="AF12" s="459"/>
      <c r="AG12" s="446" t="s">
        <v>316</v>
      </c>
      <c r="AH12" s="460" t="s">
        <v>63</v>
      </c>
      <c r="AI12" s="446" t="s">
        <v>4</v>
      </c>
      <c r="AJ12" s="461" t="s">
        <v>5</v>
      </c>
      <c r="AK12" s="462" t="s">
        <v>4</v>
      </c>
      <c r="AL12" s="446" t="str">
        <f t="shared" si="8"/>
        <v>NON</v>
      </c>
      <c r="AM12" s="447" t="str">
        <f t="shared" si="9"/>
        <v>vendu</v>
      </c>
      <c r="AN12" s="446">
        <f t="shared" si="10"/>
        <v>2024</v>
      </c>
      <c r="AO12" s="335">
        <f t="shared" si="11"/>
        <v>19</v>
      </c>
      <c r="AP12" s="335"/>
      <c r="AQ12" s="447"/>
    </row>
    <row r="13" spans="1:43" ht="36.950000000000003" customHeight="1" x14ac:dyDescent="0.25">
      <c r="A13" s="80">
        <v>220451</v>
      </c>
      <c r="B13" s="65" t="s">
        <v>333</v>
      </c>
      <c r="C13" s="81">
        <v>2</v>
      </c>
      <c r="D13" s="80" t="s">
        <v>219</v>
      </c>
      <c r="E13" s="81"/>
      <c r="F13" s="80" t="s">
        <v>73</v>
      </c>
      <c r="G13" s="64">
        <f>IF(F13="","",IFERROR(VLOOKUP(F13,'validation des champs'!A:B,2,FALSE),"vide"))</f>
        <v>101</v>
      </c>
      <c r="H13" s="64" t="s">
        <v>75</v>
      </c>
      <c r="I13" s="64">
        <f>IF(H13="","",IFERROR(VLOOKUP(H13,'validation des champs'!C:D,2,FALSE),"Mathieu 140"))</f>
        <v>126</v>
      </c>
      <c r="J13" s="185">
        <v>13.62</v>
      </c>
      <c r="K13" s="86">
        <v>45418</v>
      </c>
      <c r="L13" s="90">
        <f>1.98+19.423</f>
        <v>21.402999999999999</v>
      </c>
      <c r="M13" s="69">
        <v>0</v>
      </c>
      <c r="N13" s="70">
        <v>0.5</v>
      </c>
      <c r="O13" s="69">
        <f>+N13*M13</f>
        <v>0</v>
      </c>
      <c r="P13" s="89">
        <f>+M13-O13</f>
        <v>0</v>
      </c>
      <c r="Q13" s="90">
        <f>88.67-19.423</f>
        <v>69.247</v>
      </c>
      <c r="R13" s="69">
        <v>75</v>
      </c>
      <c r="S13" s="70">
        <v>0.9</v>
      </c>
      <c r="T13" s="69">
        <f t="shared" si="0"/>
        <v>67.5</v>
      </c>
      <c r="U13" s="136">
        <f t="shared" si="1"/>
        <v>7.5</v>
      </c>
      <c r="V13" s="98">
        <f t="shared" si="2"/>
        <v>90.65</v>
      </c>
      <c r="W13" s="353">
        <v>0</v>
      </c>
      <c r="X13" s="69">
        <v>0</v>
      </c>
      <c r="Y13" s="77">
        <v>1</v>
      </c>
      <c r="Z13" s="69">
        <f t="shared" si="3"/>
        <v>0</v>
      </c>
      <c r="AA13" s="89">
        <f t="shared" si="4"/>
        <v>0</v>
      </c>
      <c r="AB13" s="98">
        <f t="shared" si="5"/>
        <v>90.65</v>
      </c>
      <c r="AC13" s="103">
        <v>1</v>
      </c>
      <c r="AD13" s="69">
        <f t="shared" si="6"/>
        <v>90.65</v>
      </c>
      <c r="AE13" s="89">
        <f t="shared" si="7"/>
        <v>0</v>
      </c>
      <c r="AF13" s="106"/>
      <c r="AG13" s="80" t="s">
        <v>342</v>
      </c>
      <c r="AH13" s="109"/>
      <c r="AI13" s="80" t="s">
        <v>4</v>
      </c>
      <c r="AJ13" s="113" t="s">
        <v>5</v>
      </c>
      <c r="AK13" s="116" t="s">
        <v>4</v>
      </c>
      <c r="AL13" s="80" t="str">
        <f t="shared" si="8"/>
        <v>NON</v>
      </c>
      <c r="AM13" s="81" t="str">
        <f t="shared" si="9"/>
        <v>vendu</v>
      </c>
      <c r="AN13" s="80">
        <f t="shared" si="10"/>
        <v>2024</v>
      </c>
      <c r="AO13" s="214">
        <f t="shared" si="11"/>
        <v>19</v>
      </c>
      <c r="AP13" s="64"/>
      <c r="AQ13" s="81"/>
    </row>
    <row r="14" spans="1:43" ht="36.950000000000003" customHeight="1" thickBot="1" x14ac:dyDescent="0.3">
      <c r="A14" s="354">
        <v>240099</v>
      </c>
      <c r="B14" s="355" t="s">
        <v>384</v>
      </c>
      <c r="C14" s="356">
        <v>1</v>
      </c>
      <c r="D14" s="354" t="s">
        <v>219</v>
      </c>
      <c r="E14" s="356"/>
      <c r="F14" s="354" t="s">
        <v>194</v>
      </c>
      <c r="G14" s="355">
        <f>IF(F14="","",IFERROR(VLOOKUP(F14,'validation des champs'!A:B,2,FALSE),"vide"))</f>
        <v>124</v>
      </c>
      <c r="H14" s="355" t="s">
        <v>179</v>
      </c>
      <c r="I14" s="355" t="str">
        <f>IF(H14="","",IFERROR(VLOOKUP(H14,'validation des champs'!C:D,2,FALSE),"Mathieu 140"))</f>
        <v>Mathieu 140</v>
      </c>
      <c r="J14" s="357">
        <v>9.3000000000000007</v>
      </c>
      <c r="K14" s="358">
        <v>45420</v>
      </c>
      <c r="L14" s="359">
        <v>5.625</v>
      </c>
      <c r="M14" s="360">
        <v>0</v>
      </c>
      <c r="N14" s="361">
        <v>1</v>
      </c>
      <c r="O14" s="360">
        <v>0</v>
      </c>
      <c r="P14" s="362">
        <v>0</v>
      </c>
      <c r="Q14" s="247">
        <v>0</v>
      </c>
      <c r="R14" s="216">
        <v>0</v>
      </c>
      <c r="S14" s="361">
        <v>1</v>
      </c>
      <c r="T14" s="360">
        <f t="shared" si="0"/>
        <v>0</v>
      </c>
      <c r="U14" s="363">
        <f t="shared" si="1"/>
        <v>0</v>
      </c>
      <c r="V14" s="364">
        <f t="shared" si="2"/>
        <v>5.625</v>
      </c>
      <c r="W14" s="365">
        <v>0</v>
      </c>
      <c r="X14" s="360">
        <v>0</v>
      </c>
      <c r="Y14" s="366">
        <v>1</v>
      </c>
      <c r="Z14" s="360">
        <f t="shared" si="3"/>
        <v>0</v>
      </c>
      <c r="AA14" s="362">
        <f t="shared" si="4"/>
        <v>0</v>
      </c>
      <c r="AB14" s="364">
        <f t="shared" si="5"/>
        <v>5.625</v>
      </c>
      <c r="AC14" s="367">
        <v>0</v>
      </c>
      <c r="AD14" s="360">
        <f t="shared" si="6"/>
        <v>0</v>
      </c>
      <c r="AE14" s="362">
        <f t="shared" si="7"/>
        <v>5.625</v>
      </c>
      <c r="AF14" s="368"/>
      <c r="AG14" s="354" t="s">
        <v>19</v>
      </c>
      <c r="AH14" s="369" t="s">
        <v>63</v>
      </c>
      <c r="AI14" s="354" t="s">
        <v>115</v>
      </c>
      <c r="AJ14" s="395" t="s">
        <v>5</v>
      </c>
      <c r="AK14" s="370" t="s">
        <v>8</v>
      </c>
      <c r="AL14" s="354" t="str">
        <f t="shared" si="8"/>
        <v>OUI</v>
      </c>
      <c r="AM14" s="356" t="str">
        <f t="shared" si="9"/>
        <v>vendu</v>
      </c>
      <c r="AN14" s="229">
        <f t="shared" si="10"/>
        <v>2024</v>
      </c>
      <c r="AO14" s="204">
        <f t="shared" si="11"/>
        <v>19</v>
      </c>
      <c r="AP14" s="212">
        <v>5.625</v>
      </c>
      <c r="AQ14" s="245">
        <v>0</v>
      </c>
    </row>
    <row r="15" spans="1:43" ht="36.950000000000003" customHeight="1" x14ac:dyDescent="0.25">
      <c r="A15" s="467">
        <v>240117</v>
      </c>
      <c r="B15" s="468" t="s">
        <v>388</v>
      </c>
      <c r="C15" s="469">
        <v>1</v>
      </c>
      <c r="D15" s="467" t="s">
        <v>219</v>
      </c>
      <c r="E15" s="469"/>
      <c r="F15" s="467" t="s">
        <v>194</v>
      </c>
      <c r="G15" s="468">
        <f>IF(F15="","",IFERROR(VLOOKUP(F15,'validation des champs'!A:B,2,FALSE),"vide"))</f>
        <v>124</v>
      </c>
      <c r="H15" s="468" t="s">
        <v>179</v>
      </c>
      <c r="I15" s="468" t="str">
        <f>IF(H15="","",IFERROR(VLOOKUP(H15,'validation des champs'!C:D,2,FALSE),"Mathieu 140"))</f>
        <v>Mathieu 140</v>
      </c>
      <c r="J15" s="470">
        <v>8.6999999999999993</v>
      </c>
      <c r="K15" s="471">
        <v>45425</v>
      </c>
      <c r="L15" s="472">
        <v>5.4880000000000004</v>
      </c>
      <c r="M15" s="474">
        <v>0</v>
      </c>
      <c r="N15" s="475">
        <v>1</v>
      </c>
      <c r="O15" s="474">
        <v>0</v>
      </c>
      <c r="P15" s="476">
        <v>0</v>
      </c>
      <c r="Q15" s="227">
        <v>0</v>
      </c>
      <c r="R15" s="209">
        <v>0</v>
      </c>
      <c r="S15" s="475">
        <v>1</v>
      </c>
      <c r="T15" s="474">
        <f t="shared" si="0"/>
        <v>0</v>
      </c>
      <c r="U15" s="477">
        <f t="shared" si="1"/>
        <v>0</v>
      </c>
      <c r="V15" s="478">
        <f t="shared" si="2"/>
        <v>5.4880000000000004</v>
      </c>
      <c r="W15" s="479">
        <v>0</v>
      </c>
      <c r="X15" s="474">
        <v>0</v>
      </c>
      <c r="Y15" s="480">
        <v>1</v>
      </c>
      <c r="Z15" s="474">
        <f t="shared" si="3"/>
        <v>0</v>
      </c>
      <c r="AA15" s="476">
        <f t="shared" si="4"/>
        <v>0</v>
      </c>
      <c r="AB15" s="478">
        <f t="shared" si="5"/>
        <v>5.4880000000000004</v>
      </c>
      <c r="AC15" s="482">
        <v>0</v>
      </c>
      <c r="AD15" s="474">
        <f t="shared" si="6"/>
        <v>0</v>
      </c>
      <c r="AE15" s="476">
        <f t="shared" si="7"/>
        <v>5.4880000000000004</v>
      </c>
      <c r="AF15" s="483"/>
      <c r="AG15" s="467" t="s">
        <v>19</v>
      </c>
      <c r="AH15" s="484" t="s">
        <v>63</v>
      </c>
      <c r="AI15" s="467" t="s">
        <v>115</v>
      </c>
      <c r="AJ15" s="228" t="s">
        <v>5</v>
      </c>
      <c r="AK15" s="488" t="s">
        <v>8</v>
      </c>
      <c r="AL15" s="467" t="str">
        <f t="shared" si="8"/>
        <v>OUI</v>
      </c>
      <c r="AM15" s="469" t="str">
        <f t="shared" si="9"/>
        <v>vendu</v>
      </c>
      <c r="AN15" s="211">
        <f t="shared" si="10"/>
        <v>2024</v>
      </c>
      <c r="AO15" s="188">
        <f t="shared" si="11"/>
        <v>20</v>
      </c>
      <c r="AP15" s="205">
        <v>5.4880000000000004</v>
      </c>
      <c r="AQ15" s="233">
        <v>0</v>
      </c>
    </row>
    <row r="16" spans="1:43" ht="36.950000000000003" customHeight="1" x14ac:dyDescent="0.25">
      <c r="A16" s="193">
        <v>230240</v>
      </c>
      <c r="B16" s="189" t="s">
        <v>320</v>
      </c>
      <c r="C16" s="194">
        <v>4</v>
      </c>
      <c r="D16" s="193" t="s">
        <v>221</v>
      </c>
      <c r="E16" s="194"/>
      <c r="F16" s="193" t="s">
        <v>194</v>
      </c>
      <c r="G16" s="188">
        <f>IF(F16="","",IFERROR(VLOOKUP(F16,'validation des champs'!A:B,2,FALSE),"vide"))</f>
        <v>124</v>
      </c>
      <c r="H16" s="430" t="s">
        <v>76</v>
      </c>
      <c r="I16" s="188" t="str">
        <f>IF(H16="","",IFERROR(VLOOKUP(H16,'validation des champs'!C:D,2,FALSE),"Mathieu 140"))</f>
        <v>Mathieu 140</v>
      </c>
      <c r="J16" s="190">
        <v>28</v>
      </c>
      <c r="K16" s="195">
        <v>45425</v>
      </c>
      <c r="L16" s="196">
        <v>47.057000000000002</v>
      </c>
      <c r="M16" s="192">
        <v>0</v>
      </c>
      <c r="N16" s="224">
        <v>0</v>
      </c>
      <c r="O16" s="192">
        <v>0</v>
      </c>
      <c r="P16" s="197">
        <v>0</v>
      </c>
      <c r="Q16" s="279">
        <v>6.8</v>
      </c>
      <c r="R16" s="192">
        <v>0</v>
      </c>
      <c r="S16" s="224">
        <v>0</v>
      </c>
      <c r="T16" s="192">
        <f t="shared" si="0"/>
        <v>0</v>
      </c>
      <c r="U16" s="198">
        <f t="shared" si="1"/>
        <v>0</v>
      </c>
      <c r="V16" s="199">
        <f t="shared" si="2"/>
        <v>53.856999999999999</v>
      </c>
      <c r="W16" s="279">
        <v>2</v>
      </c>
      <c r="X16" s="192">
        <v>0</v>
      </c>
      <c r="Y16" s="225">
        <v>0</v>
      </c>
      <c r="Z16" s="192">
        <f t="shared" si="3"/>
        <v>0</v>
      </c>
      <c r="AA16" s="197">
        <f t="shared" si="4"/>
        <v>0</v>
      </c>
      <c r="AB16" s="199">
        <f t="shared" si="5"/>
        <v>55.856999999999999</v>
      </c>
      <c r="AC16" s="278">
        <v>0.45</v>
      </c>
      <c r="AD16" s="192">
        <f t="shared" si="6"/>
        <v>24.23565</v>
      </c>
      <c r="AE16" s="197">
        <f t="shared" si="7"/>
        <v>29.62135</v>
      </c>
      <c r="AF16" s="200"/>
      <c r="AG16" s="193" t="s">
        <v>55</v>
      </c>
      <c r="AH16" s="201"/>
      <c r="AI16" s="193" t="s">
        <v>4</v>
      </c>
      <c r="AJ16" s="423">
        <v>45393</v>
      </c>
      <c r="AK16" s="203" t="s">
        <v>4</v>
      </c>
      <c r="AL16" s="193" t="str">
        <f t="shared" si="8"/>
        <v>NON</v>
      </c>
      <c r="AM16" s="194" t="str">
        <f t="shared" si="9"/>
        <v>vendu</v>
      </c>
      <c r="AN16" s="193">
        <f t="shared" si="10"/>
        <v>2024</v>
      </c>
      <c r="AO16" s="188">
        <f t="shared" si="11"/>
        <v>20</v>
      </c>
      <c r="AP16" s="188"/>
      <c r="AQ16" s="194"/>
    </row>
    <row r="17" spans="1:43" ht="36.950000000000003" customHeight="1" x14ac:dyDescent="0.25">
      <c r="A17" s="84">
        <v>240129</v>
      </c>
      <c r="B17" s="67" t="s">
        <v>386</v>
      </c>
      <c r="C17" s="85">
        <v>1</v>
      </c>
      <c r="D17" s="84" t="s">
        <v>219</v>
      </c>
      <c r="E17" s="85"/>
      <c r="F17" s="84" t="s">
        <v>194</v>
      </c>
      <c r="G17" s="67">
        <f>IF(F17="","",IFERROR(VLOOKUP(F17,'validation des champs'!A:B,2,FALSE),"vide"))</f>
        <v>124</v>
      </c>
      <c r="H17" s="67" t="s">
        <v>179</v>
      </c>
      <c r="I17" s="67" t="str">
        <f>IF(H17="","",IFERROR(VLOOKUP(H17,'validation des champs'!C:D,2,FALSE),"Mathieu 140"))</f>
        <v>Mathieu 140</v>
      </c>
      <c r="J17" s="184">
        <v>5.5</v>
      </c>
      <c r="K17" s="88">
        <v>45427</v>
      </c>
      <c r="L17" s="95">
        <v>5.72</v>
      </c>
      <c r="M17" s="74">
        <v>0</v>
      </c>
      <c r="N17" s="75">
        <v>1</v>
      </c>
      <c r="O17" s="74">
        <v>0</v>
      </c>
      <c r="P17" s="94">
        <v>0</v>
      </c>
      <c r="Q17" s="90">
        <v>0</v>
      </c>
      <c r="R17" s="69">
        <v>12</v>
      </c>
      <c r="S17" s="75">
        <v>1</v>
      </c>
      <c r="T17" s="74">
        <f t="shared" si="0"/>
        <v>12</v>
      </c>
      <c r="U17" s="135">
        <f t="shared" si="1"/>
        <v>0</v>
      </c>
      <c r="V17" s="100">
        <f t="shared" si="2"/>
        <v>5.72</v>
      </c>
      <c r="W17" s="93">
        <v>0</v>
      </c>
      <c r="X17" s="74">
        <v>0</v>
      </c>
      <c r="Y17" s="78">
        <v>1</v>
      </c>
      <c r="Z17" s="74">
        <f t="shared" si="3"/>
        <v>0</v>
      </c>
      <c r="AA17" s="94">
        <f t="shared" si="4"/>
        <v>0</v>
      </c>
      <c r="AB17" s="100">
        <f t="shared" si="5"/>
        <v>5.72</v>
      </c>
      <c r="AC17" s="105">
        <v>0</v>
      </c>
      <c r="AD17" s="74">
        <f t="shared" si="6"/>
        <v>0</v>
      </c>
      <c r="AE17" s="94">
        <f t="shared" si="7"/>
        <v>5.72</v>
      </c>
      <c r="AF17" s="108"/>
      <c r="AG17" s="84" t="s">
        <v>19</v>
      </c>
      <c r="AH17" s="111" t="s">
        <v>63</v>
      </c>
      <c r="AI17" s="84" t="s">
        <v>8</v>
      </c>
      <c r="AJ17" s="424" t="s">
        <v>5</v>
      </c>
      <c r="AK17" s="118" t="s">
        <v>8</v>
      </c>
      <c r="AL17" s="84" t="str">
        <f t="shared" si="8"/>
        <v>OUI</v>
      </c>
      <c r="AM17" s="85" t="str">
        <f t="shared" si="9"/>
        <v>vendu</v>
      </c>
      <c r="AN17" s="80">
        <f t="shared" si="10"/>
        <v>2024</v>
      </c>
      <c r="AO17" s="64">
        <f t="shared" si="11"/>
        <v>20</v>
      </c>
      <c r="AP17" s="64">
        <v>5.7</v>
      </c>
      <c r="AQ17" s="81">
        <v>0</v>
      </c>
    </row>
    <row r="18" spans="1:43" ht="36.950000000000003" customHeight="1" x14ac:dyDescent="0.25">
      <c r="A18" s="82">
        <v>240018</v>
      </c>
      <c r="B18" s="66" t="s">
        <v>339</v>
      </c>
      <c r="C18" s="83">
        <v>1</v>
      </c>
      <c r="D18" s="82" t="s">
        <v>219</v>
      </c>
      <c r="E18" s="83" t="s">
        <v>117</v>
      </c>
      <c r="F18" s="82" t="s">
        <v>194</v>
      </c>
      <c r="G18" s="66">
        <f>IF(F18="","",IFERROR(VLOOKUP(F18,'validation des champs'!A:B,2,FALSE),"vide"))</f>
        <v>124</v>
      </c>
      <c r="H18" s="66" t="s">
        <v>179</v>
      </c>
      <c r="I18" s="66" t="str">
        <f>IF(H18="","",IFERROR(VLOOKUP(H18,'validation des champs'!C:D,2,FALSE),"Mathieu 140"))</f>
        <v>Mathieu 140</v>
      </c>
      <c r="J18" s="186">
        <v>14.2</v>
      </c>
      <c r="K18" s="87">
        <v>45427</v>
      </c>
      <c r="L18" s="473">
        <v>0</v>
      </c>
      <c r="M18" s="72">
        <v>0</v>
      </c>
      <c r="N18" s="73">
        <v>1</v>
      </c>
      <c r="O18" s="72">
        <v>0</v>
      </c>
      <c r="P18" s="92">
        <v>0</v>
      </c>
      <c r="Q18" s="473">
        <v>0.95399999999999996</v>
      </c>
      <c r="R18" s="72">
        <v>0</v>
      </c>
      <c r="S18" s="73">
        <v>1</v>
      </c>
      <c r="T18" s="72">
        <f t="shared" si="0"/>
        <v>0</v>
      </c>
      <c r="U18" s="134">
        <f t="shared" si="1"/>
        <v>0</v>
      </c>
      <c r="V18" s="99">
        <f t="shared" si="2"/>
        <v>0.95399999999999996</v>
      </c>
      <c r="W18" s="91">
        <v>0</v>
      </c>
      <c r="X18" s="72">
        <v>0</v>
      </c>
      <c r="Y18" s="79">
        <v>1</v>
      </c>
      <c r="Z18" s="72">
        <f t="shared" si="3"/>
        <v>0</v>
      </c>
      <c r="AA18" s="92">
        <f t="shared" si="4"/>
        <v>0</v>
      </c>
      <c r="AB18" s="99">
        <f t="shared" si="5"/>
        <v>0.95399999999999996</v>
      </c>
      <c r="AC18" s="104">
        <v>1</v>
      </c>
      <c r="AD18" s="72">
        <f t="shared" si="6"/>
        <v>0.95399999999999996</v>
      </c>
      <c r="AE18" s="92">
        <f t="shared" si="7"/>
        <v>0</v>
      </c>
      <c r="AF18" s="107"/>
      <c r="AG18" s="82" t="s">
        <v>19</v>
      </c>
      <c r="AH18" s="110" t="s">
        <v>63</v>
      </c>
      <c r="AI18" s="82" t="s">
        <v>115</v>
      </c>
      <c r="AJ18" s="114" t="s">
        <v>5</v>
      </c>
      <c r="AK18" s="117" t="s">
        <v>8</v>
      </c>
      <c r="AL18" s="82" t="str">
        <f t="shared" si="8"/>
        <v>OUI</v>
      </c>
      <c r="AM18" s="83" t="str">
        <f t="shared" si="9"/>
        <v>vendu</v>
      </c>
      <c r="AN18" s="82">
        <f t="shared" si="10"/>
        <v>2024</v>
      </c>
      <c r="AO18" s="66">
        <f t="shared" si="11"/>
        <v>20</v>
      </c>
      <c r="AP18" s="66"/>
      <c r="AQ18" s="83"/>
    </row>
    <row r="19" spans="1:43" ht="36.950000000000003" customHeight="1" x14ac:dyDescent="0.25">
      <c r="A19" s="84">
        <v>240127</v>
      </c>
      <c r="B19" s="67" t="s">
        <v>392</v>
      </c>
      <c r="C19" s="85">
        <v>1</v>
      </c>
      <c r="D19" s="84" t="s">
        <v>219</v>
      </c>
      <c r="E19" s="85"/>
      <c r="F19" s="84" t="s">
        <v>194</v>
      </c>
      <c r="G19" s="67">
        <f>IF(F19="","",IFERROR(VLOOKUP(F19,'validation des champs'!A:B,2,FALSE),"vide"))</f>
        <v>124</v>
      </c>
      <c r="H19" s="67" t="s">
        <v>179</v>
      </c>
      <c r="I19" s="67" t="str">
        <f>IF(H19="","",IFERROR(VLOOKUP(H19,'validation des champs'!C:D,2,FALSE),"Mathieu 140"))</f>
        <v>Mathieu 140</v>
      </c>
      <c r="J19" s="184">
        <v>6</v>
      </c>
      <c r="K19" s="88">
        <v>45427</v>
      </c>
      <c r="L19" s="95">
        <v>2.7730000000000001</v>
      </c>
      <c r="M19" s="74">
        <v>0</v>
      </c>
      <c r="N19" s="75">
        <v>1</v>
      </c>
      <c r="O19" s="74">
        <v>0</v>
      </c>
      <c r="P19" s="94">
        <v>0</v>
      </c>
      <c r="Q19" s="90">
        <v>0</v>
      </c>
      <c r="R19" s="69">
        <v>0</v>
      </c>
      <c r="S19" s="75">
        <v>1</v>
      </c>
      <c r="T19" s="74">
        <f t="shared" si="0"/>
        <v>0</v>
      </c>
      <c r="U19" s="135">
        <f t="shared" si="1"/>
        <v>0</v>
      </c>
      <c r="V19" s="100">
        <f t="shared" si="2"/>
        <v>2.7730000000000001</v>
      </c>
      <c r="W19" s="93">
        <v>0</v>
      </c>
      <c r="X19" s="74">
        <v>0</v>
      </c>
      <c r="Y19" s="78">
        <v>1</v>
      </c>
      <c r="Z19" s="74">
        <f t="shared" si="3"/>
        <v>0</v>
      </c>
      <c r="AA19" s="94">
        <f t="shared" si="4"/>
        <v>0</v>
      </c>
      <c r="AB19" s="100">
        <f t="shared" si="5"/>
        <v>2.7730000000000001</v>
      </c>
      <c r="AC19" s="105">
        <v>0</v>
      </c>
      <c r="AD19" s="74">
        <f t="shared" si="6"/>
        <v>0</v>
      </c>
      <c r="AE19" s="94">
        <f t="shared" si="7"/>
        <v>2.7730000000000001</v>
      </c>
      <c r="AF19" s="108"/>
      <c r="AG19" s="84" t="s">
        <v>19</v>
      </c>
      <c r="AH19" s="111" t="s">
        <v>63</v>
      </c>
      <c r="AI19" s="84" t="s">
        <v>8</v>
      </c>
      <c r="AJ19" s="295" t="s">
        <v>5</v>
      </c>
      <c r="AK19" s="118" t="s">
        <v>8</v>
      </c>
      <c r="AL19" s="84" t="str">
        <f t="shared" si="8"/>
        <v>OUI</v>
      </c>
      <c r="AM19" s="85" t="str">
        <f t="shared" si="9"/>
        <v>vendu</v>
      </c>
      <c r="AN19" s="80">
        <f t="shared" si="10"/>
        <v>2024</v>
      </c>
      <c r="AO19" s="64">
        <f t="shared" si="11"/>
        <v>20</v>
      </c>
      <c r="AP19" s="64">
        <v>2.7730000000000001</v>
      </c>
      <c r="AQ19" s="81">
        <v>0</v>
      </c>
    </row>
    <row r="20" spans="1:43" ht="36.950000000000003" customHeight="1" x14ac:dyDescent="0.25">
      <c r="A20" s="80">
        <v>230240</v>
      </c>
      <c r="B20" s="65" t="s">
        <v>319</v>
      </c>
      <c r="C20" s="81">
        <v>4</v>
      </c>
      <c r="D20" s="80" t="s">
        <v>221</v>
      </c>
      <c r="E20" s="81"/>
      <c r="F20" s="80" t="s">
        <v>194</v>
      </c>
      <c r="G20" s="64">
        <f>IF(F20="","",IFERROR(VLOOKUP(F20,'validation des champs'!A:B,2,FALSE),"vide"))</f>
        <v>124</v>
      </c>
      <c r="H20" s="68" t="s">
        <v>76</v>
      </c>
      <c r="I20" s="64" t="str">
        <f>IF(H20="","",IFERROR(VLOOKUP(H20,'validation des champs'!C:D,2,FALSE),"Mathieu 140"))</f>
        <v>Mathieu 140</v>
      </c>
      <c r="J20" s="185">
        <v>28</v>
      </c>
      <c r="K20" s="86">
        <v>45429</v>
      </c>
      <c r="L20" s="96">
        <v>32.466000000000001</v>
      </c>
      <c r="M20" s="69">
        <v>0</v>
      </c>
      <c r="N20" s="70">
        <v>0</v>
      </c>
      <c r="O20" s="69">
        <v>0</v>
      </c>
      <c r="P20" s="89">
        <v>0</v>
      </c>
      <c r="Q20" s="96">
        <v>14.176</v>
      </c>
      <c r="R20" s="69">
        <v>0</v>
      </c>
      <c r="S20" s="70">
        <v>0</v>
      </c>
      <c r="T20" s="69">
        <f t="shared" si="0"/>
        <v>0</v>
      </c>
      <c r="U20" s="136">
        <f t="shared" si="1"/>
        <v>0</v>
      </c>
      <c r="V20" s="98">
        <f t="shared" si="2"/>
        <v>46.642000000000003</v>
      </c>
      <c r="W20" s="96">
        <v>2</v>
      </c>
      <c r="X20" s="69">
        <v>0</v>
      </c>
      <c r="Y20" s="77">
        <v>0</v>
      </c>
      <c r="Z20" s="69">
        <f t="shared" si="3"/>
        <v>0</v>
      </c>
      <c r="AA20" s="89">
        <f t="shared" si="4"/>
        <v>0</v>
      </c>
      <c r="AB20" s="98">
        <f t="shared" si="5"/>
        <v>48.642000000000003</v>
      </c>
      <c r="AC20" s="103">
        <v>0.05</v>
      </c>
      <c r="AD20" s="69">
        <f t="shared" si="6"/>
        <v>2.3321000000000001</v>
      </c>
      <c r="AE20" s="89">
        <f t="shared" si="7"/>
        <v>44.309900000000006</v>
      </c>
      <c r="AF20" s="106"/>
      <c r="AG20" s="80" t="s">
        <v>55</v>
      </c>
      <c r="AH20" s="109"/>
      <c r="AI20" s="80" t="s">
        <v>4</v>
      </c>
      <c r="AJ20" s="112"/>
      <c r="AK20" s="116" t="s">
        <v>4</v>
      </c>
      <c r="AL20" s="80" t="str">
        <f t="shared" si="8"/>
        <v>NON</v>
      </c>
      <c r="AM20" s="81" t="str">
        <f t="shared" si="9"/>
        <v>vendu</v>
      </c>
      <c r="AN20" s="80">
        <f t="shared" si="10"/>
        <v>2024</v>
      </c>
      <c r="AO20" s="214">
        <f t="shared" si="11"/>
        <v>20</v>
      </c>
      <c r="AP20" s="64"/>
      <c r="AQ20" s="81"/>
    </row>
    <row r="21" spans="1:43" ht="36.950000000000003" customHeight="1" thickBot="1" x14ac:dyDescent="0.3">
      <c r="A21" s="226">
        <v>230240</v>
      </c>
      <c r="B21" s="244" t="s">
        <v>361</v>
      </c>
      <c r="C21" s="245">
        <v>4</v>
      </c>
      <c r="D21" s="226" t="s">
        <v>221</v>
      </c>
      <c r="E21" s="245"/>
      <c r="F21" s="226" t="s">
        <v>194</v>
      </c>
      <c r="G21" s="214">
        <f>IF(F21="","",IFERROR(VLOOKUP(F21,'validation des champs'!A:B,2,FALSE),"vide"))</f>
        <v>124</v>
      </c>
      <c r="H21" s="316" t="s">
        <v>76</v>
      </c>
      <c r="I21" s="214" t="str">
        <f>IF(H21="","",IFERROR(VLOOKUP(H21,'validation des champs'!C:D,2,FALSE),"Mathieu 140"))</f>
        <v>Mathieu 140</v>
      </c>
      <c r="J21" s="215">
        <v>28</v>
      </c>
      <c r="K21" s="246">
        <v>45429</v>
      </c>
      <c r="L21" s="247">
        <v>0</v>
      </c>
      <c r="M21" s="216">
        <v>0</v>
      </c>
      <c r="N21" s="217">
        <v>1</v>
      </c>
      <c r="O21" s="216">
        <v>0</v>
      </c>
      <c r="P21" s="248">
        <v>0</v>
      </c>
      <c r="Q21" s="249">
        <v>8.49</v>
      </c>
      <c r="R21" s="216">
        <v>0</v>
      </c>
      <c r="S21" s="217">
        <v>0</v>
      </c>
      <c r="T21" s="216">
        <f t="shared" si="0"/>
        <v>0</v>
      </c>
      <c r="U21" s="250">
        <f t="shared" si="1"/>
        <v>0</v>
      </c>
      <c r="V21" s="251">
        <f t="shared" si="2"/>
        <v>8.49</v>
      </c>
      <c r="W21" s="249">
        <v>2</v>
      </c>
      <c r="X21" s="216">
        <v>0</v>
      </c>
      <c r="Y21" s="218">
        <v>0</v>
      </c>
      <c r="Z21" s="216">
        <f t="shared" si="3"/>
        <v>0</v>
      </c>
      <c r="AA21" s="248">
        <f t="shared" si="4"/>
        <v>0</v>
      </c>
      <c r="AB21" s="251">
        <f t="shared" si="5"/>
        <v>10.49</v>
      </c>
      <c r="AC21" s="252">
        <v>0</v>
      </c>
      <c r="AD21" s="216">
        <f t="shared" si="6"/>
        <v>0</v>
      </c>
      <c r="AE21" s="248">
        <f t="shared" si="7"/>
        <v>8.49</v>
      </c>
      <c r="AF21" s="253"/>
      <c r="AG21" s="226" t="s">
        <v>55</v>
      </c>
      <c r="AH21" s="254"/>
      <c r="AI21" s="226" t="s">
        <v>4</v>
      </c>
      <c r="AJ21" s="259"/>
      <c r="AK21" s="255" t="s">
        <v>4</v>
      </c>
      <c r="AL21" s="226" t="str">
        <f t="shared" si="8"/>
        <v>NON</v>
      </c>
      <c r="AM21" s="245" t="str">
        <f t="shared" si="9"/>
        <v>vendu</v>
      </c>
      <c r="AN21" s="229">
        <f t="shared" si="10"/>
        <v>2024</v>
      </c>
      <c r="AO21" s="204">
        <f t="shared" si="11"/>
        <v>20</v>
      </c>
      <c r="AP21" s="212"/>
      <c r="AQ21" s="245"/>
    </row>
    <row r="22" spans="1:43" ht="36.950000000000003" customHeight="1" x14ac:dyDescent="0.25">
      <c r="A22" s="211">
        <v>230393</v>
      </c>
      <c r="B22" s="232" t="s">
        <v>374</v>
      </c>
      <c r="C22" s="233">
        <v>7</v>
      </c>
      <c r="D22" s="211" t="s">
        <v>219</v>
      </c>
      <c r="E22" s="233"/>
      <c r="F22" s="211" t="s">
        <v>73</v>
      </c>
      <c r="G22" s="205">
        <f>IF(F22="","",IFERROR(VLOOKUP(F22,'validation des champs'!A:B,2,FALSE),"vide"))</f>
        <v>101</v>
      </c>
      <c r="H22" s="260" t="s">
        <v>81</v>
      </c>
      <c r="I22" s="205" t="str">
        <f>IF(H22="","",IFERROR(VLOOKUP(H22,'validation des champs'!C:D,2,FALSE),"Mathieu 140"))</f>
        <v>Mathieu 140</v>
      </c>
      <c r="J22" s="206">
        <v>12.5</v>
      </c>
      <c r="K22" s="234">
        <v>45433</v>
      </c>
      <c r="L22" s="227">
        <v>0</v>
      </c>
      <c r="M22" s="207">
        <v>0</v>
      </c>
      <c r="N22" s="208">
        <v>1</v>
      </c>
      <c r="O22" s="209">
        <f>+N22*M22</f>
        <v>0</v>
      </c>
      <c r="P22" s="235">
        <f>+M22-O22</f>
        <v>0</v>
      </c>
      <c r="Q22" s="227">
        <f>21.9/2</f>
        <v>10.95</v>
      </c>
      <c r="R22" s="209">
        <v>7</v>
      </c>
      <c r="S22" s="208">
        <v>0</v>
      </c>
      <c r="T22" s="209">
        <f t="shared" si="0"/>
        <v>0</v>
      </c>
      <c r="U22" s="236">
        <f t="shared" si="1"/>
        <v>7</v>
      </c>
      <c r="V22" s="237">
        <f t="shared" si="2"/>
        <v>10.95</v>
      </c>
      <c r="W22" s="227">
        <v>0</v>
      </c>
      <c r="X22" s="209">
        <v>0</v>
      </c>
      <c r="Y22" s="427">
        <v>1</v>
      </c>
      <c r="Z22" s="209">
        <f t="shared" si="3"/>
        <v>0</v>
      </c>
      <c r="AA22" s="235">
        <f t="shared" si="4"/>
        <v>0</v>
      </c>
      <c r="AB22" s="237">
        <f t="shared" si="5"/>
        <v>10.95</v>
      </c>
      <c r="AC22" s="238">
        <v>0.36</v>
      </c>
      <c r="AD22" s="209">
        <f t="shared" si="6"/>
        <v>3.9419999999999997</v>
      </c>
      <c r="AE22" s="235">
        <f t="shared" si="7"/>
        <v>7.0079999999999991</v>
      </c>
      <c r="AF22" s="239"/>
      <c r="AG22" s="211" t="s">
        <v>19</v>
      </c>
      <c r="AH22" s="240" t="s">
        <v>63</v>
      </c>
      <c r="AI22" s="211" t="s">
        <v>8</v>
      </c>
      <c r="AJ22" s="228" t="s">
        <v>5</v>
      </c>
      <c r="AK22" s="241" t="s">
        <v>8</v>
      </c>
      <c r="AL22" s="211" t="str">
        <f t="shared" si="8"/>
        <v>NON</v>
      </c>
      <c r="AM22" s="233" t="str">
        <f t="shared" si="9"/>
        <v>vendu</v>
      </c>
      <c r="AN22" s="211">
        <f t="shared" si="10"/>
        <v>2024</v>
      </c>
      <c r="AO22" s="188">
        <f t="shared" si="11"/>
        <v>21</v>
      </c>
      <c r="AP22" s="205"/>
      <c r="AQ22" s="233"/>
    </row>
    <row r="23" spans="1:43" ht="36.950000000000003" customHeight="1" x14ac:dyDescent="0.25">
      <c r="A23" s="193">
        <v>200275</v>
      </c>
      <c r="B23" s="189" t="s">
        <v>249</v>
      </c>
      <c r="C23" s="194">
        <v>8</v>
      </c>
      <c r="D23" s="193" t="s">
        <v>222</v>
      </c>
      <c r="E23" s="194"/>
      <c r="F23" s="193" t="s">
        <v>70</v>
      </c>
      <c r="G23" s="188">
        <f>IF(F23="","",IFERROR(VLOOKUP(F23,'validation des champs'!A:B,2,FALSE),"vide"))</f>
        <v>116</v>
      </c>
      <c r="H23" s="188" t="s">
        <v>79</v>
      </c>
      <c r="I23" s="188">
        <f>IF(H23="","",IFERROR(VLOOKUP(H23,'validation des champs'!C:D,2,FALSE),"Mathieu 140"))</f>
        <v>114</v>
      </c>
      <c r="J23" s="190">
        <v>11.1</v>
      </c>
      <c r="K23" s="195">
        <v>45433</v>
      </c>
      <c r="L23" s="196">
        <v>0</v>
      </c>
      <c r="M23" s="192">
        <v>0</v>
      </c>
      <c r="N23" s="224">
        <v>1</v>
      </c>
      <c r="O23" s="192">
        <f>+N23*M23</f>
        <v>0</v>
      </c>
      <c r="P23" s="197">
        <f>+M23-O23</f>
        <v>0</v>
      </c>
      <c r="Q23" s="196">
        <v>85.24</v>
      </c>
      <c r="R23" s="192">
        <v>50</v>
      </c>
      <c r="S23" s="224">
        <v>0</v>
      </c>
      <c r="T23" s="192">
        <f t="shared" si="0"/>
        <v>0</v>
      </c>
      <c r="U23" s="198">
        <f t="shared" si="1"/>
        <v>50</v>
      </c>
      <c r="V23" s="199">
        <f t="shared" si="2"/>
        <v>85.24</v>
      </c>
      <c r="W23" s="196">
        <v>0</v>
      </c>
      <c r="X23" s="192">
        <v>0</v>
      </c>
      <c r="Y23" s="225">
        <v>1</v>
      </c>
      <c r="Z23" s="192">
        <f t="shared" si="3"/>
        <v>0</v>
      </c>
      <c r="AA23" s="197">
        <f t="shared" si="4"/>
        <v>0</v>
      </c>
      <c r="AB23" s="199">
        <f t="shared" si="5"/>
        <v>85.24</v>
      </c>
      <c r="AC23" s="278">
        <v>1</v>
      </c>
      <c r="AD23" s="192">
        <f t="shared" si="6"/>
        <v>85.24</v>
      </c>
      <c r="AE23" s="197">
        <f t="shared" si="7"/>
        <v>0</v>
      </c>
      <c r="AF23" s="200"/>
      <c r="AG23" s="193" t="s">
        <v>316</v>
      </c>
      <c r="AH23" s="201" t="s">
        <v>63</v>
      </c>
      <c r="AI23" s="193" t="s">
        <v>4</v>
      </c>
      <c r="AJ23" s="486">
        <v>45376</v>
      </c>
      <c r="AK23" s="203" t="s">
        <v>4</v>
      </c>
      <c r="AL23" s="193" t="str">
        <f t="shared" si="8"/>
        <v>NON</v>
      </c>
      <c r="AM23" s="194" t="str">
        <f t="shared" si="9"/>
        <v>vendu</v>
      </c>
      <c r="AN23" s="193">
        <f t="shared" si="10"/>
        <v>2024</v>
      </c>
      <c r="AO23" s="188">
        <f t="shared" si="11"/>
        <v>21</v>
      </c>
      <c r="AP23" s="188"/>
      <c r="AQ23" s="194"/>
    </row>
    <row r="24" spans="1:43" ht="36.950000000000003" customHeight="1" x14ac:dyDescent="0.25">
      <c r="A24" s="80">
        <v>230378</v>
      </c>
      <c r="B24" s="65" t="s">
        <v>322</v>
      </c>
      <c r="C24" s="81">
        <v>3</v>
      </c>
      <c r="D24" s="80" t="s">
        <v>219</v>
      </c>
      <c r="E24" s="81" t="s">
        <v>231</v>
      </c>
      <c r="F24" s="80" t="s">
        <v>73</v>
      </c>
      <c r="G24" s="64">
        <f>IF(F24="","",IFERROR(VLOOKUP(F24,'validation des champs'!A:B,2,FALSE),"vide"))</f>
        <v>101</v>
      </c>
      <c r="H24" s="64" t="s">
        <v>80</v>
      </c>
      <c r="I24" s="64">
        <f>IF(H24="","",IFERROR(VLOOKUP(H24,'validation des champs'!C:D,2,FALSE),"Mathieu 140"))</f>
        <v>122</v>
      </c>
      <c r="J24" s="185">
        <v>15</v>
      </c>
      <c r="K24" s="86">
        <v>45433</v>
      </c>
      <c r="L24" s="96">
        <v>4.13</v>
      </c>
      <c r="M24" s="69">
        <v>0</v>
      </c>
      <c r="N24" s="70">
        <v>0</v>
      </c>
      <c r="O24" s="69">
        <f>+N24*M24</f>
        <v>0</v>
      </c>
      <c r="P24" s="89">
        <f>+M24-O24</f>
        <v>0</v>
      </c>
      <c r="Q24" s="96">
        <v>38.869999999999997</v>
      </c>
      <c r="R24" s="69">
        <v>0</v>
      </c>
      <c r="S24" s="70">
        <v>0</v>
      </c>
      <c r="T24" s="69">
        <f t="shared" si="0"/>
        <v>0</v>
      </c>
      <c r="U24" s="136">
        <f t="shared" si="1"/>
        <v>0</v>
      </c>
      <c r="V24" s="98">
        <f t="shared" si="2"/>
        <v>43</v>
      </c>
      <c r="W24" s="90">
        <v>0</v>
      </c>
      <c r="X24" s="69">
        <v>0</v>
      </c>
      <c r="Y24" s="77">
        <v>1</v>
      </c>
      <c r="Z24" s="69">
        <f t="shared" si="3"/>
        <v>0</v>
      </c>
      <c r="AA24" s="89">
        <f t="shared" si="4"/>
        <v>0</v>
      </c>
      <c r="AB24" s="98">
        <f t="shared" si="5"/>
        <v>43</v>
      </c>
      <c r="AC24" s="103">
        <v>0.56999999999999995</v>
      </c>
      <c r="AD24" s="69">
        <f t="shared" si="6"/>
        <v>24.509999999999998</v>
      </c>
      <c r="AE24" s="89">
        <f t="shared" si="7"/>
        <v>18.490000000000002</v>
      </c>
      <c r="AF24" s="106"/>
      <c r="AG24" s="80" t="s">
        <v>326</v>
      </c>
      <c r="AH24" s="109" t="s">
        <v>63</v>
      </c>
      <c r="AI24" s="80" t="s">
        <v>4</v>
      </c>
      <c r="AJ24" s="112"/>
      <c r="AK24" s="116" t="s">
        <v>4</v>
      </c>
      <c r="AL24" s="80" t="str">
        <f t="shared" si="8"/>
        <v>NON</v>
      </c>
      <c r="AM24" s="81" t="str">
        <f t="shared" si="9"/>
        <v>vendu</v>
      </c>
      <c r="AN24" s="80">
        <f t="shared" si="10"/>
        <v>2024</v>
      </c>
      <c r="AO24" s="64">
        <f t="shared" si="11"/>
        <v>21</v>
      </c>
      <c r="AP24" s="64"/>
      <c r="AQ24" s="81"/>
    </row>
    <row r="25" spans="1:43" ht="36.950000000000003" customHeight="1" x14ac:dyDescent="0.25">
      <c r="A25" s="80">
        <v>220451</v>
      </c>
      <c r="B25" s="65" t="s">
        <v>334</v>
      </c>
      <c r="C25" s="81">
        <v>2</v>
      </c>
      <c r="D25" s="80" t="s">
        <v>219</v>
      </c>
      <c r="E25" s="81"/>
      <c r="F25" s="80" t="s">
        <v>73</v>
      </c>
      <c r="G25" s="64">
        <f>IF(F25="","",IFERROR(VLOOKUP(F25,'validation des champs'!A:B,2,FALSE),"vide"))</f>
        <v>101</v>
      </c>
      <c r="H25" s="64" t="s">
        <v>75</v>
      </c>
      <c r="I25" s="64">
        <f>IF(H25="","",IFERROR(VLOOKUP(H25,'validation des champs'!C:D,2,FALSE),"Mathieu 140"))</f>
        <v>126</v>
      </c>
      <c r="J25" s="185">
        <v>13.6</v>
      </c>
      <c r="K25" s="396">
        <v>45433</v>
      </c>
      <c r="L25" s="90">
        <v>0</v>
      </c>
      <c r="M25" s="69">
        <v>0</v>
      </c>
      <c r="N25" s="70">
        <v>1</v>
      </c>
      <c r="O25" s="69">
        <f>+N25*M25</f>
        <v>0</v>
      </c>
      <c r="P25" s="89">
        <f>+M25-O25</f>
        <v>0</v>
      </c>
      <c r="Q25" s="96">
        <f>3.569+25.574</f>
        <v>29.143000000000001</v>
      </c>
      <c r="R25" s="69">
        <v>0</v>
      </c>
      <c r="S25" s="70">
        <v>0</v>
      </c>
      <c r="T25" s="69">
        <f t="shared" si="0"/>
        <v>0</v>
      </c>
      <c r="U25" s="136">
        <f t="shared" si="1"/>
        <v>0</v>
      </c>
      <c r="V25" s="98">
        <f t="shared" si="2"/>
        <v>29.143000000000001</v>
      </c>
      <c r="W25" s="101">
        <v>3.47</v>
      </c>
      <c r="X25" s="69">
        <v>0</v>
      </c>
      <c r="Y25" s="77">
        <v>0.5</v>
      </c>
      <c r="Z25" s="69">
        <f t="shared" si="3"/>
        <v>0</v>
      </c>
      <c r="AA25" s="89">
        <f t="shared" si="4"/>
        <v>0</v>
      </c>
      <c r="AB25" s="98">
        <f t="shared" si="5"/>
        <v>32.613</v>
      </c>
      <c r="AC25" s="103">
        <v>0.89</v>
      </c>
      <c r="AD25" s="69">
        <f t="shared" si="6"/>
        <v>25.937270000000002</v>
      </c>
      <c r="AE25" s="89">
        <f t="shared" si="7"/>
        <v>3.2057299999999991</v>
      </c>
      <c r="AF25" s="106"/>
      <c r="AG25" s="80" t="s">
        <v>342</v>
      </c>
      <c r="AH25" s="109"/>
      <c r="AI25" s="80" t="s">
        <v>4</v>
      </c>
      <c r="AJ25" s="112"/>
      <c r="AK25" s="116" t="s">
        <v>4</v>
      </c>
      <c r="AL25" s="80" t="str">
        <f t="shared" si="8"/>
        <v>NON</v>
      </c>
      <c r="AM25" s="81" t="str">
        <f t="shared" si="9"/>
        <v>vendu</v>
      </c>
      <c r="AN25" s="80">
        <f t="shared" si="10"/>
        <v>2024</v>
      </c>
      <c r="AO25" s="64">
        <f t="shared" si="11"/>
        <v>21</v>
      </c>
      <c r="AP25" s="64"/>
      <c r="AQ25" s="81"/>
    </row>
    <row r="26" spans="1:43" ht="36.950000000000003" customHeight="1" x14ac:dyDescent="0.25">
      <c r="A26" s="80">
        <v>220451</v>
      </c>
      <c r="B26" s="65" t="s">
        <v>352</v>
      </c>
      <c r="C26" s="81">
        <v>2</v>
      </c>
      <c r="D26" s="80" t="s">
        <v>219</v>
      </c>
      <c r="E26" s="81" t="s">
        <v>117</v>
      </c>
      <c r="F26" s="80" t="s">
        <v>73</v>
      </c>
      <c r="G26" s="64">
        <f>IF(F26="","",IFERROR(VLOOKUP(F26,'validation des champs'!A:B,2,FALSE),"vide"))</f>
        <v>101</v>
      </c>
      <c r="H26" s="64" t="s">
        <v>75</v>
      </c>
      <c r="I26" s="64">
        <f>IF(H26="","",IFERROR(VLOOKUP(H26,'validation des champs'!C:D,2,FALSE),"Mathieu 140"))</f>
        <v>126</v>
      </c>
      <c r="J26" s="185">
        <v>5.75</v>
      </c>
      <c r="K26" s="396">
        <v>45433</v>
      </c>
      <c r="L26" s="90">
        <v>0</v>
      </c>
      <c r="M26" s="69">
        <v>0</v>
      </c>
      <c r="N26" s="70">
        <v>0</v>
      </c>
      <c r="O26" s="69">
        <f>+N26*M26</f>
        <v>0</v>
      </c>
      <c r="P26" s="89">
        <f>+M26-O26</f>
        <v>0</v>
      </c>
      <c r="Q26" s="96">
        <v>1.57</v>
      </c>
      <c r="R26" s="69">
        <v>0</v>
      </c>
      <c r="S26" s="70">
        <v>0</v>
      </c>
      <c r="T26" s="69">
        <f t="shared" si="0"/>
        <v>0</v>
      </c>
      <c r="U26" s="136">
        <f t="shared" si="1"/>
        <v>0</v>
      </c>
      <c r="V26" s="98">
        <f t="shared" si="2"/>
        <v>1.57</v>
      </c>
      <c r="W26" s="102">
        <v>1</v>
      </c>
      <c r="X26" s="69">
        <v>0</v>
      </c>
      <c r="Y26" s="77">
        <v>0</v>
      </c>
      <c r="Z26" s="69">
        <f t="shared" si="3"/>
        <v>0</v>
      </c>
      <c r="AA26" s="89">
        <f t="shared" si="4"/>
        <v>0</v>
      </c>
      <c r="AB26" s="98">
        <f t="shared" si="5"/>
        <v>2.5700000000000003</v>
      </c>
      <c r="AC26" s="103">
        <v>1</v>
      </c>
      <c r="AD26" s="69">
        <f t="shared" si="6"/>
        <v>1.57</v>
      </c>
      <c r="AE26" s="89">
        <f t="shared" si="7"/>
        <v>0</v>
      </c>
      <c r="AF26" s="106"/>
      <c r="AG26" s="80" t="s">
        <v>342</v>
      </c>
      <c r="AH26" s="109"/>
      <c r="AI26" s="80" t="s">
        <v>4</v>
      </c>
      <c r="AJ26" s="112"/>
      <c r="AK26" s="116" t="s">
        <v>4</v>
      </c>
      <c r="AL26" s="80" t="str">
        <f t="shared" si="8"/>
        <v>NON</v>
      </c>
      <c r="AM26" s="81" t="str">
        <f t="shared" si="9"/>
        <v>vendu</v>
      </c>
      <c r="AN26" s="80">
        <f t="shared" si="10"/>
        <v>2024</v>
      </c>
      <c r="AO26" s="64">
        <f t="shared" si="11"/>
        <v>21</v>
      </c>
      <c r="AP26" s="64"/>
      <c r="AQ26" s="81"/>
    </row>
    <row r="27" spans="1:43" ht="36.950000000000003" customHeight="1" x14ac:dyDescent="0.25">
      <c r="A27" s="80">
        <v>230457</v>
      </c>
      <c r="B27" s="65" t="s">
        <v>175</v>
      </c>
      <c r="C27" s="81">
        <v>1</v>
      </c>
      <c r="D27" s="80" t="s">
        <v>223</v>
      </c>
      <c r="E27" s="81" t="s">
        <v>174</v>
      </c>
      <c r="F27" s="80" t="s">
        <v>194</v>
      </c>
      <c r="G27" s="64">
        <f>IF(F27="","",IFERROR(VLOOKUP(F27,'validation des champs'!A:B,2,FALSE),"vide"))</f>
        <v>124</v>
      </c>
      <c r="H27" s="68" t="s">
        <v>176</v>
      </c>
      <c r="I27" s="64" t="str">
        <f>IF(H27="","",IFERROR(VLOOKUP(H27,'validation des champs'!C:D,2,FALSE),"Mathieu 140"))</f>
        <v>Mathieu 140</v>
      </c>
      <c r="J27" s="185">
        <v>24.5</v>
      </c>
      <c r="K27" s="396">
        <v>45433</v>
      </c>
      <c r="L27" s="96">
        <v>28.75</v>
      </c>
      <c r="M27" s="69">
        <v>0</v>
      </c>
      <c r="N27" s="70">
        <v>0</v>
      </c>
      <c r="O27" s="69">
        <v>0</v>
      </c>
      <c r="P27" s="89">
        <v>0</v>
      </c>
      <c r="Q27" s="90">
        <v>73.39</v>
      </c>
      <c r="R27" s="69">
        <v>43.5</v>
      </c>
      <c r="S27" s="70">
        <v>0</v>
      </c>
      <c r="T27" s="69">
        <f t="shared" si="0"/>
        <v>0</v>
      </c>
      <c r="U27" s="136">
        <f t="shared" si="1"/>
        <v>43.5</v>
      </c>
      <c r="V27" s="98">
        <f t="shared" si="2"/>
        <v>102.14</v>
      </c>
      <c r="W27" s="101">
        <v>2.1789999999999998</v>
      </c>
      <c r="X27" s="69">
        <v>0</v>
      </c>
      <c r="Y27" s="70">
        <v>0.5</v>
      </c>
      <c r="Z27" s="69">
        <f t="shared" si="3"/>
        <v>0</v>
      </c>
      <c r="AA27" s="89">
        <f t="shared" si="4"/>
        <v>0</v>
      </c>
      <c r="AB27" s="98">
        <f t="shared" si="5"/>
        <v>104.319</v>
      </c>
      <c r="AC27" s="103">
        <v>0.02</v>
      </c>
      <c r="AD27" s="69">
        <f t="shared" si="6"/>
        <v>2.0428000000000002</v>
      </c>
      <c r="AE27" s="89">
        <f t="shared" si="7"/>
        <v>100.0972</v>
      </c>
      <c r="AF27" s="106"/>
      <c r="AG27" s="80" t="s">
        <v>66</v>
      </c>
      <c r="AH27" s="109" t="s">
        <v>63</v>
      </c>
      <c r="AI27" s="80" t="s">
        <v>4</v>
      </c>
      <c r="AJ27" s="112"/>
      <c r="AK27" s="116" t="s">
        <v>4</v>
      </c>
      <c r="AL27" s="80" t="str">
        <f t="shared" si="8"/>
        <v>NON</v>
      </c>
      <c r="AM27" s="81" t="str">
        <f t="shared" si="9"/>
        <v>vendu</v>
      </c>
      <c r="AN27" s="80">
        <f t="shared" si="10"/>
        <v>2024</v>
      </c>
      <c r="AO27" s="64">
        <f t="shared" si="11"/>
        <v>21</v>
      </c>
      <c r="AP27" s="64">
        <v>105.5</v>
      </c>
      <c r="AQ27" s="81">
        <v>2</v>
      </c>
    </row>
    <row r="28" spans="1:43" ht="36.950000000000003" customHeight="1" x14ac:dyDescent="0.25">
      <c r="A28" s="80">
        <v>220252</v>
      </c>
      <c r="B28" s="65" t="s">
        <v>208</v>
      </c>
      <c r="C28" s="81">
        <v>1</v>
      </c>
      <c r="D28" s="80" t="s">
        <v>219</v>
      </c>
      <c r="E28" s="81"/>
      <c r="F28" s="80" t="s">
        <v>194</v>
      </c>
      <c r="G28" s="64">
        <f>IF(F28="","",IFERROR(VLOOKUP(F28,'validation des champs'!A:B,2,FALSE),"vide"))</f>
        <v>124</v>
      </c>
      <c r="H28" s="68" t="s">
        <v>209</v>
      </c>
      <c r="I28" s="64" t="str">
        <f>IF(H28="","",IFERROR(VLOOKUP(H28,'validation des champs'!C:D,2,FALSE),"Mathieu 140"))</f>
        <v>Mathieu 140</v>
      </c>
      <c r="J28" s="185">
        <v>25.49</v>
      </c>
      <c r="K28" s="86">
        <v>45433</v>
      </c>
      <c r="L28" s="90">
        <v>0</v>
      </c>
      <c r="M28" s="71">
        <v>0</v>
      </c>
      <c r="N28" s="70">
        <v>1</v>
      </c>
      <c r="O28" s="69">
        <f>+N28*M28</f>
        <v>0</v>
      </c>
      <c r="P28" s="89">
        <f>+M28-O28</f>
        <v>0</v>
      </c>
      <c r="Q28" s="90">
        <v>0</v>
      </c>
      <c r="R28" s="71">
        <v>0</v>
      </c>
      <c r="S28" s="70">
        <v>1</v>
      </c>
      <c r="T28" s="69">
        <f t="shared" si="0"/>
        <v>0</v>
      </c>
      <c r="U28" s="136">
        <f t="shared" si="1"/>
        <v>0</v>
      </c>
      <c r="V28" s="98">
        <f t="shared" si="2"/>
        <v>0</v>
      </c>
      <c r="W28" s="102">
        <v>0.58799999999999997</v>
      </c>
      <c r="X28" s="69">
        <v>1.8</v>
      </c>
      <c r="Y28" s="77">
        <v>0</v>
      </c>
      <c r="Z28" s="69">
        <f t="shared" si="3"/>
        <v>0</v>
      </c>
      <c r="AA28" s="89">
        <f t="shared" si="4"/>
        <v>1.8</v>
      </c>
      <c r="AB28" s="98">
        <f t="shared" si="5"/>
        <v>0.58799999999999997</v>
      </c>
      <c r="AC28" s="103">
        <v>1</v>
      </c>
      <c r="AD28" s="69">
        <f t="shared" si="6"/>
        <v>0</v>
      </c>
      <c r="AE28" s="89">
        <f t="shared" si="7"/>
        <v>0</v>
      </c>
      <c r="AF28" s="106"/>
      <c r="AG28" s="80" t="s">
        <v>19</v>
      </c>
      <c r="AH28" s="109" t="s">
        <v>63</v>
      </c>
      <c r="AI28" s="80" t="s">
        <v>4</v>
      </c>
      <c r="AJ28" s="115">
        <v>45393</v>
      </c>
      <c r="AK28" s="116" t="s">
        <v>4</v>
      </c>
      <c r="AL28" s="80" t="str">
        <f t="shared" si="8"/>
        <v>NON</v>
      </c>
      <c r="AM28" s="81" t="str">
        <f t="shared" si="9"/>
        <v>vendu</v>
      </c>
      <c r="AN28" s="80">
        <f t="shared" si="10"/>
        <v>2024</v>
      </c>
      <c r="AO28" s="64">
        <f t="shared" si="11"/>
        <v>21</v>
      </c>
      <c r="AP28" s="64"/>
      <c r="AQ28" s="81"/>
    </row>
    <row r="29" spans="1:43" ht="36.950000000000003" customHeight="1" x14ac:dyDescent="0.25">
      <c r="A29" s="84">
        <v>240112</v>
      </c>
      <c r="B29" s="67" t="s">
        <v>385</v>
      </c>
      <c r="C29" s="85">
        <v>1</v>
      </c>
      <c r="D29" s="84" t="s">
        <v>223</v>
      </c>
      <c r="E29" s="85"/>
      <c r="F29" s="84" t="s">
        <v>194</v>
      </c>
      <c r="G29" s="67">
        <f>IF(F29="","",IFERROR(VLOOKUP(F29,'validation des champs'!A:B,2,FALSE),"vide"))</f>
        <v>124</v>
      </c>
      <c r="H29" s="67" t="s">
        <v>179</v>
      </c>
      <c r="I29" s="67" t="str">
        <f>IF(H29="","",IFERROR(VLOOKUP(H29,'validation des champs'!C:D,2,FALSE),"Mathieu 140"))</f>
        <v>Mathieu 140</v>
      </c>
      <c r="J29" s="184">
        <v>6.9</v>
      </c>
      <c r="K29" s="88">
        <v>45434</v>
      </c>
      <c r="L29" s="95">
        <v>2.0870000000000002</v>
      </c>
      <c r="M29" s="74">
        <v>0</v>
      </c>
      <c r="N29" s="75">
        <v>0</v>
      </c>
      <c r="O29" s="74">
        <v>0</v>
      </c>
      <c r="P29" s="94">
        <v>0</v>
      </c>
      <c r="Q29" s="90">
        <v>0</v>
      </c>
      <c r="R29" s="69">
        <v>0</v>
      </c>
      <c r="S29" s="75">
        <v>1</v>
      </c>
      <c r="T29" s="74">
        <f t="shared" si="0"/>
        <v>0</v>
      </c>
      <c r="U29" s="135">
        <f t="shared" si="1"/>
        <v>0</v>
      </c>
      <c r="V29" s="100">
        <f t="shared" si="2"/>
        <v>2.0870000000000002</v>
      </c>
      <c r="W29" s="93">
        <v>0</v>
      </c>
      <c r="X29" s="74">
        <v>0</v>
      </c>
      <c r="Y29" s="78">
        <v>1</v>
      </c>
      <c r="Z29" s="74">
        <f t="shared" si="3"/>
        <v>0</v>
      </c>
      <c r="AA29" s="94">
        <f t="shared" si="4"/>
        <v>0</v>
      </c>
      <c r="AB29" s="100">
        <f t="shared" si="5"/>
        <v>2.0870000000000002</v>
      </c>
      <c r="AC29" s="105">
        <v>0</v>
      </c>
      <c r="AD29" s="74">
        <f t="shared" si="6"/>
        <v>0</v>
      </c>
      <c r="AE29" s="94">
        <f t="shared" si="7"/>
        <v>2.0870000000000002</v>
      </c>
      <c r="AF29" s="108"/>
      <c r="AG29" s="84" t="s">
        <v>19</v>
      </c>
      <c r="AH29" s="111" t="s">
        <v>63</v>
      </c>
      <c r="AI29" s="84" t="s">
        <v>8</v>
      </c>
      <c r="AJ29" s="295" t="s">
        <v>5</v>
      </c>
      <c r="AK29" s="118" t="s">
        <v>8</v>
      </c>
      <c r="AL29" s="84" t="str">
        <f t="shared" si="8"/>
        <v>OUI</v>
      </c>
      <c r="AM29" s="85" t="str">
        <f t="shared" si="9"/>
        <v>vendu</v>
      </c>
      <c r="AN29" s="80">
        <f t="shared" si="10"/>
        <v>2024</v>
      </c>
      <c r="AO29" s="64">
        <f t="shared" si="11"/>
        <v>21</v>
      </c>
      <c r="AP29" s="64">
        <v>2.0870000000000002</v>
      </c>
      <c r="AQ29" s="81">
        <v>0</v>
      </c>
    </row>
    <row r="30" spans="1:43" ht="36.950000000000003" customHeight="1" x14ac:dyDescent="0.25">
      <c r="A30" s="80">
        <v>240012</v>
      </c>
      <c r="B30" s="65" t="s">
        <v>261</v>
      </c>
      <c r="C30" s="81">
        <v>3</v>
      </c>
      <c r="D30" s="80" t="s">
        <v>223</v>
      </c>
      <c r="E30" s="81" t="s">
        <v>364</v>
      </c>
      <c r="F30" s="80" t="s">
        <v>71</v>
      </c>
      <c r="G30" s="64">
        <f>IF(F30="","",IFERROR(VLOOKUP(F30,'validation des champs'!A:B,2,FALSE),"vide"))</f>
        <v>135</v>
      </c>
      <c r="H30" s="64" t="s">
        <v>82</v>
      </c>
      <c r="I30" s="64" t="str">
        <f>IF(H30="","",IFERROR(VLOOKUP(H30,'validation des champs'!C:D,2,FALSE),"Mathieu 140"))</f>
        <v>Mathieu 140</v>
      </c>
      <c r="J30" s="185">
        <v>13</v>
      </c>
      <c r="K30" s="86">
        <v>45435</v>
      </c>
      <c r="L30" s="96">
        <v>12.42</v>
      </c>
      <c r="M30" s="69">
        <v>92</v>
      </c>
      <c r="N30" s="70">
        <v>0</v>
      </c>
      <c r="O30" s="69">
        <v>0</v>
      </c>
      <c r="P30" s="89">
        <v>0</v>
      </c>
      <c r="Q30" s="96">
        <v>30.95</v>
      </c>
      <c r="R30" s="69">
        <v>78</v>
      </c>
      <c r="S30" s="70">
        <v>0</v>
      </c>
      <c r="T30" s="69">
        <f t="shared" si="0"/>
        <v>0</v>
      </c>
      <c r="U30" s="136">
        <f t="shared" si="1"/>
        <v>78</v>
      </c>
      <c r="V30" s="98">
        <f t="shared" si="2"/>
        <v>43.37</v>
      </c>
      <c r="W30" s="90">
        <v>0</v>
      </c>
      <c r="X30" s="69">
        <v>0</v>
      </c>
      <c r="Y30" s="70">
        <v>1</v>
      </c>
      <c r="Z30" s="69">
        <f t="shared" si="3"/>
        <v>0</v>
      </c>
      <c r="AA30" s="89">
        <f t="shared" si="4"/>
        <v>0</v>
      </c>
      <c r="AB30" s="98">
        <f t="shared" si="5"/>
        <v>43.37</v>
      </c>
      <c r="AC30" s="103">
        <v>0</v>
      </c>
      <c r="AD30" s="69">
        <f t="shared" si="6"/>
        <v>0</v>
      </c>
      <c r="AE30" s="89">
        <f t="shared" si="7"/>
        <v>43.37</v>
      </c>
      <c r="AF30" s="106"/>
      <c r="AG30" s="80" t="s">
        <v>87</v>
      </c>
      <c r="AH30" s="109"/>
      <c r="AI30" s="80" t="s">
        <v>4</v>
      </c>
      <c r="AJ30" s="112"/>
      <c r="AK30" s="116" t="s">
        <v>4</v>
      </c>
      <c r="AL30" s="80" t="str">
        <f t="shared" si="8"/>
        <v>NON</v>
      </c>
      <c r="AM30" s="81" t="str">
        <f t="shared" si="9"/>
        <v>vendu</v>
      </c>
      <c r="AN30" s="80">
        <f t="shared" si="10"/>
        <v>2024</v>
      </c>
      <c r="AO30" s="214">
        <f t="shared" si="11"/>
        <v>21</v>
      </c>
      <c r="AP30" s="64"/>
      <c r="AQ30" s="81"/>
    </row>
    <row r="31" spans="1:43" ht="36.950000000000003" customHeight="1" thickBot="1" x14ac:dyDescent="0.3">
      <c r="A31" s="226">
        <v>230240</v>
      </c>
      <c r="B31" s="244" t="s">
        <v>321</v>
      </c>
      <c r="C31" s="245">
        <v>4</v>
      </c>
      <c r="D31" s="226" t="s">
        <v>221</v>
      </c>
      <c r="E31" s="245"/>
      <c r="F31" s="226" t="s">
        <v>194</v>
      </c>
      <c r="G31" s="214">
        <f>IF(F31="","",IFERROR(VLOOKUP(F31,'validation des champs'!A:B,2,FALSE),"vide"))</f>
        <v>124</v>
      </c>
      <c r="H31" s="316" t="s">
        <v>76</v>
      </c>
      <c r="I31" s="214" t="str">
        <f>IF(H31="","",IFERROR(VLOOKUP(H31,'validation des champs'!C:D,2,FALSE),"Mathieu 140"))</f>
        <v>Mathieu 140</v>
      </c>
      <c r="J31" s="215">
        <v>28</v>
      </c>
      <c r="K31" s="246">
        <v>45436</v>
      </c>
      <c r="L31" s="249">
        <v>45.44</v>
      </c>
      <c r="M31" s="216">
        <v>0</v>
      </c>
      <c r="N31" s="217">
        <v>0</v>
      </c>
      <c r="O31" s="216">
        <v>0</v>
      </c>
      <c r="P31" s="248">
        <v>0</v>
      </c>
      <c r="Q31" s="249">
        <v>14.41</v>
      </c>
      <c r="R31" s="216">
        <v>0</v>
      </c>
      <c r="S31" s="217">
        <v>0</v>
      </c>
      <c r="T31" s="216">
        <f t="shared" si="0"/>
        <v>0</v>
      </c>
      <c r="U31" s="250">
        <f t="shared" si="1"/>
        <v>0</v>
      </c>
      <c r="V31" s="251">
        <f t="shared" si="2"/>
        <v>59.849999999999994</v>
      </c>
      <c r="W31" s="249">
        <v>2</v>
      </c>
      <c r="X31" s="216">
        <v>0</v>
      </c>
      <c r="Y31" s="218">
        <v>0</v>
      </c>
      <c r="Z31" s="216">
        <f t="shared" si="3"/>
        <v>0</v>
      </c>
      <c r="AA31" s="248">
        <f t="shared" si="4"/>
        <v>0</v>
      </c>
      <c r="AB31" s="251">
        <f t="shared" si="5"/>
        <v>61.849999999999994</v>
      </c>
      <c r="AC31" s="252">
        <v>0.01</v>
      </c>
      <c r="AD31" s="216">
        <f t="shared" si="6"/>
        <v>0.59849999999999992</v>
      </c>
      <c r="AE31" s="248">
        <f t="shared" si="7"/>
        <v>59.251499999999993</v>
      </c>
      <c r="AF31" s="253"/>
      <c r="AG31" s="226" t="s">
        <v>55</v>
      </c>
      <c r="AH31" s="254"/>
      <c r="AI31" s="226" t="s">
        <v>4</v>
      </c>
      <c r="AJ31" s="259"/>
      <c r="AK31" s="255" t="s">
        <v>4</v>
      </c>
      <c r="AL31" s="226" t="str">
        <f t="shared" si="8"/>
        <v>NON</v>
      </c>
      <c r="AM31" s="245" t="str">
        <f t="shared" si="9"/>
        <v>vendu</v>
      </c>
      <c r="AN31" s="229">
        <f t="shared" si="10"/>
        <v>2024</v>
      </c>
      <c r="AO31" s="204">
        <f t="shared" si="11"/>
        <v>21</v>
      </c>
      <c r="AP31" s="212"/>
      <c r="AQ31" s="245"/>
    </row>
    <row r="32" spans="1:43" ht="36.950000000000003" customHeight="1" x14ac:dyDescent="0.25">
      <c r="A32" s="211">
        <v>230163</v>
      </c>
      <c r="B32" s="232" t="s">
        <v>41</v>
      </c>
      <c r="C32" s="233">
        <v>1</v>
      </c>
      <c r="D32" s="211" t="s">
        <v>219</v>
      </c>
      <c r="E32" s="233"/>
      <c r="F32" s="211" t="s">
        <v>71</v>
      </c>
      <c r="G32" s="205">
        <f>IF(F32="","",IFERROR(VLOOKUP(F32,'validation des champs'!A:B,2,FALSE),"vide"))</f>
        <v>135</v>
      </c>
      <c r="H32" s="205" t="s">
        <v>79</v>
      </c>
      <c r="I32" s="205">
        <f>IF(H32="","",IFERROR(VLOOKUP(H32,'validation des champs'!C:D,2,FALSE),"Mathieu 140"))</f>
        <v>114</v>
      </c>
      <c r="J32" s="206">
        <v>21.9</v>
      </c>
      <c r="K32" s="393">
        <v>45439</v>
      </c>
      <c r="L32" s="227">
        <v>0</v>
      </c>
      <c r="M32" s="207">
        <v>0</v>
      </c>
      <c r="N32" s="208">
        <v>1</v>
      </c>
      <c r="O32" s="209">
        <f>+N32*M32</f>
        <v>0</v>
      </c>
      <c r="P32" s="235">
        <f>+M32-O32</f>
        <v>0</v>
      </c>
      <c r="Q32" s="243">
        <v>51.225000000000001</v>
      </c>
      <c r="R32" s="209">
        <v>0</v>
      </c>
      <c r="S32" s="208">
        <v>0</v>
      </c>
      <c r="T32" s="209">
        <f t="shared" ref="T32:T54" si="12">+S32*R32</f>
        <v>0</v>
      </c>
      <c r="U32" s="236">
        <f t="shared" ref="U32:U54" si="13">+R32-T32</f>
        <v>0</v>
      </c>
      <c r="V32" s="237">
        <f t="shared" ref="V32:V54" si="14">+Q32+L32</f>
        <v>51.225000000000001</v>
      </c>
      <c r="W32" s="227">
        <v>0</v>
      </c>
      <c r="X32" s="209">
        <v>0</v>
      </c>
      <c r="Y32" s="210">
        <v>1</v>
      </c>
      <c r="Z32" s="209">
        <f t="shared" ref="Z32:Z54" si="15">+X32*Y32</f>
        <v>0</v>
      </c>
      <c r="AA32" s="235">
        <f t="shared" ref="AA32:AA54" si="16">+X32-Z32</f>
        <v>0</v>
      </c>
      <c r="AB32" s="237">
        <f t="shared" ref="AB32:AB54" si="17">+L32+Q32+W32</f>
        <v>51.225000000000001</v>
      </c>
      <c r="AC32" s="238">
        <v>0.94</v>
      </c>
      <c r="AD32" s="209">
        <f t="shared" ref="AD32:AD54" si="18">+AC32*V32</f>
        <v>48.151499999999999</v>
      </c>
      <c r="AE32" s="235">
        <f t="shared" ref="AE32:AE54" si="19">+V32-AD32</f>
        <v>3.0735000000000028</v>
      </c>
      <c r="AF32" s="239"/>
      <c r="AG32" s="211" t="s">
        <v>34</v>
      </c>
      <c r="AH32" s="240" t="s">
        <v>63</v>
      </c>
      <c r="AI32" s="211" t="s">
        <v>4</v>
      </c>
      <c r="AJ32" s="418">
        <v>45250</v>
      </c>
      <c r="AK32" s="241" t="s">
        <v>4</v>
      </c>
      <c r="AL32" s="211" t="str">
        <f t="shared" ref="AL32:AL54" si="20">IF(B32="","",IF(LEFT(B32,2)="FC","OUI","NON"))</f>
        <v>NON</v>
      </c>
      <c r="AM32" s="233" t="str">
        <f t="shared" ref="AM32:AM54" si="21">IF(A32="","incertain","vendu")</f>
        <v>vendu</v>
      </c>
      <c r="AN32" s="211">
        <f t="shared" ref="AN32:AN54" si="22">YEAR(K32)</f>
        <v>2024</v>
      </c>
      <c r="AO32" s="188">
        <f t="shared" ref="AO32:AO54" si="23">_xlfn.ISOWEEKNUM(K32)</f>
        <v>22</v>
      </c>
      <c r="AP32" s="205"/>
      <c r="AQ32" s="233"/>
    </row>
    <row r="33" spans="1:43" ht="36.950000000000003" customHeight="1" x14ac:dyDescent="0.25">
      <c r="A33" s="193">
        <v>220421</v>
      </c>
      <c r="B33" s="189" t="s">
        <v>258</v>
      </c>
      <c r="C33" s="194">
        <v>4</v>
      </c>
      <c r="D33" s="193" t="s">
        <v>225</v>
      </c>
      <c r="E33" s="194"/>
      <c r="F33" s="193" t="s">
        <v>72</v>
      </c>
      <c r="G33" s="188">
        <f>IF(F33="","",IFERROR(VLOOKUP(F33,'validation des champs'!A:B,2,FALSE),"vide"))</f>
        <v>117</v>
      </c>
      <c r="H33" s="188" t="s">
        <v>106</v>
      </c>
      <c r="I33" s="188">
        <f>IF(H33="","",IFERROR(VLOOKUP(H33,'validation des champs'!C:D,2,FALSE),"Mathieu 140"))</f>
        <v>123</v>
      </c>
      <c r="J33" s="190">
        <v>31</v>
      </c>
      <c r="K33" s="195">
        <v>45439</v>
      </c>
      <c r="L33" s="196">
        <f>36.57+25.6</f>
        <v>62.17</v>
      </c>
      <c r="M33" s="192">
        <v>0</v>
      </c>
      <c r="N33" s="224">
        <v>0</v>
      </c>
      <c r="O33" s="192">
        <f>+N33*M33</f>
        <v>0</v>
      </c>
      <c r="P33" s="197">
        <f>+M33-O33</f>
        <v>0</v>
      </c>
      <c r="Q33" s="196">
        <f>8.2+6.61</f>
        <v>14.809999999999999</v>
      </c>
      <c r="R33" s="192">
        <v>9.6</v>
      </c>
      <c r="S33" s="224">
        <v>0</v>
      </c>
      <c r="T33" s="192">
        <f t="shared" si="12"/>
        <v>0</v>
      </c>
      <c r="U33" s="198">
        <f t="shared" si="13"/>
        <v>9.6</v>
      </c>
      <c r="V33" s="199">
        <f t="shared" si="14"/>
        <v>76.98</v>
      </c>
      <c r="W33" s="280">
        <v>26</v>
      </c>
      <c r="X33" s="192">
        <v>0</v>
      </c>
      <c r="Y33" s="225">
        <v>0</v>
      </c>
      <c r="Z33" s="192">
        <f t="shared" si="15"/>
        <v>0</v>
      </c>
      <c r="AA33" s="197">
        <f t="shared" si="16"/>
        <v>0</v>
      </c>
      <c r="AB33" s="199">
        <f t="shared" si="17"/>
        <v>102.98</v>
      </c>
      <c r="AC33" s="278">
        <v>0.02</v>
      </c>
      <c r="AD33" s="192">
        <f t="shared" si="18"/>
        <v>1.5396000000000001</v>
      </c>
      <c r="AE33" s="197">
        <f t="shared" si="19"/>
        <v>75.440400000000011</v>
      </c>
      <c r="AF33" s="200"/>
      <c r="AG33" s="193" t="s">
        <v>19</v>
      </c>
      <c r="AH33" s="201" t="s">
        <v>63</v>
      </c>
      <c r="AI33" s="193" t="s">
        <v>4</v>
      </c>
      <c r="AJ33" s="281"/>
      <c r="AK33" s="203" t="s">
        <v>4</v>
      </c>
      <c r="AL33" s="193" t="str">
        <f t="shared" si="20"/>
        <v>NON</v>
      </c>
      <c r="AM33" s="194" t="str">
        <f t="shared" si="21"/>
        <v>vendu</v>
      </c>
      <c r="AN33" s="193">
        <f t="shared" si="22"/>
        <v>2024</v>
      </c>
      <c r="AO33" s="188">
        <f t="shared" si="23"/>
        <v>22</v>
      </c>
      <c r="AP33" s="188"/>
      <c r="AQ33" s="194"/>
    </row>
    <row r="34" spans="1:43" ht="36.950000000000003" customHeight="1" x14ac:dyDescent="0.25">
      <c r="A34" s="80">
        <v>230099</v>
      </c>
      <c r="B34" s="65" t="s">
        <v>285</v>
      </c>
      <c r="C34" s="81">
        <v>3</v>
      </c>
      <c r="D34" s="80" t="s">
        <v>219</v>
      </c>
      <c r="E34" s="81"/>
      <c r="F34" s="80" t="s">
        <v>73</v>
      </c>
      <c r="G34" s="64">
        <f>IF(F34="","",IFERROR(VLOOKUP(F34,'validation des champs'!A:B,2,FALSE),"vide"))</f>
        <v>101</v>
      </c>
      <c r="H34" s="68" t="s">
        <v>114</v>
      </c>
      <c r="I34" s="64" t="str">
        <f>IF(H34="","",IFERROR(VLOOKUP(H34,'validation des champs'!C:D,2,FALSE),"Mathieu 140"))</f>
        <v>Mathieu 140</v>
      </c>
      <c r="J34" s="185">
        <v>10.130000000000001</v>
      </c>
      <c r="K34" s="396">
        <v>45440</v>
      </c>
      <c r="L34" s="90">
        <v>0</v>
      </c>
      <c r="M34" s="69">
        <v>0</v>
      </c>
      <c r="N34" s="70">
        <v>1</v>
      </c>
      <c r="O34" s="69">
        <v>0</v>
      </c>
      <c r="P34" s="89">
        <v>0</v>
      </c>
      <c r="Q34" s="96">
        <v>31.98</v>
      </c>
      <c r="R34" s="69">
        <v>0</v>
      </c>
      <c r="S34" s="70">
        <v>0</v>
      </c>
      <c r="T34" s="69">
        <f t="shared" si="12"/>
        <v>0</v>
      </c>
      <c r="U34" s="136">
        <f t="shared" si="13"/>
        <v>0</v>
      </c>
      <c r="V34" s="98">
        <f t="shared" si="14"/>
        <v>31.98</v>
      </c>
      <c r="W34" s="90">
        <v>0</v>
      </c>
      <c r="X34" s="69">
        <v>0</v>
      </c>
      <c r="Y34" s="77">
        <v>1</v>
      </c>
      <c r="Z34" s="69">
        <f t="shared" si="15"/>
        <v>0</v>
      </c>
      <c r="AA34" s="89">
        <f t="shared" si="16"/>
        <v>0</v>
      </c>
      <c r="AB34" s="98">
        <f t="shared" si="17"/>
        <v>31.98</v>
      </c>
      <c r="AC34" s="103">
        <v>0.39</v>
      </c>
      <c r="AD34" s="69">
        <f t="shared" si="18"/>
        <v>12.472200000000001</v>
      </c>
      <c r="AE34" s="89">
        <f t="shared" si="19"/>
        <v>19.5078</v>
      </c>
      <c r="AF34" s="106"/>
      <c r="AG34" s="80" t="s">
        <v>90</v>
      </c>
      <c r="AH34" s="109" t="s">
        <v>63</v>
      </c>
      <c r="AI34" s="80" t="s">
        <v>4</v>
      </c>
      <c r="AJ34" s="112"/>
      <c r="AK34" s="116" t="s">
        <v>115</v>
      </c>
      <c r="AL34" s="80" t="str">
        <f t="shared" si="20"/>
        <v>NON</v>
      </c>
      <c r="AM34" s="81" t="str">
        <f t="shared" si="21"/>
        <v>vendu</v>
      </c>
      <c r="AN34" s="80">
        <f t="shared" si="22"/>
        <v>2024</v>
      </c>
      <c r="AO34" s="64">
        <f t="shared" si="23"/>
        <v>22</v>
      </c>
      <c r="AP34" s="64"/>
      <c r="AQ34" s="81"/>
    </row>
    <row r="35" spans="1:43" ht="36.950000000000003" customHeight="1" x14ac:dyDescent="0.25">
      <c r="A35" s="80">
        <v>230393</v>
      </c>
      <c r="B35" s="65" t="s">
        <v>375</v>
      </c>
      <c r="C35" s="81">
        <v>7</v>
      </c>
      <c r="D35" s="80" t="s">
        <v>219</v>
      </c>
      <c r="E35" s="81"/>
      <c r="F35" s="80" t="s">
        <v>73</v>
      </c>
      <c r="G35" s="64">
        <f>IF(F35="","",IFERROR(VLOOKUP(F35,'validation des champs'!A:B,2,FALSE),"vide"))</f>
        <v>101</v>
      </c>
      <c r="H35" s="68" t="s">
        <v>81</v>
      </c>
      <c r="I35" s="64" t="str">
        <f>IF(H35="","",IFERROR(VLOOKUP(H35,'validation des champs'!C:D,2,FALSE),"Mathieu 140"))</f>
        <v>Mathieu 140</v>
      </c>
      <c r="J35" s="185">
        <v>12.5</v>
      </c>
      <c r="K35" s="86">
        <v>45443</v>
      </c>
      <c r="L35" s="90">
        <v>0</v>
      </c>
      <c r="M35" s="71">
        <v>0</v>
      </c>
      <c r="N35" s="70">
        <v>1</v>
      </c>
      <c r="O35" s="69">
        <f t="shared" ref="O35:O40" si="24">+N35*M35</f>
        <v>0</v>
      </c>
      <c r="P35" s="89">
        <f t="shared" ref="P35:P40" si="25">+M35-O35</f>
        <v>0</v>
      </c>
      <c r="Q35" s="90">
        <v>11</v>
      </c>
      <c r="R35" s="69">
        <v>7</v>
      </c>
      <c r="S35" s="70">
        <v>0</v>
      </c>
      <c r="T35" s="69">
        <f t="shared" si="12"/>
        <v>0</v>
      </c>
      <c r="U35" s="136">
        <f t="shared" si="13"/>
        <v>7</v>
      </c>
      <c r="V35" s="98">
        <f t="shared" si="14"/>
        <v>11</v>
      </c>
      <c r="W35" s="90">
        <v>0</v>
      </c>
      <c r="X35" s="69">
        <v>0</v>
      </c>
      <c r="Y35" s="481">
        <v>1</v>
      </c>
      <c r="Z35" s="69">
        <f t="shared" si="15"/>
        <v>0</v>
      </c>
      <c r="AA35" s="89">
        <f t="shared" si="16"/>
        <v>0</v>
      </c>
      <c r="AB35" s="98">
        <f t="shared" si="17"/>
        <v>11</v>
      </c>
      <c r="AC35" s="103">
        <v>0</v>
      </c>
      <c r="AD35" s="69">
        <f t="shared" si="18"/>
        <v>0</v>
      </c>
      <c r="AE35" s="89">
        <f t="shared" si="19"/>
        <v>11</v>
      </c>
      <c r="AF35" s="106"/>
      <c r="AG35" s="80" t="s">
        <v>19</v>
      </c>
      <c r="AH35" s="109" t="s">
        <v>63</v>
      </c>
      <c r="AI35" s="80" t="s">
        <v>8</v>
      </c>
      <c r="AJ35" s="113" t="s">
        <v>5</v>
      </c>
      <c r="AK35" s="116" t="s">
        <v>8</v>
      </c>
      <c r="AL35" s="80" t="str">
        <f t="shared" si="20"/>
        <v>NON</v>
      </c>
      <c r="AM35" s="81" t="str">
        <f t="shared" si="21"/>
        <v>vendu</v>
      </c>
      <c r="AN35" s="80">
        <f t="shared" si="22"/>
        <v>2024</v>
      </c>
      <c r="AO35" s="214">
        <f t="shared" si="23"/>
        <v>22</v>
      </c>
      <c r="AP35" s="64"/>
      <c r="AQ35" s="81"/>
    </row>
    <row r="36" spans="1:43" ht="36.950000000000003" customHeight="1" thickBot="1" x14ac:dyDescent="0.3">
      <c r="A36" s="296">
        <v>230393</v>
      </c>
      <c r="B36" s="297" t="s">
        <v>360</v>
      </c>
      <c r="C36" s="298">
        <v>7</v>
      </c>
      <c r="D36" s="296" t="s">
        <v>219</v>
      </c>
      <c r="E36" s="298"/>
      <c r="F36" s="296" t="s">
        <v>73</v>
      </c>
      <c r="G36" s="297">
        <f>IF(F36="","",IFERROR(VLOOKUP(F36,'validation des champs'!A:B,2,FALSE),"vide"))</f>
        <v>101</v>
      </c>
      <c r="H36" s="297" t="s">
        <v>81</v>
      </c>
      <c r="I36" s="297" t="str">
        <f>IF(H36="","",IFERROR(VLOOKUP(H36,'validation des champs'!C:D,2,FALSE),"Mathieu 140"))</f>
        <v>Mathieu 140</v>
      </c>
      <c r="J36" s="299">
        <v>12.5</v>
      </c>
      <c r="K36" s="300">
        <v>45445</v>
      </c>
      <c r="L36" s="301">
        <v>0</v>
      </c>
      <c r="M36" s="302">
        <v>0</v>
      </c>
      <c r="N36" s="303">
        <v>1</v>
      </c>
      <c r="O36" s="302">
        <f t="shared" si="24"/>
        <v>0</v>
      </c>
      <c r="P36" s="304">
        <f t="shared" si="25"/>
        <v>0</v>
      </c>
      <c r="Q36" s="301">
        <v>11.5</v>
      </c>
      <c r="R36" s="302">
        <v>11</v>
      </c>
      <c r="S36" s="303">
        <v>1</v>
      </c>
      <c r="T36" s="302">
        <f t="shared" si="12"/>
        <v>11</v>
      </c>
      <c r="U36" s="305">
        <f t="shared" si="13"/>
        <v>0</v>
      </c>
      <c r="V36" s="306">
        <f t="shared" si="14"/>
        <v>11.5</v>
      </c>
      <c r="W36" s="301">
        <v>0</v>
      </c>
      <c r="X36" s="302">
        <v>0</v>
      </c>
      <c r="Y36" s="307">
        <v>1</v>
      </c>
      <c r="Z36" s="302">
        <f t="shared" si="15"/>
        <v>0</v>
      </c>
      <c r="AA36" s="304">
        <f t="shared" si="16"/>
        <v>0</v>
      </c>
      <c r="AB36" s="306">
        <f t="shared" si="17"/>
        <v>11.5</v>
      </c>
      <c r="AC36" s="308">
        <v>1</v>
      </c>
      <c r="AD36" s="302">
        <f t="shared" si="18"/>
        <v>11.5</v>
      </c>
      <c r="AE36" s="304">
        <f t="shared" si="19"/>
        <v>0</v>
      </c>
      <c r="AF36" s="309"/>
      <c r="AG36" s="296" t="s">
        <v>19</v>
      </c>
      <c r="AH36" s="310" t="s">
        <v>63</v>
      </c>
      <c r="AI36" s="296" t="s">
        <v>8</v>
      </c>
      <c r="AJ36" s="311" t="s">
        <v>5</v>
      </c>
      <c r="AK36" s="312" t="s">
        <v>8</v>
      </c>
      <c r="AL36" s="296" t="str">
        <f t="shared" si="20"/>
        <v>NON</v>
      </c>
      <c r="AM36" s="298" t="str">
        <f t="shared" si="21"/>
        <v>vendu</v>
      </c>
      <c r="AN36" s="313">
        <f t="shared" si="22"/>
        <v>2024</v>
      </c>
      <c r="AO36" s="351">
        <f t="shared" si="23"/>
        <v>22</v>
      </c>
      <c r="AP36" s="314"/>
      <c r="AQ36" s="298"/>
    </row>
    <row r="37" spans="1:43" ht="36.950000000000003" customHeight="1" x14ac:dyDescent="0.25">
      <c r="A37" s="211">
        <v>200275</v>
      </c>
      <c r="B37" s="232" t="s">
        <v>252</v>
      </c>
      <c r="C37" s="233">
        <v>8</v>
      </c>
      <c r="D37" s="211" t="s">
        <v>222</v>
      </c>
      <c r="E37" s="233"/>
      <c r="F37" s="211" t="s">
        <v>70</v>
      </c>
      <c r="G37" s="205">
        <f>IF(F37="","",IFERROR(VLOOKUP(F37,'validation des champs'!A:B,2,FALSE),"vide"))</f>
        <v>116</v>
      </c>
      <c r="H37" s="205" t="s">
        <v>79</v>
      </c>
      <c r="I37" s="205">
        <f>IF(H37="","",IFERROR(VLOOKUP(H37,'validation des champs'!C:D,2,FALSE),"Mathieu 140"))</f>
        <v>114</v>
      </c>
      <c r="J37" s="206">
        <v>11.1</v>
      </c>
      <c r="K37" s="234">
        <v>45446</v>
      </c>
      <c r="L37" s="243">
        <v>74.52</v>
      </c>
      <c r="M37" s="209">
        <v>0</v>
      </c>
      <c r="N37" s="208">
        <v>0</v>
      </c>
      <c r="O37" s="209">
        <f t="shared" si="24"/>
        <v>0</v>
      </c>
      <c r="P37" s="235">
        <f t="shared" si="25"/>
        <v>0</v>
      </c>
      <c r="Q37" s="243">
        <v>18.047000000000001</v>
      </c>
      <c r="R37" s="209">
        <v>0</v>
      </c>
      <c r="S37" s="208">
        <v>0</v>
      </c>
      <c r="T37" s="209">
        <f t="shared" si="12"/>
        <v>0</v>
      </c>
      <c r="U37" s="236">
        <f t="shared" si="13"/>
        <v>0</v>
      </c>
      <c r="V37" s="237">
        <f t="shared" si="14"/>
        <v>92.566999999999993</v>
      </c>
      <c r="W37" s="227">
        <v>0</v>
      </c>
      <c r="X37" s="209">
        <v>0</v>
      </c>
      <c r="Y37" s="210">
        <v>1</v>
      </c>
      <c r="Z37" s="209">
        <f t="shared" si="15"/>
        <v>0</v>
      </c>
      <c r="AA37" s="235">
        <f t="shared" si="16"/>
        <v>0</v>
      </c>
      <c r="AB37" s="237">
        <f t="shared" si="17"/>
        <v>92.566999999999993</v>
      </c>
      <c r="AC37" s="238">
        <v>0.97</v>
      </c>
      <c r="AD37" s="209">
        <f t="shared" si="18"/>
        <v>89.789989999999989</v>
      </c>
      <c r="AE37" s="235">
        <f t="shared" si="19"/>
        <v>2.7770100000000042</v>
      </c>
      <c r="AF37" s="239"/>
      <c r="AG37" s="211" t="s">
        <v>316</v>
      </c>
      <c r="AH37" s="240"/>
      <c r="AI37" s="211" t="s">
        <v>4</v>
      </c>
      <c r="AJ37" s="418">
        <v>45394</v>
      </c>
      <c r="AK37" s="241" t="s">
        <v>4</v>
      </c>
      <c r="AL37" s="211" t="str">
        <f t="shared" si="20"/>
        <v>NON</v>
      </c>
      <c r="AM37" s="233" t="str">
        <f t="shared" si="21"/>
        <v>vendu</v>
      </c>
      <c r="AN37" s="211">
        <f t="shared" si="22"/>
        <v>2024</v>
      </c>
      <c r="AO37" s="188">
        <f t="shared" si="23"/>
        <v>23</v>
      </c>
      <c r="AP37" s="205"/>
      <c r="AQ37" s="233"/>
    </row>
    <row r="38" spans="1:43" ht="36.950000000000003" customHeight="1" x14ac:dyDescent="0.25">
      <c r="A38" s="193">
        <v>210211</v>
      </c>
      <c r="B38" s="188" t="s">
        <v>43</v>
      </c>
      <c r="C38" s="194">
        <v>1</v>
      </c>
      <c r="D38" s="193" t="s">
        <v>219</v>
      </c>
      <c r="E38" s="194"/>
      <c r="F38" s="193" t="s">
        <v>73</v>
      </c>
      <c r="G38" s="188">
        <f>IF(F38="","",IFERROR(VLOOKUP(F38,'validation des champs'!A:B,2,FALSE),"vide"))</f>
        <v>101</v>
      </c>
      <c r="H38" s="188" t="s">
        <v>78</v>
      </c>
      <c r="I38" s="188">
        <f>IF(H38="","",IFERROR(VLOOKUP(H38,'validation des champs'!C:D,2,FALSE),"Mathieu 140"))</f>
        <v>118</v>
      </c>
      <c r="J38" s="190" t="s">
        <v>6</v>
      </c>
      <c r="K38" s="352">
        <v>45446</v>
      </c>
      <c r="L38" s="279">
        <v>30</v>
      </c>
      <c r="M38" s="192">
        <v>248</v>
      </c>
      <c r="N38" s="224">
        <v>0</v>
      </c>
      <c r="O38" s="192">
        <f t="shared" si="24"/>
        <v>0</v>
      </c>
      <c r="P38" s="197">
        <f t="shared" si="25"/>
        <v>248</v>
      </c>
      <c r="Q38" s="279">
        <v>30.36</v>
      </c>
      <c r="R38" s="192">
        <v>260</v>
      </c>
      <c r="S38" s="224">
        <v>0</v>
      </c>
      <c r="T38" s="192">
        <f t="shared" si="12"/>
        <v>0</v>
      </c>
      <c r="U38" s="198">
        <f t="shared" si="13"/>
        <v>260</v>
      </c>
      <c r="V38" s="199">
        <f t="shared" si="14"/>
        <v>60.36</v>
      </c>
      <c r="W38" s="280">
        <v>1</v>
      </c>
      <c r="X38" s="192">
        <v>0</v>
      </c>
      <c r="Y38" s="225">
        <v>0</v>
      </c>
      <c r="Z38" s="192">
        <f t="shared" si="15"/>
        <v>0</v>
      </c>
      <c r="AA38" s="197">
        <f t="shared" si="16"/>
        <v>0</v>
      </c>
      <c r="AB38" s="199">
        <f t="shared" si="17"/>
        <v>61.36</v>
      </c>
      <c r="AC38" s="278">
        <v>0</v>
      </c>
      <c r="AD38" s="192">
        <f t="shared" si="18"/>
        <v>0</v>
      </c>
      <c r="AE38" s="197">
        <f t="shared" si="19"/>
        <v>60.36</v>
      </c>
      <c r="AF38" s="200"/>
      <c r="AG38" s="193" t="s">
        <v>325</v>
      </c>
      <c r="AH38" s="201" t="s">
        <v>63</v>
      </c>
      <c r="AI38" s="193" t="s">
        <v>4</v>
      </c>
      <c r="AJ38" s="281"/>
      <c r="AK38" s="203" t="s">
        <v>4</v>
      </c>
      <c r="AL38" s="193" t="str">
        <f t="shared" si="20"/>
        <v>NON</v>
      </c>
      <c r="AM38" s="194" t="str">
        <f t="shared" si="21"/>
        <v>vendu</v>
      </c>
      <c r="AN38" s="193">
        <f t="shared" si="22"/>
        <v>2024</v>
      </c>
      <c r="AO38" s="188">
        <f t="shared" si="23"/>
        <v>23</v>
      </c>
      <c r="AP38" s="188"/>
      <c r="AQ38" s="194"/>
    </row>
    <row r="39" spans="1:43" ht="36.950000000000003" customHeight="1" x14ac:dyDescent="0.25">
      <c r="A39" s="80">
        <v>220421</v>
      </c>
      <c r="B39" s="65" t="s">
        <v>366</v>
      </c>
      <c r="C39" s="81">
        <v>4</v>
      </c>
      <c r="D39" s="80" t="s">
        <v>225</v>
      </c>
      <c r="E39" s="81"/>
      <c r="F39" s="80" t="s">
        <v>72</v>
      </c>
      <c r="G39" s="64">
        <f>IF(F39="","",IFERROR(VLOOKUP(F39,'validation des champs'!A:B,2,FALSE),"vide"))</f>
        <v>117</v>
      </c>
      <c r="H39" s="64" t="s">
        <v>106</v>
      </c>
      <c r="I39" s="64">
        <f>IF(H39="","",IFERROR(VLOOKUP(H39,'validation des champs'!C:D,2,FALSE),"Mathieu 140"))</f>
        <v>123</v>
      </c>
      <c r="J39" s="185">
        <v>12.7</v>
      </c>
      <c r="K39" s="86">
        <v>45446</v>
      </c>
      <c r="L39" s="96">
        <v>9.26</v>
      </c>
      <c r="M39" s="69">
        <v>0</v>
      </c>
      <c r="N39" s="70">
        <v>0</v>
      </c>
      <c r="O39" s="69">
        <f t="shared" si="24"/>
        <v>0</v>
      </c>
      <c r="P39" s="89">
        <f t="shared" si="25"/>
        <v>0</v>
      </c>
      <c r="Q39" s="97">
        <v>25.35</v>
      </c>
      <c r="R39" s="69">
        <v>0</v>
      </c>
      <c r="S39" s="70">
        <v>1</v>
      </c>
      <c r="T39" s="69">
        <f t="shared" si="12"/>
        <v>0</v>
      </c>
      <c r="U39" s="136">
        <f t="shared" si="13"/>
        <v>0</v>
      </c>
      <c r="V39" s="98">
        <f t="shared" si="14"/>
        <v>34.61</v>
      </c>
      <c r="W39" s="353">
        <v>0</v>
      </c>
      <c r="X39" s="69">
        <v>0</v>
      </c>
      <c r="Y39" s="77">
        <v>1</v>
      </c>
      <c r="Z39" s="69">
        <f t="shared" si="15"/>
        <v>0</v>
      </c>
      <c r="AA39" s="89">
        <f t="shared" si="16"/>
        <v>0</v>
      </c>
      <c r="AB39" s="98">
        <f t="shared" si="17"/>
        <v>34.61</v>
      </c>
      <c r="AC39" s="103">
        <v>0.15</v>
      </c>
      <c r="AD39" s="69">
        <f t="shared" si="18"/>
        <v>5.1914999999999996</v>
      </c>
      <c r="AE39" s="89">
        <f t="shared" si="19"/>
        <v>29.418500000000002</v>
      </c>
      <c r="AF39" s="106"/>
      <c r="AG39" s="80" t="s">
        <v>19</v>
      </c>
      <c r="AH39" s="109" t="s">
        <v>63</v>
      </c>
      <c r="AI39" s="80" t="s">
        <v>4</v>
      </c>
      <c r="AJ39" s="112"/>
      <c r="AK39" s="116" t="s">
        <v>4</v>
      </c>
      <c r="AL39" s="80" t="str">
        <f t="shared" si="20"/>
        <v>NON</v>
      </c>
      <c r="AM39" s="81" t="str">
        <f t="shared" si="21"/>
        <v>vendu</v>
      </c>
      <c r="AN39" s="80">
        <f t="shared" si="22"/>
        <v>2024</v>
      </c>
      <c r="AO39" s="64">
        <f t="shared" si="23"/>
        <v>23</v>
      </c>
      <c r="AP39" s="64"/>
      <c r="AQ39" s="81"/>
    </row>
    <row r="40" spans="1:43" ht="36.950000000000003" customHeight="1" x14ac:dyDescent="0.25">
      <c r="A40" s="80">
        <v>220446</v>
      </c>
      <c r="B40" s="64" t="s">
        <v>254</v>
      </c>
      <c r="C40" s="81">
        <v>2</v>
      </c>
      <c r="D40" s="80" t="s">
        <v>226</v>
      </c>
      <c r="E40" s="81"/>
      <c r="F40" s="80" t="s">
        <v>72</v>
      </c>
      <c r="G40" s="64">
        <f>IF(F40="","",IFERROR(VLOOKUP(F40,'validation des champs'!A:B,2,FALSE),"vide"))</f>
        <v>117</v>
      </c>
      <c r="H40" s="64" t="s">
        <v>75</v>
      </c>
      <c r="I40" s="64">
        <f>IF(H40="","",IFERROR(VLOOKUP(H40,'validation des champs'!C:D,2,FALSE),"Mathieu 140"))</f>
        <v>126</v>
      </c>
      <c r="J40" s="185">
        <v>38</v>
      </c>
      <c r="K40" s="86">
        <v>45446</v>
      </c>
      <c r="L40" s="96">
        <v>61.5</v>
      </c>
      <c r="M40" s="69">
        <v>0</v>
      </c>
      <c r="N40" s="70">
        <v>0</v>
      </c>
      <c r="O40" s="69">
        <f t="shared" si="24"/>
        <v>0</v>
      </c>
      <c r="P40" s="89">
        <f t="shared" si="25"/>
        <v>0</v>
      </c>
      <c r="Q40" s="96">
        <v>61.5</v>
      </c>
      <c r="R40" s="69">
        <v>0</v>
      </c>
      <c r="S40" s="70">
        <v>0</v>
      </c>
      <c r="T40" s="69">
        <f t="shared" si="12"/>
        <v>0</v>
      </c>
      <c r="U40" s="136">
        <f t="shared" si="13"/>
        <v>0</v>
      </c>
      <c r="V40" s="98">
        <f t="shared" si="14"/>
        <v>123</v>
      </c>
      <c r="W40" s="102">
        <v>2</v>
      </c>
      <c r="X40" s="69">
        <v>0</v>
      </c>
      <c r="Y40" s="77">
        <v>0</v>
      </c>
      <c r="Z40" s="69">
        <f t="shared" si="15"/>
        <v>0</v>
      </c>
      <c r="AA40" s="89">
        <f t="shared" si="16"/>
        <v>0</v>
      </c>
      <c r="AB40" s="98">
        <f t="shared" si="17"/>
        <v>125</v>
      </c>
      <c r="AC40" s="103">
        <v>0</v>
      </c>
      <c r="AD40" s="69">
        <f t="shared" si="18"/>
        <v>0</v>
      </c>
      <c r="AE40" s="89">
        <f t="shared" si="19"/>
        <v>123</v>
      </c>
      <c r="AF40" s="106"/>
      <c r="AG40" s="80" t="s">
        <v>6</v>
      </c>
      <c r="AH40" s="109"/>
      <c r="AI40" s="80" t="s">
        <v>4</v>
      </c>
      <c r="AJ40" s="112"/>
      <c r="AK40" s="116" t="s">
        <v>4</v>
      </c>
      <c r="AL40" s="80" t="str">
        <f t="shared" si="20"/>
        <v>NON</v>
      </c>
      <c r="AM40" s="81" t="str">
        <f t="shared" si="21"/>
        <v>vendu</v>
      </c>
      <c r="AN40" s="80">
        <f t="shared" si="22"/>
        <v>2024</v>
      </c>
      <c r="AO40" s="214">
        <f t="shared" si="23"/>
        <v>23</v>
      </c>
      <c r="AP40" s="64"/>
      <c r="AQ40" s="81"/>
    </row>
    <row r="41" spans="1:43" ht="36.950000000000003" customHeight="1" thickBot="1" x14ac:dyDescent="0.3">
      <c r="A41" s="226">
        <v>230099</v>
      </c>
      <c r="B41" s="244" t="s">
        <v>286</v>
      </c>
      <c r="C41" s="245">
        <v>3</v>
      </c>
      <c r="D41" s="226" t="s">
        <v>219</v>
      </c>
      <c r="E41" s="245"/>
      <c r="F41" s="226" t="s">
        <v>73</v>
      </c>
      <c r="G41" s="214">
        <f>IF(F41="","",IFERROR(VLOOKUP(F41,'validation des champs'!A:B,2,FALSE),"vide"))</f>
        <v>101</v>
      </c>
      <c r="H41" s="316" t="s">
        <v>114</v>
      </c>
      <c r="I41" s="214" t="str">
        <f>IF(H41="","",IFERROR(VLOOKUP(H41,'validation des champs'!C:D,2,FALSE),"Mathieu 140"))</f>
        <v>Mathieu 140</v>
      </c>
      <c r="J41" s="215">
        <v>21</v>
      </c>
      <c r="K41" s="465">
        <v>45447</v>
      </c>
      <c r="L41" s="247">
        <v>0</v>
      </c>
      <c r="M41" s="216">
        <v>0</v>
      </c>
      <c r="N41" s="217">
        <v>1</v>
      </c>
      <c r="O41" s="216">
        <v>0</v>
      </c>
      <c r="P41" s="248">
        <v>0</v>
      </c>
      <c r="Q41" s="249">
        <v>22.21</v>
      </c>
      <c r="R41" s="216">
        <v>0</v>
      </c>
      <c r="S41" s="217">
        <v>0</v>
      </c>
      <c r="T41" s="216">
        <f t="shared" si="12"/>
        <v>0</v>
      </c>
      <c r="U41" s="250">
        <f t="shared" si="13"/>
        <v>0</v>
      </c>
      <c r="V41" s="251">
        <f t="shared" si="14"/>
        <v>22.21</v>
      </c>
      <c r="W41" s="247">
        <v>0</v>
      </c>
      <c r="X41" s="216">
        <v>0</v>
      </c>
      <c r="Y41" s="218">
        <v>1</v>
      </c>
      <c r="Z41" s="216">
        <f t="shared" si="15"/>
        <v>0</v>
      </c>
      <c r="AA41" s="248">
        <f t="shared" si="16"/>
        <v>0</v>
      </c>
      <c r="AB41" s="251">
        <f t="shared" si="17"/>
        <v>22.21</v>
      </c>
      <c r="AC41" s="252">
        <v>1</v>
      </c>
      <c r="AD41" s="216">
        <f t="shared" si="18"/>
        <v>22.21</v>
      </c>
      <c r="AE41" s="248">
        <f t="shared" si="19"/>
        <v>0</v>
      </c>
      <c r="AF41" s="253"/>
      <c r="AG41" s="226" t="s">
        <v>90</v>
      </c>
      <c r="AH41" s="254" t="s">
        <v>63</v>
      </c>
      <c r="AI41" s="226" t="s">
        <v>4</v>
      </c>
      <c r="AJ41" s="259"/>
      <c r="AK41" s="255" t="s">
        <v>115</v>
      </c>
      <c r="AL41" s="226" t="str">
        <f t="shared" si="20"/>
        <v>NON</v>
      </c>
      <c r="AM41" s="245" t="str">
        <f t="shared" si="21"/>
        <v>vendu</v>
      </c>
      <c r="AN41" s="229">
        <f t="shared" si="22"/>
        <v>2024</v>
      </c>
      <c r="AO41" s="204">
        <f t="shared" si="23"/>
        <v>23</v>
      </c>
      <c r="AP41" s="212"/>
      <c r="AQ41" s="245"/>
    </row>
    <row r="42" spans="1:43" ht="36.950000000000003" customHeight="1" x14ac:dyDescent="0.25">
      <c r="A42" s="211">
        <v>220058</v>
      </c>
      <c r="B42" s="205" t="s">
        <v>266</v>
      </c>
      <c r="C42" s="233">
        <v>3</v>
      </c>
      <c r="D42" s="211" t="s">
        <v>327</v>
      </c>
      <c r="E42" s="233"/>
      <c r="F42" s="211" t="s">
        <v>73</v>
      </c>
      <c r="G42" s="205">
        <f>IF(F42="","",IFERROR(VLOOKUP(F42,'validation des champs'!A:B,2,FALSE),"vide"))</f>
        <v>101</v>
      </c>
      <c r="H42" s="205" t="s">
        <v>106</v>
      </c>
      <c r="I42" s="205">
        <f>IF(H42="","",IFERROR(VLOOKUP(H42,'validation des champs'!C:D,2,FALSE),"Mathieu 140"))</f>
        <v>123</v>
      </c>
      <c r="J42" s="206">
        <v>30</v>
      </c>
      <c r="K42" s="234">
        <v>45453</v>
      </c>
      <c r="L42" s="243">
        <v>80</v>
      </c>
      <c r="M42" s="209">
        <v>0</v>
      </c>
      <c r="N42" s="208">
        <v>0</v>
      </c>
      <c r="O42" s="209">
        <f>+N42*M42</f>
        <v>0</v>
      </c>
      <c r="P42" s="235">
        <f>+M42-O42</f>
        <v>0</v>
      </c>
      <c r="Q42" s="243">
        <v>80</v>
      </c>
      <c r="R42" s="209">
        <v>0</v>
      </c>
      <c r="S42" s="208">
        <v>0</v>
      </c>
      <c r="T42" s="209">
        <f t="shared" si="12"/>
        <v>0</v>
      </c>
      <c r="U42" s="236">
        <f t="shared" si="13"/>
        <v>0</v>
      </c>
      <c r="V42" s="237">
        <f t="shared" si="14"/>
        <v>160</v>
      </c>
      <c r="W42" s="257">
        <v>1</v>
      </c>
      <c r="X42" s="209">
        <v>0</v>
      </c>
      <c r="Y42" s="210">
        <v>0</v>
      </c>
      <c r="Z42" s="209">
        <f t="shared" si="15"/>
        <v>0</v>
      </c>
      <c r="AA42" s="235">
        <f t="shared" si="16"/>
        <v>0</v>
      </c>
      <c r="AB42" s="237">
        <f t="shared" si="17"/>
        <v>161</v>
      </c>
      <c r="AC42" s="238">
        <v>0</v>
      </c>
      <c r="AD42" s="209">
        <f t="shared" si="18"/>
        <v>0</v>
      </c>
      <c r="AE42" s="235">
        <f t="shared" si="19"/>
        <v>160</v>
      </c>
      <c r="AF42" s="239"/>
      <c r="AG42" s="211" t="s">
        <v>6</v>
      </c>
      <c r="AH42" s="240"/>
      <c r="AI42" s="211" t="s">
        <v>4</v>
      </c>
      <c r="AJ42" s="258"/>
      <c r="AK42" s="241" t="s">
        <v>4</v>
      </c>
      <c r="AL42" s="211" t="str">
        <f t="shared" si="20"/>
        <v>NON</v>
      </c>
      <c r="AM42" s="233" t="str">
        <f t="shared" si="21"/>
        <v>vendu</v>
      </c>
      <c r="AN42" s="211">
        <f t="shared" si="22"/>
        <v>2024</v>
      </c>
      <c r="AO42" s="188">
        <f t="shared" si="23"/>
        <v>24</v>
      </c>
      <c r="AP42" s="205"/>
      <c r="AQ42" s="233"/>
    </row>
    <row r="43" spans="1:43" ht="36.950000000000003" customHeight="1" x14ac:dyDescent="0.25">
      <c r="A43" s="193">
        <v>230392</v>
      </c>
      <c r="B43" s="189" t="s">
        <v>67</v>
      </c>
      <c r="C43" s="194">
        <v>1</v>
      </c>
      <c r="D43" s="193" t="s">
        <v>381</v>
      </c>
      <c r="E43" s="194" t="s">
        <v>228</v>
      </c>
      <c r="F43" s="193" t="s">
        <v>194</v>
      </c>
      <c r="G43" s="188">
        <f>IF(F43="","",IFERROR(VLOOKUP(F43,'validation des champs'!A:B,2,FALSE),"vide"))</f>
        <v>124</v>
      </c>
      <c r="H43" s="430" t="s">
        <v>82</v>
      </c>
      <c r="I43" s="188" t="str">
        <f>IF(H43="","",IFERROR(VLOOKUP(H43,'validation des champs'!C:D,2,FALSE),"Mathieu 140"))</f>
        <v>Mathieu 140</v>
      </c>
      <c r="J43" s="190">
        <v>24.4</v>
      </c>
      <c r="K43" s="195">
        <v>45453</v>
      </c>
      <c r="L43" s="466">
        <f>8.36+27.01</f>
        <v>35.370000000000005</v>
      </c>
      <c r="M43" s="192">
        <v>0</v>
      </c>
      <c r="N43" s="224">
        <v>0</v>
      </c>
      <c r="O43" s="192">
        <v>0</v>
      </c>
      <c r="P43" s="197">
        <v>0</v>
      </c>
      <c r="Q43" s="466">
        <f>53.1+0.79</f>
        <v>53.89</v>
      </c>
      <c r="R43" s="192">
        <v>0</v>
      </c>
      <c r="S43" s="224">
        <v>0</v>
      </c>
      <c r="T43" s="192">
        <f t="shared" si="12"/>
        <v>0</v>
      </c>
      <c r="U43" s="198">
        <f t="shared" si="13"/>
        <v>0</v>
      </c>
      <c r="V43" s="199">
        <f t="shared" si="14"/>
        <v>89.26</v>
      </c>
      <c r="W43" s="196">
        <v>0</v>
      </c>
      <c r="X43" s="192">
        <v>0</v>
      </c>
      <c r="Y43" s="225">
        <v>1</v>
      </c>
      <c r="Z43" s="192">
        <f t="shared" si="15"/>
        <v>0</v>
      </c>
      <c r="AA43" s="197">
        <f t="shared" si="16"/>
        <v>0</v>
      </c>
      <c r="AB43" s="199">
        <f t="shared" si="17"/>
        <v>89.26</v>
      </c>
      <c r="AC43" s="278">
        <v>0</v>
      </c>
      <c r="AD43" s="192">
        <f t="shared" si="18"/>
        <v>0</v>
      </c>
      <c r="AE43" s="197">
        <f t="shared" si="19"/>
        <v>89.26</v>
      </c>
      <c r="AF43" s="200"/>
      <c r="AG43" s="193" t="s">
        <v>6</v>
      </c>
      <c r="AH43" s="201"/>
      <c r="AI43" s="193" t="s">
        <v>63</v>
      </c>
      <c r="AJ43" s="281"/>
      <c r="AK43" s="203" t="s">
        <v>63</v>
      </c>
      <c r="AL43" s="193" t="str">
        <f t="shared" si="20"/>
        <v>NON</v>
      </c>
      <c r="AM43" s="194" t="str">
        <f t="shared" si="21"/>
        <v>vendu</v>
      </c>
      <c r="AN43" s="193">
        <f t="shared" si="22"/>
        <v>2024</v>
      </c>
      <c r="AO43" s="188">
        <f t="shared" si="23"/>
        <v>24</v>
      </c>
      <c r="AP43" s="188"/>
      <c r="AQ43" s="194"/>
    </row>
    <row r="44" spans="1:43" ht="36.950000000000003" customHeight="1" x14ac:dyDescent="0.25">
      <c r="A44" s="80">
        <v>230078</v>
      </c>
      <c r="B44" s="64" t="s">
        <v>267</v>
      </c>
      <c r="C44" s="81">
        <v>3</v>
      </c>
      <c r="D44" s="80" t="s">
        <v>328</v>
      </c>
      <c r="E44" s="81"/>
      <c r="F44" s="80" t="s">
        <v>72</v>
      </c>
      <c r="G44" s="64">
        <f>IF(F44="","",IFERROR(VLOOKUP(F44,'validation des champs'!A:B,2,FALSE),"vide"))</f>
        <v>117</v>
      </c>
      <c r="H44" s="64" t="s">
        <v>106</v>
      </c>
      <c r="I44" s="64">
        <f>IF(H44="","",IFERROR(VLOOKUP(H44,'validation des champs'!C:D,2,FALSE),"Mathieu 140"))</f>
        <v>123</v>
      </c>
      <c r="J44" s="185" t="s">
        <v>6</v>
      </c>
      <c r="K44" s="86">
        <v>45453</v>
      </c>
      <c r="L44" s="96">
        <v>75</v>
      </c>
      <c r="M44" s="69">
        <v>0</v>
      </c>
      <c r="N44" s="70">
        <v>0</v>
      </c>
      <c r="O44" s="69">
        <v>0</v>
      </c>
      <c r="P44" s="89">
        <v>0</v>
      </c>
      <c r="Q44" s="96">
        <v>75</v>
      </c>
      <c r="R44" s="69">
        <v>0</v>
      </c>
      <c r="S44" s="70">
        <v>0</v>
      </c>
      <c r="T44" s="69">
        <f t="shared" si="12"/>
        <v>0</v>
      </c>
      <c r="U44" s="136">
        <f t="shared" si="13"/>
        <v>0</v>
      </c>
      <c r="V44" s="98">
        <f t="shared" si="14"/>
        <v>150</v>
      </c>
      <c r="W44" s="96">
        <v>11</v>
      </c>
      <c r="X44" s="69">
        <v>0</v>
      </c>
      <c r="Y44" s="77">
        <v>0</v>
      </c>
      <c r="Z44" s="69">
        <f t="shared" si="15"/>
        <v>0</v>
      </c>
      <c r="AA44" s="89">
        <f t="shared" si="16"/>
        <v>0</v>
      </c>
      <c r="AB44" s="98">
        <f t="shared" si="17"/>
        <v>161</v>
      </c>
      <c r="AC44" s="103">
        <v>0</v>
      </c>
      <c r="AD44" s="69">
        <f t="shared" si="18"/>
        <v>0</v>
      </c>
      <c r="AE44" s="89">
        <f t="shared" si="19"/>
        <v>150</v>
      </c>
      <c r="AF44" s="106"/>
      <c r="AG44" s="80" t="s">
        <v>64</v>
      </c>
      <c r="AH44" s="109" t="s">
        <v>63</v>
      </c>
      <c r="AI44" s="80" t="s">
        <v>4</v>
      </c>
      <c r="AJ44" s="112"/>
      <c r="AK44" s="116" t="s">
        <v>4</v>
      </c>
      <c r="AL44" s="80" t="str">
        <f t="shared" si="20"/>
        <v>NON</v>
      </c>
      <c r="AM44" s="81" t="str">
        <f t="shared" si="21"/>
        <v>vendu</v>
      </c>
      <c r="AN44" s="80">
        <f t="shared" si="22"/>
        <v>2024</v>
      </c>
      <c r="AO44" s="64">
        <f t="shared" si="23"/>
        <v>24</v>
      </c>
      <c r="AP44" s="64"/>
      <c r="AQ44" s="81"/>
    </row>
    <row r="45" spans="1:43" ht="36.950000000000003" customHeight="1" x14ac:dyDescent="0.25">
      <c r="A45" s="80">
        <v>220421</v>
      </c>
      <c r="B45" s="64" t="s">
        <v>389</v>
      </c>
      <c r="C45" s="81">
        <v>4</v>
      </c>
      <c r="D45" s="80" t="s">
        <v>219</v>
      </c>
      <c r="E45" s="81"/>
      <c r="F45" s="80" t="s">
        <v>72</v>
      </c>
      <c r="G45" s="64">
        <f>IF(F45="","",IFERROR(VLOOKUP(F45,'validation des champs'!A:B,2,FALSE),"vide"))</f>
        <v>117</v>
      </c>
      <c r="H45" s="64" t="s">
        <v>106</v>
      </c>
      <c r="I45" s="64">
        <f>IF(H45="","",IFERROR(VLOOKUP(H45,'validation des champs'!C:D,2,FALSE),"Mathieu 140"))</f>
        <v>123</v>
      </c>
      <c r="J45" s="185">
        <v>0</v>
      </c>
      <c r="K45" s="86">
        <v>45453</v>
      </c>
      <c r="L45" s="96">
        <v>7.5</v>
      </c>
      <c r="M45" s="69">
        <v>0</v>
      </c>
      <c r="N45" s="70">
        <v>0</v>
      </c>
      <c r="O45" s="69">
        <f>+N45*M45</f>
        <v>0</v>
      </c>
      <c r="P45" s="89">
        <f>+M45-O45</f>
        <v>0</v>
      </c>
      <c r="Q45" s="97">
        <v>7.5</v>
      </c>
      <c r="R45" s="69">
        <v>0</v>
      </c>
      <c r="S45" s="70">
        <v>0</v>
      </c>
      <c r="T45" s="69">
        <f t="shared" si="12"/>
        <v>0</v>
      </c>
      <c r="U45" s="136">
        <f t="shared" si="13"/>
        <v>0</v>
      </c>
      <c r="V45" s="98">
        <f t="shared" si="14"/>
        <v>15</v>
      </c>
      <c r="W45" s="102">
        <v>0</v>
      </c>
      <c r="X45" s="69">
        <v>0</v>
      </c>
      <c r="Y45" s="77">
        <v>0</v>
      </c>
      <c r="Z45" s="69">
        <f t="shared" si="15"/>
        <v>0</v>
      </c>
      <c r="AA45" s="89">
        <f t="shared" si="16"/>
        <v>0</v>
      </c>
      <c r="AB45" s="98">
        <f t="shared" si="17"/>
        <v>15</v>
      </c>
      <c r="AC45" s="103">
        <v>0</v>
      </c>
      <c r="AD45" s="69">
        <f t="shared" si="18"/>
        <v>0</v>
      </c>
      <c r="AE45" s="89">
        <f t="shared" si="19"/>
        <v>15</v>
      </c>
      <c r="AF45" s="106"/>
      <c r="AG45" s="80" t="s">
        <v>19</v>
      </c>
      <c r="AH45" s="109" t="s">
        <v>63</v>
      </c>
      <c r="AI45" s="80" t="s">
        <v>4</v>
      </c>
      <c r="AJ45" s="112"/>
      <c r="AK45" s="116" t="s">
        <v>4</v>
      </c>
      <c r="AL45" s="80" t="str">
        <f t="shared" si="20"/>
        <v>NON</v>
      </c>
      <c r="AM45" s="81" t="str">
        <f t="shared" si="21"/>
        <v>vendu</v>
      </c>
      <c r="AN45" s="80">
        <f t="shared" si="22"/>
        <v>2024</v>
      </c>
      <c r="AO45" s="64">
        <f t="shared" si="23"/>
        <v>24</v>
      </c>
      <c r="AP45" s="64"/>
      <c r="AQ45" s="81"/>
    </row>
    <row r="46" spans="1:43" ht="36.950000000000003" customHeight="1" x14ac:dyDescent="0.25">
      <c r="A46" s="80">
        <v>220446</v>
      </c>
      <c r="B46" s="64" t="s">
        <v>255</v>
      </c>
      <c r="C46" s="81">
        <v>2</v>
      </c>
      <c r="D46" s="80" t="s">
        <v>226</v>
      </c>
      <c r="E46" s="81"/>
      <c r="F46" s="80" t="s">
        <v>72</v>
      </c>
      <c r="G46" s="64">
        <f>IF(F46="","",IFERROR(VLOOKUP(F46,'validation des champs'!A:B,2,FALSE),"vide"))</f>
        <v>117</v>
      </c>
      <c r="H46" s="64" t="s">
        <v>75</v>
      </c>
      <c r="I46" s="64">
        <f>IF(H46="","",IFERROR(VLOOKUP(H46,'validation des champs'!C:D,2,FALSE),"Mathieu 140"))</f>
        <v>126</v>
      </c>
      <c r="J46" s="185">
        <v>38</v>
      </c>
      <c r="K46" s="86">
        <v>45453</v>
      </c>
      <c r="L46" s="96">
        <v>61.5</v>
      </c>
      <c r="M46" s="69">
        <v>0</v>
      </c>
      <c r="N46" s="70">
        <v>0</v>
      </c>
      <c r="O46" s="69">
        <f>+N46*M46</f>
        <v>0</v>
      </c>
      <c r="P46" s="89">
        <f>+M46-O46</f>
        <v>0</v>
      </c>
      <c r="Q46" s="96">
        <v>61.5</v>
      </c>
      <c r="R46" s="69">
        <v>0</v>
      </c>
      <c r="S46" s="70">
        <v>0</v>
      </c>
      <c r="T46" s="69">
        <f t="shared" si="12"/>
        <v>0</v>
      </c>
      <c r="U46" s="136">
        <f t="shared" si="13"/>
        <v>0</v>
      </c>
      <c r="V46" s="98">
        <f t="shared" si="14"/>
        <v>123</v>
      </c>
      <c r="W46" s="102">
        <v>2</v>
      </c>
      <c r="X46" s="69">
        <v>0</v>
      </c>
      <c r="Y46" s="77">
        <v>0</v>
      </c>
      <c r="Z46" s="69">
        <f t="shared" si="15"/>
        <v>0</v>
      </c>
      <c r="AA46" s="89">
        <f t="shared" si="16"/>
        <v>0</v>
      </c>
      <c r="AB46" s="98">
        <f t="shared" si="17"/>
        <v>125</v>
      </c>
      <c r="AC46" s="103">
        <v>0</v>
      </c>
      <c r="AD46" s="69">
        <f t="shared" si="18"/>
        <v>0</v>
      </c>
      <c r="AE46" s="89">
        <f t="shared" si="19"/>
        <v>123</v>
      </c>
      <c r="AF46" s="106"/>
      <c r="AG46" s="80" t="s">
        <v>6</v>
      </c>
      <c r="AH46" s="109"/>
      <c r="AI46" s="80" t="s">
        <v>4</v>
      </c>
      <c r="AJ46" s="112"/>
      <c r="AK46" s="116" t="s">
        <v>4</v>
      </c>
      <c r="AL46" s="80" t="str">
        <f t="shared" si="20"/>
        <v>NON</v>
      </c>
      <c r="AM46" s="81" t="str">
        <f t="shared" si="21"/>
        <v>vendu</v>
      </c>
      <c r="AN46" s="80">
        <f t="shared" si="22"/>
        <v>2024</v>
      </c>
      <c r="AO46" s="64">
        <f t="shared" si="23"/>
        <v>24</v>
      </c>
      <c r="AP46" s="64"/>
      <c r="AQ46" s="81"/>
    </row>
    <row r="47" spans="1:43" ht="36.950000000000003" customHeight="1" x14ac:dyDescent="0.25">
      <c r="A47" s="80">
        <v>230099</v>
      </c>
      <c r="B47" s="65" t="s">
        <v>287</v>
      </c>
      <c r="C47" s="81">
        <v>3</v>
      </c>
      <c r="D47" s="80" t="s">
        <v>219</v>
      </c>
      <c r="E47" s="81"/>
      <c r="F47" s="80" t="s">
        <v>73</v>
      </c>
      <c r="G47" s="64">
        <f>IF(F47="","",IFERROR(VLOOKUP(F47,'validation des champs'!A:B,2,FALSE),"vide"))</f>
        <v>101</v>
      </c>
      <c r="H47" s="68" t="s">
        <v>114</v>
      </c>
      <c r="I47" s="64" t="str">
        <f>IF(H47="","",IFERROR(VLOOKUP(H47,'validation des champs'!C:D,2,FALSE),"Mathieu 140"))</f>
        <v>Mathieu 140</v>
      </c>
      <c r="J47" s="185">
        <v>10.130000000000001</v>
      </c>
      <c r="K47" s="396">
        <v>45454</v>
      </c>
      <c r="L47" s="90">
        <v>0</v>
      </c>
      <c r="M47" s="69">
        <v>0</v>
      </c>
      <c r="N47" s="70">
        <v>1</v>
      </c>
      <c r="O47" s="69">
        <v>0</v>
      </c>
      <c r="P47" s="89">
        <v>0</v>
      </c>
      <c r="Q47" s="96">
        <v>28.8</v>
      </c>
      <c r="R47" s="69">
        <v>0</v>
      </c>
      <c r="S47" s="70">
        <v>0</v>
      </c>
      <c r="T47" s="69">
        <f t="shared" si="12"/>
        <v>0</v>
      </c>
      <c r="U47" s="136">
        <f t="shared" si="13"/>
        <v>0</v>
      </c>
      <c r="V47" s="98">
        <f t="shared" si="14"/>
        <v>28.8</v>
      </c>
      <c r="W47" s="96">
        <v>1</v>
      </c>
      <c r="X47" s="69">
        <v>0</v>
      </c>
      <c r="Y47" s="77">
        <v>0</v>
      </c>
      <c r="Z47" s="69">
        <f t="shared" si="15"/>
        <v>0</v>
      </c>
      <c r="AA47" s="89">
        <f t="shared" si="16"/>
        <v>0</v>
      </c>
      <c r="AB47" s="98">
        <f t="shared" si="17"/>
        <v>29.8</v>
      </c>
      <c r="AC47" s="103">
        <v>0.28999999999999998</v>
      </c>
      <c r="AD47" s="69">
        <f t="shared" si="18"/>
        <v>8.3520000000000003</v>
      </c>
      <c r="AE47" s="89">
        <f t="shared" si="19"/>
        <v>20.448</v>
      </c>
      <c r="AF47" s="106"/>
      <c r="AG47" s="80" t="s">
        <v>90</v>
      </c>
      <c r="AH47" s="109" t="s">
        <v>63</v>
      </c>
      <c r="AI47" s="80" t="s">
        <v>4</v>
      </c>
      <c r="AJ47" s="112"/>
      <c r="AK47" s="116" t="s">
        <v>115</v>
      </c>
      <c r="AL47" s="80" t="str">
        <f t="shared" si="20"/>
        <v>NON</v>
      </c>
      <c r="AM47" s="81" t="str">
        <f t="shared" si="21"/>
        <v>vendu</v>
      </c>
      <c r="AN47" s="80">
        <f t="shared" si="22"/>
        <v>2024</v>
      </c>
      <c r="AO47" s="64">
        <f t="shared" si="23"/>
        <v>24</v>
      </c>
      <c r="AP47" s="64"/>
      <c r="AQ47" s="81"/>
    </row>
    <row r="48" spans="1:43" ht="36.950000000000003" customHeight="1" x14ac:dyDescent="0.25">
      <c r="A48" s="80">
        <v>230393</v>
      </c>
      <c r="B48" s="64" t="s">
        <v>379</v>
      </c>
      <c r="C48" s="81">
        <v>7</v>
      </c>
      <c r="D48" s="80" t="s">
        <v>219</v>
      </c>
      <c r="E48" s="81"/>
      <c r="F48" s="80" t="s">
        <v>73</v>
      </c>
      <c r="G48" s="64">
        <f>IF(F48="","",IFERROR(VLOOKUP(F48,'validation des champs'!A:B,2,FALSE),"vide"))</f>
        <v>101</v>
      </c>
      <c r="H48" s="68" t="s">
        <v>81</v>
      </c>
      <c r="I48" s="64" t="str">
        <f>IF(H48="","",IFERROR(VLOOKUP(H48,'validation des champs'!C:D,2,FALSE),"Mathieu 140"))</f>
        <v>Mathieu 140</v>
      </c>
      <c r="J48" s="185">
        <v>12.5</v>
      </c>
      <c r="K48" s="86">
        <v>45455</v>
      </c>
      <c r="L48" s="90">
        <v>0</v>
      </c>
      <c r="M48" s="71">
        <v>0</v>
      </c>
      <c r="N48" s="70">
        <v>1</v>
      </c>
      <c r="O48" s="69">
        <f>+N48*M48</f>
        <v>0</v>
      </c>
      <c r="P48" s="89">
        <f>+M48-O48</f>
        <v>0</v>
      </c>
      <c r="Q48" s="96">
        <v>17.5</v>
      </c>
      <c r="R48" s="69">
        <v>0</v>
      </c>
      <c r="S48" s="70">
        <v>0</v>
      </c>
      <c r="T48" s="69">
        <f t="shared" si="12"/>
        <v>0</v>
      </c>
      <c r="U48" s="136">
        <f t="shared" si="13"/>
        <v>0</v>
      </c>
      <c r="V48" s="98">
        <f t="shared" si="14"/>
        <v>17.5</v>
      </c>
      <c r="W48" s="90">
        <v>0</v>
      </c>
      <c r="X48" s="69">
        <v>0</v>
      </c>
      <c r="Y48" s="77">
        <v>1</v>
      </c>
      <c r="Z48" s="69">
        <f t="shared" si="15"/>
        <v>0</v>
      </c>
      <c r="AA48" s="89">
        <f t="shared" si="16"/>
        <v>0</v>
      </c>
      <c r="AB48" s="98">
        <f t="shared" si="17"/>
        <v>17.5</v>
      </c>
      <c r="AC48" s="103">
        <v>0</v>
      </c>
      <c r="AD48" s="69">
        <f t="shared" si="18"/>
        <v>0</v>
      </c>
      <c r="AE48" s="89">
        <f t="shared" si="19"/>
        <v>17.5</v>
      </c>
      <c r="AF48" s="106"/>
      <c r="AG48" s="80" t="s">
        <v>19</v>
      </c>
      <c r="AH48" s="109" t="s">
        <v>63</v>
      </c>
      <c r="AI48" s="80" t="s">
        <v>8</v>
      </c>
      <c r="AJ48" s="113" t="s">
        <v>5</v>
      </c>
      <c r="AK48" s="116" t="s">
        <v>8</v>
      </c>
      <c r="AL48" s="80" t="str">
        <f t="shared" si="20"/>
        <v>NON</v>
      </c>
      <c r="AM48" s="81" t="str">
        <f t="shared" si="21"/>
        <v>vendu</v>
      </c>
      <c r="AN48" s="80">
        <f t="shared" si="22"/>
        <v>2024</v>
      </c>
      <c r="AO48" s="214">
        <f t="shared" si="23"/>
        <v>24</v>
      </c>
      <c r="AP48" s="64"/>
      <c r="AQ48" s="81"/>
    </row>
    <row r="49" spans="1:43" ht="36.950000000000003" customHeight="1" thickBot="1" x14ac:dyDescent="0.3">
      <c r="A49" s="226">
        <v>240012</v>
      </c>
      <c r="B49" s="214" t="s">
        <v>283</v>
      </c>
      <c r="C49" s="245">
        <v>3</v>
      </c>
      <c r="D49" s="226" t="s">
        <v>382</v>
      </c>
      <c r="E49" s="245" t="s">
        <v>364</v>
      </c>
      <c r="F49" s="226" t="s">
        <v>71</v>
      </c>
      <c r="G49" s="214">
        <f>IF(F49="","",IFERROR(VLOOKUP(F49,'validation des champs'!A:B,2,FALSE),"vide"))</f>
        <v>135</v>
      </c>
      <c r="H49" s="214" t="s">
        <v>82</v>
      </c>
      <c r="I49" s="214" t="str">
        <f>IF(H49="","",IFERROR(VLOOKUP(H49,'validation des champs'!C:D,2,FALSE),"Mathieu 140"))</f>
        <v>Mathieu 140</v>
      </c>
      <c r="J49" s="215">
        <v>22</v>
      </c>
      <c r="K49" s="246">
        <v>45456</v>
      </c>
      <c r="L49" s="249">
        <v>16.3</v>
      </c>
      <c r="M49" s="216">
        <v>23</v>
      </c>
      <c r="N49" s="217">
        <v>0</v>
      </c>
      <c r="O49" s="216">
        <v>0</v>
      </c>
      <c r="P49" s="248">
        <v>0</v>
      </c>
      <c r="Q49" s="249">
        <f>32.5/2</f>
        <v>16.25</v>
      </c>
      <c r="R49" s="216">
        <v>16</v>
      </c>
      <c r="S49" s="217">
        <v>0</v>
      </c>
      <c r="T49" s="216">
        <f t="shared" si="12"/>
        <v>0</v>
      </c>
      <c r="U49" s="250">
        <f t="shared" si="13"/>
        <v>16</v>
      </c>
      <c r="V49" s="251">
        <f t="shared" si="14"/>
        <v>32.549999999999997</v>
      </c>
      <c r="W49" s="247">
        <v>0</v>
      </c>
      <c r="X49" s="216">
        <v>0</v>
      </c>
      <c r="Y49" s="217">
        <v>1</v>
      </c>
      <c r="Z49" s="216">
        <f t="shared" si="15"/>
        <v>0</v>
      </c>
      <c r="AA49" s="248">
        <f t="shared" si="16"/>
        <v>0</v>
      </c>
      <c r="AB49" s="251">
        <f t="shared" si="17"/>
        <v>32.549999999999997</v>
      </c>
      <c r="AC49" s="252">
        <v>0</v>
      </c>
      <c r="AD49" s="216">
        <f t="shared" si="18"/>
        <v>0</v>
      </c>
      <c r="AE49" s="248">
        <f t="shared" si="19"/>
        <v>32.549999999999997</v>
      </c>
      <c r="AF49" s="253"/>
      <c r="AG49" s="226" t="s">
        <v>87</v>
      </c>
      <c r="AH49" s="254"/>
      <c r="AI49" s="226" t="s">
        <v>4</v>
      </c>
      <c r="AJ49" s="259"/>
      <c r="AK49" s="255" t="s">
        <v>4</v>
      </c>
      <c r="AL49" s="226" t="str">
        <f t="shared" si="20"/>
        <v>NON</v>
      </c>
      <c r="AM49" s="245" t="str">
        <f t="shared" si="21"/>
        <v>vendu</v>
      </c>
      <c r="AN49" s="229">
        <f t="shared" si="22"/>
        <v>2024</v>
      </c>
      <c r="AO49" s="204">
        <f t="shared" si="23"/>
        <v>24</v>
      </c>
      <c r="AP49" s="212"/>
      <c r="AQ49" s="245"/>
    </row>
    <row r="50" spans="1:43" ht="36.950000000000003" customHeight="1" x14ac:dyDescent="0.25">
      <c r="A50" s="211">
        <v>230280</v>
      </c>
      <c r="B50" s="205" t="s">
        <v>292</v>
      </c>
      <c r="C50" s="233">
        <v>1</v>
      </c>
      <c r="D50" s="211" t="s">
        <v>223</v>
      </c>
      <c r="E50" s="233"/>
      <c r="F50" s="211" t="s">
        <v>194</v>
      </c>
      <c r="G50" s="205">
        <f>IF(F50="","",IFERROR(VLOOKUP(F50,'validation des champs'!A:B,2,FALSE),"vide"))</f>
        <v>124</v>
      </c>
      <c r="H50" s="205" t="s">
        <v>77</v>
      </c>
      <c r="I50" s="205">
        <f>IF(H50="","",IFERROR(VLOOKUP(H50,'validation des champs'!C:D,2,FALSE),"Mathieu 140"))</f>
        <v>146</v>
      </c>
      <c r="J50" s="206">
        <v>20.2</v>
      </c>
      <c r="K50" s="234">
        <v>45460</v>
      </c>
      <c r="L50" s="243">
        <f>67.5/2</f>
        <v>33.75</v>
      </c>
      <c r="M50" s="209">
        <v>0</v>
      </c>
      <c r="N50" s="208">
        <v>0</v>
      </c>
      <c r="O50" s="209">
        <v>0</v>
      </c>
      <c r="P50" s="235">
        <v>0</v>
      </c>
      <c r="Q50" s="243">
        <v>33.75</v>
      </c>
      <c r="R50" s="209">
        <v>0</v>
      </c>
      <c r="S50" s="208">
        <v>0</v>
      </c>
      <c r="T50" s="209">
        <f t="shared" si="12"/>
        <v>0</v>
      </c>
      <c r="U50" s="236">
        <f t="shared" si="13"/>
        <v>0</v>
      </c>
      <c r="V50" s="237">
        <f t="shared" si="14"/>
        <v>67.5</v>
      </c>
      <c r="W50" s="243">
        <v>4.5</v>
      </c>
      <c r="X50" s="209">
        <v>0</v>
      </c>
      <c r="Y50" s="427">
        <v>0</v>
      </c>
      <c r="Z50" s="209">
        <f t="shared" si="15"/>
        <v>0</v>
      </c>
      <c r="AA50" s="235">
        <f t="shared" si="16"/>
        <v>0</v>
      </c>
      <c r="AB50" s="237">
        <f t="shared" si="17"/>
        <v>72</v>
      </c>
      <c r="AC50" s="238">
        <v>0</v>
      </c>
      <c r="AD50" s="209">
        <f t="shared" si="18"/>
        <v>0</v>
      </c>
      <c r="AE50" s="235">
        <f t="shared" si="19"/>
        <v>67.5</v>
      </c>
      <c r="AF50" s="239"/>
      <c r="AG50" s="211" t="s">
        <v>90</v>
      </c>
      <c r="AH50" s="240" t="s">
        <v>63</v>
      </c>
      <c r="AI50" s="211" t="s">
        <v>4</v>
      </c>
      <c r="AJ50" s="258"/>
      <c r="AK50" s="241" t="s">
        <v>4</v>
      </c>
      <c r="AL50" s="211" t="str">
        <f t="shared" si="20"/>
        <v>NON</v>
      </c>
      <c r="AM50" s="233" t="str">
        <f t="shared" si="21"/>
        <v>vendu</v>
      </c>
      <c r="AN50" s="211">
        <f t="shared" si="22"/>
        <v>2024</v>
      </c>
      <c r="AO50" s="188">
        <f t="shared" si="23"/>
        <v>25</v>
      </c>
      <c r="AP50" s="205"/>
      <c r="AQ50" s="233"/>
    </row>
    <row r="51" spans="1:43" ht="36.950000000000003" customHeight="1" x14ac:dyDescent="0.25">
      <c r="A51" s="193">
        <v>200275</v>
      </c>
      <c r="B51" s="189" t="s">
        <v>259</v>
      </c>
      <c r="C51" s="194">
        <v>8</v>
      </c>
      <c r="D51" s="193" t="s">
        <v>222</v>
      </c>
      <c r="E51" s="194"/>
      <c r="F51" s="193" t="s">
        <v>70</v>
      </c>
      <c r="G51" s="188">
        <f>IF(F51="","",IFERROR(VLOOKUP(F51,'validation des champs'!A:B,2,FALSE),"vide"))</f>
        <v>116</v>
      </c>
      <c r="H51" s="188" t="s">
        <v>79</v>
      </c>
      <c r="I51" s="188">
        <f>IF(H51="","",IFERROR(VLOOKUP(H51,'validation des champs'!C:D,2,FALSE),"Mathieu 140"))</f>
        <v>114</v>
      </c>
      <c r="J51" s="190">
        <v>11.1</v>
      </c>
      <c r="K51" s="195">
        <v>45460</v>
      </c>
      <c r="L51" s="279">
        <v>70.400000000000006</v>
      </c>
      <c r="M51" s="192">
        <v>0</v>
      </c>
      <c r="N51" s="224">
        <v>0</v>
      </c>
      <c r="O51" s="192">
        <f>+N51*M51</f>
        <v>0</v>
      </c>
      <c r="P51" s="197">
        <f>+M51-O51</f>
        <v>0</v>
      </c>
      <c r="Q51" s="279">
        <v>19.323</v>
      </c>
      <c r="R51" s="192">
        <v>0</v>
      </c>
      <c r="S51" s="224">
        <v>0</v>
      </c>
      <c r="T51" s="192">
        <f t="shared" si="12"/>
        <v>0</v>
      </c>
      <c r="U51" s="198">
        <f t="shared" si="13"/>
        <v>0</v>
      </c>
      <c r="V51" s="199">
        <f t="shared" si="14"/>
        <v>89.723000000000013</v>
      </c>
      <c r="W51" s="196">
        <v>0</v>
      </c>
      <c r="X51" s="192">
        <v>0</v>
      </c>
      <c r="Y51" s="225">
        <v>1</v>
      </c>
      <c r="Z51" s="192">
        <f t="shared" si="15"/>
        <v>0</v>
      </c>
      <c r="AA51" s="197">
        <f t="shared" si="16"/>
        <v>0</v>
      </c>
      <c r="AB51" s="199">
        <f t="shared" si="17"/>
        <v>89.723000000000013</v>
      </c>
      <c r="AC51" s="278">
        <v>0.25</v>
      </c>
      <c r="AD51" s="192">
        <f t="shared" si="18"/>
        <v>22.430750000000003</v>
      </c>
      <c r="AE51" s="197">
        <f t="shared" si="19"/>
        <v>67.29225000000001</v>
      </c>
      <c r="AF51" s="200"/>
      <c r="AG51" s="193" t="s">
        <v>316</v>
      </c>
      <c r="AH51" s="201"/>
      <c r="AI51" s="193" t="s">
        <v>4</v>
      </c>
      <c r="AJ51" s="423">
        <v>45394</v>
      </c>
      <c r="AK51" s="203" t="s">
        <v>4</v>
      </c>
      <c r="AL51" s="193" t="str">
        <f t="shared" si="20"/>
        <v>NON</v>
      </c>
      <c r="AM51" s="194" t="str">
        <f t="shared" si="21"/>
        <v>vendu</v>
      </c>
      <c r="AN51" s="193">
        <f t="shared" si="22"/>
        <v>2024</v>
      </c>
      <c r="AO51" s="219">
        <f t="shared" si="23"/>
        <v>25</v>
      </c>
      <c r="AP51" s="188"/>
      <c r="AQ51" s="194"/>
    </row>
    <row r="52" spans="1:43" ht="36.950000000000003" customHeight="1" thickBot="1" x14ac:dyDescent="0.3">
      <c r="A52" s="226">
        <v>230078</v>
      </c>
      <c r="B52" s="214" t="s">
        <v>271</v>
      </c>
      <c r="C52" s="245">
        <v>3</v>
      </c>
      <c r="D52" s="226" t="s">
        <v>328</v>
      </c>
      <c r="E52" s="245"/>
      <c r="F52" s="226" t="s">
        <v>72</v>
      </c>
      <c r="G52" s="214">
        <f>IF(F52="","",IFERROR(VLOOKUP(F52,'validation des champs'!A:B,2,FALSE),"vide"))</f>
        <v>117</v>
      </c>
      <c r="H52" s="214"/>
      <c r="I52" s="214" t="str">
        <f>IF(H52="","",IFERROR(VLOOKUP(H52,'validation des champs'!C:D,2,FALSE),"Mathieu 140"))</f>
        <v/>
      </c>
      <c r="J52" s="215" t="s">
        <v>6</v>
      </c>
      <c r="K52" s="246">
        <v>45462</v>
      </c>
      <c r="L52" s="249">
        <v>75</v>
      </c>
      <c r="M52" s="216">
        <v>0</v>
      </c>
      <c r="N52" s="217">
        <v>0</v>
      </c>
      <c r="O52" s="216">
        <v>0</v>
      </c>
      <c r="P52" s="248">
        <v>0</v>
      </c>
      <c r="Q52" s="249">
        <v>75</v>
      </c>
      <c r="R52" s="216">
        <v>0</v>
      </c>
      <c r="S52" s="217">
        <v>0</v>
      </c>
      <c r="T52" s="216">
        <f t="shared" si="12"/>
        <v>0</v>
      </c>
      <c r="U52" s="250">
        <f t="shared" si="13"/>
        <v>0</v>
      </c>
      <c r="V52" s="251">
        <f t="shared" si="14"/>
        <v>150</v>
      </c>
      <c r="W52" s="249">
        <v>11</v>
      </c>
      <c r="X52" s="216">
        <v>0</v>
      </c>
      <c r="Y52" s="218">
        <v>0</v>
      </c>
      <c r="Z52" s="216">
        <f t="shared" si="15"/>
        <v>0</v>
      </c>
      <c r="AA52" s="248">
        <f t="shared" si="16"/>
        <v>0</v>
      </c>
      <c r="AB52" s="251">
        <f t="shared" si="17"/>
        <v>161</v>
      </c>
      <c r="AC52" s="252">
        <v>0</v>
      </c>
      <c r="AD52" s="216">
        <f t="shared" si="18"/>
        <v>0</v>
      </c>
      <c r="AE52" s="248">
        <f t="shared" si="19"/>
        <v>150</v>
      </c>
      <c r="AF52" s="253"/>
      <c r="AG52" s="226" t="s">
        <v>64</v>
      </c>
      <c r="AH52" s="254" t="s">
        <v>63</v>
      </c>
      <c r="AI52" s="226" t="s">
        <v>4</v>
      </c>
      <c r="AJ52" s="259"/>
      <c r="AK52" s="255" t="s">
        <v>4</v>
      </c>
      <c r="AL52" s="226" t="str">
        <f t="shared" si="20"/>
        <v>NON</v>
      </c>
      <c r="AM52" s="245" t="str">
        <f t="shared" si="21"/>
        <v>vendu</v>
      </c>
      <c r="AN52" s="229">
        <f t="shared" si="22"/>
        <v>2024</v>
      </c>
      <c r="AO52" s="204">
        <f t="shared" si="23"/>
        <v>25</v>
      </c>
      <c r="AP52" s="212"/>
      <c r="AQ52" s="245"/>
    </row>
    <row r="53" spans="1:43" ht="36.950000000000003" customHeight="1" x14ac:dyDescent="0.25">
      <c r="A53" s="211">
        <v>230115</v>
      </c>
      <c r="B53" s="205" t="s">
        <v>362</v>
      </c>
      <c r="C53" s="233">
        <v>2</v>
      </c>
      <c r="D53" s="211" t="s">
        <v>223</v>
      </c>
      <c r="E53" s="233"/>
      <c r="F53" s="211" t="s">
        <v>71</v>
      </c>
      <c r="G53" s="205">
        <f>IF(F53="","",IFERROR(VLOOKUP(F53,'validation des champs'!A:B,2,FALSE),"vide"))</f>
        <v>135</v>
      </c>
      <c r="H53" s="205"/>
      <c r="I53" s="205" t="str">
        <f>IF(H53="","",IFERROR(VLOOKUP(H53,'validation des champs'!C:D,2,FALSE),"Mathieu 140"))</f>
        <v/>
      </c>
      <c r="J53" s="206">
        <v>20</v>
      </c>
      <c r="K53" s="234">
        <v>45467</v>
      </c>
      <c r="L53" s="243">
        <f>29.79/2</f>
        <v>14.895</v>
      </c>
      <c r="M53" s="209">
        <v>15</v>
      </c>
      <c r="N53" s="208">
        <v>0</v>
      </c>
      <c r="O53" s="209">
        <v>0</v>
      </c>
      <c r="P53" s="235">
        <v>0</v>
      </c>
      <c r="Q53" s="243">
        <v>14.9</v>
      </c>
      <c r="R53" s="209">
        <v>9</v>
      </c>
      <c r="S53" s="208">
        <v>0</v>
      </c>
      <c r="T53" s="209">
        <f t="shared" si="12"/>
        <v>0</v>
      </c>
      <c r="U53" s="236">
        <f t="shared" si="13"/>
        <v>9</v>
      </c>
      <c r="V53" s="237">
        <f t="shared" si="14"/>
        <v>29.795000000000002</v>
      </c>
      <c r="W53" s="227">
        <v>0</v>
      </c>
      <c r="X53" s="209">
        <v>0</v>
      </c>
      <c r="Y53" s="210">
        <v>1</v>
      </c>
      <c r="Z53" s="209">
        <f t="shared" si="15"/>
        <v>0</v>
      </c>
      <c r="AA53" s="235">
        <f t="shared" si="16"/>
        <v>0</v>
      </c>
      <c r="AB53" s="237">
        <f t="shared" si="17"/>
        <v>29.795000000000002</v>
      </c>
      <c r="AC53" s="238">
        <v>0</v>
      </c>
      <c r="AD53" s="209">
        <f t="shared" si="18"/>
        <v>0</v>
      </c>
      <c r="AE53" s="235">
        <f t="shared" si="19"/>
        <v>29.795000000000002</v>
      </c>
      <c r="AF53" s="239"/>
      <c r="AG53" s="211" t="s">
        <v>87</v>
      </c>
      <c r="AH53" s="240"/>
      <c r="AI53" s="211" t="s">
        <v>4</v>
      </c>
      <c r="AJ53" s="258"/>
      <c r="AK53" s="241" t="s">
        <v>4</v>
      </c>
      <c r="AL53" s="211" t="str">
        <f t="shared" si="20"/>
        <v>NON</v>
      </c>
      <c r="AM53" s="233" t="str">
        <f t="shared" si="21"/>
        <v>vendu</v>
      </c>
      <c r="AN53" s="211">
        <f t="shared" si="22"/>
        <v>2024</v>
      </c>
      <c r="AO53" s="219">
        <f t="shared" si="23"/>
        <v>26</v>
      </c>
      <c r="AP53" s="205">
        <v>29.79</v>
      </c>
      <c r="AQ53" s="233">
        <v>0</v>
      </c>
    </row>
    <row r="54" spans="1:43" ht="36.950000000000003" customHeight="1" thickBot="1" x14ac:dyDescent="0.3">
      <c r="A54" s="283">
        <v>230078</v>
      </c>
      <c r="B54" s="219" t="s">
        <v>275</v>
      </c>
      <c r="C54" s="284">
        <v>3</v>
      </c>
      <c r="D54" s="283" t="s">
        <v>328</v>
      </c>
      <c r="E54" s="284"/>
      <c r="F54" s="283" t="s">
        <v>72</v>
      </c>
      <c r="G54" s="219">
        <f>IF(F54="","",IFERROR(VLOOKUP(F54,'validation des champs'!A:B,2,FALSE),"vide"))</f>
        <v>117</v>
      </c>
      <c r="H54" s="219" t="s">
        <v>106</v>
      </c>
      <c r="I54" s="219">
        <f>IF(H54="","",IFERROR(VLOOKUP(H54,'validation des champs'!C:D,2,FALSE),"Mathieu 140"))</f>
        <v>123</v>
      </c>
      <c r="J54" s="220" t="s">
        <v>6</v>
      </c>
      <c r="K54" s="291">
        <v>45467</v>
      </c>
      <c r="L54" s="285">
        <v>50</v>
      </c>
      <c r="M54" s="221">
        <v>0</v>
      </c>
      <c r="N54" s="222">
        <v>0</v>
      </c>
      <c r="O54" s="221">
        <v>0</v>
      </c>
      <c r="P54" s="286">
        <v>0</v>
      </c>
      <c r="Q54" s="285">
        <v>50</v>
      </c>
      <c r="R54" s="221">
        <v>0</v>
      </c>
      <c r="S54" s="222">
        <v>0</v>
      </c>
      <c r="T54" s="221">
        <f t="shared" si="12"/>
        <v>0</v>
      </c>
      <c r="U54" s="287">
        <f t="shared" si="13"/>
        <v>0</v>
      </c>
      <c r="V54" s="62">
        <f t="shared" si="14"/>
        <v>100</v>
      </c>
      <c r="W54" s="285">
        <v>11</v>
      </c>
      <c r="X54" s="221">
        <v>0</v>
      </c>
      <c r="Y54" s="223">
        <v>0</v>
      </c>
      <c r="Z54" s="221">
        <f t="shared" si="15"/>
        <v>0</v>
      </c>
      <c r="AA54" s="286">
        <f t="shared" si="16"/>
        <v>0</v>
      </c>
      <c r="AB54" s="62">
        <f t="shared" si="17"/>
        <v>111</v>
      </c>
      <c r="AC54" s="288">
        <v>0</v>
      </c>
      <c r="AD54" s="221">
        <f t="shared" si="18"/>
        <v>0</v>
      </c>
      <c r="AE54" s="286">
        <f t="shared" si="19"/>
        <v>100</v>
      </c>
      <c r="AG54" s="283" t="s">
        <v>64</v>
      </c>
      <c r="AH54" s="289" t="s">
        <v>63</v>
      </c>
      <c r="AI54" s="283" t="s">
        <v>4</v>
      </c>
      <c r="AJ54" s="290"/>
      <c r="AK54" s="8" t="s">
        <v>4</v>
      </c>
      <c r="AL54" s="283" t="str">
        <f t="shared" si="20"/>
        <v>NON</v>
      </c>
      <c r="AM54" s="284" t="str">
        <f t="shared" si="21"/>
        <v>vendu</v>
      </c>
      <c r="AN54" s="3">
        <f t="shared" si="22"/>
        <v>2024</v>
      </c>
      <c r="AO54" s="214">
        <f t="shared" si="23"/>
        <v>26</v>
      </c>
      <c r="AP54" s="213"/>
      <c r="AQ54" s="284"/>
    </row>
    <row r="55" spans="1:43" ht="36.950000000000003" customHeight="1" thickBot="1" x14ac:dyDescent="0.3">
      <c r="A55" s="231">
        <v>230393</v>
      </c>
      <c r="B55" s="261" t="s">
        <v>378</v>
      </c>
      <c r="C55" s="262">
        <v>7</v>
      </c>
      <c r="D55" s="231" t="s">
        <v>219</v>
      </c>
      <c r="E55" s="262"/>
      <c r="F55" s="231" t="s">
        <v>73</v>
      </c>
      <c r="G55" s="261">
        <v>101</v>
      </c>
      <c r="H55" s="392" t="s">
        <v>81</v>
      </c>
      <c r="I55" s="261" t="s">
        <v>376</v>
      </c>
      <c r="J55" s="263">
        <v>12.5</v>
      </c>
      <c r="K55" s="264">
        <v>45468</v>
      </c>
      <c r="L55" s="230">
        <v>0</v>
      </c>
      <c r="M55" s="399">
        <v>0</v>
      </c>
      <c r="N55" s="267">
        <v>1</v>
      </c>
      <c r="O55" s="266">
        <v>0</v>
      </c>
      <c r="P55" s="268">
        <v>0</v>
      </c>
      <c r="Q55" s="265">
        <v>17.5</v>
      </c>
      <c r="R55" s="266">
        <v>0</v>
      </c>
      <c r="S55" s="267">
        <v>0</v>
      </c>
      <c r="T55" s="266">
        <v>0</v>
      </c>
      <c r="U55" s="269">
        <v>0</v>
      </c>
      <c r="V55" s="270">
        <v>35</v>
      </c>
      <c r="W55" s="230">
        <v>0</v>
      </c>
      <c r="X55" s="266">
        <v>0</v>
      </c>
      <c r="Y55" s="271">
        <v>1</v>
      </c>
      <c r="Z55" s="266">
        <v>0</v>
      </c>
      <c r="AA55" s="268">
        <v>0</v>
      </c>
      <c r="AB55" s="270">
        <v>35</v>
      </c>
      <c r="AC55" s="272">
        <v>0</v>
      </c>
      <c r="AD55" s="266">
        <v>0</v>
      </c>
      <c r="AE55" s="268">
        <v>35</v>
      </c>
      <c r="AF55" s="273"/>
      <c r="AG55" s="231" t="s">
        <v>19</v>
      </c>
      <c r="AH55" s="274" t="s">
        <v>63</v>
      </c>
      <c r="AI55" s="231" t="s">
        <v>8</v>
      </c>
      <c r="AJ55" s="398" t="s">
        <v>5</v>
      </c>
      <c r="AK55" s="276" t="s">
        <v>8</v>
      </c>
      <c r="AL55" s="231" t="s">
        <v>115</v>
      </c>
      <c r="AM55" s="262" t="s">
        <v>377</v>
      </c>
      <c r="AN55" s="242">
        <v>2024</v>
      </c>
      <c r="AO55" s="122">
        <v>22</v>
      </c>
      <c r="AP55" s="277"/>
      <c r="AQ55" s="262"/>
    </row>
    <row r="56" spans="1:43" ht="36.950000000000003" customHeight="1" x14ac:dyDescent="0.25">
      <c r="A56" s="211">
        <v>200275</v>
      </c>
      <c r="B56" s="232" t="s">
        <v>262</v>
      </c>
      <c r="C56" s="233">
        <v>8</v>
      </c>
      <c r="D56" s="211" t="s">
        <v>222</v>
      </c>
      <c r="E56" s="233"/>
      <c r="F56" s="211" t="s">
        <v>70</v>
      </c>
      <c r="G56" s="205">
        <f>IF(F56="","",IFERROR(VLOOKUP(F56,'validation des champs'!A:B,2,FALSE),"vide"))</f>
        <v>116</v>
      </c>
      <c r="H56" s="205" t="s">
        <v>79</v>
      </c>
      <c r="I56" s="205">
        <f>IF(H56="","",IFERROR(VLOOKUP(H56,'validation des champs'!C:D,2,FALSE),"Mathieu 140"))</f>
        <v>114</v>
      </c>
      <c r="J56" s="206">
        <v>11.1</v>
      </c>
      <c r="K56" s="234">
        <v>45474</v>
      </c>
      <c r="L56" s="243">
        <v>74.52</v>
      </c>
      <c r="M56" s="209">
        <v>0</v>
      </c>
      <c r="N56" s="208">
        <v>0</v>
      </c>
      <c r="O56" s="209">
        <f t="shared" ref="O56:O61" si="26">+N56*M56</f>
        <v>0</v>
      </c>
      <c r="P56" s="235">
        <f t="shared" ref="P56:P61" si="27">+M56-O56</f>
        <v>0</v>
      </c>
      <c r="Q56" s="243">
        <v>16.736000000000001</v>
      </c>
      <c r="R56" s="209">
        <v>0</v>
      </c>
      <c r="S56" s="208">
        <v>0</v>
      </c>
      <c r="T56" s="209">
        <f t="shared" ref="T56:T87" si="28">+S56*R56</f>
        <v>0</v>
      </c>
      <c r="U56" s="236">
        <f t="shared" ref="U56:U87" si="29">+R56-T56</f>
        <v>0</v>
      </c>
      <c r="V56" s="237">
        <f t="shared" ref="V56:V87" si="30">+Q56+L56</f>
        <v>91.256</v>
      </c>
      <c r="W56" s="227">
        <v>0</v>
      </c>
      <c r="X56" s="209">
        <v>0</v>
      </c>
      <c r="Y56" s="210">
        <v>1</v>
      </c>
      <c r="Z56" s="209">
        <f t="shared" ref="Z56:Z87" si="31">+X56*Y56</f>
        <v>0</v>
      </c>
      <c r="AA56" s="235">
        <f t="shared" ref="AA56:AA87" si="32">+X56-Z56</f>
        <v>0</v>
      </c>
      <c r="AB56" s="237">
        <f t="shared" ref="AB56:AB87" si="33">+L56+Q56+W56</f>
        <v>91.256</v>
      </c>
      <c r="AC56" s="238">
        <v>0.25</v>
      </c>
      <c r="AD56" s="209">
        <f t="shared" ref="AD56:AD87" si="34">+AC56*V56</f>
        <v>22.814</v>
      </c>
      <c r="AE56" s="235">
        <f t="shared" ref="AE56:AE87" si="35">+V56-AD56</f>
        <v>68.442000000000007</v>
      </c>
      <c r="AF56" s="239"/>
      <c r="AG56" s="211" t="s">
        <v>316</v>
      </c>
      <c r="AH56" s="240"/>
      <c r="AI56" s="211" t="s">
        <v>4</v>
      </c>
      <c r="AJ56" s="258"/>
      <c r="AK56" s="241" t="s">
        <v>4</v>
      </c>
      <c r="AL56" s="211" t="str">
        <f t="shared" ref="AL56:AL87" si="36">IF(B56="","",IF(LEFT(B56,2)="FC","OUI","NON"))</f>
        <v>NON</v>
      </c>
      <c r="AM56" s="233" t="str">
        <f t="shared" ref="AM56:AM87" si="37">IF(A56="","incertain","vendu")</f>
        <v>vendu</v>
      </c>
      <c r="AN56" s="211">
        <f t="shared" ref="AN56:AN87" si="38">YEAR(K56)</f>
        <v>2024</v>
      </c>
      <c r="AO56" s="188">
        <f t="shared" ref="AO56:AO87" si="39">_xlfn.ISOWEEKNUM(K56)</f>
        <v>27</v>
      </c>
      <c r="AP56" s="205"/>
      <c r="AQ56" s="233"/>
    </row>
    <row r="57" spans="1:43" ht="36.950000000000003" customHeight="1" x14ac:dyDescent="0.25">
      <c r="A57" s="193">
        <v>220058</v>
      </c>
      <c r="B57" s="188" t="s">
        <v>272</v>
      </c>
      <c r="C57" s="194">
        <v>3</v>
      </c>
      <c r="D57" s="193" t="s">
        <v>223</v>
      </c>
      <c r="E57" s="194"/>
      <c r="F57" s="193" t="s">
        <v>73</v>
      </c>
      <c r="G57" s="188">
        <f>IF(F57="","",IFERROR(VLOOKUP(F57,'validation des champs'!A:B,2,FALSE),"vide"))</f>
        <v>101</v>
      </c>
      <c r="H57" s="188" t="s">
        <v>106</v>
      </c>
      <c r="I57" s="188">
        <f>IF(H57="","",IFERROR(VLOOKUP(H57,'validation des champs'!C:D,2,FALSE),"Mathieu 140"))</f>
        <v>123</v>
      </c>
      <c r="J57" s="190">
        <v>30</v>
      </c>
      <c r="K57" s="195">
        <v>45474</v>
      </c>
      <c r="L57" s="279">
        <v>80</v>
      </c>
      <c r="M57" s="192">
        <v>0</v>
      </c>
      <c r="N57" s="224">
        <v>0</v>
      </c>
      <c r="O57" s="192">
        <f t="shared" si="26"/>
        <v>0</v>
      </c>
      <c r="P57" s="197">
        <f t="shared" si="27"/>
        <v>0</v>
      </c>
      <c r="Q57" s="279">
        <v>80</v>
      </c>
      <c r="R57" s="192">
        <v>0</v>
      </c>
      <c r="S57" s="224">
        <v>0</v>
      </c>
      <c r="T57" s="192">
        <f t="shared" si="28"/>
        <v>0</v>
      </c>
      <c r="U57" s="198">
        <f t="shared" si="29"/>
        <v>0</v>
      </c>
      <c r="V57" s="199">
        <f t="shared" si="30"/>
        <v>160</v>
      </c>
      <c r="W57" s="280">
        <v>1</v>
      </c>
      <c r="X57" s="192">
        <v>0</v>
      </c>
      <c r="Y57" s="225">
        <v>0</v>
      </c>
      <c r="Z57" s="192">
        <f t="shared" si="31"/>
        <v>0</v>
      </c>
      <c r="AA57" s="197">
        <f t="shared" si="32"/>
        <v>0</v>
      </c>
      <c r="AB57" s="199">
        <f t="shared" si="33"/>
        <v>161</v>
      </c>
      <c r="AC57" s="278">
        <v>0</v>
      </c>
      <c r="AD57" s="192">
        <f t="shared" si="34"/>
        <v>0</v>
      </c>
      <c r="AE57" s="197">
        <f t="shared" si="35"/>
        <v>160</v>
      </c>
      <c r="AF57" s="200"/>
      <c r="AG57" s="193" t="s">
        <v>6</v>
      </c>
      <c r="AH57" s="201"/>
      <c r="AI57" s="193" t="s">
        <v>4</v>
      </c>
      <c r="AJ57" s="281"/>
      <c r="AK57" s="203" t="s">
        <v>4</v>
      </c>
      <c r="AL57" s="193" t="str">
        <f t="shared" si="36"/>
        <v>NON</v>
      </c>
      <c r="AM57" s="194" t="str">
        <f t="shared" si="37"/>
        <v>vendu</v>
      </c>
      <c r="AN57" s="193">
        <f t="shared" si="38"/>
        <v>2024</v>
      </c>
      <c r="AO57" s="188">
        <f t="shared" si="39"/>
        <v>27</v>
      </c>
      <c r="AP57" s="188"/>
      <c r="AQ57" s="194"/>
    </row>
    <row r="58" spans="1:43" ht="36.950000000000003" customHeight="1" x14ac:dyDescent="0.25">
      <c r="A58" s="80">
        <v>210211</v>
      </c>
      <c r="B58" s="64" t="s">
        <v>257</v>
      </c>
      <c r="C58" s="81">
        <v>2</v>
      </c>
      <c r="D58" s="80" t="s">
        <v>219</v>
      </c>
      <c r="E58" s="81"/>
      <c r="F58" s="80" t="s">
        <v>73</v>
      </c>
      <c r="G58" s="64">
        <f>IF(F58="","",IFERROR(VLOOKUP(F58,'validation des champs'!A:B,2,FALSE),"vide"))</f>
        <v>101</v>
      </c>
      <c r="H58" s="64" t="s">
        <v>78</v>
      </c>
      <c r="I58" s="64">
        <f>IF(H58="","",IFERROR(VLOOKUP(H58,'validation des champs'!C:D,2,FALSE),"Mathieu 140"))</f>
        <v>118</v>
      </c>
      <c r="J58" s="185" t="s">
        <v>6</v>
      </c>
      <c r="K58" s="86">
        <v>45474</v>
      </c>
      <c r="L58" s="96">
        <f>132.5/2</f>
        <v>66.25</v>
      </c>
      <c r="M58" s="69">
        <v>269.5</v>
      </c>
      <c r="N58" s="70">
        <v>0</v>
      </c>
      <c r="O58" s="69">
        <f t="shared" si="26"/>
        <v>0</v>
      </c>
      <c r="P58" s="89">
        <f t="shared" si="27"/>
        <v>269.5</v>
      </c>
      <c r="Q58" s="96">
        <v>66.25</v>
      </c>
      <c r="R58" s="69">
        <v>360.5</v>
      </c>
      <c r="S58" s="70">
        <v>0</v>
      </c>
      <c r="T58" s="69">
        <f t="shared" si="28"/>
        <v>0</v>
      </c>
      <c r="U58" s="136">
        <f t="shared" si="29"/>
        <v>360.5</v>
      </c>
      <c r="V58" s="98">
        <f t="shared" si="30"/>
        <v>132.5</v>
      </c>
      <c r="W58" s="90">
        <v>0</v>
      </c>
      <c r="X58" s="69">
        <v>0</v>
      </c>
      <c r="Y58" s="77">
        <v>1</v>
      </c>
      <c r="Z58" s="69">
        <f t="shared" si="31"/>
        <v>0</v>
      </c>
      <c r="AA58" s="89">
        <f t="shared" si="32"/>
        <v>0</v>
      </c>
      <c r="AB58" s="98">
        <f t="shared" si="33"/>
        <v>132.5</v>
      </c>
      <c r="AC58" s="103">
        <v>0</v>
      </c>
      <c r="AD58" s="69">
        <f t="shared" si="34"/>
        <v>0</v>
      </c>
      <c r="AE58" s="89">
        <f t="shared" si="35"/>
        <v>132.5</v>
      </c>
      <c r="AF58" s="106"/>
      <c r="AG58" s="80" t="s">
        <v>6</v>
      </c>
      <c r="AH58" s="109"/>
      <c r="AI58" s="80" t="s">
        <v>4</v>
      </c>
      <c r="AJ58" s="112"/>
      <c r="AK58" s="116" t="s">
        <v>4</v>
      </c>
      <c r="AL58" s="80" t="str">
        <f t="shared" si="36"/>
        <v>NON</v>
      </c>
      <c r="AM58" s="81" t="str">
        <f t="shared" si="37"/>
        <v>vendu</v>
      </c>
      <c r="AN58" s="80">
        <f t="shared" si="38"/>
        <v>2024</v>
      </c>
      <c r="AO58" s="64">
        <f t="shared" si="39"/>
        <v>27</v>
      </c>
      <c r="AP58" s="64"/>
      <c r="AQ58" s="81"/>
    </row>
    <row r="59" spans="1:43" ht="36.950000000000003" customHeight="1" x14ac:dyDescent="0.25">
      <c r="A59" s="80">
        <v>230393</v>
      </c>
      <c r="B59" s="64" t="s">
        <v>274</v>
      </c>
      <c r="C59" s="81">
        <v>7</v>
      </c>
      <c r="D59" s="80" t="s">
        <v>219</v>
      </c>
      <c r="E59" s="81"/>
      <c r="F59" s="80" t="s">
        <v>73</v>
      </c>
      <c r="G59" s="64">
        <f>IF(F59="","",IFERROR(VLOOKUP(F59,'validation des champs'!A:B,2,FALSE),"vide"))</f>
        <v>101</v>
      </c>
      <c r="H59" s="68" t="s">
        <v>81</v>
      </c>
      <c r="I59" s="64" t="str">
        <f>IF(H59="","",IFERROR(VLOOKUP(H59,'validation des champs'!C:D,2,FALSE),"Mathieu 140"))</f>
        <v>Mathieu 140</v>
      </c>
      <c r="J59" s="185">
        <v>12.5</v>
      </c>
      <c r="K59" s="86">
        <v>45476</v>
      </c>
      <c r="L59" s="90">
        <v>0</v>
      </c>
      <c r="M59" s="71">
        <v>0</v>
      </c>
      <c r="N59" s="70">
        <v>1</v>
      </c>
      <c r="O59" s="69">
        <f t="shared" si="26"/>
        <v>0</v>
      </c>
      <c r="P59" s="89">
        <f t="shared" si="27"/>
        <v>0</v>
      </c>
      <c r="Q59" s="96">
        <v>35</v>
      </c>
      <c r="R59" s="69">
        <v>0</v>
      </c>
      <c r="S59" s="70">
        <v>0</v>
      </c>
      <c r="T59" s="69">
        <f t="shared" si="28"/>
        <v>0</v>
      </c>
      <c r="U59" s="136">
        <f t="shared" si="29"/>
        <v>0</v>
      </c>
      <c r="V59" s="98">
        <f t="shared" si="30"/>
        <v>35</v>
      </c>
      <c r="W59" s="90">
        <v>0</v>
      </c>
      <c r="X59" s="69">
        <v>0</v>
      </c>
      <c r="Y59" s="77">
        <v>1</v>
      </c>
      <c r="Z59" s="69">
        <f t="shared" si="31"/>
        <v>0</v>
      </c>
      <c r="AA59" s="89">
        <f t="shared" si="32"/>
        <v>0</v>
      </c>
      <c r="AB59" s="98">
        <f t="shared" si="33"/>
        <v>35</v>
      </c>
      <c r="AC59" s="103">
        <v>0</v>
      </c>
      <c r="AD59" s="69">
        <f t="shared" si="34"/>
        <v>0</v>
      </c>
      <c r="AE59" s="89">
        <f t="shared" si="35"/>
        <v>35</v>
      </c>
      <c r="AF59" s="106"/>
      <c r="AG59" s="80" t="s">
        <v>19</v>
      </c>
      <c r="AH59" s="109" t="s">
        <v>63</v>
      </c>
      <c r="AI59" s="80" t="s">
        <v>8</v>
      </c>
      <c r="AJ59" s="113" t="s">
        <v>5</v>
      </c>
      <c r="AK59" s="116" t="s">
        <v>8</v>
      </c>
      <c r="AL59" s="80" t="str">
        <f t="shared" si="36"/>
        <v>NON</v>
      </c>
      <c r="AM59" s="81" t="str">
        <f t="shared" si="37"/>
        <v>vendu</v>
      </c>
      <c r="AN59" s="80">
        <f t="shared" si="38"/>
        <v>2024</v>
      </c>
      <c r="AO59" s="214">
        <f t="shared" si="39"/>
        <v>27</v>
      </c>
      <c r="AP59" s="64"/>
      <c r="AQ59" s="81"/>
    </row>
    <row r="60" spans="1:43" ht="36.950000000000003" customHeight="1" thickBot="1" x14ac:dyDescent="0.3">
      <c r="A60" s="226">
        <v>210402</v>
      </c>
      <c r="B60" s="428" t="s">
        <v>276</v>
      </c>
      <c r="C60" s="245">
        <v>2</v>
      </c>
      <c r="D60" s="226" t="s">
        <v>219</v>
      </c>
      <c r="E60" s="245"/>
      <c r="F60" s="226" t="s">
        <v>74</v>
      </c>
      <c r="G60" s="214">
        <f>IF(F60="","",IFERROR(VLOOKUP(F60,'validation des champs'!A:B,2,FALSE),"vide"))</f>
        <v>131</v>
      </c>
      <c r="H60" s="214" t="s">
        <v>78</v>
      </c>
      <c r="I60" s="214">
        <f>IF(H60="","",IFERROR(VLOOKUP(H60,'validation des champs'!C:D,2,FALSE),"Mathieu 140"))</f>
        <v>118</v>
      </c>
      <c r="J60" s="215">
        <v>13.5</v>
      </c>
      <c r="K60" s="246">
        <v>45476</v>
      </c>
      <c r="L60" s="249">
        <v>42</v>
      </c>
      <c r="M60" s="216">
        <v>0</v>
      </c>
      <c r="N60" s="217">
        <v>0</v>
      </c>
      <c r="O60" s="216">
        <f t="shared" si="26"/>
        <v>0</v>
      </c>
      <c r="P60" s="248">
        <f t="shared" si="27"/>
        <v>0</v>
      </c>
      <c r="Q60" s="249">
        <v>42</v>
      </c>
      <c r="R60" s="216">
        <v>0</v>
      </c>
      <c r="S60" s="217">
        <v>0</v>
      </c>
      <c r="T60" s="216">
        <f t="shared" si="28"/>
        <v>0</v>
      </c>
      <c r="U60" s="250">
        <f t="shared" si="29"/>
        <v>0</v>
      </c>
      <c r="V60" s="251">
        <f t="shared" si="30"/>
        <v>84</v>
      </c>
      <c r="W60" s="247">
        <v>0</v>
      </c>
      <c r="X60" s="216">
        <v>0</v>
      </c>
      <c r="Y60" s="218">
        <v>1</v>
      </c>
      <c r="Z60" s="216">
        <f t="shared" si="31"/>
        <v>0</v>
      </c>
      <c r="AA60" s="248">
        <f t="shared" si="32"/>
        <v>0</v>
      </c>
      <c r="AB60" s="251">
        <f t="shared" si="33"/>
        <v>84</v>
      </c>
      <c r="AC60" s="252">
        <v>0.09</v>
      </c>
      <c r="AD60" s="216">
        <f t="shared" si="34"/>
        <v>7.56</v>
      </c>
      <c r="AE60" s="248">
        <f t="shared" si="35"/>
        <v>76.44</v>
      </c>
      <c r="AF60" s="253"/>
      <c r="AG60" s="226" t="s">
        <v>54</v>
      </c>
      <c r="AH60" s="254"/>
      <c r="AI60" s="226" t="s">
        <v>4</v>
      </c>
      <c r="AJ60" s="259"/>
      <c r="AK60" s="255" t="s">
        <v>4</v>
      </c>
      <c r="AL60" s="226" t="str">
        <f t="shared" si="36"/>
        <v>NON</v>
      </c>
      <c r="AM60" s="245" t="str">
        <f t="shared" si="37"/>
        <v>vendu</v>
      </c>
      <c r="AN60" s="229">
        <f t="shared" si="38"/>
        <v>2024</v>
      </c>
      <c r="AO60" s="204">
        <f t="shared" si="39"/>
        <v>27</v>
      </c>
      <c r="AP60" s="212"/>
      <c r="AQ60" s="245"/>
    </row>
    <row r="61" spans="1:43" ht="36.950000000000003" customHeight="1" x14ac:dyDescent="0.25">
      <c r="A61" s="211">
        <v>220058</v>
      </c>
      <c r="B61" s="205" t="s">
        <v>278</v>
      </c>
      <c r="C61" s="233">
        <v>3</v>
      </c>
      <c r="D61" s="211" t="s">
        <v>219</v>
      </c>
      <c r="E61" s="233" t="s">
        <v>228</v>
      </c>
      <c r="F61" s="211" t="s">
        <v>73</v>
      </c>
      <c r="G61" s="205">
        <f>IF(F61="","",IFERROR(VLOOKUP(F61,'validation des champs'!A:B,2,FALSE),"vide"))</f>
        <v>101</v>
      </c>
      <c r="H61" s="205" t="s">
        <v>106</v>
      </c>
      <c r="I61" s="205">
        <f>IF(H61="","",IFERROR(VLOOKUP(H61,'validation des champs'!C:D,2,FALSE),"Mathieu 140"))</f>
        <v>123</v>
      </c>
      <c r="J61" s="206">
        <v>30</v>
      </c>
      <c r="K61" s="234">
        <v>45481</v>
      </c>
      <c r="L61" s="243">
        <v>18</v>
      </c>
      <c r="M61" s="209">
        <v>0</v>
      </c>
      <c r="N61" s="208">
        <v>0</v>
      </c>
      <c r="O61" s="209">
        <f t="shared" si="26"/>
        <v>0</v>
      </c>
      <c r="P61" s="235">
        <f t="shared" si="27"/>
        <v>0</v>
      </c>
      <c r="Q61" s="243">
        <v>18</v>
      </c>
      <c r="R61" s="209">
        <v>0</v>
      </c>
      <c r="S61" s="208">
        <v>0</v>
      </c>
      <c r="T61" s="209">
        <f t="shared" si="28"/>
        <v>0</v>
      </c>
      <c r="U61" s="236">
        <f t="shared" si="29"/>
        <v>0</v>
      </c>
      <c r="V61" s="237">
        <f t="shared" si="30"/>
        <v>36</v>
      </c>
      <c r="W61" s="257">
        <v>1</v>
      </c>
      <c r="X61" s="209">
        <v>0</v>
      </c>
      <c r="Y61" s="210">
        <v>0</v>
      </c>
      <c r="Z61" s="209">
        <f t="shared" si="31"/>
        <v>0</v>
      </c>
      <c r="AA61" s="235">
        <f t="shared" si="32"/>
        <v>0</v>
      </c>
      <c r="AB61" s="237">
        <f t="shared" si="33"/>
        <v>37</v>
      </c>
      <c r="AC61" s="238">
        <v>0</v>
      </c>
      <c r="AD61" s="209">
        <f t="shared" si="34"/>
        <v>0</v>
      </c>
      <c r="AE61" s="235">
        <f t="shared" si="35"/>
        <v>36</v>
      </c>
      <c r="AF61" s="239"/>
      <c r="AG61" s="211" t="s">
        <v>6</v>
      </c>
      <c r="AH61" s="240"/>
      <c r="AI61" s="211" t="s">
        <v>4</v>
      </c>
      <c r="AJ61" s="258"/>
      <c r="AK61" s="241" t="s">
        <v>4</v>
      </c>
      <c r="AL61" s="211" t="str">
        <f t="shared" si="36"/>
        <v>NON</v>
      </c>
      <c r="AM61" s="233" t="str">
        <f t="shared" si="37"/>
        <v>vendu</v>
      </c>
      <c r="AN61" s="211">
        <f t="shared" si="38"/>
        <v>2024</v>
      </c>
      <c r="AO61" s="188">
        <f t="shared" si="39"/>
        <v>28</v>
      </c>
      <c r="AP61" s="205"/>
      <c r="AQ61" s="233"/>
    </row>
    <row r="62" spans="1:43" ht="36.950000000000003" customHeight="1" x14ac:dyDescent="0.25">
      <c r="A62" s="193">
        <v>230466</v>
      </c>
      <c r="B62" s="188" t="s">
        <v>103</v>
      </c>
      <c r="C62" s="194">
        <v>1</v>
      </c>
      <c r="D62" s="193" t="s">
        <v>387</v>
      </c>
      <c r="E62" s="194"/>
      <c r="F62" s="193" t="s">
        <v>194</v>
      </c>
      <c r="G62" s="188">
        <f>IF(F62="","",IFERROR(VLOOKUP(F62,'validation des champs'!A:B,2,FALSE),"vide"))</f>
        <v>124</v>
      </c>
      <c r="H62" s="188" t="s">
        <v>77</v>
      </c>
      <c r="I62" s="188">
        <f>IF(H62="","",IFERROR(VLOOKUP(H62,'validation des champs'!C:D,2,FALSE),"Mathieu 140"))</f>
        <v>146</v>
      </c>
      <c r="J62" s="190">
        <v>23.9</v>
      </c>
      <c r="K62" s="195">
        <v>45481</v>
      </c>
      <c r="L62" s="279">
        <v>36.5</v>
      </c>
      <c r="M62" s="192">
        <v>0</v>
      </c>
      <c r="N62" s="224">
        <v>0</v>
      </c>
      <c r="O62" s="192">
        <v>0</v>
      </c>
      <c r="P62" s="197">
        <v>0</v>
      </c>
      <c r="Q62" s="279">
        <v>36.5</v>
      </c>
      <c r="R62" s="192">
        <v>0</v>
      </c>
      <c r="S62" s="224">
        <v>0</v>
      </c>
      <c r="T62" s="192">
        <f t="shared" si="28"/>
        <v>0</v>
      </c>
      <c r="U62" s="198">
        <f t="shared" si="29"/>
        <v>0</v>
      </c>
      <c r="V62" s="199">
        <f t="shared" si="30"/>
        <v>73</v>
      </c>
      <c r="W62" s="279">
        <v>4</v>
      </c>
      <c r="X62" s="192">
        <v>0</v>
      </c>
      <c r="Y62" s="225">
        <v>0</v>
      </c>
      <c r="Z62" s="192">
        <f t="shared" si="31"/>
        <v>0</v>
      </c>
      <c r="AA62" s="197">
        <f t="shared" si="32"/>
        <v>0</v>
      </c>
      <c r="AB62" s="199">
        <f t="shared" si="33"/>
        <v>77</v>
      </c>
      <c r="AC62" s="278">
        <v>0</v>
      </c>
      <c r="AD62" s="192">
        <f t="shared" si="34"/>
        <v>0</v>
      </c>
      <c r="AE62" s="197">
        <f t="shared" si="35"/>
        <v>73</v>
      </c>
      <c r="AF62" s="200"/>
      <c r="AG62" s="193" t="s">
        <v>90</v>
      </c>
      <c r="AH62" s="201" t="s">
        <v>63</v>
      </c>
      <c r="AI62" s="193" t="s">
        <v>4</v>
      </c>
      <c r="AJ62" s="281"/>
      <c r="AK62" s="203" t="s">
        <v>4</v>
      </c>
      <c r="AL62" s="193" t="str">
        <f t="shared" si="36"/>
        <v>NON</v>
      </c>
      <c r="AM62" s="194" t="str">
        <f t="shared" si="37"/>
        <v>vendu</v>
      </c>
      <c r="AN62" s="193">
        <f t="shared" si="38"/>
        <v>2024</v>
      </c>
      <c r="AO62" s="219">
        <f t="shared" si="39"/>
        <v>28</v>
      </c>
      <c r="AP62" s="188"/>
      <c r="AQ62" s="194"/>
    </row>
    <row r="63" spans="1:43" ht="36.950000000000003" customHeight="1" thickBot="1" x14ac:dyDescent="0.3">
      <c r="A63" s="226">
        <v>210211</v>
      </c>
      <c r="B63" s="214" t="s">
        <v>260</v>
      </c>
      <c r="C63" s="245">
        <v>2</v>
      </c>
      <c r="D63" s="226" t="s">
        <v>219</v>
      </c>
      <c r="E63" s="245"/>
      <c r="F63" s="226" t="s">
        <v>73</v>
      </c>
      <c r="G63" s="214">
        <f>IF(F63="","",IFERROR(VLOOKUP(F63,'validation des champs'!A:B,2,FALSE),"vide"))</f>
        <v>101</v>
      </c>
      <c r="H63" s="214" t="s">
        <v>78</v>
      </c>
      <c r="I63" s="214">
        <f>IF(H63="","",IFERROR(VLOOKUP(H63,'validation des champs'!C:D,2,FALSE),"Mathieu 140"))</f>
        <v>118</v>
      </c>
      <c r="J63" s="215" t="s">
        <v>6</v>
      </c>
      <c r="K63" s="246">
        <v>45481</v>
      </c>
      <c r="L63" s="249">
        <v>66.25</v>
      </c>
      <c r="M63" s="216">
        <v>269.5</v>
      </c>
      <c r="N63" s="217">
        <v>0</v>
      </c>
      <c r="O63" s="216">
        <f>+N63*M63</f>
        <v>0</v>
      </c>
      <c r="P63" s="248">
        <f>+M63-O63</f>
        <v>269.5</v>
      </c>
      <c r="Q63" s="249">
        <v>66.25</v>
      </c>
      <c r="R63" s="216">
        <v>360.5</v>
      </c>
      <c r="S63" s="217">
        <v>0</v>
      </c>
      <c r="T63" s="216">
        <f t="shared" si="28"/>
        <v>0</v>
      </c>
      <c r="U63" s="250">
        <f t="shared" si="29"/>
        <v>360.5</v>
      </c>
      <c r="V63" s="251">
        <f t="shared" si="30"/>
        <v>132.5</v>
      </c>
      <c r="W63" s="247">
        <v>0</v>
      </c>
      <c r="X63" s="216">
        <v>0</v>
      </c>
      <c r="Y63" s="218">
        <v>1</v>
      </c>
      <c r="Z63" s="216">
        <f t="shared" si="31"/>
        <v>0</v>
      </c>
      <c r="AA63" s="248">
        <f t="shared" si="32"/>
        <v>0</v>
      </c>
      <c r="AB63" s="251">
        <f t="shared" si="33"/>
        <v>132.5</v>
      </c>
      <c r="AC63" s="252">
        <v>0</v>
      </c>
      <c r="AD63" s="216">
        <f t="shared" si="34"/>
        <v>0</v>
      </c>
      <c r="AE63" s="248">
        <f t="shared" si="35"/>
        <v>132.5</v>
      </c>
      <c r="AF63" s="253"/>
      <c r="AG63" s="226" t="s">
        <v>6</v>
      </c>
      <c r="AH63" s="254"/>
      <c r="AI63" s="226" t="s">
        <v>4</v>
      </c>
      <c r="AJ63" s="259"/>
      <c r="AK63" s="255" t="s">
        <v>4</v>
      </c>
      <c r="AL63" s="226" t="str">
        <f t="shared" si="36"/>
        <v>NON</v>
      </c>
      <c r="AM63" s="245" t="str">
        <f t="shared" si="37"/>
        <v>vendu</v>
      </c>
      <c r="AN63" s="229">
        <f t="shared" si="38"/>
        <v>2024</v>
      </c>
      <c r="AO63" s="204">
        <f t="shared" si="39"/>
        <v>28</v>
      </c>
      <c r="AP63" s="212"/>
      <c r="AQ63" s="245"/>
    </row>
    <row r="64" spans="1:43" ht="36.950000000000003" customHeight="1" x14ac:dyDescent="0.25">
      <c r="A64" s="211">
        <v>200275</v>
      </c>
      <c r="B64" s="232" t="s">
        <v>269</v>
      </c>
      <c r="C64" s="233">
        <v>8</v>
      </c>
      <c r="D64" s="211" t="s">
        <v>222</v>
      </c>
      <c r="E64" s="233"/>
      <c r="F64" s="211" t="s">
        <v>70</v>
      </c>
      <c r="G64" s="205">
        <f>IF(F64="","",IFERROR(VLOOKUP(F64,'validation des champs'!A:B,2,FALSE),"vide"))</f>
        <v>116</v>
      </c>
      <c r="H64" s="205" t="s">
        <v>79</v>
      </c>
      <c r="I64" s="205">
        <f>IF(H64="","",IFERROR(VLOOKUP(H64,'validation des champs'!C:D,2,FALSE),"Mathieu 140"))</f>
        <v>114</v>
      </c>
      <c r="J64" s="206">
        <v>11.1</v>
      </c>
      <c r="K64" s="234">
        <v>45488</v>
      </c>
      <c r="L64" s="243">
        <v>70.400000000000006</v>
      </c>
      <c r="M64" s="209">
        <v>0</v>
      </c>
      <c r="N64" s="208">
        <v>0</v>
      </c>
      <c r="O64" s="209">
        <f>+N64*M64</f>
        <v>0</v>
      </c>
      <c r="P64" s="235">
        <f>+M64-O64</f>
        <v>0</v>
      </c>
      <c r="Q64" s="243">
        <v>17.954000000000001</v>
      </c>
      <c r="R64" s="209">
        <v>0</v>
      </c>
      <c r="S64" s="208">
        <v>0</v>
      </c>
      <c r="T64" s="209">
        <f t="shared" si="28"/>
        <v>0</v>
      </c>
      <c r="U64" s="236">
        <f t="shared" si="29"/>
        <v>0</v>
      </c>
      <c r="V64" s="237">
        <f t="shared" si="30"/>
        <v>88.354000000000013</v>
      </c>
      <c r="W64" s="227">
        <v>0</v>
      </c>
      <c r="X64" s="209">
        <v>0</v>
      </c>
      <c r="Y64" s="210">
        <v>1</v>
      </c>
      <c r="Z64" s="209">
        <f t="shared" si="31"/>
        <v>0</v>
      </c>
      <c r="AA64" s="235">
        <f t="shared" si="32"/>
        <v>0</v>
      </c>
      <c r="AB64" s="237">
        <f t="shared" si="33"/>
        <v>88.354000000000013</v>
      </c>
      <c r="AC64" s="238">
        <v>0.55000000000000004</v>
      </c>
      <c r="AD64" s="209">
        <f t="shared" si="34"/>
        <v>48.59470000000001</v>
      </c>
      <c r="AE64" s="235">
        <f t="shared" si="35"/>
        <v>39.759300000000003</v>
      </c>
      <c r="AF64" s="239"/>
      <c r="AG64" s="211" t="s">
        <v>316</v>
      </c>
      <c r="AH64" s="240"/>
      <c r="AI64" s="211" t="s">
        <v>4</v>
      </c>
      <c r="AJ64" s="258"/>
      <c r="AK64" s="241" t="s">
        <v>4</v>
      </c>
      <c r="AL64" s="211" t="str">
        <f t="shared" si="36"/>
        <v>NON</v>
      </c>
      <c r="AM64" s="233" t="str">
        <f t="shared" si="37"/>
        <v>vendu</v>
      </c>
      <c r="AN64" s="211">
        <f t="shared" si="38"/>
        <v>2024</v>
      </c>
      <c r="AO64" s="219">
        <f t="shared" si="39"/>
        <v>29</v>
      </c>
      <c r="AP64" s="205"/>
      <c r="AQ64" s="233"/>
    </row>
    <row r="65" spans="1:43" ht="36.950000000000003" customHeight="1" thickBot="1" x14ac:dyDescent="0.3">
      <c r="A65" s="283">
        <v>220294</v>
      </c>
      <c r="B65" s="219" t="s">
        <v>236</v>
      </c>
      <c r="C65" s="284">
        <v>1</v>
      </c>
      <c r="D65" s="283" t="s">
        <v>219</v>
      </c>
      <c r="E65" s="284"/>
      <c r="F65" s="283" t="s">
        <v>194</v>
      </c>
      <c r="G65" s="219">
        <f>IF(F65="","",IFERROR(VLOOKUP(F65,'validation des champs'!A:B,2,FALSE),"vide"))</f>
        <v>124</v>
      </c>
      <c r="H65" s="219" t="s">
        <v>77</v>
      </c>
      <c r="I65" s="219">
        <f>IF(H65="","",IFERROR(VLOOKUP(H65,'validation des champs'!C:D,2,FALSE),"Mathieu 140"))</f>
        <v>146</v>
      </c>
      <c r="J65" s="220">
        <v>27.5</v>
      </c>
      <c r="K65" s="291">
        <v>45488</v>
      </c>
      <c r="L65" s="285">
        <v>70</v>
      </c>
      <c r="M65" s="221">
        <v>0</v>
      </c>
      <c r="N65" s="222">
        <v>0</v>
      </c>
      <c r="O65" s="221">
        <f>+N65*M65</f>
        <v>0</v>
      </c>
      <c r="P65" s="286">
        <f>+M65-O65</f>
        <v>0</v>
      </c>
      <c r="Q65" s="285">
        <v>70</v>
      </c>
      <c r="R65" s="221">
        <v>0</v>
      </c>
      <c r="S65" s="222">
        <v>0</v>
      </c>
      <c r="T65" s="221">
        <f t="shared" si="28"/>
        <v>0</v>
      </c>
      <c r="U65" s="287">
        <f t="shared" si="29"/>
        <v>0</v>
      </c>
      <c r="V65" s="62">
        <f t="shared" si="30"/>
        <v>140</v>
      </c>
      <c r="W65" s="285">
        <v>3</v>
      </c>
      <c r="X65" s="221">
        <v>0</v>
      </c>
      <c r="Y65" s="223">
        <v>0</v>
      </c>
      <c r="Z65" s="221">
        <f t="shared" si="31"/>
        <v>0</v>
      </c>
      <c r="AA65" s="286">
        <f t="shared" si="32"/>
        <v>0</v>
      </c>
      <c r="AB65" s="62">
        <f t="shared" si="33"/>
        <v>143</v>
      </c>
      <c r="AC65" s="288">
        <v>0</v>
      </c>
      <c r="AD65" s="221">
        <f t="shared" si="34"/>
        <v>0</v>
      </c>
      <c r="AE65" s="286">
        <f t="shared" si="35"/>
        <v>140</v>
      </c>
      <c r="AG65" s="283" t="s">
        <v>55</v>
      </c>
      <c r="AH65" s="289"/>
      <c r="AI65" s="283" t="s">
        <v>4</v>
      </c>
      <c r="AJ65" s="290"/>
      <c r="AK65" s="8" t="s">
        <v>4</v>
      </c>
      <c r="AL65" s="283" t="str">
        <f t="shared" si="36"/>
        <v>NON</v>
      </c>
      <c r="AM65" s="284" t="str">
        <f t="shared" si="37"/>
        <v>vendu</v>
      </c>
      <c r="AN65" s="3">
        <f t="shared" si="38"/>
        <v>2024</v>
      </c>
      <c r="AO65" s="214">
        <f t="shared" si="39"/>
        <v>29</v>
      </c>
      <c r="AP65" s="213"/>
      <c r="AQ65" s="284"/>
    </row>
    <row r="66" spans="1:43" ht="36.950000000000003" customHeight="1" thickBot="1" x14ac:dyDescent="0.3">
      <c r="A66" s="231">
        <v>200216</v>
      </c>
      <c r="B66" s="261" t="s">
        <v>372</v>
      </c>
      <c r="C66" s="262">
        <v>2</v>
      </c>
      <c r="D66" s="231" t="s">
        <v>223</v>
      </c>
      <c r="E66" s="262"/>
      <c r="F66" s="231" t="s">
        <v>194</v>
      </c>
      <c r="G66" s="261">
        <f>IF(F66="","",IFERROR(VLOOKUP(F66,'validation des champs'!A:B,2,FALSE),"vide"))</f>
        <v>124</v>
      </c>
      <c r="H66" s="261" t="s">
        <v>77</v>
      </c>
      <c r="I66" s="261">
        <f>IF(H66="","",IFERROR(VLOOKUP(H66,'validation des champs'!C:D,2,FALSE),"Mathieu 140"))</f>
        <v>146</v>
      </c>
      <c r="J66" s="263">
        <v>26</v>
      </c>
      <c r="K66" s="264">
        <v>45495</v>
      </c>
      <c r="L66" s="265">
        <v>72.5</v>
      </c>
      <c r="M66" s="266">
        <v>0</v>
      </c>
      <c r="N66" s="267">
        <v>0</v>
      </c>
      <c r="O66" s="266">
        <v>0</v>
      </c>
      <c r="P66" s="268">
        <v>0</v>
      </c>
      <c r="Q66" s="265">
        <v>72.5</v>
      </c>
      <c r="R66" s="266">
        <v>0</v>
      </c>
      <c r="S66" s="267">
        <v>0</v>
      </c>
      <c r="T66" s="266">
        <f t="shared" si="28"/>
        <v>0</v>
      </c>
      <c r="U66" s="269">
        <f t="shared" si="29"/>
        <v>0</v>
      </c>
      <c r="V66" s="270">
        <f t="shared" si="30"/>
        <v>145</v>
      </c>
      <c r="W66" s="265">
        <v>3</v>
      </c>
      <c r="X66" s="266">
        <v>0</v>
      </c>
      <c r="Y66" s="271">
        <v>0</v>
      </c>
      <c r="Z66" s="266">
        <f t="shared" si="31"/>
        <v>0</v>
      </c>
      <c r="AA66" s="268">
        <f t="shared" si="32"/>
        <v>0</v>
      </c>
      <c r="AB66" s="270">
        <f t="shared" si="33"/>
        <v>148</v>
      </c>
      <c r="AC66" s="272">
        <v>0</v>
      </c>
      <c r="AD66" s="266">
        <f t="shared" si="34"/>
        <v>0</v>
      </c>
      <c r="AE66" s="268">
        <f t="shared" si="35"/>
        <v>145</v>
      </c>
      <c r="AF66" s="273"/>
      <c r="AG66" s="231" t="s">
        <v>371</v>
      </c>
      <c r="AH66" s="274" t="s">
        <v>63</v>
      </c>
      <c r="AI66" s="231" t="s">
        <v>4</v>
      </c>
      <c r="AJ66" s="275"/>
      <c r="AK66" s="276" t="s">
        <v>4</v>
      </c>
      <c r="AL66" s="231" t="str">
        <f t="shared" si="36"/>
        <v>NON</v>
      </c>
      <c r="AM66" s="262" t="str">
        <f t="shared" si="37"/>
        <v>vendu</v>
      </c>
      <c r="AN66" s="242">
        <f t="shared" si="38"/>
        <v>2024</v>
      </c>
      <c r="AO66" s="122">
        <f t="shared" si="39"/>
        <v>30</v>
      </c>
      <c r="AP66" s="277">
        <v>145</v>
      </c>
      <c r="AQ66" s="262">
        <v>3</v>
      </c>
    </row>
    <row r="67" spans="1:43" ht="36.950000000000003" customHeight="1" x14ac:dyDescent="0.25">
      <c r="A67" s="211">
        <v>200275</v>
      </c>
      <c r="B67" s="205" t="s">
        <v>277</v>
      </c>
      <c r="C67" s="233">
        <v>8</v>
      </c>
      <c r="D67" s="211" t="s">
        <v>227</v>
      </c>
      <c r="E67" s="233"/>
      <c r="F67" s="211" t="s">
        <v>70</v>
      </c>
      <c r="G67" s="205">
        <f>IF(F67="","",IFERROR(VLOOKUP(F67,'validation des champs'!A:B,2,FALSE),"vide"))</f>
        <v>116</v>
      </c>
      <c r="H67" s="205" t="s">
        <v>79</v>
      </c>
      <c r="I67" s="205">
        <f>IF(H67="","",IFERROR(VLOOKUP(H67,'validation des champs'!C:D,2,FALSE),"Mathieu 140"))</f>
        <v>114</v>
      </c>
      <c r="J67" s="206">
        <v>14</v>
      </c>
      <c r="K67" s="234">
        <v>45502</v>
      </c>
      <c r="L67" s="243">
        <v>23.5</v>
      </c>
      <c r="M67" s="209">
        <v>0</v>
      </c>
      <c r="N67" s="208">
        <v>0</v>
      </c>
      <c r="O67" s="209">
        <f>+N67*M67</f>
        <v>0</v>
      </c>
      <c r="P67" s="235">
        <f>+M67-O67</f>
        <v>0</v>
      </c>
      <c r="Q67" s="243">
        <v>23.5</v>
      </c>
      <c r="R67" s="209">
        <v>0</v>
      </c>
      <c r="S67" s="208">
        <v>0</v>
      </c>
      <c r="T67" s="209">
        <f t="shared" si="28"/>
        <v>0</v>
      </c>
      <c r="U67" s="236">
        <f t="shared" si="29"/>
        <v>0</v>
      </c>
      <c r="V67" s="237">
        <f t="shared" si="30"/>
        <v>47</v>
      </c>
      <c r="W67" s="227">
        <v>0</v>
      </c>
      <c r="X67" s="209">
        <v>0</v>
      </c>
      <c r="Y67" s="210">
        <v>1</v>
      </c>
      <c r="Z67" s="209">
        <f t="shared" si="31"/>
        <v>0</v>
      </c>
      <c r="AA67" s="235">
        <f t="shared" si="32"/>
        <v>0</v>
      </c>
      <c r="AB67" s="237">
        <f t="shared" si="33"/>
        <v>47</v>
      </c>
      <c r="AC67" s="238">
        <v>0</v>
      </c>
      <c r="AD67" s="209">
        <f t="shared" si="34"/>
        <v>0</v>
      </c>
      <c r="AE67" s="235">
        <f t="shared" si="35"/>
        <v>47</v>
      </c>
      <c r="AF67" s="239"/>
      <c r="AG67" s="211" t="s">
        <v>6</v>
      </c>
      <c r="AH67" s="240"/>
      <c r="AI67" s="211" t="s">
        <v>4</v>
      </c>
      <c r="AJ67" s="258"/>
      <c r="AK67" s="241" t="s">
        <v>4</v>
      </c>
      <c r="AL67" s="211" t="str">
        <f t="shared" si="36"/>
        <v>NON</v>
      </c>
      <c r="AM67" s="233" t="str">
        <f t="shared" si="37"/>
        <v>vendu</v>
      </c>
      <c r="AN67" s="211">
        <f t="shared" si="38"/>
        <v>2024</v>
      </c>
      <c r="AO67" s="219">
        <f t="shared" si="39"/>
        <v>31</v>
      </c>
      <c r="AP67" s="205"/>
      <c r="AQ67" s="233"/>
    </row>
    <row r="68" spans="1:43" ht="36.950000000000003" customHeight="1" thickBot="1" x14ac:dyDescent="0.3">
      <c r="A68" s="283">
        <v>200275</v>
      </c>
      <c r="B68" s="219" t="s">
        <v>281</v>
      </c>
      <c r="C68" s="284">
        <v>8</v>
      </c>
      <c r="D68" s="283" t="s">
        <v>227</v>
      </c>
      <c r="E68" s="284"/>
      <c r="F68" s="283" t="s">
        <v>70</v>
      </c>
      <c r="G68" s="219">
        <f>IF(F68="","",IFERROR(VLOOKUP(F68,'validation des champs'!A:B,2,FALSE),"vide"))</f>
        <v>116</v>
      </c>
      <c r="H68" s="219" t="s">
        <v>79</v>
      </c>
      <c r="I68" s="219">
        <f>IF(H68="","",IFERROR(VLOOKUP(H68,'validation des champs'!C:D,2,FALSE),"Mathieu 140"))</f>
        <v>114</v>
      </c>
      <c r="J68" s="220">
        <v>14</v>
      </c>
      <c r="K68" s="291">
        <v>45506</v>
      </c>
      <c r="L68" s="285">
        <v>23.5</v>
      </c>
      <c r="M68" s="221">
        <v>0</v>
      </c>
      <c r="N68" s="222">
        <v>0</v>
      </c>
      <c r="O68" s="221">
        <f>+N68*M68</f>
        <v>0</v>
      </c>
      <c r="P68" s="286">
        <f>+M68-O68</f>
        <v>0</v>
      </c>
      <c r="Q68" s="285">
        <v>23.5</v>
      </c>
      <c r="R68" s="221">
        <v>0</v>
      </c>
      <c r="S68" s="222">
        <v>0</v>
      </c>
      <c r="T68" s="221">
        <f t="shared" si="28"/>
        <v>0</v>
      </c>
      <c r="U68" s="287">
        <f t="shared" si="29"/>
        <v>0</v>
      </c>
      <c r="V68" s="62">
        <f t="shared" si="30"/>
        <v>47</v>
      </c>
      <c r="W68" s="292">
        <v>0</v>
      </c>
      <c r="X68" s="221">
        <v>0</v>
      </c>
      <c r="Y68" s="223">
        <v>1</v>
      </c>
      <c r="Z68" s="221">
        <f t="shared" si="31"/>
        <v>0</v>
      </c>
      <c r="AA68" s="286">
        <f t="shared" si="32"/>
        <v>0</v>
      </c>
      <c r="AB68" s="62">
        <f t="shared" si="33"/>
        <v>47</v>
      </c>
      <c r="AC68" s="288">
        <v>0</v>
      </c>
      <c r="AD68" s="221">
        <f t="shared" si="34"/>
        <v>0</v>
      </c>
      <c r="AE68" s="286">
        <f t="shared" si="35"/>
        <v>47</v>
      </c>
      <c r="AG68" s="283" t="s">
        <v>6</v>
      </c>
      <c r="AH68" s="289"/>
      <c r="AI68" s="283" t="s">
        <v>4</v>
      </c>
      <c r="AJ68" s="290"/>
      <c r="AK68" s="8" t="s">
        <v>4</v>
      </c>
      <c r="AL68" s="283" t="str">
        <f t="shared" si="36"/>
        <v>NON</v>
      </c>
      <c r="AM68" s="284" t="str">
        <f t="shared" si="37"/>
        <v>vendu</v>
      </c>
      <c r="AN68" s="3">
        <f t="shared" si="38"/>
        <v>2024</v>
      </c>
      <c r="AO68" s="204">
        <f t="shared" si="39"/>
        <v>31</v>
      </c>
      <c r="AP68" s="213"/>
      <c r="AQ68" s="284"/>
    </row>
    <row r="69" spans="1:43" ht="36.950000000000003" customHeight="1" x14ac:dyDescent="0.25">
      <c r="A69" s="211">
        <v>240012</v>
      </c>
      <c r="B69" s="205" t="s">
        <v>365</v>
      </c>
      <c r="C69" s="233">
        <v>3</v>
      </c>
      <c r="D69" s="211" t="s">
        <v>383</v>
      </c>
      <c r="E69" s="233" t="s">
        <v>364</v>
      </c>
      <c r="F69" s="211" t="s">
        <v>71</v>
      </c>
      <c r="G69" s="205">
        <f>IF(F69="","",IFERROR(VLOOKUP(F69,'validation des champs'!A:B,2,FALSE),"vide"))</f>
        <v>135</v>
      </c>
      <c r="H69" s="205" t="s">
        <v>82</v>
      </c>
      <c r="I69" s="205" t="str">
        <f>IF(H69="","",IFERROR(VLOOKUP(H69,'validation des champs'!C:D,2,FALSE),"Mathieu 140"))</f>
        <v>Mathieu 140</v>
      </c>
      <c r="J69" s="206">
        <v>27</v>
      </c>
      <c r="K69" s="234">
        <v>45530</v>
      </c>
      <c r="L69" s="243">
        <f>36.56/2</f>
        <v>18.28</v>
      </c>
      <c r="M69" s="209">
        <v>23</v>
      </c>
      <c r="N69" s="208">
        <v>0</v>
      </c>
      <c r="O69" s="209">
        <v>0</v>
      </c>
      <c r="P69" s="235">
        <v>0</v>
      </c>
      <c r="Q69" s="243">
        <v>18.3</v>
      </c>
      <c r="R69" s="209">
        <v>16</v>
      </c>
      <c r="S69" s="208">
        <v>0</v>
      </c>
      <c r="T69" s="209">
        <f t="shared" si="28"/>
        <v>0</v>
      </c>
      <c r="U69" s="236">
        <f t="shared" si="29"/>
        <v>16</v>
      </c>
      <c r="V69" s="237">
        <f t="shared" si="30"/>
        <v>36.58</v>
      </c>
      <c r="W69" s="227">
        <v>0</v>
      </c>
      <c r="X69" s="209">
        <v>0</v>
      </c>
      <c r="Y69" s="208">
        <v>1</v>
      </c>
      <c r="Z69" s="209">
        <f t="shared" si="31"/>
        <v>0</v>
      </c>
      <c r="AA69" s="235">
        <f t="shared" si="32"/>
        <v>0</v>
      </c>
      <c r="AB69" s="237">
        <f t="shared" si="33"/>
        <v>36.58</v>
      </c>
      <c r="AC69" s="238">
        <v>0</v>
      </c>
      <c r="AD69" s="209">
        <f t="shared" si="34"/>
        <v>0</v>
      </c>
      <c r="AE69" s="235">
        <f t="shared" si="35"/>
        <v>36.58</v>
      </c>
      <c r="AF69" s="239"/>
      <c r="AG69" s="211" t="s">
        <v>87</v>
      </c>
      <c r="AH69" s="240"/>
      <c r="AI69" s="211" t="s">
        <v>4</v>
      </c>
      <c r="AJ69" s="258"/>
      <c r="AK69" s="241" t="s">
        <v>4</v>
      </c>
      <c r="AL69" s="211" t="str">
        <f t="shared" si="36"/>
        <v>NON</v>
      </c>
      <c r="AM69" s="233" t="str">
        <f t="shared" si="37"/>
        <v>vendu</v>
      </c>
      <c r="AN69" s="211">
        <f t="shared" si="38"/>
        <v>2024</v>
      </c>
      <c r="AO69" s="219">
        <f t="shared" si="39"/>
        <v>35</v>
      </c>
      <c r="AP69" s="205"/>
      <c r="AQ69" s="233"/>
    </row>
    <row r="70" spans="1:43" ht="36.950000000000003" customHeight="1" thickBot="1" x14ac:dyDescent="0.3">
      <c r="A70" s="283">
        <v>240039</v>
      </c>
      <c r="B70" s="219" t="s">
        <v>367</v>
      </c>
      <c r="C70" s="284">
        <v>1</v>
      </c>
      <c r="D70" s="283" t="s">
        <v>221</v>
      </c>
      <c r="E70" s="284"/>
      <c r="F70" s="283" t="s">
        <v>194</v>
      </c>
      <c r="G70" s="219">
        <f>IF(F70="","",IFERROR(VLOOKUP(F70,'validation des champs'!A:B,2,FALSE),"vide"))</f>
        <v>124</v>
      </c>
      <c r="H70" s="219" t="s">
        <v>76</v>
      </c>
      <c r="I70" s="219" t="str">
        <f>IF(H70="","",IFERROR(VLOOKUP(H70,'validation des champs'!C:D,2,FALSE),"Mathieu 140"))</f>
        <v>Mathieu 140</v>
      </c>
      <c r="J70" s="220">
        <v>23.6</v>
      </c>
      <c r="K70" s="431">
        <v>45530</v>
      </c>
      <c r="L70" s="285">
        <f>87.5/2</f>
        <v>43.75</v>
      </c>
      <c r="M70" s="221">
        <v>0</v>
      </c>
      <c r="N70" s="222">
        <v>0</v>
      </c>
      <c r="O70" s="221">
        <v>0</v>
      </c>
      <c r="P70" s="286">
        <v>0</v>
      </c>
      <c r="Q70" s="285">
        <v>43.8</v>
      </c>
      <c r="R70" s="221">
        <v>0</v>
      </c>
      <c r="S70" s="222">
        <v>0</v>
      </c>
      <c r="T70" s="221">
        <f t="shared" si="28"/>
        <v>0</v>
      </c>
      <c r="U70" s="287">
        <f t="shared" si="29"/>
        <v>0</v>
      </c>
      <c r="V70" s="62">
        <f t="shared" si="30"/>
        <v>87.55</v>
      </c>
      <c r="W70" s="285">
        <v>1</v>
      </c>
      <c r="X70" s="221">
        <v>0</v>
      </c>
      <c r="Y70" s="223">
        <v>0</v>
      </c>
      <c r="Z70" s="221">
        <f t="shared" si="31"/>
        <v>0</v>
      </c>
      <c r="AA70" s="286">
        <f t="shared" si="32"/>
        <v>0</v>
      </c>
      <c r="AB70" s="62">
        <f t="shared" si="33"/>
        <v>88.55</v>
      </c>
      <c r="AC70" s="288">
        <v>0</v>
      </c>
      <c r="AD70" s="221">
        <f t="shared" si="34"/>
        <v>0</v>
      </c>
      <c r="AE70" s="286">
        <f t="shared" si="35"/>
        <v>87.55</v>
      </c>
      <c r="AG70" s="283" t="s">
        <v>368</v>
      </c>
      <c r="AH70" s="289" t="s">
        <v>63</v>
      </c>
      <c r="AI70" s="283" t="s">
        <v>4</v>
      </c>
      <c r="AJ70" s="290"/>
      <c r="AK70" s="8" t="s">
        <v>4</v>
      </c>
      <c r="AL70" s="283" t="str">
        <f t="shared" si="36"/>
        <v>NON</v>
      </c>
      <c r="AM70" s="284" t="str">
        <f t="shared" si="37"/>
        <v>vendu</v>
      </c>
      <c r="AN70" s="3">
        <f t="shared" si="38"/>
        <v>2024</v>
      </c>
      <c r="AO70" s="214">
        <f t="shared" si="39"/>
        <v>35</v>
      </c>
      <c r="AP70" s="213">
        <v>87.5</v>
      </c>
      <c r="AQ70" s="284">
        <v>1</v>
      </c>
    </row>
    <row r="71" spans="1:43" ht="36.950000000000003" customHeight="1" thickBot="1" x14ac:dyDescent="0.3">
      <c r="A71" s="231">
        <v>210211</v>
      </c>
      <c r="B71" s="261" t="s">
        <v>273</v>
      </c>
      <c r="C71" s="262">
        <v>4</v>
      </c>
      <c r="D71" s="231" t="s">
        <v>229</v>
      </c>
      <c r="E71" s="262"/>
      <c r="F71" s="231" t="s">
        <v>73</v>
      </c>
      <c r="G71" s="261">
        <f>IF(F71="","",IFERROR(VLOOKUP(F71,'validation des champs'!A:B,2,FALSE),"vide"))</f>
        <v>101</v>
      </c>
      <c r="H71" s="261" t="s">
        <v>78</v>
      </c>
      <c r="I71" s="261">
        <f>IF(H71="","",IFERROR(VLOOKUP(H71,'validation des champs'!C:D,2,FALSE),"Mathieu 140"))</f>
        <v>118</v>
      </c>
      <c r="J71" s="263" t="s">
        <v>6</v>
      </c>
      <c r="K71" s="264">
        <v>45537</v>
      </c>
      <c r="L71" s="265">
        <v>75</v>
      </c>
      <c r="M71" s="266">
        <v>49</v>
      </c>
      <c r="N71" s="267">
        <v>0</v>
      </c>
      <c r="O71" s="266">
        <f>+N71*M71</f>
        <v>0</v>
      </c>
      <c r="P71" s="268">
        <f>+M71-O71</f>
        <v>49</v>
      </c>
      <c r="Q71" s="265">
        <v>75</v>
      </c>
      <c r="R71" s="266">
        <v>181</v>
      </c>
      <c r="S71" s="267">
        <v>0</v>
      </c>
      <c r="T71" s="266">
        <f t="shared" si="28"/>
        <v>0</v>
      </c>
      <c r="U71" s="269">
        <f t="shared" si="29"/>
        <v>181</v>
      </c>
      <c r="V71" s="270">
        <f t="shared" si="30"/>
        <v>150</v>
      </c>
      <c r="W71" s="230">
        <v>0</v>
      </c>
      <c r="X71" s="266">
        <v>0</v>
      </c>
      <c r="Y71" s="271">
        <v>1</v>
      </c>
      <c r="Z71" s="266">
        <f t="shared" si="31"/>
        <v>0</v>
      </c>
      <c r="AA71" s="268">
        <f t="shared" si="32"/>
        <v>0</v>
      </c>
      <c r="AB71" s="270">
        <f t="shared" si="33"/>
        <v>150</v>
      </c>
      <c r="AC71" s="272">
        <v>0</v>
      </c>
      <c r="AD71" s="266">
        <f t="shared" si="34"/>
        <v>0</v>
      </c>
      <c r="AE71" s="268">
        <f t="shared" si="35"/>
        <v>150</v>
      </c>
      <c r="AF71" s="273"/>
      <c r="AG71" s="231" t="s">
        <v>6</v>
      </c>
      <c r="AH71" s="274"/>
      <c r="AI71" s="231" t="s">
        <v>4</v>
      </c>
      <c r="AJ71" s="275"/>
      <c r="AK71" s="276" t="s">
        <v>4</v>
      </c>
      <c r="AL71" s="231" t="str">
        <f t="shared" si="36"/>
        <v>NON</v>
      </c>
      <c r="AM71" s="262" t="str">
        <f t="shared" si="37"/>
        <v>vendu</v>
      </c>
      <c r="AN71" s="242">
        <f t="shared" si="38"/>
        <v>2024</v>
      </c>
      <c r="AO71" s="122">
        <f t="shared" si="39"/>
        <v>36</v>
      </c>
      <c r="AP71" s="277"/>
      <c r="AQ71" s="262"/>
    </row>
    <row r="72" spans="1:43" ht="36.950000000000003" customHeight="1" x14ac:dyDescent="0.25">
      <c r="A72" s="211">
        <v>230429</v>
      </c>
      <c r="B72" s="232" t="s">
        <v>38</v>
      </c>
      <c r="C72" s="233">
        <v>1</v>
      </c>
      <c r="D72" s="211"/>
      <c r="E72" s="233"/>
      <c r="F72" s="211" t="s">
        <v>73</v>
      </c>
      <c r="G72" s="205">
        <f>IF(F72="","",IFERROR(VLOOKUP(F72,'validation des champs'!A:B,2,FALSE),"vide"))</f>
        <v>101</v>
      </c>
      <c r="H72" s="205" t="s">
        <v>79</v>
      </c>
      <c r="I72" s="205">
        <f>IF(H72="","",IFERROR(VLOOKUP(H72,'validation des champs'!C:D,2,FALSE),"Mathieu 140"))</f>
        <v>114</v>
      </c>
      <c r="J72" s="206">
        <v>15.11</v>
      </c>
      <c r="K72" s="393">
        <v>45544</v>
      </c>
      <c r="L72" s="227">
        <v>0</v>
      </c>
      <c r="M72" s="207">
        <v>0</v>
      </c>
      <c r="N72" s="208">
        <v>1</v>
      </c>
      <c r="O72" s="209">
        <f>+N72*M72</f>
        <v>0</v>
      </c>
      <c r="P72" s="235">
        <f>+M72-O72</f>
        <v>0</v>
      </c>
      <c r="Q72" s="243">
        <v>54.280999999999999</v>
      </c>
      <c r="R72" s="209">
        <v>0</v>
      </c>
      <c r="S72" s="208">
        <v>0</v>
      </c>
      <c r="T72" s="209">
        <f t="shared" si="28"/>
        <v>0</v>
      </c>
      <c r="U72" s="236">
        <f t="shared" si="29"/>
        <v>0</v>
      </c>
      <c r="V72" s="237">
        <f t="shared" si="30"/>
        <v>54.280999999999999</v>
      </c>
      <c r="W72" s="243">
        <v>4</v>
      </c>
      <c r="X72" s="209">
        <v>0</v>
      </c>
      <c r="Y72" s="210">
        <v>0</v>
      </c>
      <c r="Z72" s="209">
        <f t="shared" si="31"/>
        <v>0</v>
      </c>
      <c r="AA72" s="235">
        <f t="shared" si="32"/>
        <v>0</v>
      </c>
      <c r="AB72" s="237">
        <f t="shared" si="33"/>
        <v>58.280999999999999</v>
      </c>
      <c r="AC72" s="238">
        <v>0.4</v>
      </c>
      <c r="AD72" s="209">
        <f t="shared" si="34"/>
        <v>21.712400000000002</v>
      </c>
      <c r="AE72" s="235">
        <f t="shared" si="35"/>
        <v>32.568599999999996</v>
      </c>
      <c r="AF72" s="239"/>
      <c r="AG72" s="211" t="s">
        <v>6</v>
      </c>
      <c r="AH72" s="240"/>
      <c r="AI72" s="211" t="s">
        <v>4</v>
      </c>
      <c r="AJ72" s="258"/>
      <c r="AK72" s="241" t="s">
        <v>4</v>
      </c>
      <c r="AL72" s="211" t="str">
        <f t="shared" si="36"/>
        <v>NON</v>
      </c>
      <c r="AM72" s="233" t="str">
        <f t="shared" si="37"/>
        <v>vendu</v>
      </c>
      <c r="AN72" s="211">
        <f t="shared" si="38"/>
        <v>2024</v>
      </c>
      <c r="AO72" s="188">
        <f t="shared" si="39"/>
        <v>37</v>
      </c>
      <c r="AP72" s="205"/>
      <c r="AQ72" s="233"/>
    </row>
    <row r="73" spans="1:43" ht="36.950000000000003" customHeight="1" x14ac:dyDescent="0.25">
      <c r="A73" s="193">
        <v>200216</v>
      </c>
      <c r="B73" s="188" t="s">
        <v>373</v>
      </c>
      <c r="C73" s="194">
        <v>2</v>
      </c>
      <c r="D73" s="193" t="s">
        <v>223</v>
      </c>
      <c r="E73" s="194"/>
      <c r="F73" s="193" t="s">
        <v>194</v>
      </c>
      <c r="G73" s="188">
        <f>IF(F73="","",IFERROR(VLOOKUP(F73,'validation des champs'!A:B,2,FALSE),"vide"))</f>
        <v>124</v>
      </c>
      <c r="H73" s="188" t="s">
        <v>77</v>
      </c>
      <c r="I73" s="188">
        <f>IF(H73="","",IFERROR(VLOOKUP(H73,'validation des champs'!C:D,2,FALSE),"Mathieu 140"))</f>
        <v>146</v>
      </c>
      <c r="J73" s="190">
        <v>13</v>
      </c>
      <c r="K73" s="195">
        <v>45544</v>
      </c>
      <c r="L73" s="279">
        <v>23</v>
      </c>
      <c r="M73" s="192">
        <v>0</v>
      </c>
      <c r="N73" s="224">
        <v>0</v>
      </c>
      <c r="O73" s="192">
        <v>0</v>
      </c>
      <c r="P73" s="197">
        <v>0</v>
      </c>
      <c r="Q73" s="279">
        <v>23</v>
      </c>
      <c r="R73" s="192">
        <v>0</v>
      </c>
      <c r="S73" s="224">
        <v>0</v>
      </c>
      <c r="T73" s="192">
        <f t="shared" si="28"/>
        <v>0</v>
      </c>
      <c r="U73" s="198">
        <f t="shared" si="29"/>
        <v>0</v>
      </c>
      <c r="V73" s="199">
        <f t="shared" si="30"/>
        <v>46</v>
      </c>
      <c r="W73" s="279">
        <v>14.5</v>
      </c>
      <c r="X73" s="192">
        <v>0</v>
      </c>
      <c r="Y73" s="225">
        <v>0</v>
      </c>
      <c r="Z73" s="192">
        <f t="shared" si="31"/>
        <v>0</v>
      </c>
      <c r="AA73" s="197">
        <f t="shared" si="32"/>
        <v>0</v>
      </c>
      <c r="AB73" s="199">
        <f t="shared" si="33"/>
        <v>60.5</v>
      </c>
      <c r="AC73" s="278">
        <v>0</v>
      </c>
      <c r="AD73" s="192">
        <f t="shared" si="34"/>
        <v>0</v>
      </c>
      <c r="AE73" s="197">
        <f t="shared" si="35"/>
        <v>46</v>
      </c>
      <c r="AF73" s="200"/>
      <c r="AG73" s="193" t="s">
        <v>19</v>
      </c>
      <c r="AH73" s="201" t="s">
        <v>63</v>
      </c>
      <c r="AI73" s="193" t="s">
        <v>4</v>
      </c>
      <c r="AJ73" s="281"/>
      <c r="AK73" s="203" t="s">
        <v>4</v>
      </c>
      <c r="AL73" s="193" t="str">
        <f t="shared" si="36"/>
        <v>NON</v>
      </c>
      <c r="AM73" s="194" t="str">
        <f t="shared" si="37"/>
        <v>vendu</v>
      </c>
      <c r="AN73" s="193">
        <f t="shared" si="38"/>
        <v>2024</v>
      </c>
      <c r="AO73" s="188">
        <f t="shared" si="39"/>
        <v>37</v>
      </c>
      <c r="AP73" s="188">
        <v>46</v>
      </c>
      <c r="AQ73" s="194">
        <v>14.5</v>
      </c>
    </row>
    <row r="74" spans="1:43" ht="36.950000000000003" customHeight="1" x14ac:dyDescent="0.25">
      <c r="A74" s="80">
        <v>210211</v>
      </c>
      <c r="B74" s="64" t="s">
        <v>279</v>
      </c>
      <c r="C74" s="81">
        <v>4</v>
      </c>
      <c r="D74" s="80" t="s">
        <v>229</v>
      </c>
      <c r="E74" s="81"/>
      <c r="F74" s="80" t="s">
        <v>73</v>
      </c>
      <c r="G74" s="64">
        <f>IF(F74="","",IFERROR(VLOOKUP(F74,'validation des champs'!A:B,2,FALSE),"vide"))</f>
        <v>101</v>
      </c>
      <c r="H74" s="64" t="s">
        <v>78</v>
      </c>
      <c r="I74" s="64">
        <f>IF(H74="","",IFERROR(VLOOKUP(H74,'validation des champs'!C:D,2,FALSE),"Mathieu 140"))</f>
        <v>118</v>
      </c>
      <c r="J74" s="185" t="s">
        <v>6</v>
      </c>
      <c r="K74" s="86">
        <v>45544</v>
      </c>
      <c r="L74" s="96">
        <v>50</v>
      </c>
      <c r="M74" s="69">
        <v>49</v>
      </c>
      <c r="N74" s="70">
        <v>0</v>
      </c>
      <c r="O74" s="69">
        <f>+N74*M74</f>
        <v>0</v>
      </c>
      <c r="P74" s="89">
        <f>+M74-O74</f>
        <v>49</v>
      </c>
      <c r="Q74" s="96">
        <v>50</v>
      </c>
      <c r="R74" s="69">
        <v>181</v>
      </c>
      <c r="S74" s="70">
        <v>0</v>
      </c>
      <c r="T74" s="69">
        <f t="shared" si="28"/>
        <v>0</v>
      </c>
      <c r="U74" s="136">
        <f t="shared" si="29"/>
        <v>181</v>
      </c>
      <c r="V74" s="98">
        <f t="shared" si="30"/>
        <v>100</v>
      </c>
      <c r="W74" s="90">
        <v>0</v>
      </c>
      <c r="X74" s="69">
        <v>0</v>
      </c>
      <c r="Y74" s="77">
        <v>0</v>
      </c>
      <c r="Z74" s="69">
        <f t="shared" si="31"/>
        <v>0</v>
      </c>
      <c r="AA74" s="89">
        <f t="shared" si="32"/>
        <v>0</v>
      </c>
      <c r="AB74" s="98">
        <f t="shared" si="33"/>
        <v>100</v>
      </c>
      <c r="AC74" s="103">
        <v>0</v>
      </c>
      <c r="AD74" s="69">
        <f t="shared" si="34"/>
        <v>0</v>
      </c>
      <c r="AE74" s="89">
        <f t="shared" si="35"/>
        <v>100</v>
      </c>
      <c r="AF74" s="106"/>
      <c r="AG74" s="80" t="s">
        <v>6</v>
      </c>
      <c r="AH74" s="109"/>
      <c r="AI74" s="80" t="s">
        <v>4</v>
      </c>
      <c r="AJ74" s="112"/>
      <c r="AK74" s="116" t="s">
        <v>4</v>
      </c>
      <c r="AL74" s="80" t="str">
        <f t="shared" si="36"/>
        <v>NON</v>
      </c>
      <c r="AM74" s="81" t="str">
        <f t="shared" si="37"/>
        <v>vendu</v>
      </c>
      <c r="AN74" s="80">
        <f t="shared" si="38"/>
        <v>2024</v>
      </c>
      <c r="AO74" s="214">
        <f t="shared" si="39"/>
        <v>37</v>
      </c>
      <c r="AP74" s="64"/>
      <c r="AQ74" s="81"/>
    </row>
    <row r="75" spans="1:43" ht="36.950000000000003" customHeight="1" thickBot="1" x14ac:dyDescent="0.3">
      <c r="A75" s="226"/>
      <c r="B75" s="315" t="s">
        <v>264</v>
      </c>
      <c r="C75" s="245">
        <v>3</v>
      </c>
      <c r="D75" s="226"/>
      <c r="E75" s="245"/>
      <c r="F75" s="226" t="s">
        <v>70</v>
      </c>
      <c r="G75" s="214">
        <f>IF(F75="","",IFERROR(VLOOKUP(F75,'validation des champs'!A:B,2,FALSE),"vide"))</f>
        <v>116</v>
      </c>
      <c r="H75" s="214" t="s">
        <v>135</v>
      </c>
      <c r="I75" s="214">
        <f>IF(H75="","",IFERROR(VLOOKUP(H75,'validation des champs'!C:D,2,FALSE),"Mathieu 140"))</f>
        <v>147</v>
      </c>
      <c r="J75" s="215" t="s">
        <v>6</v>
      </c>
      <c r="K75" s="246">
        <v>45544</v>
      </c>
      <c r="L75" s="249">
        <v>31.5</v>
      </c>
      <c r="M75" s="216">
        <v>0</v>
      </c>
      <c r="N75" s="217">
        <v>0</v>
      </c>
      <c r="O75" s="216">
        <v>0</v>
      </c>
      <c r="P75" s="248">
        <v>0</v>
      </c>
      <c r="Q75" s="249">
        <v>31.5</v>
      </c>
      <c r="R75" s="216">
        <v>0</v>
      </c>
      <c r="S75" s="217">
        <v>0</v>
      </c>
      <c r="T75" s="216">
        <f t="shared" si="28"/>
        <v>0</v>
      </c>
      <c r="U75" s="250">
        <f t="shared" si="29"/>
        <v>0</v>
      </c>
      <c r="V75" s="251">
        <f t="shared" si="30"/>
        <v>63</v>
      </c>
      <c r="W75" s="247">
        <v>0</v>
      </c>
      <c r="X75" s="216">
        <v>0</v>
      </c>
      <c r="Y75" s="218">
        <v>1</v>
      </c>
      <c r="Z75" s="216">
        <f t="shared" si="31"/>
        <v>0</v>
      </c>
      <c r="AA75" s="248">
        <f t="shared" si="32"/>
        <v>0</v>
      </c>
      <c r="AB75" s="251">
        <f t="shared" si="33"/>
        <v>63</v>
      </c>
      <c r="AC75" s="252">
        <v>0</v>
      </c>
      <c r="AD75" s="216">
        <f t="shared" si="34"/>
        <v>0</v>
      </c>
      <c r="AE75" s="248">
        <f t="shared" si="35"/>
        <v>63</v>
      </c>
      <c r="AF75" s="253"/>
      <c r="AG75" s="226"/>
      <c r="AH75" s="254"/>
      <c r="AI75" s="226"/>
      <c r="AJ75" s="259"/>
      <c r="AK75" s="255"/>
      <c r="AL75" s="226" t="str">
        <f t="shared" si="36"/>
        <v>NON</v>
      </c>
      <c r="AM75" s="245" t="str">
        <f t="shared" si="37"/>
        <v>incertain</v>
      </c>
      <c r="AN75" s="229">
        <f t="shared" si="38"/>
        <v>2024</v>
      </c>
      <c r="AO75" s="204">
        <f t="shared" si="39"/>
        <v>37</v>
      </c>
      <c r="AP75" s="212"/>
      <c r="AQ75" s="245"/>
    </row>
    <row r="76" spans="1:43" ht="36.950000000000003" customHeight="1" x14ac:dyDescent="0.25">
      <c r="A76" s="211">
        <v>240008</v>
      </c>
      <c r="B76" s="205" t="s">
        <v>345</v>
      </c>
      <c r="C76" s="233">
        <v>2</v>
      </c>
      <c r="D76" s="211" t="s">
        <v>219</v>
      </c>
      <c r="E76" s="233"/>
      <c r="F76" s="211" t="s">
        <v>74</v>
      </c>
      <c r="G76" s="205">
        <f>IF(F76="","",IFERROR(VLOOKUP(F76,'validation des champs'!A:B,2,FALSE),"vide"))</f>
        <v>131</v>
      </c>
      <c r="H76" s="205"/>
      <c r="I76" s="205" t="str">
        <f>IF(H76="","",IFERROR(VLOOKUP(H76,'validation des champs'!C:D,2,FALSE),"Mathieu 140"))</f>
        <v/>
      </c>
      <c r="J76" s="206">
        <v>26.1</v>
      </c>
      <c r="K76" s="234">
        <v>45551</v>
      </c>
      <c r="L76" s="243">
        <f>81.8/2</f>
        <v>40.9</v>
      </c>
      <c r="M76" s="209">
        <v>0</v>
      </c>
      <c r="N76" s="208">
        <v>0</v>
      </c>
      <c r="O76" s="209">
        <v>0</v>
      </c>
      <c r="P76" s="235">
        <v>0</v>
      </c>
      <c r="Q76" s="243">
        <v>40.9</v>
      </c>
      <c r="R76" s="209">
        <v>0</v>
      </c>
      <c r="S76" s="208">
        <v>0</v>
      </c>
      <c r="T76" s="209">
        <f t="shared" si="28"/>
        <v>0</v>
      </c>
      <c r="U76" s="236">
        <f t="shared" si="29"/>
        <v>0</v>
      </c>
      <c r="V76" s="237">
        <f t="shared" si="30"/>
        <v>81.8</v>
      </c>
      <c r="W76" s="243">
        <f>16.6/2</f>
        <v>8.3000000000000007</v>
      </c>
      <c r="X76" s="209">
        <v>0</v>
      </c>
      <c r="Y76" s="210">
        <v>0</v>
      </c>
      <c r="Z76" s="209">
        <f t="shared" si="31"/>
        <v>0</v>
      </c>
      <c r="AA76" s="235">
        <f t="shared" si="32"/>
        <v>0</v>
      </c>
      <c r="AB76" s="237">
        <f t="shared" si="33"/>
        <v>90.1</v>
      </c>
      <c r="AC76" s="238">
        <v>0</v>
      </c>
      <c r="AD76" s="209">
        <f t="shared" si="34"/>
        <v>0</v>
      </c>
      <c r="AE76" s="235">
        <f t="shared" si="35"/>
        <v>81.8</v>
      </c>
      <c r="AF76" s="239"/>
      <c r="AG76" s="211" t="s">
        <v>87</v>
      </c>
      <c r="AH76" s="240"/>
      <c r="AI76" s="211" t="s">
        <v>4</v>
      </c>
      <c r="AJ76" s="258"/>
      <c r="AK76" s="241" t="s">
        <v>4</v>
      </c>
      <c r="AL76" s="211" t="str">
        <f t="shared" si="36"/>
        <v>NON</v>
      </c>
      <c r="AM76" s="233" t="str">
        <f t="shared" si="37"/>
        <v>vendu</v>
      </c>
      <c r="AN76" s="211">
        <f t="shared" si="38"/>
        <v>2024</v>
      </c>
      <c r="AO76" s="188">
        <f t="shared" si="39"/>
        <v>38</v>
      </c>
      <c r="AP76" s="205"/>
      <c r="AQ76" s="233"/>
    </row>
    <row r="77" spans="1:43" ht="36.950000000000003" customHeight="1" x14ac:dyDescent="0.25">
      <c r="A77" s="193">
        <v>230422</v>
      </c>
      <c r="B77" s="188" t="s">
        <v>303</v>
      </c>
      <c r="C77" s="194">
        <v>3</v>
      </c>
      <c r="D77" s="193" t="s">
        <v>308</v>
      </c>
      <c r="E77" s="194"/>
      <c r="F77" s="193" t="s">
        <v>73</v>
      </c>
      <c r="G77" s="188">
        <f>IF(F77="","",IFERROR(VLOOKUP(F77,'validation des champs'!A:B,2,FALSE),"vide"))</f>
        <v>101</v>
      </c>
      <c r="H77" s="188" t="s">
        <v>135</v>
      </c>
      <c r="I77" s="188">
        <f>IF(H77="","",IFERROR(VLOOKUP(H77,'validation des champs'!C:D,2,FALSE),"Mathieu 140"))</f>
        <v>147</v>
      </c>
      <c r="J77" s="190">
        <v>30</v>
      </c>
      <c r="K77" s="352">
        <v>45551</v>
      </c>
      <c r="L77" s="279">
        <f>113.333/2</f>
        <v>56.666499999999999</v>
      </c>
      <c r="M77" s="192">
        <v>0</v>
      </c>
      <c r="N77" s="224">
        <v>0</v>
      </c>
      <c r="O77" s="192">
        <v>0</v>
      </c>
      <c r="P77" s="197">
        <v>0</v>
      </c>
      <c r="Q77" s="279">
        <v>56.667000000000002</v>
      </c>
      <c r="R77" s="192">
        <v>0</v>
      </c>
      <c r="S77" s="224">
        <v>0</v>
      </c>
      <c r="T77" s="192">
        <f t="shared" si="28"/>
        <v>0</v>
      </c>
      <c r="U77" s="198">
        <f t="shared" si="29"/>
        <v>0</v>
      </c>
      <c r="V77" s="199">
        <f t="shared" si="30"/>
        <v>113.3335</v>
      </c>
      <c r="W77" s="279">
        <v>2</v>
      </c>
      <c r="X77" s="192">
        <v>0</v>
      </c>
      <c r="Y77" s="225">
        <v>0</v>
      </c>
      <c r="Z77" s="192">
        <f t="shared" si="31"/>
        <v>0</v>
      </c>
      <c r="AA77" s="197">
        <f t="shared" si="32"/>
        <v>0</v>
      </c>
      <c r="AB77" s="199">
        <f t="shared" si="33"/>
        <v>115.3335</v>
      </c>
      <c r="AC77" s="278">
        <v>0</v>
      </c>
      <c r="AD77" s="192">
        <f t="shared" si="34"/>
        <v>0</v>
      </c>
      <c r="AE77" s="197">
        <f t="shared" si="35"/>
        <v>113.3335</v>
      </c>
      <c r="AF77" s="200"/>
      <c r="AG77" s="193" t="s">
        <v>87</v>
      </c>
      <c r="AH77" s="201"/>
      <c r="AI77" s="193" t="s">
        <v>4</v>
      </c>
      <c r="AJ77" s="281"/>
      <c r="AK77" s="203" t="s">
        <v>4</v>
      </c>
      <c r="AL77" s="193" t="str">
        <f t="shared" si="36"/>
        <v>NON</v>
      </c>
      <c r="AM77" s="194" t="str">
        <f t="shared" si="37"/>
        <v>vendu</v>
      </c>
      <c r="AN77" s="193">
        <f t="shared" si="38"/>
        <v>2024</v>
      </c>
      <c r="AO77" s="188">
        <f t="shared" si="39"/>
        <v>38</v>
      </c>
      <c r="AP77" s="188"/>
      <c r="AQ77" s="194"/>
    </row>
    <row r="78" spans="1:43" ht="36.950000000000003" customHeight="1" x14ac:dyDescent="0.25">
      <c r="A78" s="80">
        <v>230078</v>
      </c>
      <c r="B78" s="64" t="s">
        <v>113</v>
      </c>
      <c r="C78" s="81">
        <v>1</v>
      </c>
      <c r="D78" s="80"/>
      <c r="E78" s="81"/>
      <c r="F78" s="80" t="s">
        <v>72</v>
      </c>
      <c r="G78" s="64">
        <f>IF(F78="","",IFERROR(VLOOKUP(F78,'validation des champs'!A:B,2,FALSE),"vide"))</f>
        <v>117</v>
      </c>
      <c r="H78" s="64"/>
      <c r="I78" s="64" t="str">
        <f>IF(H78="","",IFERROR(VLOOKUP(H78,'validation des champs'!C:D,2,FALSE),"Mathieu 140"))</f>
        <v/>
      </c>
      <c r="J78" s="185" t="s">
        <v>6</v>
      </c>
      <c r="K78" s="86">
        <v>45551</v>
      </c>
      <c r="L78" s="96">
        <f>73.5/2</f>
        <v>36.75</v>
      </c>
      <c r="M78" s="69">
        <v>0</v>
      </c>
      <c r="N78" s="70">
        <v>0</v>
      </c>
      <c r="O78" s="69">
        <v>0</v>
      </c>
      <c r="P78" s="89">
        <v>0</v>
      </c>
      <c r="Q78" s="96">
        <f>73.5/2</f>
        <v>36.75</v>
      </c>
      <c r="R78" s="69">
        <v>0</v>
      </c>
      <c r="S78" s="70">
        <v>0</v>
      </c>
      <c r="T78" s="69">
        <f t="shared" si="28"/>
        <v>0</v>
      </c>
      <c r="U78" s="136">
        <f t="shared" si="29"/>
        <v>0</v>
      </c>
      <c r="V78" s="98">
        <f t="shared" si="30"/>
        <v>73.5</v>
      </c>
      <c r="W78" s="90">
        <v>0</v>
      </c>
      <c r="X78" s="69">
        <v>0</v>
      </c>
      <c r="Y78" s="77">
        <v>1</v>
      </c>
      <c r="Z78" s="69">
        <f t="shared" si="31"/>
        <v>0</v>
      </c>
      <c r="AA78" s="89">
        <f t="shared" si="32"/>
        <v>0</v>
      </c>
      <c r="AB78" s="98">
        <f t="shared" si="33"/>
        <v>73.5</v>
      </c>
      <c r="AC78" s="103">
        <v>0</v>
      </c>
      <c r="AD78" s="69">
        <f t="shared" si="34"/>
        <v>0</v>
      </c>
      <c r="AE78" s="89">
        <f t="shared" si="35"/>
        <v>73.5</v>
      </c>
      <c r="AF78" s="106"/>
      <c r="AG78" s="80" t="s">
        <v>64</v>
      </c>
      <c r="AH78" s="109" t="s">
        <v>63</v>
      </c>
      <c r="AI78" s="80" t="s">
        <v>4</v>
      </c>
      <c r="AJ78" s="112"/>
      <c r="AK78" s="116" t="s">
        <v>4</v>
      </c>
      <c r="AL78" s="80" t="str">
        <f t="shared" si="36"/>
        <v>NON</v>
      </c>
      <c r="AM78" s="81" t="str">
        <f t="shared" si="37"/>
        <v>vendu</v>
      </c>
      <c r="AN78" s="80">
        <f t="shared" si="38"/>
        <v>2024</v>
      </c>
      <c r="AO78" s="214">
        <f t="shared" si="39"/>
        <v>38</v>
      </c>
      <c r="AP78" s="64"/>
      <c r="AQ78" s="81"/>
    </row>
    <row r="79" spans="1:43" ht="36.950000000000003" customHeight="1" thickBot="1" x14ac:dyDescent="0.3">
      <c r="A79" s="226">
        <v>210211</v>
      </c>
      <c r="B79" s="214" t="s">
        <v>280</v>
      </c>
      <c r="C79" s="245">
        <v>4</v>
      </c>
      <c r="D79" s="226" t="s">
        <v>229</v>
      </c>
      <c r="E79" s="245"/>
      <c r="F79" s="226" t="s">
        <v>73</v>
      </c>
      <c r="G79" s="214">
        <f>IF(F79="","",IFERROR(VLOOKUP(F79,'validation des champs'!A:B,2,FALSE),"vide"))</f>
        <v>101</v>
      </c>
      <c r="H79" s="214" t="s">
        <v>78</v>
      </c>
      <c r="I79" s="214">
        <f>IF(H79="","",IFERROR(VLOOKUP(H79,'validation des champs'!C:D,2,FALSE),"Mathieu 140"))</f>
        <v>118</v>
      </c>
      <c r="J79" s="215" t="s">
        <v>6</v>
      </c>
      <c r="K79" s="246">
        <v>45551</v>
      </c>
      <c r="L79" s="249">
        <v>50</v>
      </c>
      <c r="M79" s="216">
        <v>49</v>
      </c>
      <c r="N79" s="217">
        <v>0</v>
      </c>
      <c r="O79" s="216">
        <f>+N79*M79</f>
        <v>0</v>
      </c>
      <c r="P79" s="248">
        <f>+M79-O79</f>
        <v>49</v>
      </c>
      <c r="Q79" s="249">
        <v>50</v>
      </c>
      <c r="R79" s="216">
        <v>181</v>
      </c>
      <c r="S79" s="217">
        <v>0</v>
      </c>
      <c r="T79" s="216">
        <f t="shared" si="28"/>
        <v>0</v>
      </c>
      <c r="U79" s="250">
        <f t="shared" si="29"/>
        <v>181</v>
      </c>
      <c r="V79" s="251">
        <f t="shared" si="30"/>
        <v>100</v>
      </c>
      <c r="W79" s="426">
        <v>0</v>
      </c>
      <c r="X79" s="216">
        <v>0</v>
      </c>
      <c r="Y79" s="218">
        <v>1</v>
      </c>
      <c r="Z79" s="216">
        <f t="shared" si="31"/>
        <v>0</v>
      </c>
      <c r="AA79" s="248">
        <f t="shared" si="32"/>
        <v>0</v>
      </c>
      <c r="AB79" s="251">
        <f t="shared" si="33"/>
        <v>100</v>
      </c>
      <c r="AC79" s="252">
        <v>0</v>
      </c>
      <c r="AD79" s="216">
        <f t="shared" si="34"/>
        <v>0</v>
      </c>
      <c r="AE79" s="248">
        <f t="shared" si="35"/>
        <v>100</v>
      </c>
      <c r="AF79" s="253"/>
      <c r="AG79" s="226" t="s">
        <v>6</v>
      </c>
      <c r="AH79" s="254"/>
      <c r="AI79" s="226" t="s">
        <v>4</v>
      </c>
      <c r="AJ79" s="259"/>
      <c r="AK79" s="255" t="s">
        <v>4</v>
      </c>
      <c r="AL79" s="226" t="str">
        <f t="shared" si="36"/>
        <v>NON</v>
      </c>
      <c r="AM79" s="245" t="str">
        <f t="shared" si="37"/>
        <v>vendu</v>
      </c>
      <c r="AN79" s="229">
        <f t="shared" si="38"/>
        <v>2024</v>
      </c>
      <c r="AO79" s="204">
        <f t="shared" si="39"/>
        <v>38</v>
      </c>
      <c r="AP79" s="212"/>
      <c r="AQ79" s="245"/>
    </row>
    <row r="80" spans="1:43" ht="36.950000000000003" customHeight="1" x14ac:dyDescent="0.25">
      <c r="A80" s="211">
        <v>240008</v>
      </c>
      <c r="B80" s="205" t="s">
        <v>346</v>
      </c>
      <c r="C80" s="233">
        <v>2</v>
      </c>
      <c r="D80" s="211" t="s">
        <v>219</v>
      </c>
      <c r="E80" s="233"/>
      <c r="F80" s="211" t="s">
        <v>74</v>
      </c>
      <c r="G80" s="205">
        <f>IF(F80="","",IFERROR(VLOOKUP(F80,'validation des champs'!A:B,2,FALSE),"vide"))</f>
        <v>131</v>
      </c>
      <c r="H80" s="205"/>
      <c r="I80" s="205" t="str">
        <f>IF(H80="","",IFERROR(VLOOKUP(H80,'validation des champs'!C:D,2,FALSE),"Mathieu 140"))</f>
        <v/>
      </c>
      <c r="J80" s="206">
        <v>26.1</v>
      </c>
      <c r="K80" s="234">
        <v>45558</v>
      </c>
      <c r="L80" s="243">
        <v>40.9</v>
      </c>
      <c r="M80" s="209">
        <v>0</v>
      </c>
      <c r="N80" s="208">
        <v>0</v>
      </c>
      <c r="O80" s="209">
        <v>0</v>
      </c>
      <c r="P80" s="235">
        <v>0</v>
      </c>
      <c r="Q80" s="243">
        <v>40.9</v>
      </c>
      <c r="R80" s="209">
        <v>0</v>
      </c>
      <c r="S80" s="208">
        <v>0</v>
      </c>
      <c r="T80" s="209">
        <f t="shared" si="28"/>
        <v>0</v>
      </c>
      <c r="U80" s="236">
        <f t="shared" si="29"/>
        <v>0</v>
      </c>
      <c r="V80" s="237">
        <f t="shared" si="30"/>
        <v>81.8</v>
      </c>
      <c r="W80" s="243">
        <v>8.3000000000000007</v>
      </c>
      <c r="X80" s="209">
        <v>0</v>
      </c>
      <c r="Y80" s="210">
        <v>0</v>
      </c>
      <c r="Z80" s="209">
        <f t="shared" si="31"/>
        <v>0</v>
      </c>
      <c r="AA80" s="235">
        <f t="shared" si="32"/>
        <v>0</v>
      </c>
      <c r="AB80" s="237">
        <f t="shared" si="33"/>
        <v>90.1</v>
      </c>
      <c r="AC80" s="238">
        <v>0</v>
      </c>
      <c r="AD80" s="209">
        <f t="shared" si="34"/>
        <v>0</v>
      </c>
      <c r="AE80" s="235">
        <f t="shared" si="35"/>
        <v>81.8</v>
      </c>
      <c r="AF80" s="239"/>
      <c r="AG80" s="211" t="s">
        <v>87</v>
      </c>
      <c r="AH80" s="240"/>
      <c r="AI80" s="211" t="s">
        <v>4</v>
      </c>
      <c r="AJ80" s="258"/>
      <c r="AK80" s="241" t="s">
        <v>4</v>
      </c>
      <c r="AL80" s="211" t="str">
        <f t="shared" si="36"/>
        <v>NON</v>
      </c>
      <c r="AM80" s="233" t="str">
        <f t="shared" si="37"/>
        <v>vendu</v>
      </c>
      <c r="AN80" s="211">
        <f t="shared" si="38"/>
        <v>2024</v>
      </c>
      <c r="AO80" s="219">
        <f t="shared" si="39"/>
        <v>39</v>
      </c>
      <c r="AP80" s="205"/>
      <c r="AQ80" s="233"/>
    </row>
    <row r="81" spans="1:43" ht="36.950000000000003" customHeight="1" thickBot="1" x14ac:dyDescent="0.3">
      <c r="A81" s="283">
        <v>210211</v>
      </c>
      <c r="B81" s="219" t="s">
        <v>282</v>
      </c>
      <c r="C81" s="284">
        <v>4</v>
      </c>
      <c r="D81" s="283" t="s">
        <v>229</v>
      </c>
      <c r="E81" s="284"/>
      <c r="F81" s="283" t="s">
        <v>73</v>
      </c>
      <c r="G81" s="219">
        <f>IF(F81="","",IFERROR(VLOOKUP(F81,'validation des champs'!A:B,2,FALSE),"vide"))</f>
        <v>101</v>
      </c>
      <c r="H81" s="219" t="s">
        <v>78</v>
      </c>
      <c r="I81" s="219">
        <f>IF(H81="","",IFERROR(VLOOKUP(H81,'validation des champs'!C:D,2,FALSE),"Mathieu 140"))</f>
        <v>118</v>
      </c>
      <c r="J81" s="220" t="s">
        <v>6</v>
      </c>
      <c r="K81" s="291">
        <v>45558</v>
      </c>
      <c r="L81" s="285">
        <v>45</v>
      </c>
      <c r="M81" s="221">
        <v>49</v>
      </c>
      <c r="N81" s="222">
        <v>0</v>
      </c>
      <c r="O81" s="221">
        <f>+N81*M81</f>
        <v>0</v>
      </c>
      <c r="P81" s="286">
        <f>+M81-O81</f>
        <v>49</v>
      </c>
      <c r="Q81" s="285">
        <v>46</v>
      </c>
      <c r="R81" s="221">
        <v>181</v>
      </c>
      <c r="S81" s="222">
        <v>0</v>
      </c>
      <c r="T81" s="221">
        <f t="shared" si="28"/>
        <v>0</v>
      </c>
      <c r="U81" s="287">
        <f t="shared" si="29"/>
        <v>181</v>
      </c>
      <c r="V81" s="62">
        <f t="shared" si="30"/>
        <v>91</v>
      </c>
      <c r="W81" s="292">
        <v>0</v>
      </c>
      <c r="X81" s="221">
        <v>0</v>
      </c>
      <c r="Y81" s="223">
        <v>1</v>
      </c>
      <c r="Z81" s="221">
        <f t="shared" si="31"/>
        <v>0</v>
      </c>
      <c r="AA81" s="286">
        <f t="shared" si="32"/>
        <v>0</v>
      </c>
      <c r="AB81" s="62">
        <f t="shared" si="33"/>
        <v>91</v>
      </c>
      <c r="AC81" s="288">
        <v>0</v>
      </c>
      <c r="AD81" s="221">
        <f t="shared" si="34"/>
        <v>0</v>
      </c>
      <c r="AE81" s="286">
        <f t="shared" si="35"/>
        <v>91</v>
      </c>
      <c r="AG81" s="283" t="s">
        <v>6</v>
      </c>
      <c r="AH81" s="289"/>
      <c r="AI81" s="283" t="s">
        <v>4</v>
      </c>
      <c r="AJ81" s="290"/>
      <c r="AK81" s="8" t="s">
        <v>4</v>
      </c>
      <c r="AL81" s="283" t="str">
        <f t="shared" si="36"/>
        <v>NON</v>
      </c>
      <c r="AM81" s="284" t="str">
        <f t="shared" si="37"/>
        <v>vendu</v>
      </c>
      <c r="AN81" s="3">
        <f t="shared" si="38"/>
        <v>2024</v>
      </c>
      <c r="AO81" s="204">
        <f t="shared" si="39"/>
        <v>39</v>
      </c>
      <c r="AP81" s="213"/>
      <c r="AQ81" s="284"/>
    </row>
    <row r="82" spans="1:43" ht="36.950000000000003" customHeight="1" x14ac:dyDescent="0.25">
      <c r="A82" s="211">
        <v>230422</v>
      </c>
      <c r="B82" s="205" t="s">
        <v>304</v>
      </c>
      <c r="C82" s="233">
        <v>3</v>
      </c>
      <c r="D82" s="211" t="s">
        <v>308</v>
      </c>
      <c r="E82" s="233"/>
      <c r="F82" s="211" t="s">
        <v>73</v>
      </c>
      <c r="G82" s="205">
        <f>IF(F82="","",IFERROR(VLOOKUP(F82,'validation des champs'!A:B,2,FALSE),"vide"))</f>
        <v>101</v>
      </c>
      <c r="H82" s="205" t="s">
        <v>135</v>
      </c>
      <c r="I82" s="205">
        <f>IF(H82="","",IFERROR(VLOOKUP(H82,'validation des champs'!C:D,2,FALSE),"Mathieu 140"))</f>
        <v>147</v>
      </c>
      <c r="J82" s="206">
        <v>30</v>
      </c>
      <c r="K82" s="393">
        <v>45565</v>
      </c>
      <c r="L82" s="243">
        <f>113.333/2</f>
        <v>56.666499999999999</v>
      </c>
      <c r="M82" s="209">
        <v>0</v>
      </c>
      <c r="N82" s="208">
        <v>0</v>
      </c>
      <c r="O82" s="209">
        <v>0</v>
      </c>
      <c r="P82" s="235">
        <v>0</v>
      </c>
      <c r="Q82" s="243">
        <v>56.667000000000002</v>
      </c>
      <c r="R82" s="209">
        <v>0</v>
      </c>
      <c r="S82" s="208">
        <v>0</v>
      </c>
      <c r="T82" s="209">
        <f t="shared" si="28"/>
        <v>0</v>
      </c>
      <c r="U82" s="236">
        <f t="shared" si="29"/>
        <v>0</v>
      </c>
      <c r="V82" s="237">
        <f t="shared" si="30"/>
        <v>113.3335</v>
      </c>
      <c r="W82" s="227">
        <v>0</v>
      </c>
      <c r="X82" s="209">
        <v>0</v>
      </c>
      <c r="Y82" s="210">
        <v>1</v>
      </c>
      <c r="Z82" s="209">
        <f t="shared" si="31"/>
        <v>0</v>
      </c>
      <c r="AA82" s="235">
        <f t="shared" si="32"/>
        <v>0</v>
      </c>
      <c r="AB82" s="237">
        <f t="shared" si="33"/>
        <v>113.3335</v>
      </c>
      <c r="AC82" s="238">
        <v>0</v>
      </c>
      <c r="AD82" s="209">
        <f t="shared" si="34"/>
        <v>0</v>
      </c>
      <c r="AE82" s="235">
        <f t="shared" si="35"/>
        <v>113.3335</v>
      </c>
      <c r="AF82" s="239"/>
      <c r="AG82" s="211" t="s">
        <v>87</v>
      </c>
      <c r="AH82" s="240"/>
      <c r="AI82" s="211" t="s">
        <v>4</v>
      </c>
      <c r="AJ82" s="258"/>
      <c r="AK82" s="241" t="s">
        <v>4</v>
      </c>
      <c r="AL82" s="211" t="str">
        <f t="shared" si="36"/>
        <v>NON</v>
      </c>
      <c r="AM82" s="233" t="str">
        <f t="shared" si="37"/>
        <v>vendu</v>
      </c>
      <c r="AN82" s="211">
        <f t="shared" si="38"/>
        <v>2024</v>
      </c>
      <c r="AO82" s="188">
        <f t="shared" si="39"/>
        <v>40</v>
      </c>
      <c r="AP82" s="205"/>
      <c r="AQ82" s="233"/>
    </row>
    <row r="83" spans="1:43" ht="36.950000000000003" customHeight="1" x14ac:dyDescent="0.25">
      <c r="A83" s="193">
        <v>230226</v>
      </c>
      <c r="B83" s="188" t="s">
        <v>45</v>
      </c>
      <c r="C83" s="194">
        <v>1</v>
      </c>
      <c r="D83" s="193"/>
      <c r="E83" s="194"/>
      <c r="F83" s="193" t="s">
        <v>71</v>
      </c>
      <c r="G83" s="188">
        <f>IF(F83="","",IFERROR(VLOOKUP(F83,'validation des champs'!A:B,2,FALSE),"vide"))</f>
        <v>135</v>
      </c>
      <c r="H83" s="188"/>
      <c r="I83" s="188" t="str">
        <f>IF(H83="","",IFERROR(VLOOKUP(H83,'validation des champs'!C:D,2,FALSE),"Mathieu 140"))</f>
        <v/>
      </c>
      <c r="J83" s="190">
        <v>13</v>
      </c>
      <c r="K83" s="195">
        <v>45565</v>
      </c>
      <c r="L83" s="279">
        <v>17.25</v>
      </c>
      <c r="M83" s="192">
        <v>0</v>
      </c>
      <c r="N83" s="224">
        <v>0</v>
      </c>
      <c r="O83" s="192">
        <f>+N83*M83</f>
        <v>0</v>
      </c>
      <c r="P83" s="197">
        <f>+M83-O83</f>
        <v>0</v>
      </c>
      <c r="Q83" s="279">
        <v>17.25</v>
      </c>
      <c r="R83" s="192">
        <v>0</v>
      </c>
      <c r="S83" s="224">
        <v>0</v>
      </c>
      <c r="T83" s="192">
        <f t="shared" si="28"/>
        <v>0</v>
      </c>
      <c r="U83" s="198">
        <f t="shared" si="29"/>
        <v>0</v>
      </c>
      <c r="V83" s="199">
        <f t="shared" si="30"/>
        <v>34.5</v>
      </c>
      <c r="W83" s="280">
        <v>1</v>
      </c>
      <c r="X83" s="192">
        <v>0</v>
      </c>
      <c r="Y83" s="225">
        <v>0</v>
      </c>
      <c r="Z83" s="192">
        <f t="shared" si="31"/>
        <v>0</v>
      </c>
      <c r="AA83" s="197">
        <f t="shared" si="32"/>
        <v>0</v>
      </c>
      <c r="AB83" s="199">
        <f t="shared" si="33"/>
        <v>35.5</v>
      </c>
      <c r="AC83" s="278">
        <v>0</v>
      </c>
      <c r="AD83" s="192">
        <f t="shared" si="34"/>
        <v>0</v>
      </c>
      <c r="AE83" s="197">
        <f t="shared" si="35"/>
        <v>34.5</v>
      </c>
      <c r="AF83" s="200"/>
      <c r="AG83" s="193" t="s">
        <v>6</v>
      </c>
      <c r="AH83" s="201"/>
      <c r="AI83" s="193" t="s">
        <v>63</v>
      </c>
      <c r="AJ83" s="281"/>
      <c r="AK83" s="203" t="s">
        <v>65</v>
      </c>
      <c r="AL83" s="193" t="str">
        <f t="shared" si="36"/>
        <v>NON</v>
      </c>
      <c r="AM83" s="194" t="str">
        <f t="shared" si="37"/>
        <v>vendu</v>
      </c>
      <c r="AN83" s="193">
        <f t="shared" si="38"/>
        <v>2024</v>
      </c>
      <c r="AO83" s="188">
        <f t="shared" si="39"/>
        <v>40</v>
      </c>
      <c r="AP83" s="188"/>
      <c r="AQ83" s="194"/>
    </row>
    <row r="84" spans="1:43" ht="36.950000000000003" customHeight="1" x14ac:dyDescent="0.25">
      <c r="A84" s="80"/>
      <c r="B84" s="397" t="s">
        <v>268</v>
      </c>
      <c r="C84" s="81">
        <v>3</v>
      </c>
      <c r="D84" s="80"/>
      <c r="E84" s="81"/>
      <c r="F84" s="80" t="s">
        <v>70</v>
      </c>
      <c r="G84" s="64">
        <f>IF(F84="","",IFERROR(VLOOKUP(F84,'validation des champs'!A:B,2,FALSE),"vide"))</f>
        <v>116</v>
      </c>
      <c r="H84" s="64" t="s">
        <v>135</v>
      </c>
      <c r="I84" s="64">
        <f>IF(H84="","",IFERROR(VLOOKUP(H84,'validation des champs'!C:D,2,FALSE),"Mathieu 140"))</f>
        <v>147</v>
      </c>
      <c r="J84" s="185" t="s">
        <v>6</v>
      </c>
      <c r="K84" s="86">
        <v>45565</v>
      </c>
      <c r="L84" s="96">
        <v>31.5</v>
      </c>
      <c r="M84" s="69">
        <v>0</v>
      </c>
      <c r="N84" s="70">
        <v>0</v>
      </c>
      <c r="O84" s="69">
        <v>0</v>
      </c>
      <c r="P84" s="89">
        <v>0</v>
      </c>
      <c r="Q84" s="96">
        <v>31.5</v>
      </c>
      <c r="R84" s="69">
        <v>0</v>
      </c>
      <c r="S84" s="70">
        <v>0</v>
      </c>
      <c r="T84" s="69">
        <f t="shared" si="28"/>
        <v>0</v>
      </c>
      <c r="U84" s="136">
        <f t="shared" si="29"/>
        <v>0</v>
      </c>
      <c r="V84" s="98">
        <f t="shared" si="30"/>
        <v>63</v>
      </c>
      <c r="W84" s="90">
        <v>0</v>
      </c>
      <c r="X84" s="69">
        <v>0</v>
      </c>
      <c r="Y84" s="77">
        <v>1</v>
      </c>
      <c r="Z84" s="69">
        <f t="shared" si="31"/>
        <v>0</v>
      </c>
      <c r="AA84" s="89">
        <f t="shared" si="32"/>
        <v>0</v>
      </c>
      <c r="AB84" s="98">
        <f t="shared" si="33"/>
        <v>63</v>
      </c>
      <c r="AC84" s="103">
        <v>0</v>
      </c>
      <c r="AD84" s="69">
        <f t="shared" si="34"/>
        <v>0</v>
      </c>
      <c r="AE84" s="89">
        <f t="shared" si="35"/>
        <v>63</v>
      </c>
      <c r="AF84" s="106"/>
      <c r="AG84" s="80"/>
      <c r="AH84" s="109"/>
      <c r="AI84" s="80"/>
      <c r="AJ84" s="112"/>
      <c r="AK84" s="116"/>
      <c r="AL84" s="80" t="str">
        <f t="shared" si="36"/>
        <v>NON</v>
      </c>
      <c r="AM84" s="81" t="str">
        <f t="shared" si="37"/>
        <v>incertain</v>
      </c>
      <c r="AN84" s="80">
        <f t="shared" si="38"/>
        <v>2024</v>
      </c>
      <c r="AO84" s="64">
        <f t="shared" si="39"/>
        <v>40</v>
      </c>
      <c r="AP84" s="64"/>
      <c r="AQ84" s="81"/>
    </row>
    <row r="85" spans="1:43" ht="36.950000000000003" customHeight="1" x14ac:dyDescent="0.25">
      <c r="A85" s="80">
        <v>220446</v>
      </c>
      <c r="B85" s="64" t="s">
        <v>263</v>
      </c>
      <c r="C85" s="81">
        <v>2</v>
      </c>
      <c r="D85" s="80" t="s">
        <v>226</v>
      </c>
      <c r="E85" s="81"/>
      <c r="F85" s="80" t="s">
        <v>72</v>
      </c>
      <c r="G85" s="64">
        <f>IF(F85="","",IFERROR(VLOOKUP(F85,'validation des champs'!A:B,2,FALSE),"vide"))</f>
        <v>117</v>
      </c>
      <c r="H85" s="64" t="s">
        <v>75</v>
      </c>
      <c r="I85" s="64">
        <f>IF(H85="","",IFERROR(VLOOKUP(H85,'validation des champs'!C:D,2,FALSE),"Mathieu 140"))</f>
        <v>126</v>
      </c>
      <c r="J85" s="185">
        <v>38</v>
      </c>
      <c r="K85" s="86">
        <v>45565</v>
      </c>
      <c r="L85" s="96">
        <v>63</v>
      </c>
      <c r="M85" s="69">
        <v>0</v>
      </c>
      <c r="N85" s="70">
        <v>0</v>
      </c>
      <c r="O85" s="69">
        <f>+N85*M85</f>
        <v>0</v>
      </c>
      <c r="P85" s="89">
        <f>+M85-O85</f>
        <v>0</v>
      </c>
      <c r="Q85" s="96">
        <v>63</v>
      </c>
      <c r="R85" s="69">
        <v>0</v>
      </c>
      <c r="S85" s="70">
        <v>0</v>
      </c>
      <c r="T85" s="69">
        <f t="shared" si="28"/>
        <v>0</v>
      </c>
      <c r="U85" s="136">
        <f t="shared" si="29"/>
        <v>0</v>
      </c>
      <c r="V85" s="98">
        <f t="shared" si="30"/>
        <v>126</v>
      </c>
      <c r="W85" s="102">
        <v>2</v>
      </c>
      <c r="X85" s="69">
        <v>0</v>
      </c>
      <c r="Y85" s="77">
        <v>0</v>
      </c>
      <c r="Z85" s="69">
        <f t="shared" si="31"/>
        <v>0</v>
      </c>
      <c r="AA85" s="89">
        <f t="shared" si="32"/>
        <v>0</v>
      </c>
      <c r="AB85" s="98">
        <f t="shared" si="33"/>
        <v>128</v>
      </c>
      <c r="AC85" s="103">
        <v>0</v>
      </c>
      <c r="AD85" s="69">
        <f t="shared" si="34"/>
        <v>0</v>
      </c>
      <c r="AE85" s="89">
        <f t="shared" si="35"/>
        <v>126</v>
      </c>
      <c r="AF85" s="106"/>
      <c r="AG85" s="80" t="s">
        <v>6</v>
      </c>
      <c r="AH85" s="109"/>
      <c r="AI85" s="80" t="s">
        <v>4</v>
      </c>
      <c r="AJ85" s="112"/>
      <c r="AK85" s="116" t="s">
        <v>4</v>
      </c>
      <c r="AL85" s="80" t="str">
        <f t="shared" si="36"/>
        <v>NON</v>
      </c>
      <c r="AM85" s="81" t="str">
        <f t="shared" si="37"/>
        <v>vendu</v>
      </c>
      <c r="AN85" s="80">
        <f t="shared" si="38"/>
        <v>2024</v>
      </c>
      <c r="AO85" s="64">
        <f t="shared" si="39"/>
        <v>40</v>
      </c>
      <c r="AP85" s="64"/>
      <c r="AQ85" s="81"/>
    </row>
    <row r="86" spans="1:43" ht="36.950000000000003" customHeight="1" x14ac:dyDescent="0.25">
      <c r="A86" s="80"/>
      <c r="B86" s="397" t="s">
        <v>302</v>
      </c>
      <c r="C86" s="81">
        <v>1</v>
      </c>
      <c r="D86" s="80"/>
      <c r="E86" s="81"/>
      <c r="F86" s="80" t="s">
        <v>73</v>
      </c>
      <c r="G86" s="64">
        <f>IF(F86="","",IFERROR(VLOOKUP(F86,'validation des champs'!A:B,2,FALSE),"vide"))</f>
        <v>101</v>
      </c>
      <c r="H86" s="64"/>
      <c r="I86" s="64" t="str">
        <f>IF(H86="","",IFERROR(VLOOKUP(H86,'validation des champs'!C:D,2,FALSE),"Mathieu 140"))</f>
        <v/>
      </c>
      <c r="J86" s="185" t="s">
        <v>6</v>
      </c>
      <c r="K86" s="86">
        <v>45566</v>
      </c>
      <c r="L86" s="96">
        <v>62.5</v>
      </c>
      <c r="M86" s="69">
        <v>0</v>
      </c>
      <c r="N86" s="70">
        <v>0</v>
      </c>
      <c r="O86" s="69">
        <v>0</v>
      </c>
      <c r="P86" s="89">
        <v>0</v>
      </c>
      <c r="Q86" s="96">
        <v>62.5</v>
      </c>
      <c r="R86" s="69">
        <v>0</v>
      </c>
      <c r="S86" s="70">
        <v>0</v>
      </c>
      <c r="T86" s="69">
        <f t="shared" si="28"/>
        <v>0</v>
      </c>
      <c r="U86" s="136">
        <f t="shared" si="29"/>
        <v>0</v>
      </c>
      <c r="V86" s="98">
        <f t="shared" si="30"/>
        <v>125</v>
      </c>
      <c r="W86" s="90">
        <v>0</v>
      </c>
      <c r="X86" s="69">
        <v>0</v>
      </c>
      <c r="Y86" s="77">
        <v>1</v>
      </c>
      <c r="Z86" s="69">
        <f t="shared" si="31"/>
        <v>0</v>
      </c>
      <c r="AA86" s="89">
        <f t="shared" si="32"/>
        <v>0</v>
      </c>
      <c r="AB86" s="98">
        <f t="shared" si="33"/>
        <v>125</v>
      </c>
      <c r="AC86" s="103">
        <v>0</v>
      </c>
      <c r="AD86" s="69">
        <f t="shared" si="34"/>
        <v>0</v>
      </c>
      <c r="AE86" s="89">
        <f t="shared" si="35"/>
        <v>125</v>
      </c>
      <c r="AF86" s="106"/>
      <c r="AG86" s="80"/>
      <c r="AH86" s="109"/>
      <c r="AI86" s="80"/>
      <c r="AJ86" s="112"/>
      <c r="AK86" s="116"/>
      <c r="AL86" s="80" t="str">
        <f t="shared" si="36"/>
        <v>NON</v>
      </c>
      <c r="AM86" s="81" t="str">
        <f t="shared" si="37"/>
        <v>incertain</v>
      </c>
      <c r="AN86" s="80">
        <f t="shared" si="38"/>
        <v>2024</v>
      </c>
      <c r="AO86" s="214">
        <f t="shared" si="39"/>
        <v>40</v>
      </c>
      <c r="AP86" s="64"/>
      <c r="AQ86" s="81"/>
    </row>
    <row r="87" spans="1:43" ht="36.950000000000003" customHeight="1" thickBot="1" x14ac:dyDescent="0.3">
      <c r="A87" s="226">
        <v>230406</v>
      </c>
      <c r="B87" s="214" t="s">
        <v>306</v>
      </c>
      <c r="C87" s="245">
        <v>2</v>
      </c>
      <c r="D87" s="226" t="s">
        <v>219</v>
      </c>
      <c r="E87" s="245" t="s">
        <v>230</v>
      </c>
      <c r="F87" s="226" t="s">
        <v>73</v>
      </c>
      <c r="G87" s="214">
        <f>IF(F87="","",IFERROR(VLOOKUP(F87,'validation des champs'!A:B,2,FALSE),"vide"))</f>
        <v>101</v>
      </c>
      <c r="H87" s="214"/>
      <c r="I87" s="214" t="str">
        <f>IF(H87="","",IFERROR(VLOOKUP(H87,'validation des champs'!C:D,2,FALSE),"Mathieu 140"))</f>
        <v/>
      </c>
      <c r="J87" s="215">
        <v>22.5</v>
      </c>
      <c r="K87" s="246">
        <v>45566</v>
      </c>
      <c r="L87" s="249">
        <v>24</v>
      </c>
      <c r="M87" s="216">
        <v>0</v>
      </c>
      <c r="N87" s="217">
        <v>0</v>
      </c>
      <c r="O87" s="216">
        <f>+N87*M87</f>
        <v>0</v>
      </c>
      <c r="P87" s="248">
        <f>+M87-O87</f>
        <v>0</v>
      </c>
      <c r="Q87" s="249">
        <v>24</v>
      </c>
      <c r="R87" s="216">
        <v>0</v>
      </c>
      <c r="S87" s="217">
        <v>0</v>
      </c>
      <c r="T87" s="216">
        <f t="shared" si="28"/>
        <v>0</v>
      </c>
      <c r="U87" s="250">
        <f t="shared" si="29"/>
        <v>0</v>
      </c>
      <c r="V87" s="251">
        <f t="shared" si="30"/>
        <v>48</v>
      </c>
      <c r="W87" s="247">
        <v>0</v>
      </c>
      <c r="X87" s="216">
        <v>0</v>
      </c>
      <c r="Y87" s="218">
        <v>1</v>
      </c>
      <c r="Z87" s="216">
        <f t="shared" si="31"/>
        <v>0</v>
      </c>
      <c r="AA87" s="248">
        <f t="shared" si="32"/>
        <v>0</v>
      </c>
      <c r="AB87" s="251">
        <f t="shared" si="33"/>
        <v>48</v>
      </c>
      <c r="AC87" s="252">
        <v>0</v>
      </c>
      <c r="AD87" s="216">
        <f t="shared" si="34"/>
        <v>0</v>
      </c>
      <c r="AE87" s="248">
        <f t="shared" si="35"/>
        <v>48</v>
      </c>
      <c r="AF87" s="253"/>
      <c r="AG87" s="226" t="s">
        <v>6</v>
      </c>
      <c r="AH87" s="254"/>
      <c r="AI87" s="226" t="s">
        <v>4</v>
      </c>
      <c r="AJ87" s="259"/>
      <c r="AK87" s="255" t="s">
        <v>4</v>
      </c>
      <c r="AL87" s="226" t="str">
        <f t="shared" si="36"/>
        <v>NON</v>
      </c>
      <c r="AM87" s="245" t="str">
        <f t="shared" si="37"/>
        <v>vendu</v>
      </c>
      <c r="AN87" s="229">
        <f t="shared" si="38"/>
        <v>2024</v>
      </c>
      <c r="AO87" s="204">
        <f t="shared" si="39"/>
        <v>40</v>
      </c>
      <c r="AP87" s="212"/>
      <c r="AQ87" s="245"/>
    </row>
    <row r="88" spans="1:43" ht="36.950000000000003" customHeight="1" x14ac:dyDescent="0.25">
      <c r="A88" s="211">
        <v>210211</v>
      </c>
      <c r="B88" s="205" t="s">
        <v>284</v>
      </c>
      <c r="C88" s="233">
        <v>2</v>
      </c>
      <c r="D88" s="211"/>
      <c r="E88" s="233"/>
      <c r="F88" s="211" t="s">
        <v>73</v>
      </c>
      <c r="G88" s="205">
        <f>IF(F88="","",IFERROR(VLOOKUP(F88,'validation des champs'!A:B,2,FALSE),"vide"))</f>
        <v>101</v>
      </c>
      <c r="H88" s="205" t="s">
        <v>78</v>
      </c>
      <c r="I88" s="205">
        <f>IF(H88="","",IFERROR(VLOOKUP(H88,'validation des champs'!C:D,2,FALSE),"Mathieu 140"))</f>
        <v>118</v>
      </c>
      <c r="J88" s="206" t="s">
        <v>6</v>
      </c>
      <c r="K88" s="234">
        <v>45572</v>
      </c>
      <c r="L88" s="243">
        <v>33</v>
      </c>
      <c r="M88" s="209">
        <v>36</v>
      </c>
      <c r="N88" s="208">
        <v>0</v>
      </c>
      <c r="O88" s="209">
        <f>+N88*M88</f>
        <v>0</v>
      </c>
      <c r="P88" s="235">
        <f>+M88-O88</f>
        <v>36</v>
      </c>
      <c r="Q88" s="243">
        <v>33</v>
      </c>
      <c r="R88" s="209">
        <v>15</v>
      </c>
      <c r="S88" s="208">
        <v>0</v>
      </c>
      <c r="T88" s="209">
        <f t="shared" ref="T88:T115" si="40">+S88*R88</f>
        <v>0</v>
      </c>
      <c r="U88" s="236">
        <f t="shared" ref="U88:U115" si="41">+R88-T88</f>
        <v>15</v>
      </c>
      <c r="V88" s="237">
        <f t="shared" ref="V88:V115" si="42">+Q88+L88</f>
        <v>66</v>
      </c>
      <c r="W88" s="257">
        <v>5</v>
      </c>
      <c r="X88" s="209">
        <v>0</v>
      </c>
      <c r="Y88" s="210">
        <v>0</v>
      </c>
      <c r="Z88" s="209">
        <f t="shared" ref="Z88:Z115" si="43">+X88*Y88</f>
        <v>0</v>
      </c>
      <c r="AA88" s="235">
        <f t="shared" ref="AA88:AA115" si="44">+X88-Z88</f>
        <v>0</v>
      </c>
      <c r="AB88" s="237">
        <f t="shared" ref="AB88:AB106" si="45">+L88+Q88+W88</f>
        <v>71</v>
      </c>
      <c r="AC88" s="238">
        <v>0</v>
      </c>
      <c r="AD88" s="209">
        <f t="shared" ref="AD88:AD115" si="46">+AC88*V88</f>
        <v>0</v>
      </c>
      <c r="AE88" s="235">
        <f t="shared" ref="AE88:AE115" si="47">+V88-AD88</f>
        <v>66</v>
      </c>
      <c r="AF88" s="239"/>
      <c r="AG88" s="211" t="s">
        <v>6</v>
      </c>
      <c r="AH88" s="240"/>
      <c r="AI88" s="211" t="s">
        <v>4</v>
      </c>
      <c r="AJ88" s="258"/>
      <c r="AK88" s="241" t="s">
        <v>4</v>
      </c>
      <c r="AL88" s="211" t="str">
        <f t="shared" ref="AL88:AL115" si="48">IF(B88="","",IF(LEFT(B88,2)="FC","OUI","NON"))</f>
        <v>NON</v>
      </c>
      <c r="AM88" s="233" t="str">
        <f t="shared" ref="AM88:AM115" si="49">IF(A88="","incertain","vendu")</f>
        <v>vendu</v>
      </c>
      <c r="AN88" s="211">
        <f t="shared" ref="AN88:AN115" si="50">YEAR(K88)</f>
        <v>2024</v>
      </c>
      <c r="AO88" s="219">
        <f t="shared" ref="AO88:AO115" si="51">_xlfn.ISOWEEKNUM(K88)</f>
        <v>41</v>
      </c>
      <c r="AP88" s="205"/>
      <c r="AQ88" s="233"/>
    </row>
    <row r="89" spans="1:43" ht="36.950000000000003" customHeight="1" thickBot="1" x14ac:dyDescent="0.3">
      <c r="A89" s="283">
        <v>220446</v>
      </c>
      <c r="B89" s="219" t="s">
        <v>265</v>
      </c>
      <c r="C89" s="284">
        <v>2</v>
      </c>
      <c r="D89" s="283" t="s">
        <v>226</v>
      </c>
      <c r="E89" s="284"/>
      <c r="F89" s="283" t="s">
        <v>72</v>
      </c>
      <c r="G89" s="219">
        <f>IF(F89="","",IFERROR(VLOOKUP(F89,'validation des champs'!A:B,2,FALSE),"vide"))</f>
        <v>117</v>
      </c>
      <c r="H89" s="219" t="s">
        <v>75</v>
      </c>
      <c r="I89" s="219">
        <f>IF(H89="","",IFERROR(VLOOKUP(H89,'validation des champs'!C:D,2,FALSE),"Mathieu 140"))</f>
        <v>126</v>
      </c>
      <c r="J89" s="220">
        <v>38</v>
      </c>
      <c r="K89" s="291">
        <v>45572</v>
      </c>
      <c r="L89" s="285">
        <v>63</v>
      </c>
      <c r="M89" s="221">
        <v>0</v>
      </c>
      <c r="N89" s="222">
        <v>0</v>
      </c>
      <c r="O89" s="221">
        <f>+N89*M89</f>
        <v>0</v>
      </c>
      <c r="P89" s="286">
        <f>+M89-O89</f>
        <v>0</v>
      </c>
      <c r="Q89" s="285">
        <v>63</v>
      </c>
      <c r="R89" s="221">
        <v>0</v>
      </c>
      <c r="S89" s="222">
        <v>0</v>
      </c>
      <c r="T89" s="221">
        <f t="shared" si="40"/>
        <v>0</v>
      </c>
      <c r="U89" s="287">
        <f t="shared" si="41"/>
        <v>0</v>
      </c>
      <c r="V89" s="62">
        <f t="shared" si="42"/>
        <v>126</v>
      </c>
      <c r="W89" s="420">
        <v>2</v>
      </c>
      <c r="X89" s="221">
        <v>0</v>
      </c>
      <c r="Y89" s="223">
        <v>0</v>
      </c>
      <c r="Z89" s="221">
        <f t="shared" si="43"/>
        <v>0</v>
      </c>
      <c r="AA89" s="286">
        <f t="shared" si="44"/>
        <v>0</v>
      </c>
      <c r="AB89" s="62">
        <f t="shared" si="45"/>
        <v>128</v>
      </c>
      <c r="AC89" s="288">
        <v>0</v>
      </c>
      <c r="AD89" s="221">
        <f t="shared" si="46"/>
        <v>0</v>
      </c>
      <c r="AE89" s="286">
        <f t="shared" si="47"/>
        <v>126</v>
      </c>
      <c r="AG89" s="283" t="s">
        <v>6</v>
      </c>
      <c r="AH89" s="289"/>
      <c r="AI89" s="283" t="s">
        <v>4</v>
      </c>
      <c r="AJ89" s="290"/>
      <c r="AK89" s="8" t="s">
        <v>4</v>
      </c>
      <c r="AL89" s="283" t="str">
        <f t="shared" si="48"/>
        <v>NON</v>
      </c>
      <c r="AM89" s="284" t="str">
        <f t="shared" si="49"/>
        <v>vendu</v>
      </c>
      <c r="AN89" s="3">
        <f t="shared" si="50"/>
        <v>2024</v>
      </c>
      <c r="AO89" s="204">
        <f t="shared" si="51"/>
        <v>41</v>
      </c>
      <c r="AP89" s="213"/>
      <c r="AQ89" s="284"/>
    </row>
    <row r="90" spans="1:43" ht="36.950000000000003" customHeight="1" x14ac:dyDescent="0.25">
      <c r="A90" s="211">
        <v>230422</v>
      </c>
      <c r="B90" s="205" t="s">
        <v>305</v>
      </c>
      <c r="C90" s="233">
        <v>3</v>
      </c>
      <c r="D90" s="211" t="s">
        <v>308</v>
      </c>
      <c r="E90" s="233"/>
      <c r="F90" s="211" t="s">
        <v>73</v>
      </c>
      <c r="G90" s="205">
        <f>IF(F90="","",IFERROR(VLOOKUP(F90,'validation des champs'!A:B,2,FALSE),"vide"))</f>
        <v>101</v>
      </c>
      <c r="H90" s="205" t="s">
        <v>135</v>
      </c>
      <c r="I90" s="205">
        <f>IF(H90="","",IFERROR(VLOOKUP(H90,'validation des champs'!C:D,2,FALSE),"Mathieu 140"))</f>
        <v>147</v>
      </c>
      <c r="J90" s="206">
        <v>30</v>
      </c>
      <c r="K90" s="393">
        <v>45579</v>
      </c>
      <c r="L90" s="243">
        <f>113.333/2</f>
        <v>56.666499999999999</v>
      </c>
      <c r="M90" s="209">
        <v>0</v>
      </c>
      <c r="N90" s="208">
        <v>0</v>
      </c>
      <c r="O90" s="209">
        <v>0</v>
      </c>
      <c r="P90" s="235">
        <v>0</v>
      </c>
      <c r="Q90" s="243">
        <v>56.667000000000002</v>
      </c>
      <c r="R90" s="209">
        <v>0</v>
      </c>
      <c r="S90" s="208">
        <v>0</v>
      </c>
      <c r="T90" s="209">
        <f t="shared" si="40"/>
        <v>0</v>
      </c>
      <c r="U90" s="236">
        <f t="shared" si="41"/>
        <v>0</v>
      </c>
      <c r="V90" s="237">
        <f t="shared" si="42"/>
        <v>113.3335</v>
      </c>
      <c r="W90" s="227">
        <v>0</v>
      </c>
      <c r="X90" s="209">
        <v>0</v>
      </c>
      <c r="Y90" s="210">
        <v>1</v>
      </c>
      <c r="Z90" s="209">
        <f t="shared" si="43"/>
        <v>0</v>
      </c>
      <c r="AA90" s="235">
        <f t="shared" si="44"/>
        <v>0</v>
      </c>
      <c r="AB90" s="237">
        <f t="shared" si="45"/>
        <v>113.3335</v>
      </c>
      <c r="AC90" s="238">
        <v>0</v>
      </c>
      <c r="AD90" s="209">
        <f t="shared" si="46"/>
        <v>0</v>
      </c>
      <c r="AE90" s="235">
        <f t="shared" si="47"/>
        <v>113.3335</v>
      </c>
      <c r="AF90" s="239"/>
      <c r="AG90" s="211" t="s">
        <v>87</v>
      </c>
      <c r="AH90" s="240"/>
      <c r="AI90" s="211" t="s">
        <v>4</v>
      </c>
      <c r="AJ90" s="258"/>
      <c r="AK90" s="241" t="s">
        <v>4</v>
      </c>
      <c r="AL90" s="211" t="str">
        <f t="shared" si="48"/>
        <v>NON</v>
      </c>
      <c r="AM90" s="233" t="str">
        <f t="shared" si="49"/>
        <v>vendu</v>
      </c>
      <c r="AN90" s="211">
        <f t="shared" si="50"/>
        <v>2024</v>
      </c>
      <c r="AO90" s="188">
        <f t="shared" si="51"/>
        <v>42</v>
      </c>
      <c r="AP90" s="205"/>
      <c r="AQ90" s="233"/>
    </row>
    <row r="91" spans="1:43" ht="36.950000000000003" customHeight="1" x14ac:dyDescent="0.25">
      <c r="A91" s="193">
        <v>230159</v>
      </c>
      <c r="B91" s="188" t="s">
        <v>294</v>
      </c>
      <c r="C91" s="194">
        <v>1</v>
      </c>
      <c r="D91" s="193" t="s">
        <v>219</v>
      </c>
      <c r="E91" s="194"/>
      <c r="F91" s="193" t="s">
        <v>73</v>
      </c>
      <c r="G91" s="188">
        <f>IF(F91="","",IFERROR(VLOOKUP(F91,'validation des champs'!A:B,2,FALSE),"vide"))</f>
        <v>101</v>
      </c>
      <c r="H91" s="188"/>
      <c r="I91" s="188" t="str">
        <f>IF(H91="","",IFERROR(VLOOKUP(H91,'validation des champs'!C:D,2,FALSE),"Mathieu 140"))</f>
        <v/>
      </c>
      <c r="J91" s="190">
        <v>26.6</v>
      </c>
      <c r="K91" s="195">
        <v>45579</v>
      </c>
      <c r="L91" s="279">
        <f>77.58/2</f>
        <v>38.79</v>
      </c>
      <c r="M91" s="192">
        <v>30</v>
      </c>
      <c r="N91" s="224">
        <v>0</v>
      </c>
      <c r="O91" s="192">
        <v>0</v>
      </c>
      <c r="P91" s="197">
        <v>0</v>
      </c>
      <c r="Q91" s="279">
        <v>38.79</v>
      </c>
      <c r="R91" s="192">
        <v>33</v>
      </c>
      <c r="S91" s="224">
        <v>0</v>
      </c>
      <c r="T91" s="192">
        <f t="shared" si="40"/>
        <v>0</v>
      </c>
      <c r="U91" s="198">
        <f t="shared" si="41"/>
        <v>33</v>
      </c>
      <c r="V91" s="199">
        <f t="shared" si="42"/>
        <v>77.58</v>
      </c>
      <c r="W91" s="279">
        <v>9.8000000000000007</v>
      </c>
      <c r="X91" s="192">
        <v>0</v>
      </c>
      <c r="Y91" s="225">
        <v>0</v>
      </c>
      <c r="Z91" s="192">
        <f t="shared" si="43"/>
        <v>0</v>
      </c>
      <c r="AA91" s="197">
        <f t="shared" si="44"/>
        <v>0</v>
      </c>
      <c r="AB91" s="199">
        <f t="shared" si="45"/>
        <v>87.38</v>
      </c>
      <c r="AC91" s="278">
        <v>0</v>
      </c>
      <c r="AD91" s="192">
        <f t="shared" si="46"/>
        <v>0</v>
      </c>
      <c r="AE91" s="197">
        <f t="shared" si="47"/>
        <v>77.58</v>
      </c>
      <c r="AF91" s="200"/>
      <c r="AG91" s="193" t="s">
        <v>87</v>
      </c>
      <c r="AH91" s="201"/>
      <c r="AI91" s="193" t="s">
        <v>4</v>
      </c>
      <c r="AJ91" s="281"/>
      <c r="AK91" s="203" t="s">
        <v>4</v>
      </c>
      <c r="AL91" s="193" t="str">
        <f t="shared" si="48"/>
        <v>NON</v>
      </c>
      <c r="AM91" s="194" t="str">
        <f t="shared" si="49"/>
        <v>vendu</v>
      </c>
      <c r="AN91" s="193">
        <f t="shared" si="50"/>
        <v>2024</v>
      </c>
      <c r="AO91" s="188">
        <f t="shared" si="51"/>
        <v>42</v>
      </c>
      <c r="AP91" s="188"/>
      <c r="AQ91" s="194"/>
    </row>
    <row r="92" spans="1:43" ht="36.950000000000003" customHeight="1" x14ac:dyDescent="0.25">
      <c r="A92" s="80"/>
      <c r="B92" s="397" t="s">
        <v>134</v>
      </c>
      <c r="C92" s="81">
        <v>1</v>
      </c>
      <c r="D92" s="80"/>
      <c r="E92" s="81"/>
      <c r="F92" s="80" t="s">
        <v>70</v>
      </c>
      <c r="G92" s="64">
        <f>IF(F92="","",IFERROR(VLOOKUP(F92,'validation des champs'!A:B,2,FALSE),"vide"))</f>
        <v>116</v>
      </c>
      <c r="H92" s="64" t="s">
        <v>135</v>
      </c>
      <c r="I92" s="64">
        <f>IF(H92="","",IFERROR(VLOOKUP(H92,'validation des champs'!C:D,2,FALSE),"Mathieu 140"))</f>
        <v>147</v>
      </c>
      <c r="J92" s="185" t="s">
        <v>6</v>
      </c>
      <c r="K92" s="86">
        <v>45580</v>
      </c>
      <c r="L92" s="96">
        <v>45</v>
      </c>
      <c r="M92" s="69">
        <v>0</v>
      </c>
      <c r="N92" s="70">
        <v>0</v>
      </c>
      <c r="O92" s="69">
        <v>0</v>
      </c>
      <c r="P92" s="89">
        <v>0</v>
      </c>
      <c r="Q92" s="96">
        <v>45</v>
      </c>
      <c r="R92" s="69">
        <v>0</v>
      </c>
      <c r="S92" s="70">
        <v>0</v>
      </c>
      <c r="T92" s="69">
        <f t="shared" si="40"/>
        <v>0</v>
      </c>
      <c r="U92" s="136">
        <f t="shared" si="41"/>
        <v>0</v>
      </c>
      <c r="V92" s="98">
        <f t="shared" si="42"/>
        <v>90</v>
      </c>
      <c r="W92" s="90">
        <v>0</v>
      </c>
      <c r="X92" s="69">
        <v>0</v>
      </c>
      <c r="Y92" s="77">
        <v>1</v>
      </c>
      <c r="Z92" s="69">
        <f t="shared" si="43"/>
        <v>0</v>
      </c>
      <c r="AA92" s="89">
        <f t="shared" si="44"/>
        <v>0</v>
      </c>
      <c r="AB92" s="98">
        <f t="shared" si="45"/>
        <v>90</v>
      </c>
      <c r="AC92" s="103">
        <v>0</v>
      </c>
      <c r="AD92" s="69">
        <f t="shared" si="46"/>
        <v>0</v>
      </c>
      <c r="AE92" s="89">
        <f t="shared" si="47"/>
        <v>90</v>
      </c>
      <c r="AF92" s="106"/>
      <c r="AG92" s="80"/>
      <c r="AH92" s="109"/>
      <c r="AI92" s="80"/>
      <c r="AJ92" s="112"/>
      <c r="AK92" s="116"/>
      <c r="AL92" s="80" t="str">
        <f t="shared" si="48"/>
        <v>NON</v>
      </c>
      <c r="AM92" s="81" t="str">
        <f t="shared" si="49"/>
        <v>incertain</v>
      </c>
      <c r="AN92" s="80">
        <f t="shared" si="50"/>
        <v>2024</v>
      </c>
      <c r="AO92" s="214">
        <f t="shared" si="51"/>
        <v>42</v>
      </c>
      <c r="AP92" s="67"/>
      <c r="AQ92" s="85"/>
    </row>
    <row r="93" spans="1:43" ht="36.950000000000003" customHeight="1" thickBot="1" x14ac:dyDescent="0.3">
      <c r="A93" s="226">
        <v>230479</v>
      </c>
      <c r="B93" s="214" t="s">
        <v>86</v>
      </c>
      <c r="C93" s="245">
        <v>1</v>
      </c>
      <c r="D93" s="226"/>
      <c r="E93" s="245" t="s">
        <v>117</v>
      </c>
      <c r="F93" s="226" t="s">
        <v>74</v>
      </c>
      <c r="G93" s="214">
        <f>IF(F93="","",IFERROR(VLOOKUP(F93,'validation des champs'!A:B,2,FALSE),"vide"))</f>
        <v>131</v>
      </c>
      <c r="H93" s="214"/>
      <c r="I93" s="214" t="str">
        <f>IF(H93="","",IFERROR(VLOOKUP(H93,'validation des champs'!C:D,2,FALSE),"Mathieu 140"))</f>
        <v/>
      </c>
      <c r="J93" s="215">
        <v>16.5</v>
      </c>
      <c r="K93" s="246">
        <v>45580</v>
      </c>
      <c r="L93" s="249">
        <v>71.650000000000006</v>
      </c>
      <c r="M93" s="216">
        <v>337</v>
      </c>
      <c r="N93" s="217">
        <v>0</v>
      </c>
      <c r="O93" s="216">
        <v>0</v>
      </c>
      <c r="P93" s="248">
        <v>0</v>
      </c>
      <c r="Q93" s="249">
        <v>71.650000000000006</v>
      </c>
      <c r="R93" s="216">
        <v>0</v>
      </c>
      <c r="S93" s="217">
        <v>0</v>
      </c>
      <c r="T93" s="216">
        <f t="shared" si="40"/>
        <v>0</v>
      </c>
      <c r="U93" s="250">
        <f t="shared" si="41"/>
        <v>0</v>
      </c>
      <c r="V93" s="251">
        <f t="shared" si="42"/>
        <v>143.30000000000001</v>
      </c>
      <c r="W93" s="249">
        <v>2</v>
      </c>
      <c r="X93" s="216">
        <v>0</v>
      </c>
      <c r="Y93" s="218">
        <v>0</v>
      </c>
      <c r="Z93" s="216">
        <f t="shared" si="43"/>
        <v>0</v>
      </c>
      <c r="AA93" s="248">
        <f t="shared" si="44"/>
        <v>0</v>
      </c>
      <c r="AB93" s="251">
        <f t="shared" si="45"/>
        <v>145.30000000000001</v>
      </c>
      <c r="AC93" s="252">
        <v>0</v>
      </c>
      <c r="AD93" s="216">
        <f t="shared" si="46"/>
        <v>0</v>
      </c>
      <c r="AE93" s="248">
        <f t="shared" si="47"/>
        <v>143.30000000000001</v>
      </c>
      <c r="AF93" s="253"/>
      <c r="AG93" s="226" t="s">
        <v>87</v>
      </c>
      <c r="AH93" s="254" t="s">
        <v>63</v>
      </c>
      <c r="AI93" s="226" t="s">
        <v>4</v>
      </c>
      <c r="AJ93" s="259"/>
      <c r="AK93" s="255" t="s">
        <v>4</v>
      </c>
      <c r="AL93" s="226" t="str">
        <f t="shared" si="48"/>
        <v>NON</v>
      </c>
      <c r="AM93" s="245" t="str">
        <f t="shared" si="49"/>
        <v>vendu</v>
      </c>
      <c r="AN93" s="229">
        <f t="shared" si="50"/>
        <v>2024</v>
      </c>
      <c r="AO93" s="214">
        <f t="shared" si="51"/>
        <v>42</v>
      </c>
      <c r="AP93" s="212"/>
      <c r="AQ93" s="245"/>
    </row>
    <row r="94" spans="1:43" ht="36.950000000000003" customHeight="1" thickBot="1" x14ac:dyDescent="0.3">
      <c r="A94" s="231"/>
      <c r="B94" s="425" t="s">
        <v>270</v>
      </c>
      <c r="C94" s="262">
        <v>3</v>
      </c>
      <c r="D94" s="231"/>
      <c r="E94" s="262"/>
      <c r="F94" s="231" t="s">
        <v>70</v>
      </c>
      <c r="G94" s="261">
        <f>IF(F94="","",IFERROR(VLOOKUP(F94,'validation des champs'!A:B,2,FALSE),"vide"))</f>
        <v>116</v>
      </c>
      <c r="H94" s="261" t="s">
        <v>135</v>
      </c>
      <c r="I94" s="261">
        <f>IF(H94="","",IFERROR(VLOOKUP(H94,'validation des champs'!C:D,2,FALSE),"Mathieu 140"))</f>
        <v>147</v>
      </c>
      <c r="J94" s="263" t="s">
        <v>6</v>
      </c>
      <c r="K94" s="264">
        <v>45586</v>
      </c>
      <c r="L94" s="265">
        <v>32.5</v>
      </c>
      <c r="M94" s="266">
        <v>0</v>
      </c>
      <c r="N94" s="267">
        <v>0</v>
      </c>
      <c r="O94" s="266">
        <v>0</v>
      </c>
      <c r="P94" s="268">
        <v>0</v>
      </c>
      <c r="Q94" s="265">
        <v>31.5</v>
      </c>
      <c r="R94" s="266">
        <v>0</v>
      </c>
      <c r="S94" s="267">
        <v>0</v>
      </c>
      <c r="T94" s="266">
        <f t="shared" si="40"/>
        <v>0</v>
      </c>
      <c r="U94" s="269">
        <f t="shared" si="41"/>
        <v>0</v>
      </c>
      <c r="V94" s="270">
        <f t="shared" si="42"/>
        <v>64</v>
      </c>
      <c r="W94" s="230">
        <v>0</v>
      </c>
      <c r="X94" s="266">
        <v>0</v>
      </c>
      <c r="Y94" s="271">
        <v>1</v>
      </c>
      <c r="Z94" s="266">
        <f t="shared" si="43"/>
        <v>0</v>
      </c>
      <c r="AA94" s="268">
        <f t="shared" si="44"/>
        <v>0</v>
      </c>
      <c r="AB94" s="270">
        <f t="shared" si="45"/>
        <v>64</v>
      </c>
      <c r="AC94" s="272">
        <v>0</v>
      </c>
      <c r="AD94" s="266">
        <f t="shared" si="46"/>
        <v>0</v>
      </c>
      <c r="AE94" s="268">
        <f t="shared" si="47"/>
        <v>64</v>
      </c>
      <c r="AF94" s="273"/>
      <c r="AG94" s="231"/>
      <c r="AH94" s="274"/>
      <c r="AI94" s="231"/>
      <c r="AJ94" s="275"/>
      <c r="AK94" s="276"/>
      <c r="AL94" s="231" t="str">
        <f t="shared" si="48"/>
        <v>NON</v>
      </c>
      <c r="AM94" s="262" t="str">
        <f t="shared" si="49"/>
        <v>incertain</v>
      </c>
      <c r="AN94" s="242">
        <f t="shared" si="50"/>
        <v>2024</v>
      </c>
      <c r="AO94" s="261">
        <f t="shared" si="51"/>
        <v>43</v>
      </c>
      <c r="AP94" s="277"/>
      <c r="AQ94" s="262"/>
    </row>
    <row r="95" spans="1:43" ht="36.950000000000003" customHeight="1" thickBot="1" x14ac:dyDescent="0.3">
      <c r="A95" s="231">
        <v>200008</v>
      </c>
      <c r="B95" s="261" t="s">
        <v>44</v>
      </c>
      <c r="C95" s="262">
        <v>1</v>
      </c>
      <c r="D95" s="231" t="s">
        <v>232</v>
      </c>
      <c r="E95" s="262"/>
      <c r="F95" s="231" t="s">
        <v>72</v>
      </c>
      <c r="G95" s="261">
        <f>IF(F95="","",IFERROR(VLOOKUP(F95,'validation des champs'!A:B,2,FALSE),"vide"))</f>
        <v>117</v>
      </c>
      <c r="H95" s="261" t="s">
        <v>106</v>
      </c>
      <c r="I95" s="261">
        <f>IF(H95="","",IFERROR(VLOOKUP(H95,'validation des champs'!C:D,2,FALSE),"Mathieu 140"))</f>
        <v>123</v>
      </c>
      <c r="J95" s="263">
        <v>24</v>
      </c>
      <c r="K95" s="264">
        <v>45600</v>
      </c>
      <c r="L95" s="265">
        <v>50.5</v>
      </c>
      <c r="M95" s="266">
        <v>0</v>
      </c>
      <c r="N95" s="267">
        <v>0</v>
      </c>
      <c r="O95" s="266">
        <f>+N95*M95</f>
        <v>0</v>
      </c>
      <c r="P95" s="268">
        <f>+M95-O95</f>
        <v>0</v>
      </c>
      <c r="Q95" s="265">
        <v>50.5</v>
      </c>
      <c r="R95" s="266">
        <v>0</v>
      </c>
      <c r="S95" s="267">
        <v>0</v>
      </c>
      <c r="T95" s="266">
        <f t="shared" si="40"/>
        <v>0</v>
      </c>
      <c r="U95" s="269">
        <f t="shared" si="41"/>
        <v>0</v>
      </c>
      <c r="V95" s="270">
        <f t="shared" si="42"/>
        <v>101</v>
      </c>
      <c r="W95" s="394">
        <v>1.5</v>
      </c>
      <c r="X95" s="266">
        <v>0</v>
      </c>
      <c r="Y95" s="271">
        <v>0</v>
      </c>
      <c r="Z95" s="266">
        <f t="shared" si="43"/>
        <v>0</v>
      </c>
      <c r="AA95" s="268">
        <f t="shared" si="44"/>
        <v>0</v>
      </c>
      <c r="AB95" s="270">
        <f t="shared" si="45"/>
        <v>102.5</v>
      </c>
      <c r="AC95" s="272">
        <v>0</v>
      </c>
      <c r="AD95" s="266">
        <f t="shared" si="46"/>
        <v>0</v>
      </c>
      <c r="AE95" s="268">
        <f t="shared" si="47"/>
        <v>101</v>
      </c>
      <c r="AF95" s="273"/>
      <c r="AG95" s="231" t="s">
        <v>6</v>
      </c>
      <c r="AH95" s="274"/>
      <c r="AI95" s="231" t="s">
        <v>4</v>
      </c>
      <c r="AJ95" s="275"/>
      <c r="AK95" s="276" t="s">
        <v>4</v>
      </c>
      <c r="AL95" s="231" t="str">
        <f t="shared" si="48"/>
        <v>NON</v>
      </c>
      <c r="AM95" s="262" t="str">
        <f t="shared" si="49"/>
        <v>vendu</v>
      </c>
      <c r="AN95" s="242">
        <f t="shared" si="50"/>
        <v>2024</v>
      </c>
      <c r="AO95" s="122">
        <f t="shared" si="51"/>
        <v>45</v>
      </c>
      <c r="AP95" s="277"/>
      <c r="AQ95" s="262"/>
    </row>
    <row r="96" spans="1:43" ht="36.950000000000003" customHeight="1" x14ac:dyDescent="0.25">
      <c r="A96" s="211">
        <v>230002</v>
      </c>
      <c r="B96" s="232" t="s">
        <v>124</v>
      </c>
      <c r="C96" s="233">
        <v>1</v>
      </c>
      <c r="D96" s="211"/>
      <c r="E96" s="233"/>
      <c r="F96" s="211" t="s">
        <v>70</v>
      </c>
      <c r="G96" s="205">
        <f>IF(F96="","",IFERROR(VLOOKUP(F96,'validation des champs'!A:B,2,FALSE),"vide"))</f>
        <v>116</v>
      </c>
      <c r="H96" s="205" t="s">
        <v>78</v>
      </c>
      <c r="I96" s="205">
        <f>IF(H96="","",IFERROR(VLOOKUP(H96,'validation des champs'!C:D,2,FALSE),"Mathieu 140"))</f>
        <v>118</v>
      </c>
      <c r="J96" s="206">
        <v>8.98</v>
      </c>
      <c r="K96" s="234">
        <v>45663</v>
      </c>
      <c r="L96" s="227">
        <v>0</v>
      </c>
      <c r="M96" s="207">
        <v>0</v>
      </c>
      <c r="N96" s="208">
        <v>1</v>
      </c>
      <c r="O96" s="209">
        <v>0</v>
      </c>
      <c r="P96" s="235">
        <v>0</v>
      </c>
      <c r="Q96" s="243">
        <v>35.545999999999999</v>
      </c>
      <c r="R96" s="209">
        <v>0</v>
      </c>
      <c r="S96" s="208">
        <v>0</v>
      </c>
      <c r="T96" s="209">
        <f t="shared" si="40"/>
        <v>0</v>
      </c>
      <c r="U96" s="236">
        <f t="shared" si="41"/>
        <v>0</v>
      </c>
      <c r="V96" s="237">
        <f t="shared" si="42"/>
        <v>35.545999999999999</v>
      </c>
      <c r="W96" s="227">
        <v>0</v>
      </c>
      <c r="X96" s="209">
        <v>0</v>
      </c>
      <c r="Y96" s="210">
        <v>1</v>
      </c>
      <c r="Z96" s="209">
        <f t="shared" si="43"/>
        <v>0</v>
      </c>
      <c r="AA96" s="235">
        <f t="shared" si="44"/>
        <v>0</v>
      </c>
      <c r="AB96" s="237">
        <f t="shared" si="45"/>
        <v>35.545999999999999</v>
      </c>
      <c r="AC96" s="238">
        <v>1</v>
      </c>
      <c r="AD96" s="209">
        <f t="shared" si="46"/>
        <v>35.545999999999999</v>
      </c>
      <c r="AE96" s="235">
        <f t="shared" si="47"/>
        <v>0</v>
      </c>
      <c r="AF96" s="239"/>
      <c r="AG96" s="211" t="s">
        <v>66</v>
      </c>
      <c r="AH96" s="240" t="s">
        <v>63</v>
      </c>
      <c r="AI96" s="211" t="s">
        <v>8</v>
      </c>
      <c r="AJ96" s="228" t="s">
        <v>5</v>
      </c>
      <c r="AK96" s="241" t="s">
        <v>8</v>
      </c>
      <c r="AL96" s="211" t="str">
        <f t="shared" si="48"/>
        <v>NON</v>
      </c>
      <c r="AM96" s="233" t="str">
        <f t="shared" si="49"/>
        <v>vendu</v>
      </c>
      <c r="AN96" s="211">
        <f t="shared" si="50"/>
        <v>2025</v>
      </c>
      <c r="AO96" s="188">
        <f t="shared" si="51"/>
        <v>2</v>
      </c>
      <c r="AP96" s="205"/>
      <c r="AQ96" s="233"/>
    </row>
    <row r="97" spans="1:43" ht="36.950000000000003" customHeight="1" x14ac:dyDescent="0.25">
      <c r="A97" s="193">
        <v>230002</v>
      </c>
      <c r="B97" s="188" t="s">
        <v>126</v>
      </c>
      <c r="C97" s="194">
        <v>1</v>
      </c>
      <c r="D97" s="193"/>
      <c r="E97" s="194"/>
      <c r="F97" s="193" t="s">
        <v>70</v>
      </c>
      <c r="G97" s="188">
        <f>IF(F97="","",IFERROR(VLOOKUP(F97,'validation des champs'!A:B,2,FALSE),"vide"))</f>
        <v>116</v>
      </c>
      <c r="H97" s="188" t="s">
        <v>78</v>
      </c>
      <c r="I97" s="188">
        <f>IF(H97="","",IFERROR(VLOOKUP(H97,'validation des champs'!C:D,2,FALSE),"Mathieu 140"))</f>
        <v>118</v>
      </c>
      <c r="J97" s="190" t="s">
        <v>6</v>
      </c>
      <c r="K97" s="195">
        <v>45663</v>
      </c>
      <c r="L97" s="196">
        <v>0</v>
      </c>
      <c r="M97" s="191">
        <v>0</v>
      </c>
      <c r="N97" s="224">
        <v>1</v>
      </c>
      <c r="O97" s="192">
        <v>0</v>
      </c>
      <c r="P97" s="197">
        <v>0</v>
      </c>
      <c r="Q97" s="279">
        <v>30</v>
      </c>
      <c r="R97" s="192">
        <v>0</v>
      </c>
      <c r="S97" s="224">
        <v>0</v>
      </c>
      <c r="T97" s="192">
        <f t="shared" si="40"/>
        <v>0</v>
      </c>
      <c r="U97" s="198">
        <f t="shared" si="41"/>
        <v>0</v>
      </c>
      <c r="V97" s="199">
        <f t="shared" si="42"/>
        <v>30</v>
      </c>
      <c r="W97" s="196">
        <v>0</v>
      </c>
      <c r="X97" s="192">
        <v>0</v>
      </c>
      <c r="Y97" s="225">
        <v>1</v>
      </c>
      <c r="Z97" s="192">
        <f t="shared" si="43"/>
        <v>0</v>
      </c>
      <c r="AA97" s="197">
        <f t="shared" si="44"/>
        <v>0</v>
      </c>
      <c r="AB97" s="199">
        <f t="shared" si="45"/>
        <v>30</v>
      </c>
      <c r="AC97" s="278">
        <v>0</v>
      </c>
      <c r="AD97" s="192">
        <f t="shared" si="46"/>
        <v>0</v>
      </c>
      <c r="AE97" s="197">
        <f t="shared" si="47"/>
        <v>30</v>
      </c>
      <c r="AF97" s="200"/>
      <c r="AG97" s="193" t="s">
        <v>66</v>
      </c>
      <c r="AH97" s="201" t="s">
        <v>63</v>
      </c>
      <c r="AI97" s="193" t="s">
        <v>8</v>
      </c>
      <c r="AJ97" s="202" t="s">
        <v>5</v>
      </c>
      <c r="AK97" s="203" t="s">
        <v>8</v>
      </c>
      <c r="AL97" s="193" t="str">
        <f t="shared" si="48"/>
        <v>NON</v>
      </c>
      <c r="AM97" s="194" t="str">
        <f t="shared" si="49"/>
        <v>vendu</v>
      </c>
      <c r="AN97" s="193">
        <f t="shared" si="50"/>
        <v>2025</v>
      </c>
      <c r="AO97" s="188">
        <f t="shared" si="51"/>
        <v>2</v>
      </c>
      <c r="AP97" s="188"/>
      <c r="AQ97" s="194"/>
    </row>
    <row r="98" spans="1:43" ht="36.950000000000003" customHeight="1" x14ac:dyDescent="0.25">
      <c r="A98" s="80">
        <v>230002</v>
      </c>
      <c r="B98" s="64" t="s">
        <v>121</v>
      </c>
      <c r="C98" s="81">
        <v>1</v>
      </c>
      <c r="D98" s="80"/>
      <c r="E98" s="81"/>
      <c r="F98" s="80" t="s">
        <v>70</v>
      </c>
      <c r="G98" s="64">
        <f>IF(F98="","",IFERROR(VLOOKUP(F98,'validation des champs'!A:B,2,FALSE),"vide"))</f>
        <v>116</v>
      </c>
      <c r="H98" s="64" t="s">
        <v>78</v>
      </c>
      <c r="I98" s="64">
        <f>IF(H98="","",IFERROR(VLOOKUP(H98,'validation des champs'!C:D,2,FALSE),"Mathieu 140"))</f>
        <v>118</v>
      </c>
      <c r="J98" s="185" t="s">
        <v>6</v>
      </c>
      <c r="K98" s="86">
        <v>45663</v>
      </c>
      <c r="L98" s="90">
        <v>0</v>
      </c>
      <c r="M98" s="71">
        <v>0</v>
      </c>
      <c r="N98" s="70">
        <v>1</v>
      </c>
      <c r="O98" s="69">
        <v>0</v>
      </c>
      <c r="P98" s="89">
        <v>0</v>
      </c>
      <c r="Q98" s="96">
        <v>45</v>
      </c>
      <c r="R98" s="69">
        <v>0</v>
      </c>
      <c r="S98" s="70">
        <v>0</v>
      </c>
      <c r="T98" s="69">
        <f t="shared" si="40"/>
        <v>0</v>
      </c>
      <c r="U98" s="136">
        <f t="shared" si="41"/>
        <v>0</v>
      </c>
      <c r="V98" s="98">
        <f t="shared" si="42"/>
        <v>45</v>
      </c>
      <c r="W98" s="90">
        <v>0</v>
      </c>
      <c r="X98" s="69">
        <v>0</v>
      </c>
      <c r="Y98" s="77">
        <v>1</v>
      </c>
      <c r="Z98" s="69">
        <f t="shared" si="43"/>
        <v>0</v>
      </c>
      <c r="AA98" s="89">
        <f t="shared" si="44"/>
        <v>0</v>
      </c>
      <c r="AB98" s="98">
        <f t="shared" si="45"/>
        <v>45</v>
      </c>
      <c r="AC98" s="103">
        <v>0</v>
      </c>
      <c r="AD98" s="69">
        <f t="shared" si="46"/>
        <v>0</v>
      </c>
      <c r="AE98" s="89">
        <f t="shared" si="47"/>
        <v>45</v>
      </c>
      <c r="AF98" s="106"/>
      <c r="AG98" s="80" t="s">
        <v>66</v>
      </c>
      <c r="AH98" s="109" t="s">
        <v>63</v>
      </c>
      <c r="AI98" s="80" t="s">
        <v>8</v>
      </c>
      <c r="AJ98" s="113" t="s">
        <v>5</v>
      </c>
      <c r="AK98" s="116" t="s">
        <v>8</v>
      </c>
      <c r="AL98" s="80" t="str">
        <f t="shared" si="48"/>
        <v>NON</v>
      </c>
      <c r="AM98" s="81" t="str">
        <f t="shared" si="49"/>
        <v>vendu</v>
      </c>
      <c r="AN98" s="80">
        <f t="shared" si="50"/>
        <v>2025</v>
      </c>
      <c r="AO98" s="64">
        <f t="shared" si="51"/>
        <v>2</v>
      </c>
      <c r="AP98" s="64"/>
      <c r="AQ98" s="81"/>
    </row>
    <row r="99" spans="1:43" ht="36.950000000000003" customHeight="1" x14ac:dyDescent="0.25">
      <c r="A99" s="80">
        <v>230002</v>
      </c>
      <c r="B99" s="64" t="s">
        <v>131</v>
      </c>
      <c r="C99" s="81">
        <v>1</v>
      </c>
      <c r="D99" s="80"/>
      <c r="E99" s="81"/>
      <c r="F99" s="80" t="s">
        <v>70</v>
      </c>
      <c r="G99" s="64">
        <f>IF(F99="","",IFERROR(VLOOKUP(F99,'validation des champs'!A:B,2,FALSE),"vide"))</f>
        <v>116</v>
      </c>
      <c r="H99" s="64" t="s">
        <v>78</v>
      </c>
      <c r="I99" s="64">
        <f>IF(H99="","",IFERROR(VLOOKUP(H99,'validation des champs'!C:D,2,FALSE),"Mathieu 140"))</f>
        <v>118</v>
      </c>
      <c r="J99" s="185" t="s">
        <v>6</v>
      </c>
      <c r="K99" s="86">
        <v>45663</v>
      </c>
      <c r="L99" s="90">
        <v>0</v>
      </c>
      <c r="M99" s="71">
        <v>0</v>
      </c>
      <c r="N99" s="70">
        <v>1</v>
      </c>
      <c r="O99" s="69">
        <v>0</v>
      </c>
      <c r="P99" s="89">
        <v>0</v>
      </c>
      <c r="Q99" s="96">
        <v>40</v>
      </c>
      <c r="R99" s="69">
        <v>0</v>
      </c>
      <c r="S99" s="70">
        <v>0</v>
      </c>
      <c r="T99" s="69">
        <f t="shared" si="40"/>
        <v>0</v>
      </c>
      <c r="U99" s="136">
        <f t="shared" si="41"/>
        <v>0</v>
      </c>
      <c r="V99" s="98">
        <f t="shared" si="42"/>
        <v>40</v>
      </c>
      <c r="W99" s="90">
        <v>0</v>
      </c>
      <c r="X99" s="69">
        <v>0</v>
      </c>
      <c r="Y99" s="77">
        <v>1</v>
      </c>
      <c r="Z99" s="69">
        <f t="shared" si="43"/>
        <v>0</v>
      </c>
      <c r="AA99" s="89">
        <f t="shared" si="44"/>
        <v>0</v>
      </c>
      <c r="AB99" s="98">
        <f t="shared" si="45"/>
        <v>40</v>
      </c>
      <c r="AC99" s="103">
        <v>0</v>
      </c>
      <c r="AD99" s="69">
        <f t="shared" si="46"/>
        <v>0</v>
      </c>
      <c r="AE99" s="89">
        <f t="shared" si="47"/>
        <v>40</v>
      </c>
      <c r="AF99" s="106"/>
      <c r="AG99" s="80" t="s">
        <v>66</v>
      </c>
      <c r="AH99" s="109" t="s">
        <v>63</v>
      </c>
      <c r="AI99" s="80" t="s">
        <v>8</v>
      </c>
      <c r="AJ99" s="113" t="s">
        <v>5</v>
      </c>
      <c r="AK99" s="116" t="s">
        <v>8</v>
      </c>
      <c r="AL99" s="80" t="str">
        <f t="shared" si="48"/>
        <v>NON</v>
      </c>
      <c r="AM99" s="81" t="str">
        <f t="shared" si="49"/>
        <v>vendu</v>
      </c>
      <c r="AN99" s="80">
        <f t="shared" si="50"/>
        <v>2025</v>
      </c>
      <c r="AO99" s="64">
        <f t="shared" si="51"/>
        <v>2</v>
      </c>
      <c r="AP99" s="64"/>
      <c r="AQ99" s="81"/>
    </row>
    <row r="100" spans="1:43" ht="36.950000000000003" customHeight="1" x14ac:dyDescent="0.25">
      <c r="A100" s="80">
        <v>230002</v>
      </c>
      <c r="B100" s="64" t="s">
        <v>129</v>
      </c>
      <c r="C100" s="81">
        <v>1</v>
      </c>
      <c r="D100" s="80"/>
      <c r="E100" s="81"/>
      <c r="F100" s="80" t="s">
        <v>70</v>
      </c>
      <c r="G100" s="64">
        <f>IF(F100="","",IFERROR(VLOOKUP(F100,'validation des champs'!A:B,2,FALSE),"vide"))</f>
        <v>116</v>
      </c>
      <c r="H100" s="64" t="s">
        <v>78</v>
      </c>
      <c r="I100" s="64">
        <f>IF(H100="","",IFERROR(VLOOKUP(H100,'validation des champs'!C:D,2,FALSE),"Mathieu 140"))</f>
        <v>118</v>
      </c>
      <c r="J100" s="185" t="s">
        <v>6</v>
      </c>
      <c r="K100" s="86">
        <v>45663</v>
      </c>
      <c r="L100" s="90">
        <v>0</v>
      </c>
      <c r="M100" s="71">
        <v>0</v>
      </c>
      <c r="N100" s="70">
        <v>1</v>
      </c>
      <c r="O100" s="69">
        <v>0</v>
      </c>
      <c r="P100" s="89">
        <v>0</v>
      </c>
      <c r="Q100" s="96">
        <v>55</v>
      </c>
      <c r="R100" s="69">
        <v>0</v>
      </c>
      <c r="S100" s="70">
        <v>0</v>
      </c>
      <c r="T100" s="69">
        <f t="shared" si="40"/>
        <v>0</v>
      </c>
      <c r="U100" s="136">
        <f t="shared" si="41"/>
        <v>0</v>
      </c>
      <c r="V100" s="98">
        <f t="shared" si="42"/>
        <v>55</v>
      </c>
      <c r="W100" s="90">
        <v>0</v>
      </c>
      <c r="X100" s="69">
        <v>0</v>
      </c>
      <c r="Y100" s="77">
        <v>1</v>
      </c>
      <c r="Z100" s="69">
        <f t="shared" si="43"/>
        <v>0</v>
      </c>
      <c r="AA100" s="89">
        <f t="shared" si="44"/>
        <v>0</v>
      </c>
      <c r="AB100" s="98">
        <f t="shared" si="45"/>
        <v>55</v>
      </c>
      <c r="AC100" s="103">
        <v>0</v>
      </c>
      <c r="AD100" s="69">
        <f t="shared" si="46"/>
        <v>0</v>
      </c>
      <c r="AE100" s="89">
        <f t="shared" si="47"/>
        <v>55</v>
      </c>
      <c r="AF100" s="106"/>
      <c r="AG100" s="80" t="s">
        <v>66</v>
      </c>
      <c r="AH100" s="109" t="s">
        <v>63</v>
      </c>
      <c r="AI100" s="80" t="s">
        <v>8</v>
      </c>
      <c r="AJ100" s="113" t="s">
        <v>5</v>
      </c>
      <c r="AK100" s="116" t="s">
        <v>8</v>
      </c>
      <c r="AL100" s="80" t="str">
        <f t="shared" si="48"/>
        <v>NON</v>
      </c>
      <c r="AM100" s="81" t="str">
        <f t="shared" si="49"/>
        <v>vendu</v>
      </c>
      <c r="AN100" s="80">
        <f t="shared" si="50"/>
        <v>2025</v>
      </c>
      <c r="AO100" s="64">
        <f t="shared" si="51"/>
        <v>2</v>
      </c>
      <c r="AP100" s="64"/>
      <c r="AQ100" s="81"/>
    </row>
    <row r="101" spans="1:43" ht="36.950000000000003" customHeight="1" x14ac:dyDescent="0.25">
      <c r="A101" s="80">
        <v>230002</v>
      </c>
      <c r="B101" s="64" t="s">
        <v>206</v>
      </c>
      <c r="C101" s="81">
        <v>1</v>
      </c>
      <c r="D101" s="80"/>
      <c r="E101" s="81"/>
      <c r="F101" s="80" t="s">
        <v>70</v>
      </c>
      <c r="G101" s="64">
        <f>IF(F101="","",IFERROR(VLOOKUP(F101,'validation des champs'!A:B,2,FALSE),"vide"))</f>
        <v>116</v>
      </c>
      <c r="H101" s="64" t="s">
        <v>78</v>
      </c>
      <c r="I101" s="64">
        <f>IF(H101="","",IFERROR(VLOOKUP(H101,'validation des champs'!C:D,2,FALSE),"Mathieu 140"))</f>
        <v>118</v>
      </c>
      <c r="J101" s="185" t="s">
        <v>6</v>
      </c>
      <c r="K101" s="86">
        <v>45663</v>
      </c>
      <c r="L101" s="90">
        <v>0</v>
      </c>
      <c r="M101" s="71">
        <v>0</v>
      </c>
      <c r="N101" s="70">
        <v>1</v>
      </c>
      <c r="O101" s="69">
        <v>0</v>
      </c>
      <c r="P101" s="89">
        <v>0</v>
      </c>
      <c r="Q101" s="96">
        <v>30</v>
      </c>
      <c r="R101" s="69">
        <v>0</v>
      </c>
      <c r="S101" s="70">
        <v>0</v>
      </c>
      <c r="T101" s="69">
        <f t="shared" si="40"/>
        <v>0</v>
      </c>
      <c r="U101" s="136">
        <f t="shared" si="41"/>
        <v>0</v>
      </c>
      <c r="V101" s="98">
        <f t="shared" si="42"/>
        <v>30</v>
      </c>
      <c r="W101" s="90">
        <v>0</v>
      </c>
      <c r="X101" s="69">
        <v>0</v>
      </c>
      <c r="Y101" s="77">
        <v>1</v>
      </c>
      <c r="Z101" s="69">
        <f t="shared" si="43"/>
        <v>0</v>
      </c>
      <c r="AA101" s="89">
        <f t="shared" si="44"/>
        <v>0</v>
      </c>
      <c r="AB101" s="98">
        <f t="shared" si="45"/>
        <v>30</v>
      </c>
      <c r="AC101" s="103">
        <v>0</v>
      </c>
      <c r="AD101" s="69">
        <f t="shared" si="46"/>
        <v>0</v>
      </c>
      <c r="AE101" s="89">
        <f t="shared" si="47"/>
        <v>30</v>
      </c>
      <c r="AF101" s="106"/>
      <c r="AG101" s="80" t="s">
        <v>66</v>
      </c>
      <c r="AH101" s="109" t="s">
        <v>63</v>
      </c>
      <c r="AI101" s="80" t="s">
        <v>8</v>
      </c>
      <c r="AJ101" s="113" t="s">
        <v>5</v>
      </c>
      <c r="AK101" s="116" t="s">
        <v>8</v>
      </c>
      <c r="AL101" s="80" t="str">
        <f t="shared" si="48"/>
        <v>NON</v>
      </c>
      <c r="AM101" s="81" t="str">
        <f t="shared" si="49"/>
        <v>vendu</v>
      </c>
      <c r="AN101" s="80">
        <f t="shared" si="50"/>
        <v>2025</v>
      </c>
      <c r="AO101" s="64">
        <f t="shared" si="51"/>
        <v>2</v>
      </c>
      <c r="AP101" s="64"/>
      <c r="AQ101" s="81"/>
    </row>
    <row r="102" spans="1:43" ht="36.950000000000003" customHeight="1" x14ac:dyDescent="0.25">
      <c r="A102" s="80">
        <v>230002</v>
      </c>
      <c r="B102" s="64" t="s">
        <v>128</v>
      </c>
      <c r="C102" s="81">
        <v>1</v>
      </c>
      <c r="D102" s="80"/>
      <c r="E102" s="81"/>
      <c r="F102" s="80" t="s">
        <v>70</v>
      </c>
      <c r="G102" s="64">
        <f>IF(F102="","",IFERROR(VLOOKUP(F102,'validation des champs'!A:B,2,FALSE),"vide"))</f>
        <v>116</v>
      </c>
      <c r="H102" s="64" t="s">
        <v>78</v>
      </c>
      <c r="I102" s="64">
        <f>IF(H102="","",IFERROR(VLOOKUP(H102,'validation des champs'!C:D,2,FALSE),"Mathieu 140"))</f>
        <v>118</v>
      </c>
      <c r="J102" s="185" t="s">
        <v>6</v>
      </c>
      <c r="K102" s="86">
        <v>45663</v>
      </c>
      <c r="L102" s="90">
        <v>0</v>
      </c>
      <c r="M102" s="71">
        <v>0</v>
      </c>
      <c r="N102" s="70">
        <v>1</v>
      </c>
      <c r="O102" s="69">
        <v>0</v>
      </c>
      <c r="P102" s="89">
        <v>0</v>
      </c>
      <c r="Q102" s="96">
        <v>12</v>
      </c>
      <c r="R102" s="69">
        <v>0</v>
      </c>
      <c r="S102" s="70">
        <v>0</v>
      </c>
      <c r="T102" s="69">
        <f t="shared" si="40"/>
        <v>0</v>
      </c>
      <c r="U102" s="136">
        <f t="shared" si="41"/>
        <v>0</v>
      </c>
      <c r="V102" s="98">
        <f t="shared" si="42"/>
        <v>12</v>
      </c>
      <c r="W102" s="90">
        <v>0</v>
      </c>
      <c r="X102" s="69">
        <v>0</v>
      </c>
      <c r="Y102" s="77">
        <v>1</v>
      </c>
      <c r="Z102" s="69">
        <f t="shared" si="43"/>
        <v>0</v>
      </c>
      <c r="AA102" s="89">
        <f t="shared" si="44"/>
        <v>0</v>
      </c>
      <c r="AB102" s="98">
        <f t="shared" si="45"/>
        <v>12</v>
      </c>
      <c r="AC102" s="103">
        <v>0</v>
      </c>
      <c r="AD102" s="69">
        <f t="shared" si="46"/>
        <v>0</v>
      </c>
      <c r="AE102" s="89">
        <f t="shared" si="47"/>
        <v>12</v>
      </c>
      <c r="AF102" s="106"/>
      <c r="AG102" s="80" t="s">
        <v>66</v>
      </c>
      <c r="AH102" s="109" t="s">
        <v>63</v>
      </c>
      <c r="AI102" s="80" t="s">
        <v>8</v>
      </c>
      <c r="AJ102" s="113" t="s">
        <v>5</v>
      </c>
      <c r="AK102" s="116" t="s">
        <v>8</v>
      </c>
      <c r="AL102" s="80" t="str">
        <f t="shared" si="48"/>
        <v>NON</v>
      </c>
      <c r="AM102" s="81" t="str">
        <f t="shared" si="49"/>
        <v>vendu</v>
      </c>
      <c r="AN102" s="80">
        <f t="shared" si="50"/>
        <v>2025</v>
      </c>
      <c r="AO102" s="64">
        <f t="shared" si="51"/>
        <v>2</v>
      </c>
      <c r="AP102" s="64"/>
      <c r="AQ102" s="81"/>
    </row>
    <row r="103" spans="1:43" ht="36.950000000000003" customHeight="1" x14ac:dyDescent="0.25">
      <c r="A103" s="80">
        <v>230002</v>
      </c>
      <c r="B103" s="64" t="s">
        <v>125</v>
      </c>
      <c r="C103" s="81">
        <v>1</v>
      </c>
      <c r="D103" s="80"/>
      <c r="E103" s="81"/>
      <c r="F103" s="80" t="s">
        <v>70</v>
      </c>
      <c r="G103" s="64">
        <f>IF(F103="","",IFERROR(VLOOKUP(F103,'validation des champs'!A:B,2,FALSE),"vide"))</f>
        <v>116</v>
      </c>
      <c r="H103" s="64" t="s">
        <v>78</v>
      </c>
      <c r="I103" s="64">
        <f>IF(H103="","",IFERROR(VLOOKUP(H103,'validation des champs'!C:D,2,FALSE),"Mathieu 140"))</f>
        <v>118</v>
      </c>
      <c r="J103" s="185" t="s">
        <v>6</v>
      </c>
      <c r="K103" s="86">
        <v>45663</v>
      </c>
      <c r="L103" s="90">
        <v>0</v>
      </c>
      <c r="M103" s="71">
        <v>0</v>
      </c>
      <c r="N103" s="70">
        <v>1</v>
      </c>
      <c r="O103" s="69">
        <v>0</v>
      </c>
      <c r="P103" s="89">
        <v>0</v>
      </c>
      <c r="Q103" s="96">
        <v>41</v>
      </c>
      <c r="R103" s="69">
        <v>0</v>
      </c>
      <c r="S103" s="70">
        <v>0</v>
      </c>
      <c r="T103" s="69">
        <f t="shared" si="40"/>
        <v>0</v>
      </c>
      <c r="U103" s="136">
        <f t="shared" si="41"/>
        <v>0</v>
      </c>
      <c r="V103" s="98">
        <f t="shared" si="42"/>
        <v>41</v>
      </c>
      <c r="W103" s="90">
        <v>0</v>
      </c>
      <c r="X103" s="69">
        <v>0</v>
      </c>
      <c r="Y103" s="77">
        <v>1</v>
      </c>
      <c r="Z103" s="69">
        <f t="shared" si="43"/>
        <v>0</v>
      </c>
      <c r="AA103" s="89">
        <f t="shared" si="44"/>
        <v>0</v>
      </c>
      <c r="AB103" s="98">
        <f t="shared" si="45"/>
        <v>41</v>
      </c>
      <c r="AC103" s="103">
        <v>0</v>
      </c>
      <c r="AD103" s="69">
        <f t="shared" si="46"/>
        <v>0</v>
      </c>
      <c r="AE103" s="89">
        <f t="shared" si="47"/>
        <v>41</v>
      </c>
      <c r="AF103" s="106"/>
      <c r="AG103" s="80" t="s">
        <v>66</v>
      </c>
      <c r="AH103" s="109" t="s">
        <v>63</v>
      </c>
      <c r="AI103" s="80" t="s">
        <v>8</v>
      </c>
      <c r="AJ103" s="113" t="s">
        <v>5</v>
      </c>
      <c r="AK103" s="116" t="s">
        <v>8</v>
      </c>
      <c r="AL103" s="80" t="str">
        <f t="shared" si="48"/>
        <v>NON</v>
      </c>
      <c r="AM103" s="81" t="str">
        <f t="shared" si="49"/>
        <v>vendu</v>
      </c>
      <c r="AN103" s="80">
        <f t="shared" si="50"/>
        <v>2025</v>
      </c>
      <c r="AO103" s="64">
        <f t="shared" si="51"/>
        <v>2</v>
      </c>
      <c r="AP103" s="64"/>
      <c r="AQ103" s="81"/>
    </row>
    <row r="104" spans="1:43" ht="36.950000000000003" customHeight="1" x14ac:dyDescent="0.25">
      <c r="A104" s="80">
        <v>230002</v>
      </c>
      <c r="B104" s="65" t="s">
        <v>122</v>
      </c>
      <c r="C104" s="81">
        <v>1</v>
      </c>
      <c r="D104" s="80"/>
      <c r="E104" s="81"/>
      <c r="F104" s="80" t="s">
        <v>70</v>
      </c>
      <c r="G104" s="64">
        <f>IF(F104="","",IFERROR(VLOOKUP(F104,'validation des champs'!A:B,2,FALSE),"vide"))</f>
        <v>116</v>
      </c>
      <c r="H104" s="64" t="s">
        <v>78</v>
      </c>
      <c r="I104" s="64">
        <f>IF(H104="","",IFERROR(VLOOKUP(H104,'validation des champs'!C:D,2,FALSE),"Mathieu 140"))</f>
        <v>118</v>
      </c>
      <c r="J104" s="185">
        <v>8.1</v>
      </c>
      <c r="K104" s="86">
        <v>45663</v>
      </c>
      <c r="L104" s="90">
        <v>0</v>
      </c>
      <c r="M104" s="71">
        <v>0</v>
      </c>
      <c r="N104" s="70">
        <v>1</v>
      </c>
      <c r="O104" s="69">
        <v>0</v>
      </c>
      <c r="P104" s="89">
        <v>0</v>
      </c>
      <c r="Q104" s="96">
        <v>20.692</v>
      </c>
      <c r="R104" s="69">
        <v>0</v>
      </c>
      <c r="S104" s="70">
        <v>0</v>
      </c>
      <c r="T104" s="69">
        <f t="shared" si="40"/>
        <v>0</v>
      </c>
      <c r="U104" s="136">
        <f t="shared" si="41"/>
        <v>0</v>
      </c>
      <c r="V104" s="98">
        <f t="shared" si="42"/>
        <v>20.692</v>
      </c>
      <c r="W104" s="90">
        <v>0</v>
      </c>
      <c r="X104" s="69">
        <v>0</v>
      </c>
      <c r="Y104" s="77">
        <v>1</v>
      </c>
      <c r="Z104" s="69">
        <f t="shared" si="43"/>
        <v>0</v>
      </c>
      <c r="AA104" s="89">
        <f t="shared" si="44"/>
        <v>0</v>
      </c>
      <c r="AB104" s="98">
        <f t="shared" si="45"/>
        <v>20.692</v>
      </c>
      <c r="AC104" s="103">
        <v>1</v>
      </c>
      <c r="AD104" s="69">
        <f t="shared" si="46"/>
        <v>20.692</v>
      </c>
      <c r="AE104" s="89">
        <f t="shared" si="47"/>
        <v>0</v>
      </c>
      <c r="AF104" s="106"/>
      <c r="AG104" s="80" t="s">
        <v>66</v>
      </c>
      <c r="AH104" s="109" t="s">
        <v>63</v>
      </c>
      <c r="AI104" s="80" t="s">
        <v>8</v>
      </c>
      <c r="AJ104" s="113" t="s">
        <v>5</v>
      </c>
      <c r="AK104" s="116" t="s">
        <v>8</v>
      </c>
      <c r="AL104" s="80" t="str">
        <f t="shared" si="48"/>
        <v>NON</v>
      </c>
      <c r="AM104" s="81" t="str">
        <f t="shared" si="49"/>
        <v>vendu</v>
      </c>
      <c r="AN104" s="80">
        <f t="shared" si="50"/>
        <v>2025</v>
      </c>
      <c r="AO104" s="64">
        <f t="shared" si="51"/>
        <v>2</v>
      </c>
      <c r="AP104" s="64"/>
      <c r="AQ104" s="81"/>
    </row>
    <row r="105" spans="1:43" ht="36.950000000000003" customHeight="1" x14ac:dyDescent="0.25">
      <c r="A105" s="80">
        <v>230002</v>
      </c>
      <c r="B105" s="64" t="s">
        <v>127</v>
      </c>
      <c r="C105" s="81">
        <v>1</v>
      </c>
      <c r="D105" s="80"/>
      <c r="E105" s="81"/>
      <c r="F105" s="80" t="s">
        <v>70</v>
      </c>
      <c r="G105" s="64">
        <f>IF(F105="","",IFERROR(VLOOKUP(F105,'validation des champs'!A:B,2,FALSE),"vide"))</f>
        <v>116</v>
      </c>
      <c r="H105" s="64" t="s">
        <v>78</v>
      </c>
      <c r="I105" s="64">
        <f>IF(H105="","",IFERROR(VLOOKUP(H105,'validation des champs'!C:D,2,FALSE),"Mathieu 140"))</f>
        <v>118</v>
      </c>
      <c r="J105" s="185" t="s">
        <v>6</v>
      </c>
      <c r="K105" s="86">
        <v>45663</v>
      </c>
      <c r="L105" s="90">
        <v>0</v>
      </c>
      <c r="M105" s="71">
        <v>0</v>
      </c>
      <c r="N105" s="70">
        <v>1</v>
      </c>
      <c r="O105" s="69">
        <v>0</v>
      </c>
      <c r="P105" s="89">
        <v>0</v>
      </c>
      <c r="Q105" s="96">
        <v>50</v>
      </c>
      <c r="R105" s="69">
        <v>0</v>
      </c>
      <c r="S105" s="70">
        <v>0</v>
      </c>
      <c r="T105" s="69">
        <f t="shared" si="40"/>
        <v>0</v>
      </c>
      <c r="U105" s="136">
        <f t="shared" si="41"/>
        <v>0</v>
      </c>
      <c r="V105" s="98">
        <f t="shared" si="42"/>
        <v>50</v>
      </c>
      <c r="W105" s="90">
        <v>0</v>
      </c>
      <c r="X105" s="69">
        <v>0</v>
      </c>
      <c r="Y105" s="77">
        <v>1</v>
      </c>
      <c r="Z105" s="69">
        <f t="shared" si="43"/>
        <v>0</v>
      </c>
      <c r="AA105" s="89">
        <f t="shared" si="44"/>
        <v>0</v>
      </c>
      <c r="AB105" s="98">
        <f t="shared" si="45"/>
        <v>50</v>
      </c>
      <c r="AC105" s="103">
        <v>0</v>
      </c>
      <c r="AD105" s="69">
        <f t="shared" si="46"/>
        <v>0</v>
      </c>
      <c r="AE105" s="89">
        <f t="shared" si="47"/>
        <v>50</v>
      </c>
      <c r="AF105" s="106"/>
      <c r="AG105" s="80" t="s">
        <v>66</v>
      </c>
      <c r="AH105" s="109" t="s">
        <v>63</v>
      </c>
      <c r="AI105" s="80" t="s">
        <v>8</v>
      </c>
      <c r="AJ105" s="113" t="s">
        <v>5</v>
      </c>
      <c r="AK105" s="116" t="s">
        <v>8</v>
      </c>
      <c r="AL105" s="80" t="str">
        <f t="shared" si="48"/>
        <v>NON</v>
      </c>
      <c r="AM105" s="81" t="str">
        <f t="shared" si="49"/>
        <v>vendu</v>
      </c>
      <c r="AN105" s="80">
        <f t="shared" si="50"/>
        <v>2025</v>
      </c>
      <c r="AO105" s="64">
        <f t="shared" si="51"/>
        <v>2</v>
      </c>
      <c r="AP105" s="64"/>
      <c r="AQ105" s="81"/>
    </row>
    <row r="106" spans="1:43" ht="36.950000000000003" customHeight="1" x14ac:dyDescent="0.25">
      <c r="A106" s="80">
        <v>230002</v>
      </c>
      <c r="B106" s="64" t="s">
        <v>130</v>
      </c>
      <c r="C106" s="81">
        <v>1</v>
      </c>
      <c r="D106" s="80"/>
      <c r="E106" s="81"/>
      <c r="F106" s="80" t="s">
        <v>70</v>
      </c>
      <c r="G106" s="64">
        <f>IF(F106="","",IFERROR(VLOOKUP(F106,'validation des champs'!A:B,2,FALSE),"vide"))</f>
        <v>116</v>
      </c>
      <c r="H106" s="64" t="s">
        <v>78</v>
      </c>
      <c r="I106" s="64">
        <f>IF(H106="","",IFERROR(VLOOKUP(H106,'validation des champs'!C:D,2,FALSE),"Mathieu 140"))</f>
        <v>118</v>
      </c>
      <c r="J106" s="185" t="s">
        <v>6</v>
      </c>
      <c r="K106" s="86">
        <v>45663</v>
      </c>
      <c r="L106" s="90">
        <v>0</v>
      </c>
      <c r="M106" s="71">
        <v>0</v>
      </c>
      <c r="N106" s="70">
        <v>1</v>
      </c>
      <c r="O106" s="69">
        <v>0</v>
      </c>
      <c r="P106" s="89">
        <v>0</v>
      </c>
      <c r="Q106" s="96">
        <v>49</v>
      </c>
      <c r="R106" s="69">
        <v>0</v>
      </c>
      <c r="S106" s="70">
        <v>0</v>
      </c>
      <c r="T106" s="69">
        <f t="shared" si="40"/>
        <v>0</v>
      </c>
      <c r="U106" s="136">
        <f t="shared" si="41"/>
        <v>0</v>
      </c>
      <c r="V106" s="98">
        <f t="shared" si="42"/>
        <v>49</v>
      </c>
      <c r="W106" s="90">
        <v>0</v>
      </c>
      <c r="X106" s="69">
        <v>0</v>
      </c>
      <c r="Y106" s="77">
        <v>1</v>
      </c>
      <c r="Z106" s="69">
        <f t="shared" si="43"/>
        <v>0</v>
      </c>
      <c r="AA106" s="89">
        <f t="shared" si="44"/>
        <v>0</v>
      </c>
      <c r="AB106" s="98">
        <f t="shared" si="45"/>
        <v>49</v>
      </c>
      <c r="AC106" s="103">
        <v>0</v>
      </c>
      <c r="AD106" s="69">
        <f t="shared" si="46"/>
        <v>0</v>
      </c>
      <c r="AE106" s="89">
        <f t="shared" si="47"/>
        <v>49</v>
      </c>
      <c r="AF106" s="106"/>
      <c r="AG106" s="80" t="s">
        <v>66</v>
      </c>
      <c r="AH106" s="109" t="s">
        <v>63</v>
      </c>
      <c r="AI106" s="80" t="s">
        <v>8</v>
      </c>
      <c r="AJ106" s="113" t="s">
        <v>5</v>
      </c>
      <c r="AK106" s="116" t="s">
        <v>8</v>
      </c>
      <c r="AL106" s="80" t="str">
        <f t="shared" si="48"/>
        <v>NON</v>
      </c>
      <c r="AM106" s="81" t="str">
        <f t="shared" si="49"/>
        <v>vendu</v>
      </c>
      <c r="AN106" s="80">
        <f t="shared" si="50"/>
        <v>2025</v>
      </c>
      <c r="AO106" s="64">
        <f t="shared" si="51"/>
        <v>2</v>
      </c>
      <c r="AP106" s="64"/>
      <c r="AQ106" s="81"/>
    </row>
    <row r="107" spans="1:43" ht="36.950000000000003" customHeight="1" x14ac:dyDescent="0.25">
      <c r="A107" s="80">
        <v>190189</v>
      </c>
      <c r="B107" s="64" t="s">
        <v>207</v>
      </c>
      <c r="C107" s="81">
        <v>1</v>
      </c>
      <c r="D107" s="80"/>
      <c r="E107" s="81"/>
      <c r="F107" s="80" t="s">
        <v>70</v>
      </c>
      <c r="G107" s="64">
        <f>IF(F107="","",IFERROR(VLOOKUP(F107,'validation des champs'!A:B,2,FALSE),"vide"))</f>
        <v>116</v>
      </c>
      <c r="H107" s="64" t="s">
        <v>78</v>
      </c>
      <c r="I107" s="64">
        <f>IF(H107="","",IFERROR(VLOOKUP(H107,'validation des champs'!C:D,2,FALSE),"Mathieu 140"))</f>
        <v>118</v>
      </c>
      <c r="J107" s="185" t="s">
        <v>6</v>
      </c>
      <c r="K107" s="86">
        <v>45663</v>
      </c>
      <c r="L107" s="90">
        <v>0</v>
      </c>
      <c r="M107" s="71">
        <v>0</v>
      </c>
      <c r="N107" s="70">
        <v>1</v>
      </c>
      <c r="O107" s="69">
        <v>0</v>
      </c>
      <c r="P107" s="89">
        <v>0</v>
      </c>
      <c r="Q107" s="97">
        <v>30</v>
      </c>
      <c r="R107" s="69">
        <v>0</v>
      </c>
      <c r="S107" s="70">
        <v>0</v>
      </c>
      <c r="T107" s="69">
        <f t="shared" si="40"/>
        <v>0</v>
      </c>
      <c r="U107" s="136">
        <f t="shared" si="41"/>
        <v>0</v>
      </c>
      <c r="V107" s="98">
        <f t="shared" si="42"/>
        <v>30</v>
      </c>
      <c r="W107" s="90">
        <v>0</v>
      </c>
      <c r="X107" s="69">
        <v>0</v>
      </c>
      <c r="Y107" s="77">
        <v>1</v>
      </c>
      <c r="Z107" s="69">
        <f t="shared" si="43"/>
        <v>0</v>
      </c>
      <c r="AA107" s="89">
        <f t="shared" si="44"/>
        <v>0</v>
      </c>
      <c r="AB107" s="98">
        <v>0</v>
      </c>
      <c r="AC107" s="103">
        <v>0</v>
      </c>
      <c r="AD107" s="69">
        <f t="shared" si="46"/>
        <v>0</v>
      </c>
      <c r="AE107" s="89">
        <f t="shared" si="47"/>
        <v>30</v>
      </c>
      <c r="AF107" s="106"/>
      <c r="AG107" s="80" t="s">
        <v>66</v>
      </c>
      <c r="AH107" s="109" t="s">
        <v>63</v>
      </c>
      <c r="AI107" s="80" t="s">
        <v>8</v>
      </c>
      <c r="AJ107" s="113" t="s">
        <v>5</v>
      </c>
      <c r="AK107" s="116" t="s">
        <v>8</v>
      </c>
      <c r="AL107" s="80" t="str">
        <f t="shared" si="48"/>
        <v>NON</v>
      </c>
      <c r="AM107" s="81" t="str">
        <f t="shared" si="49"/>
        <v>vendu</v>
      </c>
      <c r="AN107" s="80">
        <f t="shared" si="50"/>
        <v>2025</v>
      </c>
      <c r="AO107" s="64">
        <f t="shared" si="51"/>
        <v>2</v>
      </c>
      <c r="AP107" s="64"/>
      <c r="AQ107" s="81"/>
    </row>
    <row r="108" spans="1:43" ht="36.950000000000003" customHeight="1" x14ac:dyDescent="0.25">
      <c r="A108" s="80">
        <v>190189</v>
      </c>
      <c r="B108" s="64" t="s">
        <v>133</v>
      </c>
      <c r="C108" s="81">
        <v>1</v>
      </c>
      <c r="D108" s="80"/>
      <c r="E108" s="81"/>
      <c r="F108" s="80" t="s">
        <v>70</v>
      </c>
      <c r="G108" s="64">
        <f>IF(F108="","",IFERROR(VLOOKUP(F108,'validation des champs'!A:B,2,FALSE),"vide"))</f>
        <v>116</v>
      </c>
      <c r="H108" s="64" t="s">
        <v>78</v>
      </c>
      <c r="I108" s="64">
        <f>IF(H108="","",IFERROR(VLOOKUP(H108,'validation des champs'!C:D,2,FALSE),"Mathieu 140"))</f>
        <v>118</v>
      </c>
      <c r="J108" s="185" t="s">
        <v>6</v>
      </c>
      <c r="K108" s="86">
        <v>45663</v>
      </c>
      <c r="L108" s="90">
        <v>0</v>
      </c>
      <c r="M108" s="71">
        <v>0</v>
      </c>
      <c r="N108" s="70">
        <v>1</v>
      </c>
      <c r="O108" s="69">
        <v>0</v>
      </c>
      <c r="P108" s="89">
        <v>0</v>
      </c>
      <c r="Q108" s="96">
        <v>55</v>
      </c>
      <c r="R108" s="69">
        <v>0</v>
      </c>
      <c r="S108" s="70">
        <v>0</v>
      </c>
      <c r="T108" s="69">
        <f t="shared" si="40"/>
        <v>0</v>
      </c>
      <c r="U108" s="136">
        <f t="shared" si="41"/>
        <v>0</v>
      </c>
      <c r="V108" s="98">
        <f t="shared" si="42"/>
        <v>55</v>
      </c>
      <c r="W108" s="90">
        <v>0</v>
      </c>
      <c r="X108" s="69">
        <v>0</v>
      </c>
      <c r="Y108" s="77">
        <v>1</v>
      </c>
      <c r="Z108" s="69">
        <f t="shared" si="43"/>
        <v>0</v>
      </c>
      <c r="AA108" s="89">
        <f t="shared" si="44"/>
        <v>0</v>
      </c>
      <c r="AB108" s="98">
        <f t="shared" ref="AB108:AB115" si="52">+L108+Q108+W108</f>
        <v>55</v>
      </c>
      <c r="AC108" s="103">
        <v>0</v>
      </c>
      <c r="AD108" s="69">
        <f t="shared" si="46"/>
        <v>0</v>
      </c>
      <c r="AE108" s="89">
        <f t="shared" si="47"/>
        <v>55</v>
      </c>
      <c r="AF108" s="106"/>
      <c r="AG108" s="80" t="s">
        <v>66</v>
      </c>
      <c r="AH108" s="109" t="s">
        <v>63</v>
      </c>
      <c r="AI108" s="80" t="s">
        <v>8</v>
      </c>
      <c r="AJ108" s="113" t="s">
        <v>5</v>
      </c>
      <c r="AK108" s="116" t="s">
        <v>8</v>
      </c>
      <c r="AL108" s="80" t="str">
        <f t="shared" si="48"/>
        <v>NON</v>
      </c>
      <c r="AM108" s="81" t="str">
        <f t="shared" si="49"/>
        <v>vendu</v>
      </c>
      <c r="AN108" s="80">
        <f t="shared" si="50"/>
        <v>2025</v>
      </c>
      <c r="AO108" s="64">
        <f t="shared" si="51"/>
        <v>2</v>
      </c>
      <c r="AP108" s="64"/>
      <c r="AQ108" s="81"/>
    </row>
    <row r="109" spans="1:43" ht="36.950000000000003" customHeight="1" x14ac:dyDescent="0.25">
      <c r="A109" s="80">
        <v>190189</v>
      </c>
      <c r="B109" s="64" t="s">
        <v>132</v>
      </c>
      <c r="C109" s="81">
        <v>1</v>
      </c>
      <c r="D109" s="80"/>
      <c r="E109" s="81"/>
      <c r="F109" s="80" t="s">
        <v>70</v>
      </c>
      <c r="G109" s="64">
        <f>IF(F109="","",IFERROR(VLOOKUP(F109,'validation des champs'!A:B,2,FALSE),"vide"))</f>
        <v>116</v>
      </c>
      <c r="H109" s="64" t="s">
        <v>78</v>
      </c>
      <c r="I109" s="64">
        <f>IF(H109="","",IFERROR(VLOOKUP(H109,'validation des champs'!C:D,2,FALSE),"Mathieu 140"))</f>
        <v>118</v>
      </c>
      <c r="J109" s="185" t="s">
        <v>6</v>
      </c>
      <c r="K109" s="86">
        <v>45663</v>
      </c>
      <c r="L109" s="90">
        <v>0</v>
      </c>
      <c r="M109" s="71">
        <v>0</v>
      </c>
      <c r="N109" s="70">
        <v>1</v>
      </c>
      <c r="O109" s="69">
        <v>0</v>
      </c>
      <c r="P109" s="89">
        <v>0</v>
      </c>
      <c r="Q109" s="96">
        <v>40</v>
      </c>
      <c r="R109" s="69">
        <v>0</v>
      </c>
      <c r="S109" s="70">
        <v>0</v>
      </c>
      <c r="T109" s="69">
        <f t="shared" si="40"/>
        <v>0</v>
      </c>
      <c r="U109" s="136">
        <f t="shared" si="41"/>
        <v>0</v>
      </c>
      <c r="V109" s="98">
        <f t="shared" si="42"/>
        <v>40</v>
      </c>
      <c r="W109" s="90">
        <v>0</v>
      </c>
      <c r="X109" s="69">
        <v>0</v>
      </c>
      <c r="Y109" s="77">
        <v>1</v>
      </c>
      <c r="Z109" s="69">
        <f t="shared" si="43"/>
        <v>0</v>
      </c>
      <c r="AA109" s="89">
        <f t="shared" si="44"/>
        <v>0</v>
      </c>
      <c r="AB109" s="98">
        <f t="shared" si="52"/>
        <v>40</v>
      </c>
      <c r="AC109" s="103">
        <v>0</v>
      </c>
      <c r="AD109" s="69">
        <f t="shared" si="46"/>
        <v>0</v>
      </c>
      <c r="AE109" s="89">
        <f t="shared" si="47"/>
        <v>40</v>
      </c>
      <c r="AF109" s="106"/>
      <c r="AG109" s="80" t="s">
        <v>66</v>
      </c>
      <c r="AH109" s="109" t="s">
        <v>63</v>
      </c>
      <c r="AI109" s="80" t="s">
        <v>8</v>
      </c>
      <c r="AJ109" s="113" t="s">
        <v>5</v>
      </c>
      <c r="AK109" s="116" t="s">
        <v>8</v>
      </c>
      <c r="AL109" s="80" t="str">
        <f t="shared" si="48"/>
        <v>NON</v>
      </c>
      <c r="AM109" s="81" t="str">
        <f t="shared" si="49"/>
        <v>vendu</v>
      </c>
      <c r="AN109" s="80">
        <f t="shared" si="50"/>
        <v>2025</v>
      </c>
      <c r="AO109" s="64">
        <f t="shared" si="51"/>
        <v>2</v>
      </c>
      <c r="AP109" s="64"/>
      <c r="AQ109" s="81"/>
    </row>
    <row r="110" spans="1:43" ht="36.950000000000003" customHeight="1" x14ac:dyDescent="0.25">
      <c r="A110" s="80">
        <v>190189</v>
      </c>
      <c r="B110" s="65" t="s">
        <v>119</v>
      </c>
      <c r="C110" s="81">
        <v>1</v>
      </c>
      <c r="D110" s="80"/>
      <c r="E110" s="81"/>
      <c r="F110" s="80" t="s">
        <v>70</v>
      </c>
      <c r="G110" s="64">
        <f>IF(F110="","",IFERROR(VLOOKUP(F110,'validation des champs'!A:B,2,FALSE),"vide"))</f>
        <v>116</v>
      </c>
      <c r="H110" s="64" t="s">
        <v>78</v>
      </c>
      <c r="I110" s="64">
        <f>IF(H110="","",IFERROR(VLOOKUP(H110,'validation des champs'!C:D,2,FALSE),"Mathieu 140"))</f>
        <v>118</v>
      </c>
      <c r="J110" s="185">
        <v>8.7899999999999991</v>
      </c>
      <c r="K110" s="86">
        <v>45663</v>
      </c>
      <c r="L110" s="90">
        <v>0</v>
      </c>
      <c r="M110" s="71">
        <v>0</v>
      </c>
      <c r="N110" s="76">
        <v>1</v>
      </c>
      <c r="O110" s="69">
        <v>0</v>
      </c>
      <c r="P110" s="89">
        <v>0</v>
      </c>
      <c r="Q110" s="96">
        <v>11.618</v>
      </c>
      <c r="R110" s="69">
        <v>0</v>
      </c>
      <c r="S110" s="70">
        <v>0</v>
      </c>
      <c r="T110" s="69">
        <f t="shared" si="40"/>
        <v>0</v>
      </c>
      <c r="U110" s="136">
        <f t="shared" si="41"/>
        <v>0</v>
      </c>
      <c r="V110" s="98">
        <f t="shared" si="42"/>
        <v>11.618</v>
      </c>
      <c r="W110" s="90">
        <v>0</v>
      </c>
      <c r="X110" s="69">
        <v>0</v>
      </c>
      <c r="Y110" s="77">
        <v>1</v>
      </c>
      <c r="Z110" s="69">
        <f t="shared" si="43"/>
        <v>0</v>
      </c>
      <c r="AA110" s="89">
        <f t="shared" si="44"/>
        <v>0</v>
      </c>
      <c r="AB110" s="98">
        <f t="shared" si="52"/>
        <v>11.618</v>
      </c>
      <c r="AC110" s="103">
        <v>1</v>
      </c>
      <c r="AD110" s="69">
        <f t="shared" si="46"/>
        <v>11.618</v>
      </c>
      <c r="AE110" s="89">
        <f t="shared" si="47"/>
        <v>0</v>
      </c>
      <c r="AF110" s="106"/>
      <c r="AG110" s="80" t="s">
        <v>66</v>
      </c>
      <c r="AH110" s="109" t="s">
        <v>63</v>
      </c>
      <c r="AI110" s="80" t="s">
        <v>8</v>
      </c>
      <c r="AJ110" s="113" t="s">
        <v>5</v>
      </c>
      <c r="AK110" s="116" t="s">
        <v>8</v>
      </c>
      <c r="AL110" s="80" t="str">
        <f t="shared" si="48"/>
        <v>NON</v>
      </c>
      <c r="AM110" s="81" t="str">
        <f t="shared" si="49"/>
        <v>vendu</v>
      </c>
      <c r="AN110" s="80">
        <f t="shared" si="50"/>
        <v>2025</v>
      </c>
      <c r="AO110" s="64">
        <f t="shared" si="51"/>
        <v>2</v>
      </c>
      <c r="AP110" s="64"/>
      <c r="AQ110" s="81"/>
    </row>
    <row r="111" spans="1:43" ht="36.950000000000003" customHeight="1" x14ac:dyDescent="0.25">
      <c r="A111" s="80">
        <v>190189</v>
      </c>
      <c r="B111" s="64" t="s">
        <v>120</v>
      </c>
      <c r="C111" s="81">
        <v>1</v>
      </c>
      <c r="D111" s="80"/>
      <c r="E111" s="81"/>
      <c r="F111" s="80" t="s">
        <v>70</v>
      </c>
      <c r="G111" s="64">
        <f>IF(F111="","",IFERROR(VLOOKUP(F111,'validation des champs'!A:B,2,FALSE),"vide"))</f>
        <v>116</v>
      </c>
      <c r="H111" s="64" t="s">
        <v>78</v>
      </c>
      <c r="I111" s="64">
        <f>IF(H111="","",IFERROR(VLOOKUP(H111,'validation des champs'!C:D,2,FALSE),"Mathieu 140"))</f>
        <v>118</v>
      </c>
      <c r="J111" s="185" t="s">
        <v>6</v>
      </c>
      <c r="K111" s="86">
        <v>45663</v>
      </c>
      <c r="L111" s="90">
        <v>0</v>
      </c>
      <c r="M111" s="71">
        <v>0</v>
      </c>
      <c r="N111" s="70">
        <v>1</v>
      </c>
      <c r="O111" s="69">
        <v>0</v>
      </c>
      <c r="P111" s="89">
        <v>0</v>
      </c>
      <c r="Q111" s="96">
        <v>35</v>
      </c>
      <c r="R111" s="69">
        <v>0</v>
      </c>
      <c r="S111" s="70">
        <v>0</v>
      </c>
      <c r="T111" s="69">
        <f t="shared" si="40"/>
        <v>0</v>
      </c>
      <c r="U111" s="136">
        <f t="shared" si="41"/>
        <v>0</v>
      </c>
      <c r="V111" s="98">
        <f t="shared" si="42"/>
        <v>35</v>
      </c>
      <c r="W111" s="90">
        <v>0</v>
      </c>
      <c r="X111" s="69">
        <v>0</v>
      </c>
      <c r="Y111" s="77">
        <v>1</v>
      </c>
      <c r="Z111" s="69">
        <f t="shared" si="43"/>
        <v>0</v>
      </c>
      <c r="AA111" s="89">
        <f t="shared" si="44"/>
        <v>0</v>
      </c>
      <c r="AB111" s="98">
        <f t="shared" si="52"/>
        <v>35</v>
      </c>
      <c r="AC111" s="103">
        <v>0</v>
      </c>
      <c r="AD111" s="69">
        <f t="shared" si="46"/>
        <v>0</v>
      </c>
      <c r="AE111" s="89">
        <f t="shared" si="47"/>
        <v>35</v>
      </c>
      <c r="AF111" s="106"/>
      <c r="AG111" s="80" t="s">
        <v>66</v>
      </c>
      <c r="AH111" s="109" t="s">
        <v>63</v>
      </c>
      <c r="AI111" s="80" t="s">
        <v>8</v>
      </c>
      <c r="AJ111" s="113" t="s">
        <v>5</v>
      </c>
      <c r="AK111" s="116" t="s">
        <v>8</v>
      </c>
      <c r="AL111" s="80" t="str">
        <f t="shared" si="48"/>
        <v>NON</v>
      </c>
      <c r="AM111" s="81" t="str">
        <f t="shared" si="49"/>
        <v>vendu</v>
      </c>
      <c r="AN111" s="80">
        <f t="shared" si="50"/>
        <v>2025</v>
      </c>
      <c r="AO111" s="64">
        <f t="shared" si="51"/>
        <v>2</v>
      </c>
      <c r="AP111" s="64"/>
      <c r="AQ111" s="81"/>
    </row>
    <row r="112" spans="1:43" ht="36.950000000000003" customHeight="1" x14ac:dyDescent="0.25">
      <c r="A112" s="80">
        <v>230115</v>
      </c>
      <c r="B112" s="64" t="s">
        <v>363</v>
      </c>
      <c r="C112" s="81">
        <v>2</v>
      </c>
      <c r="D112" s="80" t="s">
        <v>223</v>
      </c>
      <c r="E112" s="81"/>
      <c r="F112" s="80" t="s">
        <v>71</v>
      </c>
      <c r="G112" s="64">
        <f>IF(F112="","",IFERROR(VLOOKUP(F112,'validation des champs'!A:B,2,FALSE),"vide"))</f>
        <v>135</v>
      </c>
      <c r="H112" s="64"/>
      <c r="I112" s="64" t="str">
        <f>IF(H112="","",IFERROR(VLOOKUP(H112,'validation des champs'!C:D,2,FALSE),"Mathieu 140"))</f>
        <v/>
      </c>
      <c r="J112" s="185">
        <v>26</v>
      </c>
      <c r="K112" s="86">
        <v>45663</v>
      </c>
      <c r="L112" s="96">
        <f>26.37/2</f>
        <v>13.185</v>
      </c>
      <c r="M112" s="69">
        <v>15</v>
      </c>
      <c r="N112" s="70">
        <v>0</v>
      </c>
      <c r="O112" s="69">
        <v>0</v>
      </c>
      <c r="P112" s="89">
        <v>0</v>
      </c>
      <c r="Q112" s="96">
        <v>13.2</v>
      </c>
      <c r="R112" s="69">
        <v>16</v>
      </c>
      <c r="S112" s="70">
        <v>0</v>
      </c>
      <c r="T112" s="69">
        <f t="shared" si="40"/>
        <v>0</v>
      </c>
      <c r="U112" s="136">
        <f t="shared" si="41"/>
        <v>16</v>
      </c>
      <c r="V112" s="98">
        <f t="shared" si="42"/>
        <v>26.384999999999998</v>
      </c>
      <c r="W112" s="97">
        <v>0.89500000000000002</v>
      </c>
      <c r="X112" s="69">
        <v>0</v>
      </c>
      <c r="Y112" s="77">
        <v>0</v>
      </c>
      <c r="Z112" s="69">
        <f t="shared" si="43"/>
        <v>0</v>
      </c>
      <c r="AA112" s="89">
        <f t="shared" si="44"/>
        <v>0</v>
      </c>
      <c r="AB112" s="98">
        <f t="shared" si="52"/>
        <v>27.279999999999998</v>
      </c>
      <c r="AC112" s="103">
        <v>0</v>
      </c>
      <c r="AD112" s="69">
        <f t="shared" si="46"/>
        <v>0</v>
      </c>
      <c r="AE112" s="89">
        <f t="shared" si="47"/>
        <v>26.384999999999998</v>
      </c>
      <c r="AF112" s="106"/>
      <c r="AG112" s="80" t="s">
        <v>87</v>
      </c>
      <c r="AH112" s="109"/>
      <c r="AI112" s="80" t="s">
        <v>4</v>
      </c>
      <c r="AJ112" s="112"/>
      <c r="AK112" s="116" t="s">
        <v>4</v>
      </c>
      <c r="AL112" s="80" t="str">
        <f t="shared" si="48"/>
        <v>NON</v>
      </c>
      <c r="AM112" s="81" t="str">
        <f t="shared" si="49"/>
        <v>vendu</v>
      </c>
      <c r="AN112" s="80">
        <f t="shared" si="50"/>
        <v>2025</v>
      </c>
      <c r="AO112" s="64">
        <f t="shared" si="51"/>
        <v>2</v>
      </c>
      <c r="AP112" s="64">
        <v>26.37</v>
      </c>
      <c r="AQ112" s="81">
        <v>0.89500000000000002</v>
      </c>
    </row>
    <row r="113" spans="1:43" ht="36.950000000000003" customHeight="1" x14ac:dyDescent="0.25">
      <c r="A113" s="80">
        <v>210042</v>
      </c>
      <c r="B113" s="64" t="s">
        <v>116</v>
      </c>
      <c r="C113" s="81">
        <v>1</v>
      </c>
      <c r="D113" s="80"/>
      <c r="E113" s="81" t="s">
        <v>117</v>
      </c>
      <c r="F113" s="80" t="s">
        <v>74</v>
      </c>
      <c r="G113" s="64">
        <f>IF(F113="","",IFERROR(VLOOKUP(F113,'validation des champs'!A:B,2,FALSE),"vide"))</f>
        <v>131</v>
      </c>
      <c r="H113" s="64" t="s">
        <v>75</v>
      </c>
      <c r="I113" s="64">
        <f>IF(H113="","",IFERROR(VLOOKUP(H113,'validation des champs'!C:D,2,FALSE),"Mathieu 140"))</f>
        <v>126</v>
      </c>
      <c r="J113" s="185" t="s">
        <v>6</v>
      </c>
      <c r="K113" s="86">
        <v>45663</v>
      </c>
      <c r="L113" s="96">
        <v>10.5</v>
      </c>
      <c r="M113" s="69">
        <v>0</v>
      </c>
      <c r="N113" s="70">
        <v>0</v>
      </c>
      <c r="O113" s="69">
        <v>0</v>
      </c>
      <c r="P113" s="89">
        <v>0</v>
      </c>
      <c r="Q113" s="96">
        <v>10.5</v>
      </c>
      <c r="R113" s="69">
        <v>0</v>
      </c>
      <c r="S113" s="70">
        <v>0</v>
      </c>
      <c r="T113" s="69">
        <f t="shared" si="40"/>
        <v>0</v>
      </c>
      <c r="U113" s="136">
        <f t="shared" si="41"/>
        <v>0</v>
      </c>
      <c r="V113" s="98">
        <f t="shared" si="42"/>
        <v>21</v>
      </c>
      <c r="W113" s="90">
        <v>0</v>
      </c>
      <c r="X113" s="69">
        <v>0</v>
      </c>
      <c r="Y113" s="70">
        <v>1</v>
      </c>
      <c r="Z113" s="69">
        <f t="shared" si="43"/>
        <v>0</v>
      </c>
      <c r="AA113" s="89">
        <f t="shared" si="44"/>
        <v>0</v>
      </c>
      <c r="AB113" s="98">
        <f t="shared" si="52"/>
        <v>21</v>
      </c>
      <c r="AC113" s="103">
        <v>0</v>
      </c>
      <c r="AD113" s="69">
        <f t="shared" si="46"/>
        <v>0</v>
      </c>
      <c r="AE113" s="89">
        <f t="shared" si="47"/>
        <v>21</v>
      </c>
      <c r="AF113" s="106"/>
      <c r="AG113" s="80" t="s">
        <v>87</v>
      </c>
      <c r="AH113" s="109"/>
      <c r="AI113" s="80" t="s">
        <v>4</v>
      </c>
      <c r="AJ113" s="112"/>
      <c r="AK113" s="116" t="s">
        <v>4</v>
      </c>
      <c r="AL113" s="80" t="str">
        <f t="shared" si="48"/>
        <v>NON</v>
      </c>
      <c r="AM113" s="81" t="str">
        <f t="shared" si="49"/>
        <v>vendu</v>
      </c>
      <c r="AN113" s="80">
        <f t="shared" si="50"/>
        <v>2025</v>
      </c>
      <c r="AO113" s="214">
        <f t="shared" si="51"/>
        <v>2</v>
      </c>
      <c r="AP113" s="64"/>
      <c r="AQ113" s="81"/>
    </row>
    <row r="114" spans="1:43" ht="36.950000000000003" customHeight="1" thickBot="1" x14ac:dyDescent="0.3">
      <c r="A114" s="226">
        <v>230096</v>
      </c>
      <c r="B114" s="214" t="s">
        <v>118</v>
      </c>
      <c r="C114" s="245">
        <v>1</v>
      </c>
      <c r="D114" s="226"/>
      <c r="E114" s="245"/>
      <c r="F114" s="226" t="s">
        <v>73</v>
      </c>
      <c r="G114" s="214">
        <f>IF(F114="","",IFERROR(VLOOKUP(F114,'validation des champs'!A:B,2,FALSE),"vide"))</f>
        <v>101</v>
      </c>
      <c r="H114" s="214"/>
      <c r="I114" s="214" t="str">
        <f>IF(H114="","",IFERROR(VLOOKUP(H114,'validation des champs'!C:D,2,FALSE),"Mathieu 140"))</f>
        <v/>
      </c>
      <c r="J114" s="215">
        <v>13.5</v>
      </c>
      <c r="K114" s="246">
        <v>45663</v>
      </c>
      <c r="L114" s="249">
        <v>30.5</v>
      </c>
      <c r="M114" s="216">
        <v>0</v>
      </c>
      <c r="N114" s="217">
        <v>0</v>
      </c>
      <c r="O114" s="216">
        <v>0</v>
      </c>
      <c r="P114" s="248">
        <v>0</v>
      </c>
      <c r="Q114" s="249">
        <v>30.5</v>
      </c>
      <c r="R114" s="216">
        <v>0</v>
      </c>
      <c r="S114" s="217">
        <v>0</v>
      </c>
      <c r="T114" s="216">
        <f t="shared" si="40"/>
        <v>0</v>
      </c>
      <c r="U114" s="250">
        <f t="shared" si="41"/>
        <v>0</v>
      </c>
      <c r="V114" s="251">
        <f t="shared" si="42"/>
        <v>61</v>
      </c>
      <c r="W114" s="249">
        <v>2</v>
      </c>
      <c r="X114" s="216">
        <v>0</v>
      </c>
      <c r="Y114" s="218">
        <v>0</v>
      </c>
      <c r="Z114" s="216">
        <f t="shared" si="43"/>
        <v>0</v>
      </c>
      <c r="AA114" s="248">
        <f t="shared" si="44"/>
        <v>0</v>
      </c>
      <c r="AB114" s="251">
        <f t="shared" si="52"/>
        <v>63</v>
      </c>
      <c r="AC114" s="252">
        <v>0</v>
      </c>
      <c r="AD114" s="216">
        <f t="shared" si="46"/>
        <v>0</v>
      </c>
      <c r="AE114" s="248">
        <f t="shared" si="47"/>
        <v>61</v>
      </c>
      <c r="AF114" s="253"/>
      <c r="AG114" s="226" t="s">
        <v>87</v>
      </c>
      <c r="AH114" s="254"/>
      <c r="AI114" s="226" t="s">
        <v>4</v>
      </c>
      <c r="AJ114" s="259"/>
      <c r="AK114" s="255" t="s">
        <v>4</v>
      </c>
      <c r="AL114" s="226" t="str">
        <f t="shared" si="48"/>
        <v>NON</v>
      </c>
      <c r="AM114" s="245" t="str">
        <f t="shared" si="49"/>
        <v>vendu</v>
      </c>
      <c r="AN114" s="229">
        <f t="shared" si="50"/>
        <v>2025</v>
      </c>
      <c r="AO114" s="204">
        <f t="shared" si="51"/>
        <v>2</v>
      </c>
      <c r="AP114" s="212"/>
      <c r="AQ114" s="245"/>
    </row>
    <row r="115" spans="1:43" ht="36.950000000000003" customHeight="1" x14ac:dyDescent="0.25">
      <c r="A115" s="211">
        <v>230406</v>
      </c>
      <c r="B115" s="205" t="s">
        <v>307</v>
      </c>
      <c r="C115" s="233">
        <v>2</v>
      </c>
      <c r="D115" s="211" t="s">
        <v>219</v>
      </c>
      <c r="E115" s="233" t="s">
        <v>230</v>
      </c>
      <c r="F115" s="211" t="s">
        <v>73</v>
      </c>
      <c r="G115" s="205">
        <f>IF(F115="","",IFERROR(VLOOKUP(F115,'validation des champs'!A:B,2,FALSE),"vide"))</f>
        <v>101</v>
      </c>
      <c r="H115" s="205"/>
      <c r="I115" s="205" t="str">
        <f>IF(H115="","",IFERROR(VLOOKUP(H115,'validation des champs'!C:D,2,FALSE),"Mathieu 140"))</f>
        <v/>
      </c>
      <c r="J115" s="206">
        <v>22.5</v>
      </c>
      <c r="K115" s="234">
        <v>45839</v>
      </c>
      <c r="L115" s="243">
        <v>24</v>
      </c>
      <c r="M115" s="209">
        <v>0</v>
      </c>
      <c r="N115" s="208">
        <v>0</v>
      </c>
      <c r="O115" s="209">
        <f>+N115*M115</f>
        <v>0</v>
      </c>
      <c r="P115" s="235">
        <f>+M115-O115</f>
        <v>0</v>
      </c>
      <c r="Q115" s="243">
        <v>24</v>
      </c>
      <c r="R115" s="209">
        <v>0</v>
      </c>
      <c r="S115" s="208">
        <v>0</v>
      </c>
      <c r="T115" s="209">
        <f t="shared" si="40"/>
        <v>0</v>
      </c>
      <c r="U115" s="236">
        <f t="shared" si="41"/>
        <v>0</v>
      </c>
      <c r="V115" s="237">
        <f t="shared" si="42"/>
        <v>48</v>
      </c>
      <c r="W115" s="227">
        <v>0</v>
      </c>
      <c r="X115" s="209">
        <v>0</v>
      </c>
      <c r="Y115" s="210">
        <v>1</v>
      </c>
      <c r="Z115" s="209">
        <f t="shared" si="43"/>
        <v>0</v>
      </c>
      <c r="AA115" s="235">
        <f t="shared" si="44"/>
        <v>0</v>
      </c>
      <c r="AB115" s="237">
        <f t="shared" si="52"/>
        <v>48</v>
      </c>
      <c r="AC115" s="238">
        <v>0</v>
      </c>
      <c r="AD115" s="209">
        <f t="shared" si="46"/>
        <v>0</v>
      </c>
      <c r="AE115" s="235">
        <f t="shared" si="47"/>
        <v>48</v>
      </c>
      <c r="AF115" s="239"/>
      <c r="AG115" s="211" t="s">
        <v>6</v>
      </c>
      <c r="AH115" s="240"/>
      <c r="AI115" s="211" t="s">
        <v>4</v>
      </c>
      <c r="AJ115" s="258"/>
      <c r="AK115" s="241" t="s">
        <v>4</v>
      </c>
      <c r="AL115" s="211" t="str">
        <f t="shared" si="48"/>
        <v>NON</v>
      </c>
      <c r="AM115" s="233" t="str">
        <f t="shared" si="49"/>
        <v>vendu</v>
      </c>
      <c r="AN115" s="211">
        <f t="shared" si="50"/>
        <v>2025</v>
      </c>
      <c r="AO115" s="188">
        <f t="shared" si="51"/>
        <v>27</v>
      </c>
      <c r="AP115" s="205"/>
      <c r="AQ115" s="233"/>
    </row>
    <row r="116" spans="1:43" ht="36.950000000000003" customHeight="1" x14ac:dyDescent="0.25"/>
    <row r="117" spans="1:43" ht="36.950000000000003" customHeight="1" x14ac:dyDescent="0.25"/>
    <row r="118" spans="1:43" ht="36.950000000000003" customHeight="1" x14ac:dyDescent="0.25"/>
    <row r="119" spans="1:43" ht="36.950000000000003" customHeight="1" x14ac:dyDescent="0.25"/>
    <row r="120" spans="1:43" ht="36.950000000000003" customHeight="1" x14ac:dyDescent="0.25"/>
    <row r="121" spans="1:43" ht="36.950000000000003" customHeight="1" x14ac:dyDescent="0.25"/>
    <row r="122" spans="1:43" ht="36.950000000000003" customHeight="1" x14ac:dyDescent="0.25"/>
    <row r="123" spans="1:43" ht="36.950000000000003" customHeight="1" x14ac:dyDescent="0.25"/>
    <row r="124" spans="1:43" ht="36.950000000000003" customHeight="1" x14ac:dyDescent="0.25"/>
    <row r="125" spans="1:43" ht="36.950000000000003" customHeight="1" x14ac:dyDescent="0.25"/>
    <row r="126" spans="1:43" ht="36.950000000000003" customHeight="1" x14ac:dyDescent="0.25"/>
    <row r="127" spans="1:43" ht="36.950000000000003" customHeight="1" x14ac:dyDescent="0.25"/>
    <row r="128" spans="1:43" ht="36.950000000000003" customHeight="1" x14ac:dyDescent="0.25"/>
    <row r="129" ht="36.950000000000003" customHeight="1" x14ac:dyDescent="0.25"/>
    <row r="130" ht="36.950000000000003" customHeight="1" x14ac:dyDescent="0.25"/>
    <row r="131" ht="36.950000000000003" customHeight="1" x14ac:dyDescent="0.25"/>
    <row r="132" ht="36.950000000000003" customHeight="1" x14ac:dyDescent="0.25"/>
    <row r="133" ht="36.950000000000003" customHeight="1" x14ac:dyDescent="0.25"/>
    <row r="134" ht="36.950000000000003" customHeight="1" x14ac:dyDescent="0.25"/>
    <row r="135" ht="36.950000000000003" customHeight="1" x14ac:dyDescent="0.25"/>
    <row r="136" ht="36.950000000000003" customHeight="1" x14ac:dyDescent="0.25"/>
    <row r="137" ht="36.950000000000003" customHeight="1" x14ac:dyDescent="0.25"/>
    <row r="138" ht="36.950000000000003" customHeight="1" x14ac:dyDescent="0.25"/>
    <row r="139" ht="36.950000000000003" customHeight="1" x14ac:dyDescent="0.25"/>
    <row r="140" ht="36.950000000000003" customHeight="1" x14ac:dyDescent="0.25"/>
    <row r="141" ht="36.950000000000003" customHeight="1" x14ac:dyDescent="0.25"/>
    <row r="142" ht="36.950000000000003" customHeight="1" x14ac:dyDescent="0.25"/>
    <row r="143" ht="36.950000000000003" customHeight="1" x14ac:dyDescent="0.25"/>
    <row r="144" ht="36.950000000000003" customHeight="1" x14ac:dyDescent="0.25"/>
    <row r="145" ht="36.950000000000003" customHeight="1" x14ac:dyDescent="0.25"/>
    <row r="146" ht="36.950000000000003" customHeight="1" x14ac:dyDescent="0.25"/>
    <row r="147" ht="36.950000000000003" customHeight="1" x14ac:dyDescent="0.25"/>
    <row r="148" ht="36.950000000000003" customHeight="1" x14ac:dyDescent="0.25"/>
    <row r="149" ht="36.950000000000003" customHeight="1" x14ac:dyDescent="0.25"/>
    <row r="150" ht="36.950000000000003" customHeight="1" x14ac:dyDescent="0.25"/>
    <row r="151" ht="36.950000000000003" customHeight="1" x14ac:dyDescent="0.25"/>
    <row r="152" ht="36.950000000000003" customHeight="1" x14ac:dyDescent="0.25"/>
    <row r="153" ht="36.950000000000003" customHeight="1" x14ac:dyDescent="0.25"/>
    <row r="154" ht="36.950000000000003" customHeight="1" x14ac:dyDescent="0.25"/>
    <row r="155" ht="36.950000000000003" customHeight="1" x14ac:dyDescent="0.25"/>
    <row r="156" ht="36.950000000000003" customHeight="1" x14ac:dyDescent="0.25"/>
    <row r="157" ht="36.950000000000003" customHeight="1" x14ac:dyDescent="0.25"/>
    <row r="158" ht="36.950000000000003" customHeight="1" x14ac:dyDescent="0.25"/>
    <row r="159" ht="36.950000000000003" customHeight="1" x14ac:dyDescent="0.25"/>
    <row r="160" ht="36.950000000000003" customHeight="1" x14ac:dyDescent="0.25"/>
    <row r="161" ht="36.950000000000003" customHeight="1" x14ac:dyDescent="0.25"/>
    <row r="162" ht="36.950000000000003" customHeight="1" x14ac:dyDescent="0.25"/>
    <row r="163" ht="36.950000000000003" customHeight="1" x14ac:dyDescent="0.25"/>
    <row r="164" ht="36.950000000000003" customHeight="1" x14ac:dyDescent="0.25"/>
    <row r="165" ht="36.950000000000003" customHeight="1" x14ac:dyDescent="0.25"/>
    <row r="166" ht="36.950000000000003" customHeight="1" x14ac:dyDescent="0.25"/>
    <row r="167" ht="36.950000000000003" customHeight="1" x14ac:dyDescent="0.25"/>
    <row r="168" ht="36.950000000000003" customHeight="1" x14ac:dyDescent="0.25"/>
    <row r="169" ht="36.950000000000003" customHeight="1" x14ac:dyDescent="0.25"/>
    <row r="170" ht="36.950000000000003" customHeight="1" x14ac:dyDescent="0.25"/>
    <row r="171" ht="36.950000000000003" customHeight="1" x14ac:dyDescent="0.25"/>
    <row r="172" ht="36.950000000000003" customHeight="1" x14ac:dyDescent="0.25"/>
    <row r="173" ht="36.950000000000003" customHeight="1" x14ac:dyDescent="0.25"/>
    <row r="174" ht="36.950000000000003" customHeight="1" x14ac:dyDescent="0.25"/>
    <row r="175" ht="36.950000000000003" customHeight="1" x14ac:dyDescent="0.25"/>
    <row r="176" ht="36.950000000000003" customHeight="1" x14ac:dyDescent="0.25"/>
    <row r="177" ht="36.950000000000003" customHeight="1" x14ac:dyDescent="0.25"/>
    <row r="178" ht="36.950000000000003" customHeight="1" x14ac:dyDescent="0.25"/>
    <row r="179" ht="36.950000000000003" customHeight="1" x14ac:dyDescent="0.25"/>
    <row r="180" ht="36.950000000000003" customHeight="1" x14ac:dyDescent="0.25"/>
    <row r="181" ht="36.950000000000003" customHeight="1" x14ac:dyDescent="0.25"/>
    <row r="182" ht="36.950000000000003" customHeight="1" x14ac:dyDescent="0.25"/>
    <row r="183" ht="36.950000000000003" customHeight="1" x14ac:dyDescent="0.25"/>
    <row r="184" ht="36.950000000000003" customHeight="1" x14ac:dyDescent="0.25"/>
    <row r="185" ht="36.950000000000003" customHeight="1" x14ac:dyDescent="0.25"/>
    <row r="186" ht="36.950000000000003" customHeight="1" x14ac:dyDescent="0.25"/>
    <row r="187" ht="36.950000000000003" customHeight="1" x14ac:dyDescent="0.25"/>
    <row r="188" ht="36.950000000000003" customHeight="1" x14ac:dyDescent="0.25"/>
    <row r="189" ht="36.950000000000003" customHeight="1" x14ac:dyDescent="0.25"/>
    <row r="190" ht="36.950000000000003" customHeight="1" x14ac:dyDescent="0.25"/>
    <row r="191" ht="36.950000000000003" customHeight="1" x14ac:dyDescent="0.25"/>
    <row r="192" ht="36.950000000000003" customHeight="1" x14ac:dyDescent="0.25"/>
    <row r="193" ht="36.950000000000003" customHeight="1" x14ac:dyDescent="0.25"/>
    <row r="194" ht="36.950000000000003" customHeight="1" x14ac:dyDescent="0.25"/>
    <row r="195" ht="36.950000000000003" customHeight="1" x14ac:dyDescent="0.25"/>
    <row r="196" ht="36.950000000000003" customHeight="1" x14ac:dyDescent="0.25"/>
  </sheetData>
  <autoFilter ref="A1:AQ115">
    <sortState ref="A2:AQ115">
      <sortCondition ref="K1:K115"/>
    </sortState>
  </autoFilter>
  <sortState ref="A2:AQ199">
    <sortCondition ref="K2:K199"/>
    <sortCondition ref="B2:B199"/>
  </sortState>
  <conditionalFormatting sqref="AC1:AC1048576 Y1:Y1048576 S1:S1048576 N1:N1048576">
    <cfRule type="colorScale" priority="7">
      <colorScale>
        <cfvo type="num" val="0"/>
        <cfvo type="num" val="1"/>
        <color rgb="FFFF0000"/>
        <color rgb="FF00B050"/>
      </colorScale>
    </cfRule>
  </conditionalFormatting>
  <conditionalFormatting sqref="J1:J1048576">
    <cfRule type="cellIs" dxfId="112" priority="1" operator="equal">
      <formula>"?"</formula>
    </cfRule>
    <cfRule type="cellIs" dxfId="111" priority="2" operator="greaterThanOrEqual">
      <formula>16.5</formula>
    </cfRule>
  </conditionalFormatting>
  <conditionalFormatting sqref="AM1:AN1048576">
    <cfRule type="cellIs" dxfId="110" priority="5" operator="equal">
      <formula>"incertain"</formula>
    </cfRule>
    <cfRule type="cellIs" dxfId="109" priority="6" operator="equal">
      <formula>"vendu"</formula>
    </cfRule>
  </conditionalFormatting>
  <printOptions gridLines="1"/>
  <pageMargins left="0.70866141732283472" right="0.70866141732283472" top="0.74803149606299213" bottom="0.74803149606299213" header="0.31496062992125984" footer="0.31496062992125984"/>
  <pageSetup paperSize="9" scale="23" fitToHeight="10" orientation="landscape" cellComments="atEnd" horizontalDpi="1200" verticalDpi="1200" r:id="rId1"/>
  <headerFooter>
    <oddHeader>&amp;L&amp;18MARGUERON&amp;C&amp;F&amp;R&amp;D</oddHeader>
    <oddFooter>&amp;CPage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ISE_EN_PAGE_COLLAGE">
                <anchor moveWithCells="1" sizeWithCells="1">
                  <from>
                    <xdr:col>3</xdr:col>
                    <xdr:colOff>66675</xdr:colOff>
                    <xdr:row>0</xdr:row>
                    <xdr:rowOff>28575</xdr:rowOff>
                  </from>
                  <to>
                    <xdr:col>3</xdr:col>
                    <xdr:colOff>1657350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MISE_EN_PAGE_HERVE">
                <anchor moveWithCells="1" sizeWithCells="1">
                  <from>
                    <xdr:col>5</xdr:col>
                    <xdr:colOff>28575</xdr:colOff>
                    <xdr:row>0</xdr:row>
                    <xdr:rowOff>9525</xdr:rowOff>
                  </from>
                  <to>
                    <xdr:col>5</xdr:col>
                    <xdr:colOff>1114425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TOUT_AFFICHER">
                <anchor moveWithCells="1" sizeWithCells="1">
                  <from>
                    <xdr:col>1</xdr:col>
                    <xdr:colOff>285750</xdr:colOff>
                    <xdr:row>0</xdr:row>
                    <xdr:rowOff>200025</xdr:rowOff>
                  </from>
                  <to>
                    <xdr:col>1</xdr:col>
                    <xdr:colOff>2314575</xdr:colOff>
                    <xdr:row>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MISE_EN_PAGE_ATELIER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8</xdr:col>
                    <xdr:colOff>0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MISE_EN_PAGE_JENNIFER">
                <anchor moveWithCells="1" sizeWithCells="1">
                  <from>
                    <xdr:col>9</xdr:col>
                    <xdr:colOff>57150</xdr:colOff>
                    <xdr:row>0</xdr:row>
                    <xdr:rowOff>57150</xdr:rowOff>
                  </from>
                  <to>
                    <xdr:col>9</xdr:col>
                    <xdr:colOff>952500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Button 6">
              <controlPr defaultSize="0" print="0" autoFill="0" autoPict="0" macro="[0]!MISE_EN_PAGE_COLLAGE">
                <anchor moveWithCells="1" sizeWithCells="1">
                  <from>
                    <xdr:col>3</xdr:col>
                    <xdr:colOff>66675</xdr:colOff>
                    <xdr:row>0</xdr:row>
                    <xdr:rowOff>28575</xdr:rowOff>
                  </from>
                  <to>
                    <xdr:col>3</xdr:col>
                    <xdr:colOff>1657350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Button 7">
              <controlPr defaultSize="0" print="0" autoFill="0" autoPict="0" macro="[0]!MISE_EN_PAGE_HERVE">
                <anchor moveWithCells="1" sizeWithCells="1">
                  <from>
                    <xdr:col>5</xdr:col>
                    <xdr:colOff>28575</xdr:colOff>
                    <xdr:row>0</xdr:row>
                    <xdr:rowOff>9525</xdr:rowOff>
                  </from>
                  <to>
                    <xdr:col>5</xdr:col>
                    <xdr:colOff>1114425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Button 8">
              <controlPr defaultSize="0" print="0" autoFill="0" autoPict="0" macro="[0]!TOUT_AFFICHER">
                <anchor moveWithCells="1" sizeWithCells="1">
                  <from>
                    <xdr:col>1</xdr:col>
                    <xdr:colOff>285750</xdr:colOff>
                    <xdr:row>0</xdr:row>
                    <xdr:rowOff>200025</xdr:rowOff>
                  </from>
                  <to>
                    <xdr:col>1</xdr:col>
                    <xdr:colOff>2314575</xdr:colOff>
                    <xdr:row>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Button 9">
              <controlPr defaultSize="0" print="0" autoFill="0" autoPict="0" macro="[0]!MISE_EN_PAGE_ATELIER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8</xdr:col>
                    <xdr:colOff>0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Button 10">
              <controlPr defaultSize="0" print="0" autoFill="0" autoPict="0" macro="[0]!MISE_EN_PAGE_JENNIFER">
                <anchor moveWithCells="1" sizeWithCells="1">
                  <from>
                    <xdr:col>9</xdr:col>
                    <xdr:colOff>57150</xdr:colOff>
                    <xdr:row>0</xdr:row>
                    <xdr:rowOff>57150</xdr:rowOff>
                  </from>
                  <to>
                    <xdr:col>9</xdr:col>
                    <xdr:colOff>952500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Button 11">
              <controlPr defaultSize="0" print="0" autoFill="0" autoPict="0" macro="[0]!MISE_EN_PAGE_REMI">
                <anchor moveWithCells="1" sizeWithCells="1">
                  <from>
                    <xdr:col>4</xdr:col>
                    <xdr:colOff>152400</xdr:colOff>
                    <xdr:row>0</xdr:row>
                    <xdr:rowOff>38100</xdr:rowOff>
                  </from>
                  <to>
                    <xdr:col>4</xdr:col>
                    <xdr:colOff>981075</xdr:colOff>
                    <xdr:row>0</xdr:row>
                    <xdr:rowOff>723900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208"/>
  <sheetViews>
    <sheetView zoomScale="70" zoomScaleNormal="70" workbookViewId="0">
      <selection activeCell="B7" sqref="B7"/>
    </sheetView>
  </sheetViews>
  <sheetFormatPr baseColWidth="10" defaultRowHeight="15" x14ac:dyDescent="0.25"/>
  <cols>
    <col min="2" max="2" width="61" customWidth="1"/>
    <col min="3" max="3" width="36.28515625" customWidth="1"/>
    <col min="4" max="4" width="22.42578125" customWidth="1"/>
    <col min="5" max="5" width="30.42578125" customWidth="1"/>
    <col min="6" max="6" width="9.85546875" customWidth="1"/>
    <col min="7" max="7" width="15.7109375" customWidth="1"/>
    <col min="8" max="8" width="14.28515625" customWidth="1"/>
    <col min="9" max="9" width="15.85546875" customWidth="1"/>
  </cols>
  <sheetData>
    <row r="1" spans="2:9" ht="97.5" customHeight="1" thickBot="1" x14ac:dyDescent="0.3">
      <c r="B1" s="436" t="s">
        <v>0</v>
      </c>
      <c r="C1" s="437" t="s">
        <v>61</v>
      </c>
      <c r="D1" s="438" t="s">
        <v>335</v>
      </c>
      <c r="E1" s="439" t="s">
        <v>329</v>
      </c>
      <c r="F1" s="161"/>
      <c r="G1" s="119" t="s">
        <v>330</v>
      </c>
      <c r="H1" s="122" t="s">
        <v>332</v>
      </c>
      <c r="I1" s="121" t="s">
        <v>331</v>
      </c>
    </row>
    <row r="2" spans="2:9" ht="18.75" x14ac:dyDescent="0.25">
      <c r="B2" s="434" t="str">
        <f>PLANNING!B2</f>
        <v>TOUCY-89  Centre Aquatique Z1</v>
      </c>
      <c r="C2" s="441">
        <f>PLANNING!K2</f>
        <v>45397</v>
      </c>
      <c r="D2" s="442">
        <f>WEEKNUM(C2,2)</f>
        <v>16</v>
      </c>
      <c r="E2" s="435">
        <f>PLANNING!U2</f>
        <v>0</v>
      </c>
      <c r="F2" s="160"/>
      <c r="G2" s="163">
        <v>1</v>
      </c>
      <c r="H2" s="443">
        <f t="shared" ref="H2:H12" si="0">SUMIFS($E$2:$E$94,$D$2:$D$94,G2)</f>
        <v>0</v>
      </c>
      <c r="I2" s="156">
        <v>0</v>
      </c>
    </row>
    <row r="3" spans="2:9" ht="18.75" x14ac:dyDescent="0.25">
      <c r="B3" s="434" t="str">
        <f>PLANNING!B3</f>
        <v>CONTREVOZ   Manège Z2</v>
      </c>
      <c r="C3" s="441">
        <f>PLANNING!K3</f>
        <v>45404</v>
      </c>
      <c r="D3" s="442">
        <f t="shared" ref="D3:D66" si="1">WEEKNUM(C3,2)</f>
        <v>17</v>
      </c>
      <c r="E3" s="435">
        <f>PLANNING!U3</f>
        <v>0</v>
      </c>
      <c r="F3" s="160"/>
      <c r="G3" s="164">
        <f t="shared" ref="G3:G53" si="2">G2+1</f>
        <v>2</v>
      </c>
      <c r="H3" s="444">
        <f t="shared" si="0"/>
        <v>0</v>
      </c>
      <c r="I3" s="158">
        <v>0</v>
      </c>
    </row>
    <row r="4" spans="2:9" ht="18.75" x14ac:dyDescent="0.25">
      <c r="B4" s="434" t="str">
        <f>PLANNING!B4</f>
        <v>FC BRENS-01 MR LANTHELME</v>
      </c>
      <c r="C4" s="441">
        <f>PLANNING!K4</f>
        <v>45407</v>
      </c>
      <c r="D4" s="442">
        <f t="shared" si="1"/>
        <v>17</v>
      </c>
      <c r="E4" s="435">
        <f>PLANNING!U4</f>
        <v>0</v>
      </c>
      <c r="F4" s="160"/>
      <c r="G4" s="164">
        <f t="shared" si="2"/>
        <v>3</v>
      </c>
      <c r="H4" s="444">
        <f t="shared" si="0"/>
        <v>0</v>
      </c>
      <c r="I4" s="158">
        <v>0</v>
      </c>
    </row>
    <row r="5" spans="2:9" ht="18.75" x14ac:dyDescent="0.25">
      <c r="B5" s="434" t="str">
        <f>PLANNING!B5</f>
        <v>FC CHAMBERY -73 ETS AMALGAME</v>
      </c>
      <c r="C5" s="441">
        <f>PLANNING!K5</f>
        <v>45408</v>
      </c>
      <c r="D5" s="442">
        <f t="shared" si="1"/>
        <v>17</v>
      </c>
      <c r="E5" s="435">
        <f>PLANNING!U5</f>
        <v>0</v>
      </c>
      <c r="F5" s="160"/>
      <c r="G5" s="164">
        <f t="shared" si="2"/>
        <v>4</v>
      </c>
      <c r="H5" s="444">
        <f t="shared" si="0"/>
        <v>0</v>
      </c>
      <c r="I5" s="158">
        <v>0</v>
      </c>
    </row>
    <row r="6" spans="2:9" ht="18.75" x14ac:dyDescent="0.25">
      <c r="B6" s="434" t="str">
        <f>PLANNING!B6</f>
        <v>FC FEYZIN - 69 LOSBERGER</v>
      </c>
      <c r="C6" s="441">
        <f>PLANNING!K6</f>
        <v>45411</v>
      </c>
      <c r="D6" s="442">
        <f t="shared" si="1"/>
        <v>18</v>
      </c>
      <c r="E6" s="435">
        <f>PLANNING!U6</f>
        <v>0</v>
      </c>
      <c r="F6" s="160"/>
      <c r="G6" s="164">
        <f t="shared" si="2"/>
        <v>5</v>
      </c>
      <c r="H6" s="444">
        <f t="shared" si="0"/>
        <v>0</v>
      </c>
      <c r="I6" s="158">
        <v>0</v>
      </c>
    </row>
    <row r="7" spans="2:9" ht="18.75" x14ac:dyDescent="0.25">
      <c r="B7" s="434" t="str">
        <f>PLANNING!B7</f>
        <v>LA COTE ST ANDRE-38 VAGANAY Z2A</v>
      </c>
      <c r="C7" s="441">
        <f>PLANNING!K7</f>
        <v>45411</v>
      </c>
      <c r="D7" s="442">
        <f t="shared" si="1"/>
        <v>18</v>
      </c>
      <c r="E7" s="435">
        <f>PLANNING!U7</f>
        <v>0</v>
      </c>
      <c r="F7" s="160"/>
      <c r="G7" s="164">
        <f t="shared" si="2"/>
        <v>6</v>
      </c>
      <c r="H7" s="444">
        <f t="shared" si="0"/>
        <v>0</v>
      </c>
      <c r="I7" s="158">
        <v>0</v>
      </c>
    </row>
    <row r="8" spans="2:9" ht="18.75" x14ac:dyDescent="0.25">
      <c r="B8" s="434" t="str">
        <f>PLANNING!B8</f>
        <v>ST EGREVE LEGENDRE Z2 convoi 3</v>
      </c>
      <c r="C8" s="441">
        <f>PLANNING!K8</f>
        <v>45411</v>
      </c>
      <c r="D8" s="442">
        <f t="shared" si="1"/>
        <v>18</v>
      </c>
      <c r="E8" s="435">
        <f>PLANNING!U8</f>
        <v>0</v>
      </c>
      <c r="F8" s="160"/>
      <c r="G8" s="164">
        <f t="shared" si="2"/>
        <v>7</v>
      </c>
      <c r="H8" s="444">
        <f t="shared" si="0"/>
        <v>0</v>
      </c>
      <c r="I8" s="158">
        <v>0</v>
      </c>
    </row>
    <row r="9" spans="2:9" ht="18.75" x14ac:dyDescent="0.25">
      <c r="B9" s="434" t="str">
        <f>PLANNING!B9</f>
        <v>CHAVELOT Z3B</v>
      </c>
      <c r="C9" s="441">
        <f>PLANNING!K9</f>
        <v>45414</v>
      </c>
      <c r="D9" s="442">
        <f t="shared" si="1"/>
        <v>18</v>
      </c>
      <c r="E9" s="435">
        <f>PLANNING!U9</f>
        <v>0</v>
      </c>
      <c r="F9" s="160"/>
      <c r="G9" s="164">
        <f t="shared" si="2"/>
        <v>8</v>
      </c>
      <c r="H9" s="444">
        <f t="shared" si="0"/>
        <v>0</v>
      </c>
      <c r="I9" s="158">
        <v>0</v>
      </c>
    </row>
    <row r="10" spans="2:9" ht="18.75" x14ac:dyDescent="0.25">
      <c r="B10" s="434" t="str">
        <f>PLANNING!B10</f>
        <v>LA COTE ST ANDRE-38 VAGANAY Z2B</v>
      </c>
      <c r="C10" s="441">
        <f>PLANNING!K10</f>
        <v>45415</v>
      </c>
      <c r="D10" s="442">
        <f t="shared" si="1"/>
        <v>18</v>
      </c>
      <c r="E10" s="435">
        <f>PLANNING!U10</f>
        <v>17</v>
      </c>
      <c r="F10" s="160"/>
      <c r="G10" s="164">
        <f t="shared" si="2"/>
        <v>9</v>
      </c>
      <c r="H10" s="444">
        <f t="shared" si="0"/>
        <v>0</v>
      </c>
      <c r="I10" s="158">
        <v>0</v>
      </c>
    </row>
    <row r="11" spans="2:9" ht="18.75" x14ac:dyDescent="0.25">
      <c r="B11" s="434" t="str">
        <f>PLANNING!B11</f>
        <v>FC LA BRIDOIRE-73 MR MONTAUBAN</v>
      </c>
      <c r="C11" s="441">
        <f>PLANNING!K11</f>
        <v>45418</v>
      </c>
      <c r="D11" s="442">
        <f t="shared" si="1"/>
        <v>19</v>
      </c>
      <c r="E11" s="435">
        <f>PLANNING!U11</f>
        <v>0</v>
      </c>
      <c r="F11" s="160"/>
      <c r="G11" s="164">
        <f t="shared" si="2"/>
        <v>10</v>
      </c>
      <c r="H11" s="444">
        <f t="shared" si="0"/>
        <v>0</v>
      </c>
      <c r="I11" s="158">
        <v>0</v>
      </c>
    </row>
    <row r="12" spans="2:9" ht="18.75" x14ac:dyDescent="0.25">
      <c r="B12" s="434" t="str">
        <f>PLANNING!B12</f>
        <v>FERNEY VOLTAIRE Parking Z1</v>
      </c>
      <c r="C12" s="441">
        <f>PLANNING!K12</f>
        <v>45418</v>
      </c>
      <c r="D12" s="442">
        <f t="shared" si="1"/>
        <v>19</v>
      </c>
      <c r="E12" s="435">
        <f>PLANNING!U12</f>
        <v>0</v>
      </c>
      <c r="F12" s="160"/>
      <c r="G12" s="164">
        <f t="shared" si="2"/>
        <v>11</v>
      </c>
      <c r="H12" s="444">
        <f t="shared" si="0"/>
        <v>0</v>
      </c>
      <c r="I12" s="158">
        <v>0</v>
      </c>
    </row>
    <row r="13" spans="2:9" ht="18.75" x14ac:dyDescent="0.25">
      <c r="B13" s="434" t="str">
        <f>PLANNING!B13</f>
        <v>PELISSANNE Gymnase - 13 Z1</v>
      </c>
      <c r="C13" s="441">
        <f>PLANNING!K13</f>
        <v>45418</v>
      </c>
      <c r="D13" s="442">
        <f t="shared" si="1"/>
        <v>19</v>
      </c>
      <c r="E13" s="435">
        <f>PLANNING!U13</f>
        <v>7.5</v>
      </c>
      <c r="F13" s="160"/>
      <c r="G13" s="164">
        <f t="shared" si="2"/>
        <v>12</v>
      </c>
      <c r="H13" s="157">
        <v>0</v>
      </c>
      <c r="I13" s="158">
        <v>0</v>
      </c>
    </row>
    <row r="14" spans="2:9" ht="18.75" x14ac:dyDescent="0.25">
      <c r="B14" s="434" t="str">
        <f>PLANNING!B14</f>
        <v>FC POIZAT LALLEYRIAT -01 SCIERIE DU BURLANDIER</v>
      </c>
      <c r="C14" s="441">
        <f>PLANNING!K14</f>
        <v>45420</v>
      </c>
      <c r="D14" s="442">
        <f t="shared" si="1"/>
        <v>19</v>
      </c>
      <c r="E14" s="435">
        <f>PLANNING!U14</f>
        <v>0</v>
      </c>
      <c r="F14" s="160"/>
      <c r="G14" s="164">
        <f t="shared" si="2"/>
        <v>13</v>
      </c>
      <c r="H14" s="444">
        <f t="shared" ref="H14:H53" si="3">SUMIFS($E$2:$E$94,$D$2:$D$94,G14)</f>
        <v>0</v>
      </c>
      <c r="I14" s="158">
        <v>0</v>
      </c>
    </row>
    <row r="15" spans="2:9" ht="18.75" x14ac:dyDescent="0.25">
      <c r="B15" s="434" t="str">
        <f>PLANNING!B15</f>
        <v>FC PORCIEU AMBLEGNIEU -38 SARL BIAU GUILHEM</v>
      </c>
      <c r="C15" s="441">
        <f>PLANNING!K15</f>
        <v>45425</v>
      </c>
      <c r="D15" s="442">
        <f t="shared" si="1"/>
        <v>20</v>
      </c>
      <c r="E15" s="435">
        <f>PLANNING!U15</f>
        <v>0</v>
      </c>
      <c r="F15" s="160"/>
      <c r="G15" s="164">
        <f t="shared" si="2"/>
        <v>14</v>
      </c>
      <c r="H15" s="444">
        <f t="shared" si="3"/>
        <v>0</v>
      </c>
      <c r="I15" s="158">
        <v>0</v>
      </c>
    </row>
    <row r="16" spans="2:9" ht="18.75" x14ac:dyDescent="0.25">
      <c r="B16" s="434" t="str">
        <f>PLANNING!B16</f>
        <v>L'ISLE SUR LA SORGUE -84 LIDL Zone 1</v>
      </c>
      <c r="C16" s="441">
        <f>PLANNING!K16</f>
        <v>45425</v>
      </c>
      <c r="D16" s="442">
        <f t="shared" si="1"/>
        <v>20</v>
      </c>
      <c r="E16" s="435">
        <f>PLANNING!U16</f>
        <v>0</v>
      </c>
      <c r="F16" s="160"/>
      <c r="G16" s="164">
        <f t="shared" si="2"/>
        <v>15</v>
      </c>
      <c r="H16" s="444">
        <f t="shared" si="3"/>
        <v>0</v>
      </c>
      <c r="I16" s="158">
        <v>0</v>
      </c>
    </row>
    <row r="17" spans="2:9" ht="18.75" x14ac:dyDescent="0.25">
      <c r="B17" s="434" t="str">
        <f>PLANNING!B17</f>
        <v>FC CRESSIN ROCHEFORT -01 MME TIGHILT-FERHAT</v>
      </c>
      <c r="C17" s="441">
        <f>PLANNING!K17</f>
        <v>45427</v>
      </c>
      <c r="D17" s="442">
        <f t="shared" si="1"/>
        <v>20</v>
      </c>
      <c r="E17" s="435">
        <f>PLANNING!U17</f>
        <v>0</v>
      </c>
      <c r="F17" s="160"/>
      <c r="G17" s="164">
        <f t="shared" si="2"/>
        <v>16</v>
      </c>
      <c r="H17" s="444">
        <f t="shared" si="3"/>
        <v>0</v>
      </c>
      <c r="I17" s="158">
        <v>0</v>
      </c>
    </row>
    <row r="18" spans="2:9" ht="18.75" x14ac:dyDescent="0.25">
      <c r="B18" s="434" t="str">
        <f>PLANNING!B18</f>
        <v>FC LE TOUVET -38 DE BUYER</v>
      </c>
      <c r="C18" s="441">
        <f>PLANNING!K18</f>
        <v>45427</v>
      </c>
      <c r="D18" s="442">
        <f t="shared" si="1"/>
        <v>20</v>
      </c>
      <c r="E18" s="435">
        <f>PLANNING!U18</f>
        <v>0</v>
      </c>
      <c r="F18" s="160"/>
      <c r="G18" s="164">
        <f t="shared" si="2"/>
        <v>17</v>
      </c>
      <c r="H18" s="444">
        <f t="shared" si="3"/>
        <v>0</v>
      </c>
      <c r="I18" s="158">
        <v>55</v>
      </c>
    </row>
    <row r="19" spans="2:9" ht="18.75" x14ac:dyDescent="0.25">
      <c r="B19" s="434" t="str">
        <f>PLANNING!B19</f>
        <v>FC NICE -06 SARL GASTAUD</v>
      </c>
      <c r="C19" s="441">
        <f>PLANNING!K19</f>
        <v>45427</v>
      </c>
      <c r="D19" s="442">
        <f t="shared" si="1"/>
        <v>20</v>
      </c>
      <c r="E19" s="435">
        <f>PLANNING!U19</f>
        <v>0</v>
      </c>
      <c r="F19" s="160"/>
      <c r="G19" s="164">
        <f t="shared" si="2"/>
        <v>18</v>
      </c>
      <c r="H19" s="444">
        <f t="shared" si="3"/>
        <v>17</v>
      </c>
      <c r="I19" s="158">
        <v>45</v>
      </c>
    </row>
    <row r="20" spans="2:9" ht="18.75" x14ac:dyDescent="0.25">
      <c r="B20" s="434" t="str">
        <f>PLANNING!B20</f>
        <v>L'ISLE SUR LA SORGUE -84 LIDL Zone 2</v>
      </c>
      <c r="C20" s="441">
        <f>PLANNING!K20</f>
        <v>45429</v>
      </c>
      <c r="D20" s="442">
        <f t="shared" si="1"/>
        <v>20</v>
      </c>
      <c r="E20" s="435">
        <f>PLANNING!U20</f>
        <v>0</v>
      </c>
      <c r="F20" s="160"/>
      <c r="G20" s="164">
        <f t="shared" si="2"/>
        <v>19</v>
      </c>
      <c r="H20" s="444">
        <f t="shared" si="3"/>
        <v>7.5</v>
      </c>
      <c r="I20" s="158">
        <f t="shared" ref="I20:I53" si="4">$I$18</f>
        <v>55</v>
      </c>
    </row>
    <row r="21" spans="2:9" ht="18.75" x14ac:dyDescent="0.25">
      <c r="B21" s="434" t="str">
        <f>PLANNING!B21</f>
        <v>L'ISLE SUR LA SORGUE -84 LIDL Zone 4</v>
      </c>
      <c r="C21" s="441">
        <f>PLANNING!K21</f>
        <v>45429</v>
      </c>
      <c r="D21" s="442">
        <f t="shared" si="1"/>
        <v>20</v>
      </c>
      <c r="E21" s="435">
        <f>PLANNING!U21</f>
        <v>0</v>
      </c>
      <c r="F21" s="160"/>
      <c r="G21" s="164">
        <f t="shared" si="2"/>
        <v>20</v>
      </c>
      <c r="H21" s="444">
        <f t="shared" si="3"/>
        <v>0</v>
      </c>
      <c r="I21" s="158">
        <f t="shared" si="4"/>
        <v>55</v>
      </c>
    </row>
    <row r="22" spans="2:9" ht="18.75" x14ac:dyDescent="0.25">
      <c r="B22" s="434" t="str">
        <f>PLANNING!B22</f>
        <v>BATIFLEX - VAUDAGNE Z5a</v>
      </c>
      <c r="C22" s="441">
        <f>PLANNING!K22</f>
        <v>45433</v>
      </c>
      <c r="D22" s="442">
        <f t="shared" si="1"/>
        <v>21</v>
      </c>
      <c r="E22" s="435">
        <f>PLANNING!U22</f>
        <v>7</v>
      </c>
      <c r="F22" s="160"/>
      <c r="G22" s="164">
        <f t="shared" si="2"/>
        <v>21</v>
      </c>
      <c r="H22" s="444">
        <f t="shared" si="3"/>
        <v>178.5</v>
      </c>
      <c r="I22" s="158">
        <f t="shared" si="4"/>
        <v>55</v>
      </c>
    </row>
    <row r="23" spans="2:9" ht="18.75" x14ac:dyDescent="0.25">
      <c r="B23" s="434" t="str">
        <f>PLANNING!B23</f>
        <v>FERNEY VOLTAIRE Parking Z2</v>
      </c>
      <c r="C23" s="441">
        <f>PLANNING!K23</f>
        <v>45433</v>
      </c>
      <c r="D23" s="442">
        <f t="shared" si="1"/>
        <v>21</v>
      </c>
      <c r="E23" s="435">
        <f>PLANNING!U23</f>
        <v>50</v>
      </c>
      <c r="F23" s="160"/>
      <c r="G23" s="164">
        <f t="shared" si="2"/>
        <v>22</v>
      </c>
      <c r="H23" s="444">
        <f t="shared" si="3"/>
        <v>16.600000000000001</v>
      </c>
      <c r="I23" s="158">
        <f t="shared" si="4"/>
        <v>55</v>
      </c>
    </row>
    <row r="24" spans="2:9" ht="18.75" x14ac:dyDescent="0.25">
      <c r="B24" s="434" t="str">
        <f>PLANNING!B24</f>
        <v>LA COTE ST ANDRE-38 VAGANAY Z3</v>
      </c>
      <c r="C24" s="441">
        <f>PLANNING!K24</f>
        <v>45433</v>
      </c>
      <c r="D24" s="442">
        <f t="shared" si="1"/>
        <v>21</v>
      </c>
      <c r="E24" s="435">
        <f>PLANNING!U24</f>
        <v>0</v>
      </c>
      <c r="F24" s="160"/>
      <c r="G24" s="164">
        <f t="shared" si="2"/>
        <v>23</v>
      </c>
      <c r="H24" s="444">
        <f t="shared" si="3"/>
        <v>260</v>
      </c>
      <c r="I24" s="158">
        <f t="shared" si="4"/>
        <v>55</v>
      </c>
    </row>
    <row r="25" spans="2:9" ht="18.75" x14ac:dyDescent="0.25">
      <c r="B25" s="434" t="str">
        <f>PLANNING!B25</f>
        <v>PELISSANNE Gymnase - 13 Z2</v>
      </c>
      <c r="C25" s="441">
        <f>PLANNING!K25</f>
        <v>45433</v>
      </c>
      <c r="D25" s="442">
        <f t="shared" si="1"/>
        <v>21</v>
      </c>
      <c r="E25" s="435">
        <f>PLANNING!U25</f>
        <v>0</v>
      </c>
      <c r="F25" s="160"/>
      <c r="G25" s="164">
        <f t="shared" si="2"/>
        <v>24</v>
      </c>
      <c r="H25" s="444">
        <f t="shared" si="3"/>
        <v>16</v>
      </c>
      <c r="I25" s="158">
        <f t="shared" si="4"/>
        <v>55</v>
      </c>
    </row>
    <row r="26" spans="2:9" ht="18.75" x14ac:dyDescent="0.25">
      <c r="B26" s="434" t="str">
        <f>PLANNING!B26</f>
        <v>PELISSANNE Gymnase - 13 Z3 abri à vélo</v>
      </c>
      <c r="C26" s="441">
        <f>PLANNING!K26</f>
        <v>45433</v>
      </c>
      <c r="D26" s="442">
        <f t="shared" si="1"/>
        <v>21</v>
      </c>
      <c r="E26" s="435">
        <f>PLANNING!U26</f>
        <v>0</v>
      </c>
      <c r="F26" s="160"/>
      <c r="G26" s="164">
        <f t="shared" si="2"/>
        <v>25</v>
      </c>
      <c r="H26" s="444">
        <f t="shared" si="3"/>
        <v>0</v>
      </c>
      <c r="I26" s="158">
        <f t="shared" si="4"/>
        <v>55</v>
      </c>
    </row>
    <row r="27" spans="2:9" ht="18.75" x14ac:dyDescent="0.25">
      <c r="B27" s="434" t="str">
        <f>PLANNING!B27</f>
        <v>UGINE -73 Bâtiment industriel</v>
      </c>
      <c r="C27" s="441">
        <f>PLANNING!K27</f>
        <v>45433</v>
      </c>
      <c r="D27" s="442">
        <f t="shared" si="1"/>
        <v>21</v>
      </c>
      <c r="E27" s="435">
        <f>PLANNING!U27</f>
        <v>43.5</v>
      </c>
      <c r="F27" s="160"/>
      <c r="G27" s="164">
        <f t="shared" si="2"/>
        <v>26</v>
      </c>
      <c r="H27" s="444">
        <f t="shared" si="3"/>
        <v>9</v>
      </c>
      <c r="I27" s="158">
        <f t="shared" si="4"/>
        <v>55</v>
      </c>
    </row>
    <row r="28" spans="2:9" ht="18.75" x14ac:dyDescent="0.25">
      <c r="B28" s="434" t="str">
        <f>PLANNING!B28</f>
        <v>VALREAS -84 LIDL</v>
      </c>
      <c r="C28" s="441">
        <f>PLANNING!K28</f>
        <v>45433</v>
      </c>
      <c r="D28" s="442">
        <f t="shared" si="1"/>
        <v>21</v>
      </c>
      <c r="E28" s="435">
        <f>PLANNING!U28</f>
        <v>0</v>
      </c>
      <c r="F28" s="160"/>
      <c r="G28" s="164">
        <f t="shared" si="2"/>
        <v>27</v>
      </c>
      <c r="H28" s="444">
        <f t="shared" si="3"/>
        <v>360.5</v>
      </c>
      <c r="I28" s="158">
        <f t="shared" si="4"/>
        <v>55</v>
      </c>
    </row>
    <row r="29" spans="2:9" ht="18.75" x14ac:dyDescent="0.25">
      <c r="B29" s="434" t="str">
        <f>PLANNING!B29</f>
        <v>FC - AVRESSIEUX LES CHARPENTIERS DU GUIERS</v>
      </c>
      <c r="C29" s="441">
        <f>PLANNING!K29</f>
        <v>45434</v>
      </c>
      <c r="D29" s="442">
        <f t="shared" si="1"/>
        <v>21</v>
      </c>
      <c r="E29" s="435">
        <f>PLANNING!U29</f>
        <v>0</v>
      </c>
      <c r="F29" s="160"/>
      <c r="G29" s="164">
        <f t="shared" si="2"/>
        <v>28</v>
      </c>
      <c r="H29" s="444">
        <f t="shared" si="3"/>
        <v>360.5</v>
      </c>
      <c r="I29" s="158">
        <f t="shared" si="4"/>
        <v>55</v>
      </c>
    </row>
    <row r="30" spans="2:9" ht="18.75" x14ac:dyDescent="0.25">
      <c r="B30" s="434" t="str">
        <f>PLANNING!B30</f>
        <v>ISSOIRE -63 Groupe scolaire Z1</v>
      </c>
      <c r="C30" s="441">
        <f>PLANNING!K30</f>
        <v>45435</v>
      </c>
      <c r="D30" s="442">
        <f t="shared" si="1"/>
        <v>21</v>
      </c>
      <c r="E30" s="435">
        <f>PLANNING!U30</f>
        <v>78</v>
      </c>
      <c r="F30" s="160"/>
      <c r="G30" s="164">
        <f t="shared" si="2"/>
        <v>29</v>
      </c>
      <c r="H30" s="444">
        <f t="shared" si="3"/>
        <v>0</v>
      </c>
      <c r="I30" s="158">
        <f t="shared" si="4"/>
        <v>55</v>
      </c>
    </row>
    <row r="31" spans="2:9" ht="18.75" x14ac:dyDescent="0.25">
      <c r="B31" s="434" t="str">
        <f>PLANNING!B31</f>
        <v>L'ISLE SUR LA SORGUE -84 LIDL Zone 3</v>
      </c>
      <c r="C31" s="441">
        <f>PLANNING!K31</f>
        <v>45436</v>
      </c>
      <c r="D31" s="442">
        <f t="shared" si="1"/>
        <v>21</v>
      </c>
      <c r="E31" s="435">
        <f>PLANNING!U31</f>
        <v>0</v>
      </c>
      <c r="F31" s="160"/>
      <c r="G31" s="164">
        <f t="shared" si="2"/>
        <v>30</v>
      </c>
      <c r="H31" s="444">
        <f t="shared" si="3"/>
        <v>0</v>
      </c>
      <c r="I31" s="158">
        <f t="shared" si="4"/>
        <v>55</v>
      </c>
    </row>
    <row r="32" spans="2:9" ht="18.75" x14ac:dyDescent="0.25">
      <c r="B32" s="434" t="str">
        <f>PLANNING!B32</f>
        <v>MARSEILLE Eiffage Cons. Gymnase</v>
      </c>
      <c r="C32" s="441">
        <f>PLANNING!K32</f>
        <v>45439</v>
      </c>
      <c r="D32" s="442">
        <f t="shared" si="1"/>
        <v>22</v>
      </c>
      <c r="E32" s="435">
        <f>PLANNING!U32</f>
        <v>0</v>
      </c>
      <c r="F32" s="160"/>
      <c r="G32" s="164">
        <f t="shared" si="2"/>
        <v>31</v>
      </c>
      <c r="H32" s="444">
        <f t="shared" si="3"/>
        <v>0</v>
      </c>
      <c r="I32" s="158">
        <f t="shared" si="4"/>
        <v>55</v>
      </c>
    </row>
    <row r="33" spans="2:9" ht="18.75" x14ac:dyDescent="0.25">
      <c r="B33" s="434" t="str">
        <f>PLANNING!B33</f>
        <v>ST EGREVE LEGENDRE Z2</v>
      </c>
      <c r="C33" s="441">
        <f>PLANNING!K33</f>
        <v>45439</v>
      </c>
      <c r="D33" s="442">
        <f t="shared" si="1"/>
        <v>22</v>
      </c>
      <c r="E33" s="435">
        <f>PLANNING!U33</f>
        <v>9.6</v>
      </c>
      <c r="F33" s="160"/>
      <c r="G33" s="164">
        <f t="shared" si="2"/>
        <v>32</v>
      </c>
      <c r="H33" s="444">
        <f t="shared" si="3"/>
        <v>0</v>
      </c>
      <c r="I33" s="158">
        <f t="shared" si="4"/>
        <v>55</v>
      </c>
    </row>
    <row r="34" spans="2:9" ht="18.75" x14ac:dyDescent="0.25">
      <c r="B34" s="434" t="str">
        <f>PLANNING!B34</f>
        <v>CHENEVIERES sur MARNE Z1</v>
      </c>
      <c r="C34" s="441">
        <f>PLANNING!K34</f>
        <v>45440</v>
      </c>
      <c r="D34" s="442">
        <f t="shared" si="1"/>
        <v>22</v>
      </c>
      <c r="E34" s="435">
        <f>PLANNING!U34</f>
        <v>0</v>
      </c>
      <c r="F34" s="160"/>
      <c r="G34" s="164">
        <f t="shared" si="2"/>
        <v>33</v>
      </c>
      <c r="H34" s="444">
        <f t="shared" si="3"/>
        <v>0</v>
      </c>
      <c r="I34" s="158">
        <f t="shared" si="4"/>
        <v>55</v>
      </c>
    </row>
    <row r="35" spans="2:9" ht="18.75" x14ac:dyDescent="0.25">
      <c r="B35" s="434" t="str">
        <f>PLANNING!B35</f>
        <v>BATIFLEX - VAUDAGNE Z5b</v>
      </c>
      <c r="C35" s="441">
        <f>PLANNING!K35</f>
        <v>45443</v>
      </c>
      <c r="D35" s="442">
        <f t="shared" si="1"/>
        <v>22</v>
      </c>
      <c r="E35" s="435">
        <f>PLANNING!U35</f>
        <v>7</v>
      </c>
      <c r="F35" s="160"/>
      <c r="G35" s="164">
        <f t="shared" si="2"/>
        <v>34</v>
      </c>
      <c r="H35" s="444">
        <f t="shared" si="3"/>
        <v>0</v>
      </c>
      <c r="I35" s="158">
        <f t="shared" si="4"/>
        <v>55</v>
      </c>
    </row>
    <row r="36" spans="2:9" ht="18.75" x14ac:dyDescent="0.25">
      <c r="B36" s="434" t="str">
        <f>PLANNING!B36</f>
        <v>BATIFLEX - VAUDAGNE Z4b</v>
      </c>
      <c r="C36" s="441">
        <f>PLANNING!K36</f>
        <v>45445</v>
      </c>
      <c r="D36" s="442">
        <f t="shared" si="1"/>
        <v>22</v>
      </c>
      <c r="E36" s="435">
        <f>PLANNING!U36</f>
        <v>0</v>
      </c>
      <c r="F36" s="160"/>
      <c r="G36" s="164">
        <f t="shared" si="2"/>
        <v>35</v>
      </c>
      <c r="H36" s="444">
        <f t="shared" si="3"/>
        <v>16</v>
      </c>
      <c r="I36" s="158">
        <f t="shared" si="4"/>
        <v>55</v>
      </c>
    </row>
    <row r="37" spans="2:9" ht="18.75" x14ac:dyDescent="0.25">
      <c r="B37" s="434" t="str">
        <f>PLANNING!B37</f>
        <v>FERNEY VOLTAIRE Parking Z3</v>
      </c>
      <c r="C37" s="441">
        <f>PLANNING!K37</f>
        <v>45446</v>
      </c>
      <c r="D37" s="442">
        <f t="shared" si="1"/>
        <v>23</v>
      </c>
      <c r="E37" s="435">
        <f>PLANNING!U37</f>
        <v>0</v>
      </c>
      <c r="F37" s="160"/>
      <c r="G37" s="164">
        <f t="shared" si="2"/>
        <v>36</v>
      </c>
      <c r="H37" s="444">
        <f t="shared" si="3"/>
        <v>181</v>
      </c>
      <c r="I37" s="158">
        <f t="shared" si="4"/>
        <v>55</v>
      </c>
    </row>
    <row r="38" spans="2:9" ht="18.75" x14ac:dyDescent="0.25">
      <c r="B38" s="434" t="str">
        <f>PLANNING!B38</f>
        <v>REIGNIER ESERY-74 Salle P. Audit.</v>
      </c>
      <c r="C38" s="441">
        <f>PLANNING!K38</f>
        <v>45446</v>
      </c>
      <c r="D38" s="442">
        <f t="shared" si="1"/>
        <v>23</v>
      </c>
      <c r="E38" s="435">
        <f>PLANNING!U38</f>
        <v>260</v>
      </c>
      <c r="F38" s="160"/>
      <c r="G38" s="164">
        <f t="shared" si="2"/>
        <v>37</v>
      </c>
      <c r="H38" s="444">
        <f t="shared" si="3"/>
        <v>181</v>
      </c>
      <c r="I38" s="158">
        <f t="shared" si="4"/>
        <v>55</v>
      </c>
    </row>
    <row r="39" spans="2:9" ht="18.75" x14ac:dyDescent="0.25">
      <c r="B39" s="434" t="str">
        <f>PLANNING!B39</f>
        <v xml:space="preserve">ST EGREVE LEGENDRE Z3 </v>
      </c>
      <c r="C39" s="441">
        <f>PLANNING!K39</f>
        <v>45446</v>
      </c>
      <c r="D39" s="442">
        <f t="shared" si="1"/>
        <v>23</v>
      </c>
      <c r="E39" s="435">
        <f>PLANNING!U39</f>
        <v>0</v>
      </c>
      <c r="F39" s="160"/>
      <c r="G39" s="164">
        <f t="shared" si="2"/>
        <v>38</v>
      </c>
      <c r="H39" s="444">
        <f t="shared" si="3"/>
        <v>181</v>
      </c>
      <c r="I39" s="158">
        <f t="shared" si="4"/>
        <v>55</v>
      </c>
    </row>
    <row r="40" spans="2:9" ht="18.75" x14ac:dyDescent="0.25">
      <c r="B40" s="434" t="str">
        <f>PLANNING!B40</f>
        <v>VICHY TENNIS Z1A</v>
      </c>
      <c r="C40" s="441">
        <f>PLANNING!K40</f>
        <v>45446</v>
      </c>
      <c r="D40" s="442">
        <f t="shared" si="1"/>
        <v>23</v>
      </c>
      <c r="E40" s="435">
        <f>PLANNING!U40</f>
        <v>0</v>
      </c>
      <c r="F40" s="160"/>
      <c r="G40" s="164">
        <f t="shared" si="2"/>
        <v>39</v>
      </c>
      <c r="H40" s="444">
        <f t="shared" si="3"/>
        <v>181</v>
      </c>
      <c r="I40" s="158">
        <f t="shared" si="4"/>
        <v>55</v>
      </c>
    </row>
    <row r="41" spans="2:9" ht="18.75" x14ac:dyDescent="0.25">
      <c r="B41" s="434" t="str">
        <f>PLANNING!B41</f>
        <v>CHENEVIERES sur MARNE Z2</v>
      </c>
      <c r="C41" s="441">
        <f>PLANNING!K41</f>
        <v>45447</v>
      </c>
      <c r="D41" s="442">
        <f t="shared" si="1"/>
        <v>23</v>
      </c>
      <c r="E41" s="435">
        <f>PLANNING!U41</f>
        <v>0</v>
      </c>
      <c r="F41" s="160"/>
      <c r="G41" s="164">
        <f t="shared" si="2"/>
        <v>40</v>
      </c>
      <c r="H41" s="444">
        <f t="shared" si="3"/>
        <v>0</v>
      </c>
      <c r="I41" s="158">
        <f t="shared" si="4"/>
        <v>55</v>
      </c>
    </row>
    <row r="42" spans="2:9" ht="18.75" x14ac:dyDescent="0.25">
      <c r="B42" s="434" t="str">
        <f>PLANNING!B42</f>
        <v>LYON Gymn. VAGANAY Z1</v>
      </c>
      <c r="C42" s="441">
        <f>PLANNING!K42</f>
        <v>45453</v>
      </c>
      <c r="D42" s="442">
        <f t="shared" si="1"/>
        <v>24</v>
      </c>
      <c r="E42" s="435">
        <f>PLANNING!U42</f>
        <v>0</v>
      </c>
      <c r="F42" s="160"/>
      <c r="G42" s="164">
        <f t="shared" si="2"/>
        <v>41</v>
      </c>
      <c r="H42" s="444">
        <f t="shared" si="3"/>
        <v>15</v>
      </c>
      <c r="I42" s="158">
        <f t="shared" si="4"/>
        <v>55</v>
      </c>
    </row>
    <row r="43" spans="2:9" ht="19.5" thickBot="1" x14ac:dyDescent="0.3">
      <c r="B43" s="434" t="str">
        <f>PLANNING!B43</f>
        <v>MAUBOURGUET -65 LIDL</v>
      </c>
      <c r="C43" s="441">
        <f>PLANNING!K43</f>
        <v>45453</v>
      </c>
      <c r="D43" s="442">
        <f t="shared" si="1"/>
        <v>24</v>
      </c>
      <c r="E43" s="435">
        <f>PLANNING!U43</f>
        <v>0</v>
      </c>
      <c r="F43" s="160"/>
      <c r="G43" s="165">
        <f t="shared" si="2"/>
        <v>42</v>
      </c>
      <c r="H43" s="445">
        <f t="shared" si="3"/>
        <v>33</v>
      </c>
      <c r="I43" s="159">
        <f t="shared" si="4"/>
        <v>55</v>
      </c>
    </row>
    <row r="44" spans="2:9" ht="19.5" thickBot="1" x14ac:dyDescent="0.3">
      <c r="B44" s="434" t="str">
        <f>PLANNING!B44</f>
        <v>PUISEUX en France Z1</v>
      </c>
      <c r="C44" s="441">
        <f>PLANNING!K44</f>
        <v>45453</v>
      </c>
      <c r="D44" s="442">
        <f t="shared" si="1"/>
        <v>24</v>
      </c>
      <c r="E44" s="435">
        <f>PLANNING!U44</f>
        <v>0</v>
      </c>
      <c r="F44" s="160"/>
      <c r="G44" s="165">
        <f t="shared" si="2"/>
        <v>43</v>
      </c>
      <c r="H44" s="445">
        <f t="shared" si="3"/>
        <v>0</v>
      </c>
      <c r="I44" s="159">
        <f t="shared" si="4"/>
        <v>55</v>
      </c>
    </row>
    <row r="45" spans="2:9" ht="19.5" thickBot="1" x14ac:dyDescent="0.3">
      <c r="B45" s="434" t="str">
        <f>PLANNING!B45</f>
        <v>ST EGREVE LEGENDRE Z4</v>
      </c>
      <c r="C45" s="441">
        <f>PLANNING!K45</f>
        <v>45453</v>
      </c>
      <c r="D45" s="442">
        <f t="shared" si="1"/>
        <v>24</v>
      </c>
      <c r="E45" s="435">
        <f>PLANNING!U45</f>
        <v>0</v>
      </c>
      <c r="F45" s="160"/>
      <c r="G45" s="165">
        <f t="shared" si="2"/>
        <v>44</v>
      </c>
      <c r="H45" s="445">
        <f t="shared" si="3"/>
        <v>0</v>
      </c>
      <c r="I45" s="159">
        <f t="shared" si="4"/>
        <v>55</v>
      </c>
    </row>
    <row r="46" spans="2:9" ht="19.5" thickBot="1" x14ac:dyDescent="0.3">
      <c r="B46" s="434" t="str">
        <f>PLANNING!B46</f>
        <v>VICHY TENNIS Z1B</v>
      </c>
      <c r="C46" s="441">
        <f>PLANNING!K46</f>
        <v>45453</v>
      </c>
      <c r="D46" s="442">
        <f t="shared" si="1"/>
        <v>24</v>
      </c>
      <c r="E46" s="435">
        <f>PLANNING!U46</f>
        <v>0</v>
      </c>
      <c r="F46" s="160"/>
      <c r="G46" s="165">
        <f t="shared" si="2"/>
        <v>45</v>
      </c>
      <c r="H46" s="445">
        <f t="shared" si="3"/>
        <v>0</v>
      </c>
      <c r="I46" s="159">
        <f t="shared" si="4"/>
        <v>55</v>
      </c>
    </row>
    <row r="47" spans="2:9" ht="19.5" thickBot="1" x14ac:dyDescent="0.3">
      <c r="B47" s="434" t="str">
        <f>PLANNING!B47</f>
        <v>CHENEVIERES sur MARNE Z3</v>
      </c>
      <c r="C47" s="441">
        <f>PLANNING!K47</f>
        <v>45454</v>
      </c>
      <c r="D47" s="442">
        <f t="shared" si="1"/>
        <v>24</v>
      </c>
      <c r="E47" s="435">
        <f>PLANNING!U47</f>
        <v>0</v>
      </c>
      <c r="F47" s="160"/>
      <c r="G47" s="165">
        <f t="shared" si="2"/>
        <v>46</v>
      </c>
      <c r="H47" s="445">
        <f t="shared" si="3"/>
        <v>0</v>
      </c>
      <c r="I47" s="159">
        <f t="shared" si="4"/>
        <v>55</v>
      </c>
    </row>
    <row r="48" spans="2:9" ht="19.5" thickBot="1" x14ac:dyDescent="0.3">
      <c r="B48" s="434" t="str">
        <f>PLANNING!B48</f>
        <v>BATIFLEX - VAUDAGNE Z6a</v>
      </c>
      <c r="C48" s="441">
        <f>PLANNING!K48</f>
        <v>45455</v>
      </c>
      <c r="D48" s="442">
        <f t="shared" si="1"/>
        <v>24</v>
      </c>
      <c r="E48" s="435">
        <f>PLANNING!U48</f>
        <v>0</v>
      </c>
      <c r="F48" s="160"/>
      <c r="G48" s="165">
        <f t="shared" si="2"/>
        <v>47</v>
      </c>
      <c r="H48" s="445">
        <f t="shared" si="3"/>
        <v>0</v>
      </c>
      <c r="I48" s="159">
        <f t="shared" si="4"/>
        <v>55</v>
      </c>
    </row>
    <row r="49" spans="2:9" ht="19.5" thickBot="1" x14ac:dyDescent="0.3">
      <c r="B49" s="434" t="str">
        <f>PLANNING!B49</f>
        <v>ISSOIRE -63 Groupe scolaire Z2</v>
      </c>
      <c r="C49" s="441">
        <f>PLANNING!K49</f>
        <v>45456</v>
      </c>
      <c r="D49" s="442">
        <f t="shared" si="1"/>
        <v>24</v>
      </c>
      <c r="E49" s="435">
        <f>PLANNING!U49</f>
        <v>16</v>
      </c>
      <c r="F49" s="160"/>
      <c r="G49" s="165">
        <f t="shared" si="2"/>
        <v>48</v>
      </c>
      <c r="H49" s="445">
        <f t="shared" si="3"/>
        <v>0</v>
      </c>
      <c r="I49" s="159">
        <f t="shared" si="4"/>
        <v>55</v>
      </c>
    </row>
    <row r="50" spans="2:9" ht="19.5" thickBot="1" x14ac:dyDescent="0.3">
      <c r="B50" s="434" t="str">
        <f>PLANNING!B50</f>
        <v>BAGNOLS SUR CEZE -30 ALDI</v>
      </c>
      <c r="C50" s="441">
        <f>PLANNING!K50</f>
        <v>45460</v>
      </c>
      <c r="D50" s="442">
        <f t="shared" si="1"/>
        <v>25</v>
      </c>
      <c r="E50" s="435">
        <f>PLANNING!U50</f>
        <v>0</v>
      </c>
      <c r="F50" s="160"/>
      <c r="G50" s="165">
        <f t="shared" si="2"/>
        <v>49</v>
      </c>
      <c r="H50" s="445">
        <f t="shared" si="3"/>
        <v>0</v>
      </c>
      <c r="I50" s="159">
        <f t="shared" si="4"/>
        <v>55</v>
      </c>
    </row>
    <row r="51" spans="2:9" ht="19.5" thickBot="1" x14ac:dyDescent="0.3">
      <c r="B51" s="434" t="str">
        <f>PLANNING!B51</f>
        <v>FERNEY VOLTAIRE Parking Z4</v>
      </c>
      <c r="C51" s="441">
        <f>PLANNING!K51</f>
        <v>45460</v>
      </c>
      <c r="D51" s="442">
        <f t="shared" si="1"/>
        <v>25</v>
      </c>
      <c r="E51" s="435">
        <f>PLANNING!U51</f>
        <v>0</v>
      </c>
      <c r="F51" s="160"/>
      <c r="G51" s="165">
        <f t="shared" si="2"/>
        <v>50</v>
      </c>
      <c r="H51" s="445">
        <f t="shared" si="3"/>
        <v>0</v>
      </c>
      <c r="I51" s="159">
        <f t="shared" si="4"/>
        <v>55</v>
      </c>
    </row>
    <row r="52" spans="2:9" ht="19.5" thickBot="1" x14ac:dyDescent="0.3">
      <c r="B52" s="434" t="str">
        <f>PLANNING!B52</f>
        <v>PUISEUX en France Z2</v>
      </c>
      <c r="C52" s="441">
        <f>PLANNING!K52</f>
        <v>45462</v>
      </c>
      <c r="D52" s="442">
        <f t="shared" si="1"/>
        <v>25</v>
      </c>
      <c r="E52" s="435">
        <f>PLANNING!U52</f>
        <v>0</v>
      </c>
      <c r="F52" s="160"/>
      <c r="G52" s="165">
        <f t="shared" si="2"/>
        <v>51</v>
      </c>
      <c r="H52" s="445">
        <f t="shared" si="3"/>
        <v>0</v>
      </c>
      <c r="I52" s="159">
        <f t="shared" si="4"/>
        <v>55</v>
      </c>
    </row>
    <row r="53" spans="2:9" ht="19.5" thickBot="1" x14ac:dyDescent="0.3">
      <c r="B53" s="434" t="str">
        <f>PLANNING!B53</f>
        <v>MARSEILLE -13 Gymnase BOUGE</v>
      </c>
      <c r="C53" s="441">
        <f>PLANNING!K53</f>
        <v>45467</v>
      </c>
      <c r="D53" s="442">
        <f t="shared" si="1"/>
        <v>26</v>
      </c>
      <c r="E53" s="435">
        <f>PLANNING!U53</f>
        <v>9</v>
      </c>
      <c r="F53" s="160"/>
      <c r="G53" s="165">
        <f t="shared" si="2"/>
        <v>52</v>
      </c>
      <c r="H53" s="445">
        <f t="shared" si="3"/>
        <v>0</v>
      </c>
      <c r="I53" s="159">
        <f t="shared" si="4"/>
        <v>55</v>
      </c>
    </row>
    <row r="54" spans="2:9" ht="18.75" x14ac:dyDescent="0.3">
      <c r="B54" s="434" t="str">
        <f>PLANNING!B54</f>
        <v>PUISEUX en France Z3</v>
      </c>
      <c r="C54" s="441">
        <f>PLANNING!K54</f>
        <v>45467</v>
      </c>
      <c r="D54" s="442">
        <f t="shared" si="1"/>
        <v>26</v>
      </c>
      <c r="E54" s="435">
        <f>PLANNING!U54</f>
        <v>0</v>
      </c>
      <c r="F54" s="160"/>
      <c r="G54" s="440"/>
      <c r="H54" s="440"/>
      <c r="I54" s="162"/>
    </row>
    <row r="55" spans="2:9" ht="18.75" x14ac:dyDescent="0.3">
      <c r="B55" s="434" t="str">
        <f>PLANNING!B55</f>
        <v>BATIFLEX - VAUDAGNE Z6b</v>
      </c>
      <c r="C55" s="441">
        <f>PLANNING!K55</f>
        <v>45468</v>
      </c>
      <c r="D55" s="442">
        <f t="shared" si="1"/>
        <v>26</v>
      </c>
      <c r="E55" s="435">
        <f>PLANNING!U55</f>
        <v>0</v>
      </c>
      <c r="F55" s="160"/>
      <c r="G55" s="440"/>
      <c r="H55" s="440"/>
      <c r="I55" s="162"/>
    </row>
    <row r="56" spans="2:9" ht="18.75" x14ac:dyDescent="0.3">
      <c r="B56" s="434" t="str">
        <f>PLANNING!B56</f>
        <v>FERNEY VOLTAIRE Parking Z5</v>
      </c>
      <c r="C56" s="441">
        <f>PLANNING!K56</f>
        <v>45474</v>
      </c>
      <c r="D56" s="442">
        <f t="shared" si="1"/>
        <v>27</v>
      </c>
      <c r="E56" s="435">
        <f>PLANNING!U56</f>
        <v>0</v>
      </c>
      <c r="F56" s="160"/>
      <c r="G56" s="440"/>
      <c r="H56" s="440"/>
      <c r="I56" s="162"/>
    </row>
    <row r="57" spans="2:9" ht="18.75" x14ac:dyDescent="0.3">
      <c r="B57" s="434" t="str">
        <f>PLANNING!B57</f>
        <v>LYON Gymn. VAGANAY Z2</v>
      </c>
      <c r="C57" s="441">
        <f>PLANNING!K57</f>
        <v>45474</v>
      </c>
      <c r="D57" s="442">
        <f t="shared" si="1"/>
        <v>27</v>
      </c>
      <c r="E57" s="435">
        <f>PLANNING!U57</f>
        <v>0</v>
      </c>
      <c r="F57" s="160"/>
      <c r="G57" s="440"/>
      <c r="H57" s="440"/>
      <c r="I57" s="162"/>
    </row>
    <row r="58" spans="2:9" ht="18.75" x14ac:dyDescent="0.3">
      <c r="B58" s="434" t="str">
        <f>PLANNING!B58</f>
        <v>REIGNIER ESERY-74 Gymnase Z1</v>
      </c>
      <c r="C58" s="441">
        <f>PLANNING!K58</f>
        <v>45474</v>
      </c>
      <c r="D58" s="442">
        <f t="shared" si="1"/>
        <v>27</v>
      </c>
      <c r="E58" s="435">
        <f>PLANNING!U58</f>
        <v>360.5</v>
      </c>
      <c r="F58" s="160"/>
      <c r="G58" s="440"/>
      <c r="H58" s="440"/>
      <c r="I58" s="162"/>
    </row>
    <row r="59" spans="2:9" ht="18.75" x14ac:dyDescent="0.3">
      <c r="B59" s="434" t="str">
        <f>PLANNING!B59</f>
        <v>BATIFLEX - VAUDAGNE Z7</v>
      </c>
      <c r="C59" s="441">
        <f>PLANNING!K59</f>
        <v>45476</v>
      </c>
      <c r="D59" s="442">
        <f t="shared" si="1"/>
        <v>27</v>
      </c>
      <c r="E59" s="435">
        <f>PLANNING!U59</f>
        <v>0</v>
      </c>
      <c r="F59" s="160"/>
      <c r="G59" s="440"/>
      <c r="H59" s="440"/>
      <c r="I59" s="162"/>
    </row>
    <row r="60" spans="2:9" ht="18.75" x14ac:dyDescent="0.3">
      <c r="B60" s="434" t="str">
        <f>PLANNING!B60</f>
        <v>TOUCY-89  Centre Aquatique Z2</v>
      </c>
      <c r="C60" s="441">
        <f>PLANNING!K60</f>
        <v>45476</v>
      </c>
      <c r="D60" s="442">
        <f t="shared" si="1"/>
        <v>27</v>
      </c>
      <c r="E60" s="435">
        <f>PLANNING!U60</f>
        <v>0</v>
      </c>
      <c r="F60" s="160"/>
      <c r="G60" s="440"/>
      <c r="H60" s="440"/>
      <c r="I60" s="162"/>
    </row>
    <row r="61" spans="2:9" ht="18.75" x14ac:dyDescent="0.3">
      <c r="B61" s="434" t="str">
        <f>PLANNING!B61</f>
        <v>LYON Gymn. VAGANAY Z3</v>
      </c>
      <c r="C61" s="441">
        <f>PLANNING!K61</f>
        <v>45481</v>
      </c>
      <c r="D61" s="442">
        <f t="shared" si="1"/>
        <v>28</v>
      </c>
      <c r="E61" s="435">
        <f>PLANNING!U61</f>
        <v>0</v>
      </c>
      <c r="F61" s="160"/>
      <c r="G61" s="440"/>
      <c r="H61" s="440"/>
      <c r="I61" s="162"/>
    </row>
    <row r="62" spans="2:9" ht="18.75" x14ac:dyDescent="0.3">
      <c r="B62" s="434" t="str">
        <f>PLANNING!B62</f>
        <v>MARLE -02 ALDI</v>
      </c>
      <c r="C62" s="441">
        <f>PLANNING!K62</f>
        <v>45481</v>
      </c>
      <c r="D62" s="442">
        <f t="shared" si="1"/>
        <v>28</v>
      </c>
      <c r="E62" s="435">
        <f>PLANNING!U62</f>
        <v>0</v>
      </c>
      <c r="F62" s="160"/>
      <c r="G62" s="440"/>
      <c r="H62" s="440"/>
      <c r="I62" s="162"/>
    </row>
    <row r="63" spans="2:9" ht="18.75" x14ac:dyDescent="0.3">
      <c r="B63" s="434" t="str">
        <f>PLANNING!B63</f>
        <v>REIGNIER ESERY-74 Gymnase Z2</v>
      </c>
      <c r="C63" s="441">
        <f>PLANNING!K63</f>
        <v>45481</v>
      </c>
      <c r="D63" s="442">
        <f t="shared" si="1"/>
        <v>28</v>
      </c>
      <c r="E63" s="435">
        <f>PLANNING!U63</f>
        <v>360.5</v>
      </c>
      <c r="F63" s="160"/>
      <c r="G63" s="440"/>
      <c r="H63" s="440"/>
      <c r="I63" s="162"/>
    </row>
    <row r="64" spans="2:9" ht="18.75" x14ac:dyDescent="0.3">
      <c r="B64" s="434" t="str">
        <f>PLANNING!B64</f>
        <v>FERNEY VOLTAIRE Parking Z6</v>
      </c>
      <c r="C64" s="441">
        <f>PLANNING!K64</f>
        <v>45488</v>
      </c>
      <c r="D64" s="442">
        <f t="shared" si="1"/>
        <v>29</v>
      </c>
      <c r="E64" s="435">
        <f>PLANNING!U64</f>
        <v>0</v>
      </c>
      <c r="F64" s="160"/>
      <c r="G64" s="440"/>
      <c r="H64" s="440"/>
      <c r="I64" s="162"/>
    </row>
    <row r="65" spans="2:9" ht="18.75" x14ac:dyDescent="0.3">
      <c r="B65" s="434" t="str">
        <f>PLANNING!B65</f>
        <v>LIDL CLERMONT</v>
      </c>
      <c r="C65" s="441">
        <f>PLANNING!K65</f>
        <v>45488</v>
      </c>
      <c r="D65" s="442">
        <f t="shared" si="1"/>
        <v>29</v>
      </c>
      <c r="E65" s="435">
        <f>PLANNING!U65</f>
        <v>0</v>
      </c>
      <c r="F65" s="160"/>
      <c r="G65" s="440"/>
      <c r="H65" s="440"/>
      <c r="I65" s="162"/>
    </row>
    <row r="66" spans="2:9" ht="18.75" x14ac:dyDescent="0.3">
      <c r="B66" s="434" t="str">
        <f>PLANNING!B66</f>
        <v>LE LUC-83 LIDL Z1</v>
      </c>
      <c r="C66" s="441">
        <f>PLANNING!K66</f>
        <v>45495</v>
      </c>
      <c r="D66" s="442">
        <f t="shared" si="1"/>
        <v>30</v>
      </c>
      <c r="E66" s="435">
        <f>PLANNING!U66</f>
        <v>0</v>
      </c>
      <c r="F66" s="160"/>
      <c r="G66" s="440"/>
      <c r="H66" s="440"/>
      <c r="I66" s="162"/>
    </row>
    <row r="67" spans="2:9" ht="18.75" x14ac:dyDescent="0.3">
      <c r="B67" s="434" t="str">
        <f>PLANNING!B67</f>
        <v>FERNEY VOLTAIRE Parking Z7</v>
      </c>
      <c r="C67" s="441">
        <f>PLANNING!K67</f>
        <v>45502</v>
      </c>
      <c r="D67" s="442">
        <f t="shared" ref="D67:D94" si="5">WEEKNUM(C67,2)</f>
        <v>31</v>
      </c>
      <c r="E67" s="435">
        <f>PLANNING!U67</f>
        <v>0</v>
      </c>
      <c r="F67" s="160"/>
      <c r="G67" s="440"/>
      <c r="H67" s="440"/>
      <c r="I67" s="162"/>
    </row>
    <row r="68" spans="2:9" ht="18.75" x14ac:dyDescent="0.3">
      <c r="B68" s="434" t="str">
        <f>PLANNING!B68</f>
        <v>FERNEY VOLTAIRE Parking Z8</v>
      </c>
      <c r="C68" s="441">
        <f>PLANNING!K68</f>
        <v>45506</v>
      </c>
      <c r="D68" s="442">
        <f t="shared" si="5"/>
        <v>31</v>
      </c>
      <c r="E68" s="435">
        <f>PLANNING!U68</f>
        <v>0</v>
      </c>
      <c r="F68" s="160"/>
      <c r="G68" s="440"/>
      <c r="H68" s="440"/>
      <c r="I68" s="440"/>
    </row>
    <row r="69" spans="2:9" ht="18.75" x14ac:dyDescent="0.3">
      <c r="B69" s="434" t="str">
        <f>PLANNING!B69</f>
        <v>ISSOIRE -63 Groupe scolaire Z3</v>
      </c>
      <c r="C69" s="441">
        <f>PLANNING!K69</f>
        <v>45530</v>
      </c>
      <c r="D69" s="442">
        <f t="shared" si="5"/>
        <v>35</v>
      </c>
      <c r="E69" s="435">
        <f>PLANNING!U69</f>
        <v>16</v>
      </c>
      <c r="F69" s="160"/>
      <c r="G69" s="440"/>
      <c r="H69" s="440"/>
      <c r="I69" s="440"/>
    </row>
    <row r="70" spans="2:9" ht="18.75" x14ac:dyDescent="0.3">
      <c r="B70" s="434" t="str">
        <f>PLANNING!B70</f>
        <v>WEYERSHEIM-67 ALDI</v>
      </c>
      <c r="C70" s="441">
        <f>PLANNING!K70</f>
        <v>45530</v>
      </c>
      <c r="D70" s="442">
        <f t="shared" si="5"/>
        <v>35</v>
      </c>
      <c r="E70" s="435">
        <f>PLANNING!U70</f>
        <v>0</v>
      </c>
      <c r="F70" s="160"/>
      <c r="G70" s="440"/>
      <c r="H70" s="440"/>
      <c r="I70" s="440"/>
    </row>
    <row r="71" spans="2:9" ht="18.75" x14ac:dyDescent="0.3">
      <c r="B71" s="434" t="str">
        <f>PLANNING!B71</f>
        <v>REIGNIER ESERY-74 Tennis Z1</v>
      </c>
      <c r="C71" s="441">
        <f>PLANNING!K71</f>
        <v>45537</v>
      </c>
      <c r="D71" s="442">
        <f t="shared" si="5"/>
        <v>36</v>
      </c>
      <c r="E71" s="435">
        <f>PLANNING!U71</f>
        <v>181</v>
      </c>
      <c r="F71" s="160"/>
      <c r="G71" s="440"/>
      <c r="H71" s="440"/>
      <c r="I71" s="440"/>
    </row>
    <row r="72" spans="2:9" ht="18.75" x14ac:dyDescent="0.3">
      <c r="B72" s="434" t="str">
        <f>PLANNING!B72</f>
        <v>DEMO CHARPENTE "LE GUA"</v>
      </c>
      <c r="C72" s="441">
        <f>PLANNING!K72</f>
        <v>45544</v>
      </c>
      <c r="D72" s="442">
        <f t="shared" si="5"/>
        <v>37</v>
      </c>
      <c r="E72" s="435">
        <f>PLANNING!U72</f>
        <v>0</v>
      </c>
      <c r="F72" s="160"/>
      <c r="G72" s="440"/>
      <c r="H72" s="440"/>
      <c r="I72" s="440"/>
    </row>
    <row r="73" spans="2:9" ht="18.75" x14ac:dyDescent="0.3">
      <c r="B73" s="434" t="str">
        <f>PLANNING!B73</f>
        <v>LE LUC-83 LIDL Z2</v>
      </c>
      <c r="C73" s="441">
        <f>PLANNING!K73</f>
        <v>45544</v>
      </c>
      <c r="D73" s="442">
        <f t="shared" si="5"/>
        <v>37</v>
      </c>
      <c r="E73" s="435">
        <f>PLANNING!U73</f>
        <v>0</v>
      </c>
      <c r="F73" s="160"/>
      <c r="G73" s="440"/>
      <c r="H73" s="440"/>
      <c r="I73" s="440"/>
    </row>
    <row r="74" spans="2:9" ht="18.75" x14ac:dyDescent="0.3">
      <c r="B74" s="434" t="str">
        <f>PLANNING!B74</f>
        <v>REIGNIER ESERY-74 Tennis Z2</v>
      </c>
      <c r="C74" s="441">
        <f>PLANNING!K74</f>
        <v>45544</v>
      </c>
      <c r="D74" s="442">
        <f t="shared" si="5"/>
        <v>37</v>
      </c>
      <c r="E74" s="435">
        <f>PLANNING!U74</f>
        <v>181</v>
      </c>
      <c r="G74" s="440"/>
      <c r="H74" s="440"/>
      <c r="I74" s="440"/>
    </row>
    <row r="75" spans="2:9" ht="18.75" x14ac:dyDescent="0.3">
      <c r="B75" s="434" t="str">
        <f>PLANNING!B75</f>
        <v>ST GENIS POUILLY Z1</v>
      </c>
      <c r="C75" s="441">
        <f>PLANNING!K75</f>
        <v>45544</v>
      </c>
      <c r="D75" s="442">
        <f t="shared" si="5"/>
        <v>37</v>
      </c>
      <c r="E75" s="435">
        <f>PLANNING!U75</f>
        <v>0</v>
      </c>
      <c r="G75" s="440"/>
      <c r="H75" s="440"/>
      <c r="I75" s="440"/>
    </row>
    <row r="76" spans="2:9" ht="18.75" x14ac:dyDescent="0.3">
      <c r="B76" s="434" t="str">
        <f>PLANNING!B76</f>
        <v>BEAUNE -21 EXTENTION VINALIX Z1</v>
      </c>
      <c r="C76" s="441">
        <f>PLANNING!K76</f>
        <v>45551</v>
      </c>
      <c r="D76" s="442">
        <f t="shared" si="5"/>
        <v>38</v>
      </c>
      <c r="E76" s="435">
        <f>PLANNING!U76</f>
        <v>0</v>
      </c>
      <c r="G76" s="440"/>
      <c r="H76" s="440"/>
      <c r="I76" s="440"/>
    </row>
    <row r="77" spans="2:9" ht="18.75" x14ac:dyDescent="0.3">
      <c r="B77" s="434" t="str">
        <f>PLANNING!B77</f>
        <v>BRIANCON -05 Gymnase Z1a</v>
      </c>
      <c r="C77" s="441">
        <f>PLANNING!K77</f>
        <v>45551</v>
      </c>
      <c r="D77" s="442">
        <f t="shared" si="5"/>
        <v>38</v>
      </c>
      <c r="E77" s="435">
        <f>PLANNING!U77</f>
        <v>0</v>
      </c>
      <c r="G77" s="440"/>
      <c r="H77" s="440"/>
      <c r="I77" s="440"/>
    </row>
    <row r="78" spans="2:9" ht="18.75" x14ac:dyDescent="0.3">
      <c r="B78" s="434" t="str">
        <f>PLANNING!B78</f>
        <v>PUISEUX en FRANCE - MEZZANINES</v>
      </c>
      <c r="C78" s="441">
        <f>PLANNING!K78</f>
        <v>45551</v>
      </c>
      <c r="D78" s="442">
        <f t="shared" si="5"/>
        <v>38</v>
      </c>
      <c r="E78" s="435">
        <f>PLANNING!U78</f>
        <v>0</v>
      </c>
      <c r="G78" s="440"/>
      <c r="H78" s="440"/>
      <c r="I78" s="440"/>
    </row>
    <row r="79" spans="2:9" ht="18.75" x14ac:dyDescent="0.3">
      <c r="B79" s="434" t="str">
        <f>PLANNING!B79</f>
        <v>REIGNIER ESERY-74 Tennis Z3</v>
      </c>
      <c r="C79" s="441">
        <f>PLANNING!K79</f>
        <v>45551</v>
      </c>
      <c r="D79" s="442">
        <f t="shared" si="5"/>
        <v>38</v>
      </c>
      <c r="E79" s="435">
        <f>PLANNING!U79</f>
        <v>181</v>
      </c>
      <c r="G79" s="440"/>
      <c r="H79" s="440"/>
      <c r="I79" s="440"/>
    </row>
    <row r="80" spans="2:9" ht="18.75" x14ac:dyDescent="0.3">
      <c r="B80" s="434" t="str">
        <f>PLANNING!B80</f>
        <v>BEAUNE -21 EXTENTION VINALIX Z2</v>
      </c>
      <c r="C80" s="441">
        <f>PLANNING!K80</f>
        <v>45558</v>
      </c>
      <c r="D80" s="442">
        <f t="shared" si="5"/>
        <v>39</v>
      </c>
      <c r="E80" s="435">
        <f>PLANNING!U80</f>
        <v>0</v>
      </c>
      <c r="G80" s="440"/>
      <c r="H80" s="440"/>
      <c r="I80" s="440"/>
    </row>
    <row r="81" spans="2:9" ht="18.75" x14ac:dyDescent="0.3">
      <c r="B81" s="434" t="str">
        <f>PLANNING!B81</f>
        <v>REIGNIER ESERY-74 Tennis Z4</v>
      </c>
      <c r="C81" s="441">
        <f>PLANNING!K81</f>
        <v>45558</v>
      </c>
      <c r="D81" s="442">
        <f t="shared" si="5"/>
        <v>39</v>
      </c>
      <c r="E81" s="435">
        <f>PLANNING!U81</f>
        <v>181</v>
      </c>
      <c r="G81" s="440"/>
      <c r="H81" s="440"/>
      <c r="I81" s="440"/>
    </row>
    <row r="82" spans="2:9" ht="18.75" x14ac:dyDescent="0.3">
      <c r="B82" s="434" t="str">
        <f>PLANNING!B82</f>
        <v>BRIANCON -05 Gymnase Z1b</v>
      </c>
      <c r="C82" s="441">
        <f>PLANNING!K82</f>
        <v>45565</v>
      </c>
      <c r="D82" s="442">
        <f t="shared" si="5"/>
        <v>40</v>
      </c>
      <c r="E82" s="435">
        <f>PLANNING!U82</f>
        <v>0</v>
      </c>
      <c r="G82" s="440"/>
      <c r="H82" s="440"/>
      <c r="I82" s="440"/>
    </row>
    <row r="83" spans="2:9" ht="18.75" x14ac:dyDescent="0.3">
      <c r="B83" s="434" t="str">
        <f>PLANNING!B83</f>
        <v>LOOS -59 Cuisine centrale</v>
      </c>
      <c r="C83" s="441">
        <f>PLANNING!K83</f>
        <v>45565</v>
      </c>
      <c r="D83" s="442">
        <f t="shared" si="5"/>
        <v>40</v>
      </c>
      <c r="E83" s="435">
        <f>PLANNING!U83</f>
        <v>0</v>
      </c>
      <c r="G83" s="440"/>
      <c r="H83" s="440"/>
      <c r="I83" s="440"/>
    </row>
    <row r="84" spans="2:9" ht="18.75" x14ac:dyDescent="0.3">
      <c r="B84" s="434" t="str">
        <f>PLANNING!B84</f>
        <v>ST GENIS POUILLY Z2</v>
      </c>
      <c r="C84" s="441">
        <f>PLANNING!K84</f>
        <v>45565</v>
      </c>
      <c r="D84" s="442">
        <f t="shared" si="5"/>
        <v>40</v>
      </c>
      <c r="E84" s="435">
        <f>PLANNING!U84</f>
        <v>0</v>
      </c>
      <c r="G84" s="440"/>
      <c r="H84" s="440"/>
      <c r="I84" s="440"/>
    </row>
    <row r="85" spans="2:9" ht="18.75" x14ac:dyDescent="0.3">
      <c r="B85" s="434" t="str">
        <f>PLANNING!B85</f>
        <v>VICHY TENNIS Z2A</v>
      </c>
      <c r="C85" s="441">
        <f>PLANNING!K85</f>
        <v>45565</v>
      </c>
      <c r="D85" s="442">
        <f t="shared" si="5"/>
        <v>40</v>
      </c>
      <c r="E85" s="435">
        <f>PLANNING!U85</f>
        <v>0</v>
      </c>
      <c r="G85" s="440"/>
      <c r="H85" s="440"/>
      <c r="I85" s="440"/>
    </row>
    <row r="86" spans="2:9" ht="18.75" x14ac:dyDescent="0.3">
      <c r="B86" s="434" t="str">
        <f>PLANNING!B86</f>
        <v>GAP</v>
      </c>
      <c r="C86" s="441">
        <f>PLANNING!K86</f>
        <v>45566</v>
      </c>
      <c r="D86" s="442">
        <f t="shared" si="5"/>
        <v>40</v>
      </c>
      <c r="E86" s="435">
        <f>PLANNING!U86</f>
        <v>0</v>
      </c>
      <c r="G86" s="440"/>
      <c r="H86" s="440"/>
      <c r="I86" s="440"/>
    </row>
    <row r="87" spans="2:9" ht="18.75" x14ac:dyDescent="0.3">
      <c r="B87" s="434" t="str">
        <f>PLANNING!B87</f>
        <v>SAINT JUST RAMBERT -42 Piscine Halle bassin Z1</v>
      </c>
      <c r="C87" s="441">
        <f>PLANNING!K87</f>
        <v>45566</v>
      </c>
      <c r="D87" s="442">
        <f t="shared" si="5"/>
        <v>40</v>
      </c>
      <c r="E87" s="435">
        <f>PLANNING!U87</f>
        <v>0</v>
      </c>
      <c r="G87" s="440"/>
      <c r="H87" s="440"/>
      <c r="I87" s="440"/>
    </row>
    <row r="88" spans="2:9" ht="18.75" x14ac:dyDescent="0.3">
      <c r="B88" s="434" t="str">
        <f>PLANNING!B88</f>
        <v>REIGNIER ESERY-74 Communs Z2</v>
      </c>
      <c r="C88" s="441">
        <f>PLANNING!K88</f>
        <v>45572</v>
      </c>
      <c r="D88" s="442">
        <f t="shared" si="5"/>
        <v>41</v>
      </c>
      <c r="E88" s="435">
        <f>PLANNING!U88</f>
        <v>15</v>
      </c>
      <c r="G88" s="440"/>
      <c r="H88" s="440"/>
      <c r="I88" s="440"/>
    </row>
    <row r="89" spans="2:9" ht="18.75" x14ac:dyDescent="0.3">
      <c r="B89" s="434" t="str">
        <f>PLANNING!B89</f>
        <v>VICHY TENNIS Z2B</v>
      </c>
      <c r="C89" s="441">
        <f>PLANNING!K89</f>
        <v>45572</v>
      </c>
      <c r="D89" s="442">
        <f t="shared" si="5"/>
        <v>41</v>
      </c>
      <c r="E89" s="435">
        <f>PLANNING!U89</f>
        <v>0</v>
      </c>
      <c r="G89" s="440"/>
      <c r="H89" s="440"/>
      <c r="I89" s="440"/>
    </row>
    <row r="90" spans="2:9" ht="18.75" x14ac:dyDescent="0.3">
      <c r="B90" s="434" t="str">
        <f>PLANNING!B90</f>
        <v>BRIANCON -05 Gymnase Z2</v>
      </c>
      <c r="C90" s="441">
        <f>PLANNING!K90</f>
        <v>45579</v>
      </c>
      <c r="D90" s="442">
        <f t="shared" si="5"/>
        <v>42</v>
      </c>
      <c r="E90" s="435">
        <f>PLANNING!U90</f>
        <v>0</v>
      </c>
      <c r="G90" s="440"/>
      <c r="H90" s="440"/>
      <c r="I90" s="440"/>
    </row>
    <row r="91" spans="2:9" ht="18.75" x14ac:dyDescent="0.3">
      <c r="B91" s="434" t="str">
        <f>PLANNING!B91</f>
        <v>NANTERRE -92 GYMNASE</v>
      </c>
      <c r="C91" s="441">
        <f>PLANNING!K91</f>
        <v>45579</v>
      </c>
      <c r="D91" s="442">
        <f t="shared" si="5"/>
        <v>42</v>
      </c>
      <c r="E91" s="435">
        <f>PLANNING!U91</f>
        <v>33</v>
      </c>
      <c r="G91" s="440"/>
      <c r="H91" s="440"/>
      <c r="I91" s="440"/>
    </row>
    <row r="92" spans="2:9" ht="18.75" x14ac:dyDescent="0.3">
      <c r="B92" s="434" t="str">
        <f>PLANNING!B92</f>
        <v>NEUVECELLE EVIAN DOME</v>
      </c>
      <c r="C92" s="441">
        <f>PLANNING!K92</f>
        <v>45580</v>
      </c>
      <c r="D92" s="442">
        <f t="shared" si="5"/>
        <v>42</v>
      </c>
      <c r="E92" s="435">
        <f>PLANNING!U92</f>
        <v>0</v>
      </c>
      <c r="G92" s="440"/>
      <c r="H92" s="440"/>
      <c r="I92" s="440"/>
    </row>
    <row r="93" spans="2:9" ht="18.75" x14ac:dyDescent="0.3">
      <c r="B93" s="434" t="str">
        <f>PLANNING!B93</f>
        <v>UZES -30 Piscine</v>
      </c>
      <c r="C93" s="441">
        <f>PLANNING!K93</f>
        <v>45580</v>
      </c>
      <c r="D93" s="442">
        <f t="shared" si="5"/>
        <v>42</v>
      </c>
      <c r="E93" s="435">
        <f>PLANNING!U93</f>
        <v>0</v>
      </c>
      <c r="G93" s="440"/>
      <c r="H93" s="440"/>
      <c r="I93" s="440"/>
    </row>
    <row r="94" spans="2:9" ht="18.75" x14ac:dyDescent="0.3">
      <c r="B94" s="434" t="str">
        <f>PLANNING!B94</f>
        <v>ST GENIS POUILLY Z3</v>
      </c>
      <c r="C94" s="441">
        <f>PLANNING!K94</f>
        <v>45586</v>
      </c>
      <c r="D94" s="442">
        <f t="shared" si="5"/>
        <v>43</v>
      </c>
      <c r="E94" s="435">
        <f>PLANNING!U94</f>
        <v>0</v>
      </c>
      <c r="G94" s="440"/>
      <c r="H94" s="440"/>
      <c r="I94" s="440"/>
    </row>
    <row r="95" spans="2:9" ht="18.75" x14ac:dyDescent="0.3">
      <c r="G95" s="440"/>
      <c r="H95" s="440"/>
      <c r="I95" s="440"/>
    </row>
    <row r="96" spans="2:9" ht="18.75" x14ac:dyDescent="0.3">
      <c r="G96" s="440"/>
      <c r="H96" s="440"/>
      <c r="I96" s="440"/>
    </row>
    <row r="97" spans="7:9" ht="18.75" x14ac:dyDescent="0.3">
      <c r="G97" s="440"/>
      <c r="H97" s="440"/>
      <c r="I97" s="440"/>
    </row>
    <row r="98" spans="7:9" ht="18.75" x14ac:dyDescent="0.3">
      <c r="G98" s="440"/>
      <c r="H98" s="440"/>
      <c r="I98" s="440"/>
    </row>
    <row r="99" spans="7:9" ht="18.75" x14ac:dyDescent="0.3">
      <c r="G99" s="440"/>
      <c r="H99" s="440"/>
      <c r="I99" s="440"/>
    </row>
    <row r="100" spans="7:9" ht="18.75" x14ac:dyDescent="0.3">
      <c r="G100" s="440"/>
      <c r="H100" s="440"/>
      <c r="I100" s="440"/>
    </row>
    <row r="101" spans="7:9" ht="18.75" x14ac:dyDescent="0.3">
      <c r="G101" s="440"/>
      <c r="H101" s="440"/>
      <c r="I101" s="440"/>
    </row>
    <row r="102" spans="7:9" ht="18.75" x14ac:dyDescent="0.3">
      <c r="G102" s="440"/>
      <c r="H102" s="440"/>
      <c r="I102" s="440"/>
    </row>
    <row r="103" spans="7:9" ht="18.75" x14ac:dyDescent="0.3">
      <c r="G103" s="440"/>
      <c r="H103" s="440"/>
      <c r="I103" s="440"/>
    </row>
    <row r="104" spans="7:9" ht="18.75" x14ac:dyDescent="0.3">
      <c r="G104" s="440"/>
      <c r="H104" s="440"/>
      <c r="I104" s="440"/>
    </row>
    <row r="105" spans="7:9" ht="18.75" x14ac:dyDescent="0.3">
      <c r="G105" s="440"/>
      <c r="H105" s="440"/>
      <c r="I105" s="440"/>
    </row>
    <row r="106" spans="7:9" ht="18.75" x14ac:dyDescent="0.3">
      <c r="G106" s="440"/>
      <c r="H106" s="440"/>
      <c r="I106" s="440"/>
    </row>
    <row r="107" spans="7:9" ht="18.75" x14ac:dyDescent="0.3">
      <c r="G107" s="440"/>
      <c r="H107" s="440"/>
      <c r="I107" s="440"/>
    </row>
    <row r="108" spans="7:9" ht="18.75" x14ac:dyDescent="0.3">
      <c r="G108" s="440"/>
      <c r="H108" s="440"/>
      <c r="I108" s="440"/>
    </row>
    <row r="109" spans="7:9" ht="18.75" x14ac:dyDescent="0.3">
      <c r="G109" s="440"/>
      <c r="H109" s="440"/>
      <c r="I109" s="440"/>
    </row>
    <row r="110" spans="7:9" ht="18.75" x14ac:dyDescent="0.3">
      <c r="G110" s="440"/>
      <c r="H110" s="440"/>
      <c r="I110" s="440"/>
    </row>
    <row r="111" spans="7:9" ht="18.75" x14ac:dyDescent="0.3">
      <c r="G111" s="440"/>
      <c r="H111" s="440"/>
      <c r="I111" s="440"/>
    </row>
    <row r="112" spans="7:9" ht="18.75" x14ac:dyDescent="0.3">
      <c r="G112" s="440"/>
      <c r="H112" s="440"/>
      <c r="I112" s="440"/>
    </row>
    <row r="113" spans="7:9" ht="18.75" x14ac:dyDescent="0.3">
      <c r="G113" s="440"/>
      <c r="H113" s="440"/>
      <c r="I113" s="440"/>
    </row>
    <row r="114" spans="7:9" ht="18.75" x14ac:dyDescent="0.3">
      <c r="G114" s="440"/>
      <c r="H114" s="440"/>
      <c r="I114" s="440"/>
    </row>
    <row r="115" spans="7:9" ht="18.75" x14ac:dyDescent="0.3">
      <c r="G115" s="440"/>
      <c r="H115" s="440"/>
      <c r="I115" s="440"/>
    </row>
    <row r="116" spans="7:9" ht="18.75" x14ac:dyDescent="0.3">
      <c r="G116" s="440"/>
      <c r="H116" s="440"/>
      <c r="I116" s="440"/>
    </row>
    <row r="117" spans="7:9" ht="18.75" x14ac:dyDescent="0.3">
      <c r="G117" s="440"/>
      <c r="H117" s="440"/>
      <c r="I117" s="440"/>
    </row>
    <row r="118" spans="7:9" ht="18.75" x14ac:dyDescent="0.3">
      <c r="G118" s="440"/>
      <c r="H118" s="440"/>
      <c r="I118" s="440"/>
    </row>
    <row r="119" spans="7:9" ht="18.75" x14ac:dyDescent="0.3">
      <c r="G119" s="440"/>
      <c r="H119" s="440"/>
      <c r="I119" s="440"/>
    </row>
    <row r="120" spans="7:9" ht="18.75" x14ac:dyDescent="0.3">
      <c r="G120" s="440"/>
      <c r="H120" s="440"/>
      <c r="I120" s="440"/>
    </row>
    <row r="121" spans="7:9" ht="18.75" x14ac:dyDescent="0.3">
      <c r="G121" s="440"/>
      <c r="H121" s="440"/>
      <c r="I121" s="440"/>
    </row>
    <row r="122" spans="7:9" ht="18.75" x14ac:dyDescent="0.3">
      <c r="G122" s="440"/>
      <c r="H122" s="440"/>
      <c r="I122" s="440"/>
    </row>
    <row r="123" spans="7:9" ht="18.75" x14ac:dyDescent="0.3">
      <c r="G123" s="440"/>
      <c r="H123" s="440"/>
      <c r="I123" s="440"/>
    </row>
    <row r="124" spans="7:9" ht="18.75" x14ac:dyDescent="0.3">
      <c r="G124" s="440"/>
      <c r="H124" s="440"/>
      <c r="I124" s="440"/>
    </row>
    <row r="125" spans="7:9" ht="18.75" x14ac:dyDescent="0.3">
      <c r="G125" s="440"/>
      <c r="H125" s="440"/>
      <c r="I125" s="440"/>
    </row>
    <row r="126" spans="7:9" ht="18.75" x14ac:dyDescent="0.3">
      <c r="G126" s="440"/>
      <c r="H126" s="440"/>
      <c r="I126" s="440"/>
    </row>
    <row r="127" spans="7:9" ht="18.75" x14ac:dyDescent="0.3">
      <c r="G127" s="440"/>
      <c r="H127" s="440"/>
      <c r="I127" s="440"/>
    </row>
    <row r="128" spans="7:9" ht="18.75" x14ac:dyDescent="0.3">
      <c r="G128" s="440"/>
      <c r="H128" s="440"/>
      <c r="I128" s="440"/>
    </row>
    <row r="129" spans="7:9" ht="18.75" x14ac:dyDescent="0.3">
      <c r="G129" s="440"/>
      <c r="H129" s="440"/>
      <c r="I129" s="440"/>
    </row>
    <row r="130" spans="7:9" ht="18.75" x14ac:dyDescent="0.3">
      <c r="G130" s="440"/>
      <c r="H130" s="440"/>
      <c r="I130" s="440"/>
    </row>
    <row r="131" spans="7:9" ht="18.75" x14ac:dyDescent="0.3">
      <c r="G131" s="440"/>
      <c r="H131" s="440"/>
      <c r="I131" s="440"/>
    </row>
    <row r="132" spans="7:9" ht="18.75" x14ac:dyDescent="0.3">
      <c r="G132" s="440"/>
      <c r="H132" s="440"/>
      <c r="I132" s="440"/>
    </row>
    <row r="133" spans="7:9" ht="18.75" x14ac:dyDescent="0.3">
      <c r="G133" s="440"/>
      <c r="H133" s="440"/>
      <c r="I133" s="440"/>
    </row>
    <row r="134" spans="7:9" ht="18.75" x14ac:dyDescent="0.3">
      <c r="G134" s="440"/>
      <c r="H134" s="440"/>
      <c r="I134" s="440"/>
    </row>
    <row r="135" spans="7:9" ht="18.75" x14ac:dyDescent="0.3">
      <c r="G135" s="440"/>
      <c r="H135" s="440"/>
      <c r="I135" s="440"/>
    </row>
    <row r="136" spans="7:9" ht="18.75" x14ac:dyDescent="0.3">
      <c r="G136" s="440"/>
      <c r="H136" s="440"/>
      <c r="I136" s="440"/>
    </row>
    <row r="137" spans="7:9" ht="18.75" x14ac:dyDescent="0.3">
      <c r="H137" s="440"/>
    </row>
    <row r="138" spans="7:9" ht="18.75" x14ac:dyDescent="0.3">
      <c r="H138" s="440"/>
    </row>
    <row r="139" spans="7:9" ht="18.75" x14ac:dyDescent="0.3">
      <c r="H139" s="440"/>
    </row>
    <row r="140" spans="7:9" ht="18.75" x14ac:dyDescent="0.3">
      <c r="H140" s="440"/>
    </row>
    <row r="141" spans="7:9" ht="18.75" x14ac:dyDescent="0.3">
      <c r="H141" s="440"/>
    </row>
    <row r="142" spans="7:9" ht="18.75" x14ac:dyDescent="0.3">
      <c r="H142" s="440"/>
    </row>
    <row r="143" spans="7:9" ht="18.75" x14ac:dyDescent="0.3">
      <c r="H143" s="440"/>
    </row>
    <row r="144" spans="7:9" ht="18.75" x14ac:dyDescent="0.3">
      <c r="H144" s="440"/>
    </row>
    <row r="145" spans="8:8" ht="18.75" x14ac:dyDescent="0.3">
      <c r="H145" s="440"/>
    </row>
    <row r="146" spans="8:8" ht="18.75" x14ac:dyDescent="0.3">
      <c r="H146" s="440"/>
    </row>
    <row r="147" spans="8:8" ht="18.75" x14ac:dyDescent="0.3">
      <c r="H147" s="440"/>
    </row>
    <row r="148" spans="8:8" ht="18.75" x14ac:dyDescent="0.3">
      <c r="H148" s="440"/>
    </row>
    <row r="149" spans="8:8" ht="18.75" x14ac:dyDescent="0.3">
      <c r="H149" s="440"/>
    </row>
    <row r="150" spans="8:8" ht="18.75" x14ac:dyDescent="0.3">
      <c r="H150" s="440"/>
    </row>
    <row r="151" spans="8:8" ht="18.75" x14ac:dyDescent="0.3">
      <c r="H151" s="440"/>
    </row>
    <row r="152" spans="8:8" ht="18.75" x14ac:dyDescent="0.3">
      <c r="H152" s="440"/>
    </row>
    <row r="153" spans="8:8" ht="18.75" x14ac:dyDescent="0.3">
      <c r="H153" s="440"/>
    </row>
    <row r="154" spans="8:8" ht="18.75" x14ac:dyDescent="0.3">
      <c r="H154" s="440"/>
    </row>
    <row r="155" spans="8:8" ht="18.75" x14ac:dyDescent="0.3">
      <c r="H155" s="440"/>
    </row>
    <row r="156" spans="8:8" ht="18.75" x14ac:dyDescent="0.3">
      <c r="H156" s="440"/>
    </row>
    <row r="157" spans="8:8" ht="18.75" x14ac:dyDescent="0.3">
      <c r="H157" s="440"/>
    </row>
    <row r="158" spans="8:8" ht="18.75" x14ac:dyDescent="0.3">
      <c r="H158" s="440"/>
    </row>
    <row r="159" spans="8:8" ht="18.75" x14ac:dyDescent="0.3">
      <c r="H159" s="440"/>
    </row>
    <row r="160" spans="8:8" ht="18.75" x14ac:dyDescent="0.3">
      <c r="H160" s="440"/>
    </row>
    <row r="161" spans="8:8" ht="18.75" x14ac:dyDescent="0.3">
      <c r="H161" s="440"/>
    </row>
    <row r="162" spans="8:8" ht="18.75" x14ac:dyDescent="0.3">
      <c r="H162" s="440"/>
    </row>
    <row r="163" spans="8:8" ht="18.75" x14ac:dyDescent="0.3">
      <c r="H163" s="440"/>
    </row>
    <row r="164" spans="8:8" ht="18.75" x14ac:dyDescent="0.3">
      <c r="H164" s="440"/>
    </row>
    <row r="165" spans="8:8" ht="18.75" x14ac:dyDescent="0.3">
      <c r="H165" s="440"/>
    </row>
    <row r="166" spans="8:8" ht="18.75" x14ac:dyDescent="0.3">
      <c r="H166" s="440"/>
    </row>
    <row r="167" spans="8:8" ht="18.75" x14ac:dyDescent="0.3">
      <c r="H167" s="440"/>
    </row>
    <row r="168" spans="8:8" ht="18.75" x14ac:dyDescent="0.3">
      <c r="H168" s="440"/>
    </row>
    <row r="169" spans="8:8" ht="18.75" x14ac:dyDescent="0.3">
      <c r="H169" s="440"/>
    </row>
    <row r="170" spans="8:8" ht="18.75" x14ac:dyDescent="0.3">
      <c r="H170" s="440"/>
    </row>
    <row r="171" spans="8:8" ht="18.75" x14ac:dyDescent="0.3">
      <c r="H171" s="440"/>
    </row>
    <row r="172" spans="8:8" ht="18.75" x14ac:dyDescent="0.3">
      <c r="H172" s="440"/>
    </row>
    <row r="173" spans="8:8" ht="18.75" x14ac:dyDescent="0.3">
      <c r="H173" s="440"/>
    </row>
    <row r="174" spans="8:8" ht="18.75" x14ac:dyDescent="0.3">
      <c r="H174" s="440"/>
    </row>
    <row r="175" spans="8:8" ht="18.75" x14ac:dyDescent="0.3">
      <c r="H175" s="440"/>
    </row>
    <row r="176" spans="8:8" ht="18.75" x14ac:dyDescent="0.3">
      <c r="H176" s="440"/>
    </row>
    <row r="177" spans="8:8" ht="18.75" x14ac:dyDescent="0.3">
      <c r="H177" s="440"/>
    </row>
    <row r="178" spans="8:8" ht="18.75" x14ac:dyDescent="0.3">
      <c r="H178" s="440"/>
    </row>
    <row r="179" spans="8:8" ht="18.75" x14ac:dyDescent="0.3">
      <c r="H179" s="440"/>
    </row>
    <row r="180" spans="8:8" ht="18.75" x14ac:dyDescent="0.3">
      <c r="H180" s="440"/>
    </row>
    <row r="181" spans="8:8" ht="18.75" x14ac:dyDescent="0.3">
      <c r="H181" s="440"/>
    </row>
    <row r="182" spans="8:8" ht="18.75" x14ac:dyDescent="0.3">
      <c r="H182" s="440"/>
    </row>
    <row r="183" spans="8:8" ht="18.75" x14ac:dyDescent="0.3">
      <c r="H183" s="440"/>
    </row>
    <row r="184" spans="8:8" ht="18.75" x14ac:dyDescent="0.3">
      <c r="H184" s="440"/>
    </row>
    <row r="185" spans="8:8" ht="18.75" x14ac:dyDescent="0.3">
      <c r="H185" s="440"/>
    </row>
    <row r="186" spans="8:8" ht="18.75" x14ac:dyDescent="0.3">
      <c r="H186" s="440"/>
    </row>
    <row r="187" spans="8:8" ht="18.75" x14ac:dyDescent="0.3">
      <c r="H187" s="440"/>
    </row>
    <row r="188" spans="8:8" ht="18.75" x14ac:dyDescent="0.3">
      <c r="H188" s="440"/>
    </row>
    <row r="189" spans="8:8" ht="18.75" x14ac:dyDescent="0.3">
      <c r="H189" s="440"/>
    </row>
    <row r="190" spans="8:8" ht="18.75" x14ac:dyDescent="0.3">
      <c r="H190" s="440"/>
    </row>
    <row r="191" spans="8:8" ht="18.75" x14ac:dyDescent="0.3">
      <c r="H191" s="440"/>
    </row>
    <row r="192" spans="8:8" ht="18.75" x14ac:dyDescent="0.3">
      <c r="H192" s="440"/>
    </row>
    <row r="193" spans="8:8" ht="18.75" x14ac:dyDescent="0.3">
      <c r="H193" s="440"/>
    </row>
    <row r="194" spans="8:8" ht="18.75" x14ac:dyDescent="0.3">
      <c r="H194" s="440"/>
    </row>
    <row r="195" spans="8:8" ht="18.75" x14ac:dyDescent="0.3">
      <c r="H195" s="440"/>
    </row>
    <row r="196" spans="8:8" ht="18.75" x14ac:dyDescent="0.3">
      <c r="H196" s="440"/>
    </row>
    <row r="197" spans="8:8" ht="18.75" x14ac:dyDescent="0.3">
      <c r="H197" s="440"/>
    </row>
    <row r="198" spans="8:8" ht="18.75" x14ac:dyDescent="0.3">
      <c r="H198" s="440"/>
    </row>
    <row r="199" spans="8:8" ht="18.75" x14ac:dyDescent="0.3">
      <c r="H199" s="440"/>
    </row>
    <row r="200" spans="8:8" ht="18.75" x14ac:dyDescent="0.3">
      <c r="H200" s="440"/>
    </row>
    <row r="201" spans="8:8" ht="18.75" x14ac:dyDescent="0.3">
      <c r="H201" s="440"/>
    </row>
    <row r="202" spans="8:8" ht="18.75" x14ac:dyDescent="0.3">
      <c r="H202" s="440"/>
    </row>
    <row r="203" spans="8:8" ht="18.75" x14ac:dyDescent="0.3">
      <c r="H203" s="440"/>
    </row>
    <row r="204" spans="8:8" ht="18.75" x14ac:dyDescent="0.3">
      <c r="H204" s="440"/>
    </row>
    <row r="205" spans="8:8" ht="18.75" x14ac:dyDescent="0.3">
      <c r="H205" s="440"/>
    </row>
    <row r="206" spans="8:8" ht="18.75" x14ac:dyDescent="0.3">
      <c r="H206" s="440"/>
    </row>
    <row r="207" spans="8:8" ht="18.75" x14ac:dyDescent="0.3">
      <c r="H207" s="440"/>
    </row>
    <row r="208" spans="8:8" ht="18.75" x14ac:dyDescent="0.3">
      <c r="H208" s="440"/>
    </row>
  </sheetData>
  <phoneticPr fontId="10" type="noConversion"/>
  <pageMargins left="0.7" right="0.7" top="0.75" bottom="0.75" header="0.3" footer="0.3"/>
  <pageSetup paperSize="9" scale="28" orientation="landscape" horizontalDpi="1200" verticalDpi="1200" r:id="rId1"/>
  <rowBreaks count="1" manualBreakCount="1">
    <brk id="36" max="16383" man="1"/>
  </rowBreaks>
  <colBreaks count="1" manualBreakCount="1">
    <brk id="4" max="1048575" man="1"/>
  </colBreak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Q68"/>
  <sheetViews>
    <sheetView topLeftCell="A49" zoomScaleNormal="100" workbookViewId="0">
      <selection activeCell="B66" sqref="B66"/>
    </sheetView>
  </sheetViews>
  <sheetFormatPr baseColWidth="10" defaultRowHeight="15" x14ac:dyDescent="0.25"/>
  <cols>
    <col min="2" max="2" width="28.42578125" style="48" bestFit="1" customWidth="1"/>
    <col min="3" max="3" width="16" style="49" bestFit="1" customWidth="1"/>
    <col min="4" max="4" width="14" customWidth="1"/>
    <col min="5" max="5" width="14.85546875" customWidth="1"/>
    <col min="6" max="6" width="13.5703125" customWidth="1"/>
    <col min="7" max="7" width="24.42578125" bestFit="1" customWidth="1"/>
    <col min="8" max="8" width="12.7109375" customWidth="1"/>
    <col min="9" max="9" width="14.5703125" bestFit="1" customWidth="1"/>
    <col min="10" max="10" width="8.42578125" bestFit="1" customWidth="1"/>
    <col min="11" max="11" width="10.5703125" bestFit="1" customWidth="1"/>
    <col min="12" max="12" width="11.28515625" bestFit="1" customWidth="1"/>
    <col min="13" max="13" width="9.140625" bestFit="1" customWidth="1"/>
    <col min="14" max="14" width="10.5703125" bestFit="1" customWidth="1"/>
    <col min="15" max="15" width="10.140625" bestFit="1" customWidth="1"/>
    <col min="16" max="16" width="11" bestFit="1" customWidth="1"/>
    <col min="17" max="17" width="9.5703125" bestFit="1" customWidth="1"/>
    <col min="18" max="18" width="9.140625" bestFit="1" customWidth="1"/>
    <col min="19" max="19" width="11.42578125" bestFit="1" customWidth="1"/>
    <col min="20" max="20" width="8.85546875" bestFit="1" customWidth="1"/>
    <col min="21" max="21" width="10" bestFit="1" customWidth="1"/>
    <col min="22" max="22" width="10.85546875" bestFit="1" customWidth="1"/>
    <col min="23" max="23" width="9.5703125" bestFit="1" customWidth="1"/>
    <col min="24" max="24" width="9.140625" bestFit="1" customWidth="1"/>
    <col min="25" max="25" width="11.28515625" bestFit="1" customWidth="1"/>
    <col min="26" max="26" width="8.85546875" bestFit="1" customWidth="1"/>
    <col min="29" max="29" width="8.7109375" customWidth="1"/>
    <col min="30" max="30" width="7.42578125" bestFit="1" customWidth="1"/>
    <col min="31" max="31" width="7.85546875" customWidth="1"/>
    <col min="32" max="32" width="11.7109375" bestFit="1" customWidth="1"/>
    <col min="33" max="33" width="11.42578125" bestFit="1" customWidth="1"/>
    <col min="34" max="34" width="11.140625" bestFit="1" customWidth="1"/>
    <col min="35" max="35" width="11.7109375" customWidth="1"/>
  </cols>
  <sheetData>
    <row r="1" spans="1:39" s="35" customFormat="1" ht="50.25" customHeight="1" thickBot="1" x14ac:dyDescent="0.3">
      <c r="A1" s="21" t="s">
        <v>153</v>
      </c>
      <c r="B1" s="23" t="s">
        <v>288</v>
      </c>
      <c r="C1" s="22" t="s">
        <v>237</v>
      </c>
      <c r="D1" s="21" t="s">
        <v>217</v>
      </c>
      <c r="E1" s="22" t="s">
        <v>218</v>
      </c>
      <c r="F1" s="23" t="s">
        <v>68</v>
      </c>
      <c r="G1" s="23" t="s">
        <v>141</v>
      </c>
      <c r="H1" s="23" t="s">
        <v>69</v>
      </c>
      <c r="I1" s="23" t="s">
        <v>142</v>
      </c>
      <c r="J1" s="23" t="s">
        <v>47</v>
      </c>
      <c r="K1" s="24" t="s">
        <v>61</v>
      </c>
      <c r="L1" s="25" t="s">
        <v>143</v>
      </c>
      <c r="M1" s="26" t="s">
        <v>147</v>
      </c>
      <c r="N1" s="27" t="s">
        <v>148</v>
      </c>
      <c r="O1" s="28" t="s">
        <v>150</v>
      </c>
      <c r="P1" s="29" t="s">
        <v>151</v>
      </c>
      <c r="Q1" s="25" t="s">
        <v>145</v>
      </c>
      <c r="R1" s="26" t="s">
        <v>108</v>
      </c>
      <c r="S1" s="27" t="s">
        <v>149</v>
      </c>
      <c r="T1" s="28" t="s">
        <v>144</v>
      </c>
      <c r="U1" s="29" t="s">
        <v>109</v>
      </c>
      <c r="V1" s="30" t="s">
        <v>58</v>
      </c>
      <c r="W1" s="25" t="s">
        <v>146</v>
      </c>
      <c r="X1" s="28" t="s">
        <v>110</v>
      </c>
      <c r="Y1" s="55" t="s">
        <v>152</v>
      </c>
      <c r="Z1" s="28" t="s">
        <v>111</v>
      </c>
      <c r="AA1" s="29" t="s">
        <v>112</v>
      </c>
      <c r="AB1" s="30" t="s">
        <v>57</v>
      </c>
      <c r="AC1" s="31" t="s">
        <v>154</v>
      </c>
      <c r="AD1" s="26" t="s">
        <v>48</v>
      </c>
      <c r="AE1" s="26" t="s">
        <v>49</v>
      </c>
      <c r="AF1" s="30" t="s">
        <v>85</v>
      </c>
      <c r="AG1" s="21" t="s">
        <v>1</v>
      </c>
      <c r="AH1" s="32" t="s">
        <v>83</v>
      </c>
      <c r="AI1" s="21" t="s">
        <v>2</v>
      </c>
      <c r="AJ1" s="33" t="s">
        <v>84</v>
      </c>
      <c r="AK1" s="34" t="s">
        <v>3</v>
      </c>
      <c r="AL1" s="21" t="s">
        <v>216</v>
      </c>
      <c r="AM1" s="22" t="s">
        <v>199</v>
      </c>
    </row>
    <row r="2" spans="1:39" s="35" customFormat="1" ht="26.1" customHeight="1" x14ac:dyDescent="0.25">
      <c r="A2" s="36">
        <v>230429</v>
      </c>
      <c r="B2" s="37" t="s">
        <v>156</v>
      </c>
      <c r="C2" s="35">
        <v>3</v>
      </c>
      <c r="D2" s="35" t="s">
        <v>219</v>
      </c>
      <c r="E2" s="36"/>
      <c r="F2" s="35" t="s">
        <v>72</v>
      </c>
      <c r="G2" s="35">
        <f>IF(F2="","",IFERROR(VLOOKUP(F2,'validation des champs'!A:B,2,FALSE),"vide"))</f>
        <v>117</v>
      </c>
      <c r="H2" s="35" t="s">
        <v>91</v>
      </c>
      <c r="I2" s="35">
        <f>IF(H2="","",IFERROR(VLOOKUP(H2,'validation des champs'!C:D,2,FALSE),140))</f>
        <v>140</v>
      </c>
      <c r="J2" s="35" t="s">
        <v>157</v>
      </c>
      <c r="K2" s="38">
        <v>45313</v>
      </c>
      <c r="L2" s="39">
        <v>0</v>
      </c>
      <c r="M2" s="40">
        <v>0</v>
      </c>
      <c r="N2" s="50">
        <v>1</v>
      </c>
      <c r="O2" s="41">
        <f t="shared" ref="O2:O11" si="0">+N2*M2</f>
        <v>0</v>
      </c>
      <c r="P2" s="42">
        <f t="shared" ref="P2:P11" si="1">+M2-O2</f>
        <v>0</v>
      </c>
      <c r="Q2" s="39">
        <v>51.906999999999996</v>
      </c>
      <c r="R2" s="40">
        <v>0</v>
      </c>
      <c r="S2" s="50">
        <v>1</v>
      </c>
      <c r="T2" s="41">
        <f t="shared" ref="T2:T18" si="2">+S2*R2</f>
        <v>0</v>
      </c>
      <c r="U2" s="42">
        <f>+W2-T2</f>
        <v>0</v>
      </c>
      <c r="V2" s="43">
        <f t="shared" ref="V2:V18" si="3">+Q2+L2</f>
        <v>51.906999999999996</v>
      </c>
      <c r="W2" s="39">
        <v>0</v>
      </c>
      <c r="X2" s="41">
        <v>0</v>
      </c>
      <c r="Y2" s="50">
        <v>1</v>
      </c>
      <c r="Z2" s="41">
        <f t="shared" ref="Z2:Z18" si="4">+X2*Y2</f>
        <v>0</v>
      </c>
      <c r="AA2" s="42">
        <f t="shared" ref="AA2:AA18" si="5">+X2-Z2</f>
        <v>0</v>
      </c>
      <c r="AB2" s="43">
        <f t="shared" ref="AB2:AB18" si="6">+L2+Q2+W2</f>
        <v>51.906999999999996</v>
      </c>
      <c r="AC2" s="50">
        <v>1</v>
      </c>
      <c r="AD2" s="40">
        <f t="shared" ref="AD2:AD18" si="7">+AC2*V2</f>
        <v>51.906999999999996</v>
      </c>
      <c r="AE2" s="40">
        <f t="shared" ref="AE2:AE18" si="8">+V2-AD2</f>
        <v>0</v>
      </c>
      <c r="AF2" s="43"/>
      <c r="AG2" s="36" t="s">
        <v>64</v>
      </c>
      <c r="AH2" s="45" t="s">
        <v>63</v>
      </c>
      <c r="AI2" s="36" t="s">
        <v>8</v>
      </c>
      <c r="AJ2" s="38" t="s">
        <v>5</v>
      </c>
      <c r="AK2" s="46" t="s">
        <v>8</v>
      </c>
      <c r="AL2" s="35" t="s">
        <v>115</v>
      </c>
      <c r="AM2" s="37" t="str">
        <f t="shared" ref="AM2:AM18" si="9">IF(A2="","incertain","vendu")</f>
        <v>vendu</v>
      </c>
    </row>
    <row r="3" spans="1:39" s="35" customFormat="1" ht="26.1" customHeight="1" x14ac:dyDescent="0.25">
      <c r="A3" s="36">
        <v>220242</v>
      </c>
      <c r="B3" s="37" t="s">
        <v>62</v>
      </c>
      <c r="C3" s="35">
        <v>2</v>
      </c>
      <c r="D3" s="35" t="s">
        <v>219</v>
      </c>
      <c r="E3" s="36"/>
      <c r="F3" s="35" t="s">
        <v>73</v>
      </c>
      <c r="G3" s="35">
        <f>IF(F3="","",IFERROR(VLOOKUP(F3,'validation des champs'!A:B,2,FALSE),"vide"))</f>
        <v>101</v>
      </c>
      <c r="H3" s="35" t="s">
        <v>88</v>
      </c>
      <c r="I3" s="35">
        <f>IF(H3="","",IFERROR(VLOOKUP(H3,'validation des champs'!C:D,2,FALSE),140))</f>
        <v>140</v>
      </c>
      <c r="J3" s="35" t="s">
        <v>89</v>
      </c>
      <c r="K3" s="38">
        <v>45299</v>
      </c>
      <c r="L3" s="39">
        <v>0</v>
      </c>
      <c r="M3" s="40">
        <v>0</v>
      </c>
      <c r="N3" s="50">
        <v>1</v>
      </c>
      <c r="O3" s="41">
        <f t="shared" si="0"/>
        <v>0</v>
      </c>
      <c r="P3" s="42">
        <f t="shared" si="1"/>
        <v>0</v>
      </c>
      <c r="Q3" s="39">
        <v>23.984000000000002</v>
      </c>
      <c r="R3" s="40">
        <v>0</v>
      </c>
      <c r="S3" s="50">
        <v>1</v>
      </c>
      <c r="T3" s="41">
        <f t="shared" si="2"/>
        <v>0</v>
      </c>
      <c r="U3" s="42">
        <f>+W3-T3</f>
        <v>6.9889999999999999</v>
      </c>
      <c r="V3" s="43">
        <f t="shared" si="3"/>
        <v>23.984000000000002</v>
      </c>
      <c r="W3" s="39">
        <v>6.9889999999999999</v>
      </c>
      <c r="X3" s="41">
        <v>0</v>
      </c>
      <c r="Y3" s="50">
        <v>1</v>
      </c>
      <c r="Z3" s="41">
        <f t="shared" si="4"/>
        <v>0</v>
      </c>
      <c r="AA3" s="42">
        <f t="shared" si="5"/>
        <v>0</v>
      </c>
      <c r="AB3" s="43">
        <f t="shared" si="6"/>
        <v>30.973000000000003</v>
      </c>
      <c r="AC3" s="50">
        <v>1</v>
      </c>
      <c r="AD3" s="40">
        <f t="shared" si="7"/>
        <v>23.984000000000002</v>
      </c>
      <c r="AE3" s="40">
        <f t="shared" si="8"/>
        <v>0</v>
      </c>
      <c r="AF3" s="43"/>
      <c r="AG3" s="36" t="s">
        <v>159</v>
      </c>
      <c r="AH3" s="45" t="s">
        <v>63</v>
      </c>
      <c r="AI3" s="36" t="s">
        <v>4</v>
      </c>
      <c r="AJ3" s="38" t="s">
        <v>5</v>
      </c>
      <c r="AK3" s="46" t="s">
        <v>4</v>
      </c>
      <c r="AL3" s="35" t="s">
        <v>115</v>
      </c>
      <c r="AM3" s="37" t="str">
        <f t="shared" si="9"/>
        <v>vendu</v>
      </c>
    </row>
    <row r="4" spans="1:39" s="35" customFormat="1" ht="26.1" customHeight="1" x14ac:dyDescent="0.25">
      <c r="A4" s="36">
        <v>230116</v>
      </c>
      <c r="B4" s="37" t="s">
        <v>158</v>
      </c>
      <c r="C4" s="35">
        <v>1</v>
      </c>
      <c r="D4" s="35" t="s">
        <v>219</v>
      </c>
      <c r="E4" s="36"/>
      <c r="F4" s="35" t="s">
        <v>71</v>
      </c>
      <c r="G4" s="35">
        <f>IF(F4="","",IFERROR(VLOOKUP(F4,'validation des champs'!A:B,2,FALSE),"vide"))</f>
        <v>135</v>
      </c>
      <c r="H4" s="35" t="s">
        <v>80</v>
      </c>
      <c r="I4" s="35">
        <f>IF(H4="","",IFERROR(VLOOKUP(H4,'validation des champs'!C:D,2,FALSE),140))</f>
        <v>122</v>
      </c>
      <c r="J4" s="35" t="s">
        <v>92</v>
      </c>
      <c r="K4" s="38">
        <v>45299</v>
      </c>
      <c r="L4" s="39">
        <v>4.0259999999999998</v>
      </c>
      <c r="M4" s="40">
        <v>0</v>
      </c>
      <c r="N4" s="50">
        <v>1</v>
      </c>
      <c r="O4" s="41">
        <f t="shared" si="0"/>
        <v>0</v>
      </c>
      <c r="P4" s="42">
        <f t="shared" si="1"/>
        <v>0</v>
      </c>
      <c r="Q4" s="39">
        <v>4.4969999999999999</v>
      </c>
      <c r="R4" s="40">
        <v>0</v>
      </c>
      <c r="S4" s="50">
        <v>1</v>
      </c>
      <c r="T4" s="41">
        <f t="shared" si="2"/>
        <v>0</v>
      </c>
      <c r="U4" s="42">
        <f>+W4-T4</f>
        <v>0</v>
      </c>
      <c r="V4" s="43">
        <f t="shared" si="3"/>
        <v>8.5229999999999997</v>
      </c>
      <c r="W4" s="39">
        <v>0</v>
      </c>
      <c r="X4" s="41">
        <v>0</v>
      </c>
      <c r="Y4" s="50">
        <v>1</v>
      </c>
      <c r="Z4" s="41">
        <f t="shared" si="4"/>
        <v>0</v>
      </c>
      <c r="AA4" s="42">
        <f t="shared" si="5"/>
        <v>0</v>
      </c>
      <c r="AB4" s="43">
        <f t="shared" si="6"/>
        <v>8.5229999999999997</v>
      </c>
      <c r="AC4" s="50">
        <v>1</v>
      </c>
      <c r="AD4" s="40">
        <f t="shared" si="7"/>
        <v>8.5229999999999997</v>
      </c>
      <c r="AE4" s="40">
        <f t="shared" si="8"/>
        <v>0</v>
      </c>
      <c r="AF4" s="43"/>
      <c r="AG4" s="36" t="s">
        <v>160</v>
      </c>
      <c r="AH4" s="45" t="s">
        <v>63</v>
      </c>
      <c r="AI4" s="36" t="s">
        <v>4</v>
      </c>
      <c r="AJ4" s="38" t="s">
        <v>5</v>
      </c>
      <c r="AK4" s="46" t="s">
        <v>4</v>
      </c>
      <c r="AL4" s="35" t="s">
        <v>115</v>
      </c>
      <c r="AM4" s="37" t="str">
        <f t="shared" si="9"/>
        <v>vendu</v>
      </c>
    </row>
    <row r="5" spans="1:39" s="35" customFormat="1" ht="26.1" customHeight="1" x14ac:dyDescent="0.25">
      <c r="A5" s="36">
        <v>230449</v>
      </c>
      <c r="B5" s="37" t="s">
        <v>93</v>
      </c>
      <c r="C5" s="35">
        <v>1</v>
      </c>
      <c r="D5" s="35" t="s">
        <v>219</v>
      </c>
      <c r="E5" s="36"/>
      <c r="F5" s="35" t="s">
        <v>72</v>
      </c>
      <c r="G5" s="35">
        <f>IF(F5="","",IFERROR(VLOOKUP(F5,'validation des champs'!A:B,2,FALSE),"vide"))</f>
        <v>117</v>
      </c>
      <c r="H5" s="35" t="s">
        <v>91</v>
      </c>
      <c r="I5" s="35">
        <f>IF(H5="","",IFERROR(VLOOKUP(H5,'validation des champs'!C:D,2,FALSE),140))</f>
        <v>140</v>
      </c>
      <c r="J5" s="35" t="s">
        <v>94</v>
      </c>
      <c r="K5" s="38">
        <v>45300</v>
      </c>
      <c r="L5" s="39">
        <v>11.38</v>
      </c>
      <c r="M5" s="40">
        <v>0</v>
      </c>
      <c r="N5" s="50">
        <v>1</v>
      </c>
      <c r="O5" s="41">
        <f t="shared" si="0"/>
        <v>0</v>
      </c>
      <c r="P5" s="42">
        <f t="shared" si="1"/>
        <v>0</v>
      </c>
      <c r="Q5" s="39">
        <v>25.172000000000001</v>
      </c>
      <c r="R5" s="40">
        <v>0</v>
      </c>
      <c r="S5" s="50">
        <v>1</v>
      </c>
      <c r="T5" s="41">
        <f t="shared" si="2"/>
        <v>0</v>
      </c>
      <c r="U5" s="42">
        <f>+W5-T5</f>
        <v>0</v>
      </c>
      <c r="V5" s="43">
        <f t="shared" si="3"/>
        <v>36.552</v>
      </c>
      <c r="W5" s="39">
        <v>0</v>
      </c>
      <c r="X5" s="41">
        <v>0</v>
      </c>
      <c r="Y5" s="50">
        <v>1</v>
      </c>
      <c r="Z5" s="41">
        <f t="shared" si="4"/>
        <v>0</v>
      </c>
      <c r="AA5" s="42">
        <f t="shared" si="5"/>
        <v>0</v>
      </c>
      <c r="AB5" s="43">
        <f t="shared" si="6"/>
        <v>36.552</v>
      </c>
      <c r="AC5" s="50">
        <v>1</v>
      </c>
      <c r="AD5" s="40">
        <f t="shared" si="7"/>
        <v>36.552</v>
      </c>
      <c r="AE5" s="40">
        <f t="shared" si="8"/>
        <v>0</v>
      </c>
      <c r="AF5" s="43"/>
      <c r="AG5" s="36" t="s">
        <v>66</v>
      </c>
      <c r="AH5" s="45" t="s">
        <v>63</v>
      </c>
      <c r="AI5" s="36" t="s">
        <v>8</v>
      </c>
      <c r="AJ5" s="38" t="s">
        <v>5</v>
      </c>
      <c r="AK5" s="46" t="s">
        <v>8</v>
      </c>
      <c r="AL5" s="35" t="s">
        <v>115</v>
      </c>
      <c r="AM5" s="37" t="str">
        <f t="shared" si="9"/>
        <v>vendu</v>
      </c>
    </row>
    <row r="6" spans="1:39" s="35" customFormat="1" ht="26.1" customHeight="1" x14ac:dyDescent="0.25">
      <c r="A6" s="36">
        <v>230355</v>
      </c>
      <c r="B6" s="37" t="s">
        <v>95</v>
      </c>
      <c r="C6" s="35">
        <v>3</v>
      </c>
      <c r="D6" s="35" t="s">
        <v>219</v>
      </c>
      <c r="E6" s="36"/>
      <c r="F6" s="35" t="s">
        <v>73</v>
      </c>
      <c r="G6" s="35">
        <f>IF(F6="","",IFERROR(VLOOKUP(F6,'validation des champs'!A:B,2,FALSE),"vide"))</f>
        <v>101</v>
      </c>
      <c r="H6" s="35" t="s">
        <v>96</v>
      </c>
      <c r="I6" s="35">
        <f>IF(H6="","",IFERROR(VLOOKUP(H6,'validation des champs'!C:D,2,FALSE),140))</f>
        <v>140</v>
      </c>
      <c r="J6" s="35" t="s">
        <v>97</v>
      </c>
      <c r="K6" s="38">
        <v>45301</v>
      </c>
      <c r="L6" s="39">
        <v>35.292000000000002</v>
      </c>
      <c r="M6" s="40">
        <v>0</v>
      </c>
      <c r="N6" s="50">
        <v>1</v>
      </c>
      <c r="O6" s="41">
        <f t="shared" si="0"/>
        <v>0</v>
      </c>
      <c r="P6" s="42">
        <f t="shared" si="1"/>
        <v>0</v>
      </c>
      <c r="Q6" s="39">
        <v>0</v>
      </c>
      <c r="R6" s="40">
        <v>0</v>
      </c>
      <c r="S6" s="50">
        <v>1</v>
      </c>
      <c r="T6" s="41">
        <f t="shared" si="2"/>
        <v>0</v>
      </c>
      <c r="U6" s="42">
        <f>+W6-T6</f>
        <v>0</v>
      </c>
      <c r="V6" s="43">
        <f t="shared" si="3"/>
        <v>35.292000000000002</v>
      </c>
      <c r="W6" s="39">
        <v>0</v>
      </c>
      <c r="X6" s="41">
        <v>0</v>
      </c>
      <c r="Y6" s="50">
        <v>1</v>
      </c>
      <c r="Z6" s="41">
        <f t="shared" si="4"/>
        <v>0</v>
      </c>
      <c r="AA6" s="42">
        <f t="shared" si="5"/>
        <v>0</v>
      </c>
      <c r="AB6" s="43">
        <f t="shared" si="6"/>
        <v>35.292000000000002</v>
      </c>
      <c r="AC6" s="50">
        <v>1</v>
      </c>
      <c r="AD6" s="40">
        <f t="shared" si="7"/>
        <v>35.292000000000002</v>
      </c>
      <c r="AE6" s="40">
        <f t="shared" si="8"/>
        <v>0</v>
      </c>
      <c r="AF6" s="43"/>
      <c r="AG6" s="36" t="s">
        <v>66</v>
      </c>
      <c r="AH6" s="45" t="s">
        <v>63</v>
      </c>
      <c r="AI6" s="36" t="s">
        <v>8</v>
      </c>
      <c r="AJ6" s="38" t="s">
        <v>5</v>
      </c>
      <c r="AK6" s="46" t="s">
        <v>8</v>
      </c>
      <c r="AL6" s="35" t="s">
        <v>115</v>
      </c>
      <c r="AM6" s="37" t="str">
        <f t="shared" si="9"/>
        <v>vendu</v>
      </c>
    </row>
    <row r="7" spans="1:39" s="35" customFormat="1" ht="26.1" customHeight="1" x14ac:dyDescent="0.25">
      <c r="A7" s="36">
        <v>230322</v>
      </c>
      <c r="B7" s="37" t="s">
        <v>161</v>
      </c>
      <c r="C7" s="35">
        <v>1</v>
      </c>
      <c r="D7" s="35" t="s">
        <v>219</v>
      </c>
      <c r="E7" s="36"/>
      <c r="F7" s="35" t="s">
        <v>136</v>
      </c>
      <c r="G7" s="35" t="str">
        <f>IF(F7="","",IFERROR(VLOOKUP(F7,'validation des champs'!A:B,2,FALSE),"vide"))</f>
        <v>vide</v>
      </c>
      <c r="H7" s="35" t="s">
        <v>98</v>
      </c>
      <c r="I7" s="35">
        <f>IF(H7="","",IFERROR(VLOOKUP(H7,'validation des champs'!C:D,2,FALSE),140))</f>
        <v>140</v>
      </c>
      <c r="J7" s="35" t="s">
        <v>99</v>
      </c>
      <c r="K7" s="38">
        <v>45320</v>
      </c>
      <c r="L7" s="39">
        <v>14.617000000000001</v>
      </c>
      <c r="M7" s="40">
        <v>0</v>
      </c>
      <c r="N7" s="50">
        <v>1</v>
      </c>
      <c r="O7" s="41">
        <f t="shared" si="0"/>
        <v>0</v>
      </c>
      <c r="P7" s="42">
        <f t="shared" si="1"/>
        <v>0</v>
      </c>
      <c r="Q7" s="39">
        <v>24.728999999999999</v>
      </c>
      <c r="R7" s="40">
        <v>0</v>
      </c>
      <c r="S7" s="50">
        <v>1</v>
      </c>
      <c r="T7" s="41">
        <f t="shared" si="2"/>
        <v>0</v>
      </c>
      <c r="U7" s="42">
        <v>0</v>
      </c>
      <c r="V7" s="43">
        <f t="shared" si="3"/>
        <v>39.346000000000004</v>
      </c>
      <c r="W7" s="39">
        <v>1.179</v>
      </c>
      <c r="X7" s="41">
        <v>0</v>
      </c>
      <c r="Y7" s="50">
        <v>1</v>
      </c>
      <c r="Z7" s="41">
        <f t="shared" si="4"/>
        <v>0</v>
      </c>
      <c r="AA7" s="42">
        <f t="shared" si="5"/>
        <v>0</v>
      </c>
      <c r="AB7" s="43">
        <f t="shared" si="6"/>
        <v>40.525000000000006</v>
      </c>
      <c r="AC7" s="50">
        <v>1</v>
      </c>
      <c r="AD7" s="40">
        <f t="shared" si="7"/>
        <v>39.346000000000004</v>
      </c>
      <c r="AE7" s="40">
        <f t="shared" si="8"/>
        <v>0</v>
      </c>
      <c r="AF7" s="43"/>
      <c r="AG7" s="36" t="s">
        <v>66</v>
      </c>
      <c r="AH7" s="45" t="s">
        <v>63</v>
      </c>
      <c r="AI7" s="36" t="s">
        <v>4</v>
      </c>
      <c r="AJ7" s="38" t="s">
        <v>5</v>
      </c>
      <c r="AK7" s="46" t="s">
        <v>4</v>
      </c>
      <c r="AL7" s="35" t="s">
        <v>115</v>
      </c>
      <c r="AM7" s="37" t="str">
        <f t="shared" si="9"/>
        <v>vendu</v>
      </c>
    </row>
    <row r="8" spans="1:39" s="35" customFormat="1" ht="26.1" customHeight="1" x14ac:dyDescent="0.25">
      <c r="A8" s="36">
        <v>230012</v>
      </c>
      <c r="B8" s="37" t="s">
        <v>162</v>
      </c>
      <c r="C8" s="35">
        <v>2</v>
      </c>
      <c r="D8" s="35" t="s">
        <v>219</v>
      </c>
      <c r="E8" s="36" t="s">
        <v>59</v>
      </c>
      <c r="F8" s="35" t="s">
        <v>70</v>
      </c>
      <c r="G8" s="35">
        <f>IF(F8="","",IFERROR(VLOOKUP(F8,'validation des champs'!A:B,2,FALSE),"vide"))</f>
        <v>116</v>
      </c>
      <c r="H8" s="35" t="s">
        <v>75</v>
      </c>
      <c r="I8" s="35">
        <f>IF(H8="","",IFERROR(VLOOKUP(H8,'validation des champs'!C:D,2,FALSE),140))</f>
        <v>126</v>
      </c>
      <c r="J8" s="35" t="s">
        <v>100</v>
      </c>
      <c r="K8" s="38">
        <v>45313</v>
      </c>
      <c r="L8" s="39">
        <v>0</v>
      </c>
      <c r="M8" s="40">
        <v>0</v>
      </c>
      <c r="N8" s="50">
        <v>1</v>
      </c>
      <c r="O8" s="41">
        <f t="shared" si="0"/>
        <v>0</v>
      </c>
      <c r="P8" s="42">
        <f t="shared" si="1"/>
        <v>0</v>
      </c>
      <c r="Q8" s="39">
        <v>7.26</v>
      </c>
      <c r="R8" s="40">
        <v>0</v>
      </c>
      <c r="S8" s="50">
        <v>1</v>
      </c>
      <c r="T8" s="41">
        <f t="shared" si="2"/>
        <v>0</v>
      </c>
      <c r="U8" s="42">
        <f>+W8-T8</f>
        <v>0</v>
      </c>
      <c r="V8" s="43">
        <f t="shared" si="3"/>
        <v>7.26</v>
      </c>
      <c r="W8" s="39">
        <v>0</v>
      </c>
      <c r="X8" s="41">
        <v>0</v>
      </c>
      <c r="Y8" s="50">
        <v>1</v>
      </c>
      <c r="Z8" s="41">
        <f t="shared" si="4"/>
        <v>0</v>
      </c>
      <c r="AA8" s="42">
        <f t="shared" si="5"/>
        <v>0</v>
      </c>
      <c r="AB8" s="43">
        <f t="shared" si="6"/>
        <v>7.26</v>
      </c>
      <c r="AC8" s="50">
        <v>1</v>
      </c>
      <c r="AD8" s="40">
        <f t="shared" si="7"/>
        <v>7.26</v>
      </c>
      <c r="AE8" s="40">
        <f t="shared" si="8"/>
        <v>0</v>
      </c>
      <c r="AF8" s="43"/>
      <c r="AG8" s="36" t="s">
        <v>163</v>
      </c>
      <c r="AH8" s="45" t="s">
        <v>63</v>
      </c>
      <c r="AI8" s="36" t="s">
        <v>8</v>
      </c>
      <c r="AJ8" s="38" t="s">
        <v>5</v>
      </c>
      <c r="AK8" s="46" t="s">
        <v>8</v>
      </c>
      <c r="AL8" s="35" t="s">
        <v>115</v>
      </c>
      <c r="AM8" s="37" t="str">
        <f t="shared" si="9"/>
        <v>vendu</v>
      </c>
    </row>
    <row r="9" spans="1:39" s="35" customFormat="1" ht="26.1" customHeight="1" x14ac:dyDescent="0.25">
      <c r="A9" s="36">
        <v>230393</v>
      </c>
      <c r="B9" s="37" t="s">
        <v>101</v>
      </c>
      <c r="C9" s="35">
        <v>7</v>
      </c>
      <c r="D9" s="35" t="s">
        <v>219</v>
      </c>
      <c r="E9" s="36"/>
      <c r="F9" s="35" t="s">
        <v>73</v>
      </c>
      <c r="G9" s="35">
        <f>IF(F9="","",IFERROR(VLOOKUP(F9,'validation des champs'!A:B,2,FALSE),"vide"))</f>
        <v>101</v>
      </c>
      <c r="H9" s="35" t="s">
        <v>164</v>
      </c>
      <c r="I9" s="35">
        <f>IF(H9="","",IFERROR(VLOOKUP(H9,'validation des champs'!C:D,2,FALSE),140))</f>
        <v>140</v>
      </c>
      <c r="J9" s="35" t="s">
        <v>102</v>
      </c>
      <c r="K9" s="38">
        <v>45320</v>
      </c>
      <c r="L9" s="39">
        <v>0</v>
      </c>
      <c r="M9" s="40">
        <v>0</v>
      </c>
      <c r="N9" s="50">
        <v>1</v>
      </c>
      <c r="O9" s="41">
        <f t="shared" si="0"/>
        <v>0</v>
      </c>
      <c r="P9" s="42">
        <f t="shared" si="1"/>
        <v>0</v>
      </c>
      <c r="Q9" s="39">
        <v>22.282</v>
      </c>
      <c r="R9" s="40">
        <v>0</v>
      </c>
      <c r="S9" s="50">
        <v>1</v>
      </c>
      <c r="T9" s="41">
        <f t="shared" si="2"/>
        <v>0</v>
      </c>
      <c r="U9" s="42">
        <f>+W9-T9</f>
        <v>0</v>
      </c>
      <c r="V9" s="43">
        <f t="shared" si="3"/>
        <v>22.282</v>
      </c>
      <c r="W9" s="39">
        <v>0</v>
      </c>
      <c r="X9" s="41">
        <v>0</v>
      </c>
      <c r="Y9" s="50">
        <v>1</v>
      </c>
      <c r="Z9" s="41">
        <f t="shared" si="4"/>
        <v>0</v>
      </c>
      <c r="AA9" s="42">
        <f t="shared" si="5"/>
        <v>0</v>
      </c>
      <c r="AB9" s="43">
        <f t="shared" si="6"/>
        <v>22.282</v>
      </c>
      <c r="AC9" s="50">
        <v>1</v>
      </c>
      <c r="AD9" s="40">
        <f t="shared" si="7"/>
        <v>22.282</v>
      </c>
      <c r="AE9" s="40">
        <f t="shared" si="8"/>
        <v>0</v>
      </c>
      <c r="AF9" s="43"/>
      <c r="AG9" s="36" t="s">
        <v>66</v>
      </c>
      <c r="AH9" s="45" t="s">
        <v>63</v>
      </c>
      <c r="AI9" s="36" t="s">
        <v>8</v>
      </c>
      <c r="AJ9" s="38" t="s">
        <v>5</v>
      </c>
      <c r="AK9" s="46" t="s">
        <v>8</v>
      </c>
      <c r="AL9" s="35" t="s">
        <v>115</v>
      </c>
      <c r="AM9" s="37" t="str">
        <f t="shared" si="9"/>
        <v>vendu</v>
      </c>
    </row>
    <row r="10" spans="1:39" s="35" customFormat="1" ht="26.1" customHeight="1" x14ac:dyDescent="0.25">
      <c r="A10" s="36">
        <v>230232</v>
      </c>
      <c r="B10" s="37" t="s">
        <v>165</v>
      </c>
      <c r="C10" s="35">
        <v>1</v>
      </c>
      <c r="D10" s="35" t="s">
        <v>219</v>
      </c>
      <c r="E10" s="36"/>
      <c r="F10" s="35" t="s">
        <v>71</v>
      </c>
      <c r="G10" s="35">
        <f>IF(F10="","",IFERROR(VLOOKUP(F10,'validation des champs'!A:B,2,FALSE),"vide"))</f>
        <v>135</v>
      </c>
      <c r="H10" s="35" t="s">
        <v>76</v>
      </c>
      <c r="I10" s="35">
        <f>IF(H10="","",IFERROR(VLOOKUP(H10,'validation des champs'!C:D,2,FALSE),140))</f>
        <v>140</v>
      </c>
      <c r="J10" s="35" t="s">
        <v>100</v>
      </c>
      <c r="K10" s="38">
        <v>45327</v>
      </c>
      <c r="L10" s="39">
        <v>8.3889999999999993</v>
      </c>
      <c r="M10" s="40">
        <v>0</v>
      </c>
      <c r="N10" s="50">
        <v>1</v>
      </c>
      <c r="O10" s="41">
        <f t="shared" si="0"/>
        <v>0</v>
      </c>
      <c r="P10" s="42">
        <f t="shared" si="1"/>
        <v>0</v>
      </c>
      <c r="Q10" s="39">
        <v>12.856</v>
      </c>
      <c r="R10" s="40">
        <v>0</v>
      </c>
      <c r="S10" s="50">
        <v>1</v>
      </c>
      <c r="T10" s="41">
        <f t="shared" si="2"/>
        <v>0</v>
      </c>
      <c r="U10" s="42">
        <v>0</v>
      </c>
      <c r="V10" s="43">
        <f t="shared" si="3"/>
        <v>21.244999999999997</v>
      </c>
      <c r="W10" s="39">
        <v>0</v>
      </c>
      <c r="X10" s="41">
        <v>0</v>
      </c>
      <c r="Y10" s="50">
        <v>1</v>
      </c>
      <c r="Z10" s="41">
        <f t="shared" si="4"/>
        <v>0</v>
      </c>
      <c r="AA10" s="42">
        <f t="shared" si="5"/>
        <v>0</v>
      </c>
      <c r="AB10" s="43">
        <f t="shared" si="6"/>
        <v>21.244999999999997</v>
      </c>
      <c r="AC10" s="50">
        <v>1</v>
      </c>
      <c r="AD10" s="40">
        <f t="shared" si="7"/>
        <v>21.244999999999997</v>
      </c>
      <c r="AE10" s="40">
        <f t="shared" si="8"/>
        <v>0</v>
      </c>
      <c r="AF10" s="43"/>
      <c r="AG10" s="36" t="s">
        <v>166</v>
      </c>
      <c r="AH10" s="45" t="s">
        <v>63</v>
      </c>
      <c r="AI10" s="36" t="s">
        <v>4</v>
      </c>
      <c r="AJ10" s="38" t="s">
        <v>5</v>
      </c>
      <c r="AK10" s="46" t="s">
        <v>4</v>
      </c>
      <c r="AL10" s="35" t="s">
        <v>115</v>
      </c>
      <c r="AM10" s="37" t="str">
        <f t="shared" si="9"/>
        <v>vendu</v>
      </c>
    </row>
    <row r="11" spans="1:39" s="35" customFormat="1" ht="26.1" customHeight="1" x14ac:dyDescent="0.25">
      <c r="A11" s="36">
        <v>230268</v>
      </c>
      <c r="B11" s="37" t="s">
        <v>167</v>
      </c>
      <c r="C11" s="35">
        <v>1</v>
      </c>
      <c r="D11" s="35" t="s">
        <v>219</v>
      </c>
      <c r="E11" s="36"/>
      <c r="F11" s="35" t="s">
        <v>71</v>
      </c>
      <c r="G11" s="35">
        <f>IF(F11="","",IFERROR(VLOOKUP(F11,'validation des champs'!A:B,2,FALSE),"vide"))</f>
        <v>135</v>
      </c>
      <c r="H11" s="35" t="s">
        <v>76</v>
      </c>
      <c r="I11" s="35">
        <f>IF(H11="","",IFERROR(VLOOKUP(H11,'validation des champs'!C:D,2,FALSE),140))</f>
        <v>140</v>
      </c>
      <c r="J11" s="47" t="s">
        <v>168</v>
      </c>
      <c r="K11" s="38">
        <v>45323</v>
      </c>
      <c r="L11" s="39">
        <v>0</v>
      </c>
      <c r="M11" s="40">
        <v>0</v>
      </c>
      <c r="N11" s="50">
        <v>1</v>
      </c>
      <c r="O11" s="41">
        <f t="shared" si="0"/>
        <v>0</v>
      </c>
      <c r="P11" s="42">
        <f t="shared" si="1"/>
        <v>0</v>
      </c>
      <c r="Q11" s="39">
        <v>16.545000000000002</v>
      </c>
      <c r="R11" s="40">
        <v>0</v>
      </c>
      <c r="S11" s="50">
        <v>1</v>
      </c>
      <c r="T11" s="41">
        <f t="shared" si="2"/>
        <v>0</v>
      </c>
      <c r="U11" s="42">
        <v>0</v>
      </c>
      <c r="V11" s="43">
        <f t="shared" si="3"/>
        <v>16.545000000000002</v>
      </c>
      <c r="W11" s="39">
        <v>0</v>
      </c>
      <c r="X11" s="41">
        <v>0</v>
      </c>
      <c r="Y11" s="50">
        <v>1</v>
      </c>
      <c r="Z11" s="41">
        <f t="shared" si="4"/>
        <v>0</v>
      </c>
      <c r="AA11" s="42">
        <f t="shared" si="5"/>
        <v>0</v>
      </c>
      <c r="AB11" s="43">
        <f t="shared" si="6"/>
        <v>16.545000000000002</v>
      </c>
      <c r="AC11" s="50">
        <v>1</v>
      </c>
      <c r="AD11" s="40">
        <f t="shared" si="7"/>
        <v>16.545000000000002</v>
      </c>
      <c r="AE11" s="40">
        <f t="shared" si="8"/>
        <v>0</v>
      </c>
      <c r="AF11" s="43"/>
      <c r="AG11" s="36" t="s">
        <v>66</v>
      </c>
      <c r="AH11" s="45" t="s">
        <v>63</v>
      </c>
      <c r="AI11" s="36" t="s">
        <v>4</v>
      </c>
      <c r="AJ11" s="38" t="s">
        <v>5</v>
      </c>
      <c r="AK11" s="46" t="s">
        <v>4</v>
      </c>
      <c r="AL11" s="35" t="s">
        <v>115</v>
      </c>
      <c r="AM11" s="37" t="str">
        <f t="shared" si="9"/>
        <v>vendu</v>
      </c>
    </row>
    <row r="12" spans="1:39" s="35" customFormat="1" ht="26.1" customHeight="1" x14ac:dyDescent="0.25">
      <c r="A12" s="36">
        <v>230465</v>
      </c>
      <c r="B12" s="37" t="s">
        <v>183</v>
      </c>
      <c r="C12" s="35">
        <v>1</v>
      </c>
      <c r="D12" s="35" t="s">
        <v>219</v>
      </c>
      <c r="E12" s="36" t="s">
        <v>174</v>
      </c>
      <c r="F12" s="35" t="s">
        <v>136</v>
      </c>
      <c r="G12" s="35" t="str">
        <f>IF(F12="","",IFERROR(VLOOKUP(F12,'validation des champs'!A:B,2,FALSE),"vide"))</f>
        <v>vide</v>
      </c>
      <c r="H12" s="35" t="s">
        <v>179</v>
      </c>
      <c r="I12" s="35">
        <f>IF(H12="","",IFERROR(VLOOKUP(H12,'validation des champs'!C:D,2,FALSE),140))</f>
        <v>140</v>
      </c>
      <c r="J12" s="35" t="s">
        <v>184</v>
      </c>
      <c r="K12" s="38">
        <v>45328</v>
      </c>
      <c r="L12" s="39">
        <v>0.41299999999999998</v>
      </c>
      <c r="M12" s="40">
        <v>0</v>
      </c>
      <c r="N12" s="50">
        <v>1</v>
      </c>
      <c r="O12" s="41">
        <v>0</v>
      </c>
      <c r="P12" s="42">
        <v>0</v>
      </c>
      <c r="Q12" s="39">
        <v>0</v>
      </c>
      <c r="R12" s="40">
        <v>0</v>
      </c>
      <c r="S12" s="50">
        <v>1</v>
      </c>
      <c r="T12" s="41">
        <f t="shared" si="2"/>
        <v>0</v>
      </c>
      <c r="U12" s="42">
        <f t="shared" ref="U12:U18" si="10">+R12-T12</f>
        <v>0</v>
      </c>
      <c r="V12" s="43">
        <f t="shared" si="3"/>
        <v>0.41299999999999998</v>
      </c>
      <c r="W12" s="39">
        <v>0</v>
      </c>
      <c r="X12" s="41">
        <v>0</v>
      </c>
      <c r="Y12" s="50">
        <v>1</v>
      </c>
      <c r="Z12" s="41">
        <f t="shared" si="4"/>
        <v>0</v>
      </c>
      <c r="AA12" s="42">
        <f t="shared" si="5"/>
        <v>0</v>
      </c>
      <c r="AB12" s="43">
        <f t="shared" si="6"/>
        <v>0.41299999999999998</v>
      </c>
      <c r="AC12" s="50">
        <v>1</v>
      </c>
      <c r="AD12" s="40">
        <f t="shared" si="7"/>
        <v>0.41299999999999998</v>
      </c>
      <c r="AE12" s="40">
        <f t="shared" si="8"/>
        <v>0</v>
      </c>
      <c r="AF12" s="43"/>
      <c r="AG12" s="36" t="s">
        <v>8</v>
      </c>
      <c r="AH12" s="45" t="s">
        <v>63</v>
      </c>
      <c r="AI12" s="36" t="s">
        <v>8</v>
      </c>
      <c r="AJ12" s="38" t="s">
        <v>5</v>
      </c>
      <c r="AK12" s="46" t="s">
        <v>8</v>
      </c>
      <c r="AL12" s="35" t="s">
        <v>293</v>
      </c>
      <c r="AM12" s="37" t="str">
        <f t="shared" si="9"/>
        <v>vendu</v>
      </c>
    </row>
    <row r="13" spans="1:39" s="35" customFormat="1" ht="26.1" customHeight="1" x14ac:dyDescent="0.25">
      <c r="A13" s="36">
        <v>240010</v>
      </c>
      <c r="B13" s="37" t="s">
        <v>185</v>
      </c>
      <c r="C13" s="35">
        <v>1</v>
      </c>
      <c r="D13" s="35" t="s">
        <v>219</v>
      </c>
      <c r="E13" s="36"/>
      <c r="F13" s="35" t="s">
        <v>71</v>
      </c>
      <c r="G13" s="35">
        <f>IF(F13="","",IFERROR(VLOOKUP(F13,'validation des champs'!A:B,2,FALSE),"vide"))</f>
        <v>135</v>
      </c>
      <c r="H13" s="35" t="s">
        <v>179</v>
      </c>
      <c r="I13" s="35">
        <f>IF(H13="","",IFERROR(VLOOKUP(H13,'validation des champs'!C:D,2,FALSE),140))</f>
        <v>140</v>
      </c>
      <c r="J13" s="35" t="s">
        <v>186</v>
      </c>
      <c r="K13" s="38">
        <v>45320</v>
      </c>
      <c r="L13" s="39">
        <v>3.6040000000000001</v>
      </c>
      <c r="M13" s="40">
        <v>0</v>
      </c>
      <c r="N13" s="50">
        <v>1</v>
      </c>
      <c r="O13" s="41">
        <v>0</v>
      </c>
      <c r="P13" s="42">
        <v>0</v>
      </c>
      <c r="Q13" s="39">
        <v>0</v>
      </c>
      <c r="R13" s="40">
        <v>0</v>
      </c>
      <c r="S13" s="50">
        <v>1</v>
      </c>
      <c r="T13" s="41">
        <f t="shared" si="2"/>
        <v>0</v>
      </c>
      <c r="U13" s="42">
        <f t="shared" si="10"/>
        <v>0</v>
      </c>
      <c r="V13" s="43">
        <f t="shared" si="3"/>
        <v>3.6040000000000001</v>
      </c>
      <c r="W13" s="39">
        <v>0</v>
      </c>
      <c r="X13" s="41">
        <v>0</v>
      </c>
      <c r="Y13" s="50">
        <v>1</v>
      </c>
      <c r="Z13" s="41">
        <f t="shared" si="4"/>
        <v>0</v>
      </c>
      <c r="AA13" s="42">
        <f t="shared" si="5"/>
        <v>0</v>
      </c>
      <c r="AB13" s="43">
        <f t="shared" si="6"/>
        <v>3.6040000000000001</v>
      </c>
      <c r="AC13" s="50">
        <v>1</v>
      </c>
      <c r="AD13" s="40">
        <f t="shared" si="7"/>
        <v>3.6040000000000001</v>
      </c>
      <c r="AE13" s="40">
        <f t="shared" si="8"/>
        <v>0</v>
      </c>
      <c r="AF13" s="43"/>
      <c r="AG13" s="36" t="s">
        <v>66</v>
      </c>
      <c r="AH13" s="45" t="s">
        <v>63</v>
      </c>
      <c r="AI13" s="36" t="s">
        <v>8</v>
      </c>
      <c r="AJ13" s="38" t="s">
        <v>5</v>
      </c>
      <c r="AK13" s="46" t="s">
        <v>8</v>
      </c>
      <c r="AL13" s="35" t="s">
        <v>293</v>
      </c>
      <c r="AM13" s="37" t="str">
        <f t="shared" si="9"/>
        <v>vendu</v>
      </c>
    </row>
    <row r="14" spans="1:39" s="35" customFormat="1" ht="26.1" customHeight="1" x14ac:dyDescent="0.25">
      <c r="A14" s="36">
        <v>240005</v>
      </c>
      <c r="B14" s="37" t="s">
        <v>187</v>
      </c>
      <c r="C14" s="35">
        <v>1</v>
      </c>
      <c r="D14" s="35" t="s">
        <v>219</v>
      </c>
      <c r="E14" s="36"/>
      <c r="F14" s="35" t="s">
        <v>72</v>
      </c>
      <c r="G14" s="35">
        <f>IF(F14="","",IFERROR(VLOOKUP(F14,'validation des champs'!A:B,2,FALSE),"vide"))</f>
        <v>117</v>
      </c>
      <c r="H14" s="35" t="s">
        <v>179</v>
      </c>
      <c r="I14" s="35">
        <f>IF(H14="","",IFERROR(VLOOKUP(H14,'validation des champs'!C:D,2,FALSE),140))</f>
        <v>140</v>
      </c>
      <c r="J14" s="35" t="s">
        <v>188</v>
      </c>
      <c r="K14" s="38">
        <v>45320</v>
      </c>
      <c r="L14" s="39">
        <v>0.22</v>
      </c>
      <c r="M14" s="40">
        <v>0</v>
      </c>
      <c r="N14" s="50">
        <v>1</v>
      </c>
      <c r="O14" s="41">
        <v>0</v>
      </c>
      <c r="P14" s="42">
        <v>0</v>
      </c>
      <c r="Q14" s="39">
        <v>0</v>
      </c>
      <c r="R14" s="40">
        <v>0</v>
      </c>
      <c r="S14" s="50">
        <v>1</v>
      </c>
      <c r="T14" s="41">
        <f t="shared" si="2"/>
        <v>0</v>
      </c>
      <c r="U14" s="42">
        <f t="shared" si="10"/>
        <v>0</v>
      </c>
      <c r="V14" s="43">
        <f t="shared" si="3"/>
        <v>0.22</v>
      </c>
      <c r="W14" s="39">
        <v>0</v>
      </c>
      <c r="X14" s="41">
        <v>0</v>
      </c>
      <c r="Y14" s="50">
        <v>1</v>
      </c>
      <c r="Z14" s="41">
        <f t="shared" si="4"/>
        <v>0</v>
      </c>
      <c r="AA14" s="42">
        <f t="shared" si="5"/>
        <v>0</v>
      </c>
      <c r="AB14" s="43">
        <f t="shared" si="6"/>
        <v>0.22</v>
      </c>
      <c r="AC14" s="50">
        <v>1</v>
      </c>
      <c r="AD14" s="40">
        <f t="shared" si="7"/>
        <v>0.22</v>
      </c>
      <c r="AE14" s="40">
        <f t="shared" si="8"/>
        <v>0</v>
      </c>
      <c r="AF14" s="43"/>
      <c r="AG14" s="36" t="s">
        <v>66</v>
      </c>
      <c r="AH14" s="45" t="s">
        <v>63</v>
      </c>
      <c r="AI14" s="36" t="s">
        <v>8</v>
      </c>
      <c r="AJ14" s="38" t="s">
        <v>5</v>
      </c>
      <c r="AK14" s="46" t="s">
        <v>8</v>
      </c>
      <c r="AL14" s="35" t="s">
        <v>293</v>
      </c>
      <c r="AM14" s="37" t="str">
        <f t="shared" si="9"/>
        <v>vendu</v>
      </c>
    </row>
    <row r="15" spans="1:39" s="35" customFormat="1" ht="26.1" customHeight="1" x14ac:dyDescent="0.25">
      <c r="A15" s="36">
        <v>230467</v>
      </c>
      <c r="B15" s="37" t="s">
        <v>189</v>
      </c>
      <c r="C15" s="35">
        <v>1</v>
      </c>
      <c r="D15" s="35" t="s">
        <v>219</v>
      </c>
      <c r="E15" s="36"/>
      <c r="F15" s="35" t="s">
        <v>73</v>
      </c>
      <c r="G15" s="35">
        <f>IF(F15="","",IFERROR(VLOOKUP(F15,'validation des champs'!A:B,2,FALSE),"vide"))</f>
        <v>101</v>
      </c>
      <c r="H15" s="35" t="s">
        <v>179</v>
      </c>
      <c r="I15" s="35">
        <f>IF(H15="","",IFERROR(VLOOKUP(H15,'validation des champs'!C:D,2,FALSE),140))</f>
        <v>140</v>
      </c>
      <c r="J15" s="35" t="s">
        <v>191</v>
      </c>
      <c r="K15" s="38">
        <v>45322</v>
      </c>
      <c r="L15" s="39">
        <v>3.84</v>
      </c>
      <c r="M15" s="40">
        <v>0</v>
      </c>
      <c r="N15" s="50">
        <v>1</v>
      </c>
      <c r="O15" s="41">
        <v>0</v>
      </c>
      <c r="P15" s="42">
        <v>0</v>
      </c>
      <c r="Q15" s="39">
        <v>0</v>
      </c>
      <c r="R15" s="40">
        <v>0</v>
      </c>
      <c r="S15" s="50">
        <v>1</v>
      </c>
      <c r="T15" s="41">
        <f t="shared" si="2"/>
        <v>0</v>
      </c>
      <c r="U15" s="42">
        <f t="shared" si="10"/>
        <v>0</v>
      </c>
      <c r="V15" s="43">
        <f t="shared" si="3"/>
        <v>3.84</v>
      </c>
      <c r="W15" s="39">
        <v>0</v>
      </c>
      <c r="X15" s="41">
        <v>0</v>
      </c>
      <c r="Y15" s="50">
        <v>1</v>
      </c>
      <c r="Z15" s="41">
        <f t="shared" si="4"/>
        <v>0</v>
      </c>
      <c r="AA15" s="42">
        <f t="shared" si="5"/>
        <v>0</v>
      </c>
      <c r="AB15" s="43">
        <f t="shared" si="6"/>
        <v>3.84</v>
      </c>
      <c r="AC15" s="50">
        <v>1</v>
      </c>
      <c r="AD15" s="40">
        <f t="shared" si="7"/>
        <v>3.84</v>
      </c>
      <c r="AE15" s="40">
        <f t="shared" si="8"/>
        <v>0</v>
      </c>
      <c r="AF15" s="43"/>
      <c r="AG15" s="36" t="s">
        <v>66</v>
      </c>
      <c r="AH15" s="45" t="s">
        <v>63</v>
      </c>
      <c r="AI15" s="36" t="s">
        <v>8</v>
      </c>
      <c r="AJ15" s="38" t="s">
        <v>5</v>
      </c>
      <c r="AK15" s="46" t="s">
        <v>8</v>
      </c>
      <c r="AL15" s="35" t="s">
        <v>293</v>
      </c>
      <c r="AM15" s="37" t="str">
        <f t="shared" si="9"/>
        <v>vendu</v>
      </c>
    </row>
    <row r="16" spans="1:39" s="35" customFormat="1" ht="26.1" customHeight="1" x14ac:dyDescent="0.25">
      <c r="A16" s="36">
        <v>240006</v>
      </c>
      <c r="B16" s="37" t="s">
        <v>190</v>
      </c>
      <c r="C16" s="35">
        <v>1</v>
      </c>
      <c r="D16" s="35" t="s">
        <v>219</v>
      </c>
      <c r="E16" s="36"/>
      <c r="F16" s="35" t="s">
        <v>71</v>
      </c>
      <c r="G16" s="35">
        <f>IF(F16="","",IFERROR(VLOOKUP(F16,'validation des champs'!A:B,2,FALSE),"vide"))</f>
        <v>135</v>
      </c>
      <c r="H16" s="35" t="s">
        <v>179</v>
      </c>
      <c r="I16" s="35">
        <f>IF(H16="","",IFERROR(VLOOKUP(H16,'validation des champs'!C:D,2,FALSE),140))</f>
        <v>140</v>
      </c>
      <c r="J16" s="35" t="s">
        <v>186</v>
      </c>
      <c r="K16" s="38">
        <v>45301</v>
      </c>
      <c r="L16" s="39">
        <v>1.843</v>
      </c>
      <c r="M16" s="40">
        <v>0</v>
      </c>
      <c r="N16" s="50">
        <v>1</v>
      </c>
      <c r="O16" s="41">
        <v>0</v>
      </c>
      <c r="P16" s="42">
        <v>0</v>
      </c>
      <c r="Q16" s="39">
        <v>0</v>
      </c>
      <c r="R16" s="40">
        <v>0</v>
      </c>
      <c r="S16" s="50">
        <v>1</v>
      </c>
      <c r="T16" s="41">
        <f t="shared" si="2"/>
        <v>0</v>
      </c>
      <c r="U16" s="42">
        <f t="shared" si="10"/>
        <v>0</v>
      </c>
      <c r="V16" s="43">
        <f t="shared" si="3"/>
        <v>1.843</v>
      </c>
      <c r="W16" s="39">
        <v>0</v>
      </c>
      <c r="X16" s="41">
        <v>0</v>
      </c>
      <c r="Y16" s="50">
        <v>1</v>
      </c>
      <c r="Z16" s="41">
        <f t="shared" si="4"/>
        <v>0</v>
      </c>
      <c r="AA16" s="42">
        <f t="shared" si="5"/>
        <v>0</v>
      </c>
      <c r="AB16" s="43">
        <f t="shared" si="6"/>
        <v>1.843</v>
      </c>
      <c r="AC16" s="50">
        <v>1</v>
      </c>
      <c r="AD16" s="40">
        <f t="shared" si="7"/>
        <v>1.843</v>
      </c>
      <c r="AE16" s="40">
        <f t="shared" si="8"/>
        <v>0</v>
      </c>
      <c r="AF16" s="43"/>
      <c r="AG16" s="36" t="s">
        <v>66</v>
      </c>
      <c r="AH16" s="45" t="s">
        <v>63</v>
      </c>
      <c r="AI16" s="36" t="s">
        <v>8</v>
      </c>
      <c r="AJ16" s="38" t="s">
        <v>5</v>
      </c>
      <c r="AK16" s="46" t="s">
        <v>8</v>
      </c>
      <c r="AL16" s="35" t="s">
        <v>293</v>
      </c>
      <c r="AM16" s="37" t="str">
        <f t="shared" si="9"/>
        <v>vendu</v>
      </c>
    </row>
    <row r="17" spans="1:39" s="35" customFormat="1" ht="26.1" customHeight="1" x14ac:dyDescent="0.25">
      <c r="A17" s="36">
        <v>220376</v>
      </c>
      <c r="B17" s="37" t="s">
        <v>10</v>
      </c>
      <c r="C17" s="35">
        <v>1</v>
      </c>
      <c r="D17" s="35" t="s">
        <v>219</v>
      </c>
      <c r="E17" s="36"/>
      <c r="F17" s="35" t="s">
        <v>194</v>
      </c>
      <c r="G17" s="35">
        <f>IF(F17="","",IFERROR(VLOOKUP(F17,'validation des champs'!A:B,2,FALSE),"vide"))</f>
        <v>124</v>
      </c>
      <c r="H17" s="35" t="s">
        <v>77</v>
      </c>
      <c r="I17" s="35">
        <f>IF(H17="","",IFERROR(VLOOKUP(H17,'validation des champs'!C:D,2,FALSE),140))</f>
        <v>146</v>
      </c>
      <c r="J17" s="35" t="s">
        <v>12</v>
      </c>
      <c r="K17" s="38">
        <v>45334</v>
      </c>
      <c r="L17" s="39">
        <v>48.05</v>
      </c>
      <c r="M17" s="40">
        <v>0</v>
      </c>
      <c r="N17" s="50">
        <v>1</v>
      </c>
      <c r="O17" s="41">
        <f>+N17*M17</f>
        <v>0</v>
      </c>
      <c r="P17" s="42">
        <f>+M17-O17</f>
        <v>0</v>
      </c>
      <c r="Q17" s="39">
        <v>57.49</v>
      </c>
      <c r="R17" s="40">
        <v>0</v>
      </c>
      <c r="S17" s="50">
        <v>1</v>
      </c>
      <c r="T17" s="41">
        <f t="shared" si="2"/>
        <v>0</v>
      </c>
      <c r="U17" s="42">
        <f t="shared" si="10"/>
        <v>0</v>
      </c>
      <c r="V17" s="43">
        <f t="shared" si="3"/>
        <v>105.53999999999999</v>
      </c>
      <c r="W17" s="39">
        <v>2</v>
      </c>
      <c r="X17" s="41">
        <v>0</v>
      </c>
      <c r="Y17" s="50">
        <v>1</v>
      </c>
      <c r="Z17" s="41">
        <f t="shared" si="4"/>
        <v>0</v>
      </c>
      <c r="AA17" s="42">
        <f t="shared" si="5"/>
        <v>0</v>
      </c>
      <c r="AB17" s="43">
        <f t="shared" si="6"/>
        <v>107.53999999999999</v>
      </c>
      <c r="AC17" s="50">
        <v>1</v>
      </c>
      <c r="AD17" s="40">
        <f>+V17</f>
        <v>105.53999999999999</v>
      </c>
      <c r="AE17" s="40">
        <f t="shared" si="8"/>
        <v>0</v>
      </c>
      <c r="AF17" s="43"/>
      <c r="AG17" s="36" t="s">
        <v>51</v>
      </c>
      <c r="AH17" s="45" t="s">
        <v>63</v>
      </c>
      <c r="AI17" s="36" t="s">
        <v>4</v>
      </c>
      <c r="AJ17" s="38" t="s">
        <v>5</v>
      </c>
      <c r="AK17" s="46" t="s">
        <v>4</v>
      </c>
      <c r="AL17" s="35" t="s">
        <v>115</v>
      </c>
      <c r="AM17" s="37" t="str">
        <f t="shared" si="9"/>
        <v>vendu</v>
      </c>
    </row>
    <row r="18" spans="1:39" s="35" customFormat="1" ht="26.1" customHeight="1" x14ac:dyDescent="0.25">
      <c r="A18" s="36">
        <v>230452</v>
      </c>
      <c r="B18" s="37" t="s">
        <v>171</v>
      </c>
      <c r="C18" s="35">
        <v>1</v>
      </c>
      <c r="D18" s="35" t="s">
        <v>219</v>
      </c>
      <c r="E18" s="36"/>
      <c r="F18" s="35" t="s">
        <v>194</v>
      </c>
      <c r="G18" s="35">
        <f>IF(F18="","",IFERROR(VLOOKUP(F18,'validation des champs'!A:B,2,FALSE),"vide"))</f>
        <v>124</v>
      </c>
      <c r="H18" s="35" t="s">
        <v>82</v>
      </c>
      <c r="I18" s="35">
        <f>IF(H18="","",IFERROR(VLOOKUP(H18,'validation des champs'!C:D,2,FALSE),140))</f>
        <v>140</v>
      </c>
      <c r="J18" s="35" t="s">
        <v>172</v>
      </c>
      <c r="K18" s="38">
        <v>45334</v>
      </c>
      <c r="L18" s="39">
        <v>30.689</v>
      </c>
      <c r="M18" s="40">
        <v>0</v>
      </c>
      <c r="N18" s="50">
        <v>1</v>
      </c>
      <c r="O18" s="41">
        <v>0</v>
      </c>
      <c r="P18" s="42">
        <v>0</v>
      </c>
      <c r="Q18" s="39">
        <v>37.581000000000003</v>
      </c>
      <c r="R18" s="40">
        <v>0</v>
      </c>
      <c r="S18" s="50">
        <v>1</v>
      </c>
      <c r="T18" s="41">
        <f t="shared" si="2"/>
        <v>0</v>
      </c>
      <c r="U18" s="42">
        <f t="shared" si="10"/>
        <v>0</v>
      </c>
      <c r="V18" s="43">
        <f t="shared" si="3"/>
        <v>68.27000000000001</v>
      </c>
      <c r="W18" s="39">
        <v>0</v>
      </c>
      <c r="X18" s="41">
        <v>0</v>
      </c>
      <c r="Y18" s="50">
        <v>1</v>
      </c>
      <c r="Z18" s="41">
        <f t="shared" si="4"/>
        <v>0</v>
      </c>
      <c r="AA18" s="42">
        <f t="shared" si="5"/>
        <v>0</v>
      </c>
      <c r="AB18" s="43">
        <f t="shared" si="6"/>
        <v>68.27000000000001</v>
      </c>
      <c r="AC18" s="50">
        <v>1</v>
      </c>
      <c r="AD18" s="40">
        <f t="shared" si="7"/>
        <v>68.27000000000001</v>
      </c>
      <c r="AE18" s="40">
        <f t="shared" si="8"/>
        <v>0</v>
      </c>
      <c r="AF18" s="43"/>
      <c r="AG18" s="36" t="s">
        <v>160</v>
      </c>
      <c r="AH18" s="45" t="s">
        <v>63</v>
      </c>
      <c r="AI18" s="36" t="s">
        <v>4</v>
      </c>
      <c r="AJ18" s="38" t="s">
        <v>5</v>
      </c>
      <c r="AK18" s="46" t="s">
        <v>4</v>
      </c>
      <c r="AL18" s="35" t="s">
        <v>115</v>
      </c>
      <c r="AM18" s="37" t="str">
        <f t="shared" si="9"/>
        <v>vendu</v>
      </c>
    </row>
    <row r="19" spans="1:39" s="35" customFormat="1" ht="26.1" customHeight="1" x14ac:dyDescent="0.25">
      <c r="A19" s="36">
        <v>230443</v>
      </c>
      <c r="B19" s="35" t="s">
        <v>13</v>
      </c>
      <c r="C19" s="37">
        <v>1</v>
      </c>
      <c r="D19" s="36" t="s">
        <v>219</v>
      </c>
      <c r="E19" s="37"/>
      <c r="F19" s="35" t="s">
        <v>194</v>
      </c>
      <c r="G19" s="35">
        <f>IF(F19="","",IFERROR(VLOOKUP(F19,'validation des champs'!A:B,2,FALSE),"vide"))</f>
        <v>124</v>
      </c>
      <c r="H19" s="35" t="s">
        <v>77</v>
      </c>
      <c r="I19" s="35">
        <f>IF(H19="","",IFERROR(VLOOKUP(H19,'validation des champs'!C:D,2,FALSE),"Mathieu 140"))</f>
        <v>146</v>
      </c>
      <c r="J19" s="35" t="s">
        <v>14</v>
      </c>
      <c r="K19" s="38">
        <v>45341</v>
      </c>
      <c r="L19" s="39">
        <v>39.67</v>
      </c>
      <c r="M19" s="40">
        <v>0</v>
      </c>
      <c r="N19" s="50">
        <v>1</v>
      </c>
      <c r="O19" s="41">
        <f>+N19*M19</f>
        <v>0</v>
      </c>
      <c r="P19" s="42">
        <v>0</v>
      </c>
      <c r="Q19" s="39">
        <v>53.835999999999999</v>
      </c>
      <c r="R19" s="40">
        <v>0</v>
      </c>
      <c r="S19" s="50">
        <v>1</v>
      </c>
      <c r="T19" s="41">
        <f>+S19*R19</f>
        <v>0</v>
      </c>
      <c r="U19" s="42">
        <f>+R19-T19</f>
        <v>0</v>
      </c>
      <c r="V19" s="43">
        <f>+Q19+L19</f>
        <v>93.506</v>
      </c>
      <c r="W19" s="56">
        <v>0</v>
      </c>
      <c r="X19" s="41">
        <v>0</v>
      </c>
      <c r="Y19" s="44">
        <v>1</v>
      </c>
      <c r="Z19" s="41">
        <v>0</v>
      </c>
      <c r="AA19" s="42">
        <v>0</v>
      </c>
      <c r="AB19" s="43">
        <f>+L19+Q19+W19</f>
        <v>93.506</v>
      </c>
      <c r="AC19" s="52">
        <v>1</v>
      </c>
      <c r="AD19" s="40">
        <f>+AC19*V19</f>
        <v>93.506</v>
      </c>
      <c r="AE19" s="40">
        <f>+V19-AD19</f>
        <v>0</v>
      </c>
      <c r="AF19" s="43"/>
      <c r="AG19" s="36" t="s">
        <v>11</v>
      </c>
      <c r="AH19" s="45" t="s">
        <v>63</v>
      </c>
      <c r="AI19" s="36" t="s">
        <v>4</v>
      </c>
      <c r="AJ19" s="38" t="s">
        <v>5</v>
      </c>
      <c r="AK19" s="46" t="s">
        <v>4</v>
      </c>
      <c r="AL19" s="36" t="str">
        <f>IF(B19="","",IF(LEFT(B19,2)="FC","OUI","NON"))</f>
        <v>NON</v>
      </c>
      <c r="AM19" s="37" t="str">
        <f>IF(A19="","incertain","vendu")</f>
        <v>vendu</v>
      </c>
    </row>
    <row r="20" spans="1:39" s="35" customFormat="1" ht="26.1" customHeight="1" x14ac:dyDescent="0.25">
      <c r="A20" s="36">
        <v>230052</v>
      </c>
      <c r="B20" s="35" t="s">
        <v>18</v>
      </c>
      <c r="C20" s="37">
        <v>3</v>
      </c>
      <c r="D20" s="36" t="s">
        <v>221</v>
      </c>
      <c r="E20" s="37"/>
      <c r="F20" s="35" t="s">
        <v>72</v>
      </c>
      <c r="G20" s="35">
        <f>IF(F20="","",IFERROR(VLOOKUP(F20,'validation des champs'!A:B,2,FALSE),"vide"))</f>
        <v>117</v>
      </c>
      <c r="H20" s="35" t="s">
        <v>78</v>
      </c>
      <c r="I20" s="35">
        <f>IF(H20="","",IFERROR(VLOOKUP(H20,'validation des champs'!C:D,2,FALSE),"Mathieu 140"))</f>
        <v>118</v>
      </c>
      <c r="J20" s="35" t="s">
        <v>20</v>
      </c>
      <c r="K20" s="38">
        <v>45341</v>
      </c>
      <c r="L20" s="39">
        <v>68.757999999999996</v>
      </c>
      <c r="M20" s="40">
        <v>0</v>
      </c>
      <c r="N20" s="50">
        <v>1</v>
      </c>
      <c r="O20" s="41">
        <f>+N20*M20</f>
        <v>0</v>
      </c>
      <c r="P20" s="42">
        <f>+M20-O20</f>
        <v>0</v>
      </c>
      <c r="Q20" s="39">
        <v>12.446</v>
      </c>
      <c r="R20" s="40">
        <v>0</v>
      </c>
      <c r="S20" s="50">
        <v>1</v>
      </c>
      <c r="T20" s="41">
        <f>+S20*R20</f>
        <v>0</v>
      </c>
      <c r="U20" s="42">
        <f>+R20-T20</f>
        <v>0</v>
      </c>
      <c r="V20" s="43">
        <f>+Q20+L20</f>
        <v>81.203999999999994</v>
      </c>
      <c r="W20" s="51">
        <v>8.6590000000000007</v>
      </c>
      <c r="X20" s="41">
        <v>0</v>
      </c>
      <c r="Y20" s="44">
        <v>1</v>
      </c>
      <c r="Z20" s="41">
        <f>+X20*Y20</f>
        <v>0</v>
      </c>
      <c r="AA20" s="42">
        <f>+X20-Z20</f>
        <v>0</v>
      </c>
      <c r="AB20" s="43">
        <f>+L20+Q20+W20</f>
        <v>89.863</v>
      </c>
      <c r="AC20" s="52">
        <v>1</v>
      </c>
      <c r="AD20" s="40">
        <f>+AC20*V20</f>
        <v>81.203999999999994</v>
      </c>
      <c r="AE20" s="40">
        <f>+V20-AD20</f>
        <v>0</v>
      </c>
      <c r="AF20" s="43"/>
      <c r="AG20" s="36" t="s">
        <v>19</v>
      </c>
      <c r="AH20" s="45" t="s">
        <v>63</v>
      </c>
      <c r="AI20" s="36" t="s">
        <v>4</v>
      </c>
      <c r="AJ20" s="38" t="s">
        <v>5</v>
      </c>
      <c r="AK20" s="46" t="s">
        <v>4</v>
      </c>
      <c r="AL20" s="36" t="str">
        <f>IF(B20="","",IF(LEFT(B20,2)="FC","OUI","NON"))</f>
        <v>NON</v>
      </c>
      <c r="AM20" s="37" t="str">
        <f>IF(A20="","incertain","vendu")</f>
        <v>vendu</v>
      </c>
    </row>
    <row r="21" spans="1:39" s="35" customFormat="1" ht="26.1" customHeight="1" x14ac:dyDescent="0.25">
      <c r="A21" s="36">
        <v>230052</v>
      </c>
      <c r="B21" s="35" t="s">
        <v>239</v>
      </c>
      <c r="C21" s="37">
        <v>3</v>
      </c>
      <c r="D21" s="36" t="s">
        <v>221</v>
      </c>
      <c r="E21" s="37"/>
      <c r="F21" s="35" t="s">
        <v>72</v>
      </c>
      <c r="G21" s="35">
        <f>IF(F21="","",IFERROR(VLOOKUP(F21,'validation des champs'!A:B,2,FALSE),"vide"))</f>
        <v>117</v>
      </c>
      <c r="H21" s="35" t="s">
        <v>78</v>
      </c>
      <c r="I21" s="35">
        <f>IF(H21="","",IFERROR(VLOOKUP(H21,'validation des champs'!C:D,2,FALSE),"Mathieu 140"))</f>
        <v>118</v>
      </c>
      <c r="J21" s="35" t="s">
        <v>20</v>
      </c>
      <c r="K21" s="38">
        <v>45341</v>
      </c>
      <c r="L21" s="39">
        <f>21.954+0.759</f>
        <v>22.713000000000001</v>
      </c>
      <c r="M21" s="40">
        <v>0</v>
      </c>
      <c r="N21" s="50">
        <v>1</v>
      </c>
      <c r="O21" s="41">
        <f>+N21*M21</f>
        <v>0</v>
      </c>
      <c r="P21" s="42">
        <f>+M21-O21</f>
        <v>0</v>
      </c>
      <c r="Q21" s="39">
        <f>36.26+4.2</f>
        <v>40.46</v>
      </c>
      <c r="R21" s="40">
        <v>0</v>
      </c>
      <c r="S21" s="50">
        <v>1</v>
      </c>
      <c r="T21" s="41">
        <f>+S21*R21</f>
        <v>0</v>
      </c>
      <c r="U21" s="42">
        <f>+R21-T21</f>
        <v>0</v>
      </c>
      <c r="V21" s="43">
        <f>+Q21+L21</f>
        <v>63.173000000000002</v>
      </c>
      <c r="W21" s="39">
        <v>0</v>
      </c>
      <c r="X21" s="41">
        <v>0</v>
      </c>
      <c r="Y21" s="44">
        <v>1</v>
      </c>
      <c r="Z21" s="41">
        <f>+X21*Y21</f>
        <v>0</v>
      </c>
      <c r="AA21" s="42">
        <f>+X21-Z21</f>
        <v>0</v>
      </c>
      <c r="AB21" s="43">
        <f>+L21+Q21+W21</f>
        <v>63.173000000000002</v>
      </c>
      <c r="AC21" s="52">
        <v>1</v>
      </c>
      <c r="AD21" s="40">
        <f>+AC21*V21</f>
        <v>63.173000000000002</v>
      </c>
      <c r="AE21" s="40">
        <f>+V21-AD21</f>
        <v>0</v>
      </c>
      <c r="AF21" s="43"/>
      <c r="AG21" s="36" t="s">
        <v>19</v>
      </c>
      <c r="AH21" s="45" t="s">
        <v>63</v>
      </c>
      <c r="AI21" s="36" t="s">
        <v>4</v>
      </c>
      <c r="AJ21" s="38" t="s">
        <v>5</v>
      </c>
      <c r="AK21" s="46" t="s">
        <v>4</v>
      </c>
      <c r="AL21" s="36" t="str">
        <f>IF(B21="","",IF(LEFT(B21,2)="FC","OUI","NON"))</f>
        <v>NON</v>
      </c>
      <c r="AM21" s="37" t="str">
        <f>IF(A21="","incertain","vendu")</f>
        <v>vendu</v>
      </c>
    </row>
    <row r="22" spans="1:39" s="35" customFormat="1" ht="26.1" customHeight="1" x14ac:dyDescent="0.25">
      <c r="A22" s="36">
        <v>230484</v>
      </c>
      <c r="B22" s="35" t="s">
        <v>233</v>
      </c>
      <c r="C22" s="37">
        <v>1</v>
      </c>
      <c r="D22" s="36" t="s">
        <v>219</v>
      </c>
      <c r="E22" s="37"/>
      <c r="F22" s="35" t="s">
        <v>72</v>
      </c>
      <c r="G22" s="35">
        <f>IF(F22="","",IFERROR(VLOOKUP(F22,'validation des champs'!A:B,2,FALSE),"vide"))</f>
        <v>117</v>
      </c>
      <c r="H22" s="35" t="s">
        <v>72</v>
      </c>
      <c r="I22" s="35">
        <f>IF(H22="","",IFERROR(VLOOKUP(H22,'validation des champs'!C:D,2,FALSE),"Mathieu 140"))</f>
        <v>117</v>
      </c>
      <c r="J22" s="35" t="s">
        <v>180</v>
      </c>
      <c r="K22" s="38">
        <v>45315</v>
      </c>
      <c r="L22" s="39">
        <v>5.133</v>
      </c>
      <c r="M22" s="40">
        <v>0</v>
      </c>
      <c r="N22" s="50">
        <v>1</v>
      </c>
      <c r="O22" s="41">
        <v>0</v>
      </c>
      <c r="P22" s="42">
        <v>0</v>
      </c>
      <c r="Q22" s="39">
        <v>0</v>
      </c>
      <c r="R22" s="40">
        <v>0</v>
      </c>
      <c r="S22" s="50">
        <v>1</v>
      </c>
      <c r="T22" s="41">
        <f>+S22*R22</f>
        <v>0</v>
      </c>
      <c r="U22" s="42">
        <f>+R22-T22</f>
        <v>0</v>
      </c>
      <c r="V22" s="43">
        <f>+Q22+L22</f>
        <v>5.133</v>
      </c>
      <c r="W22" s="39">
        <v>0</v>
      </c>
      <c r="X22" s="41">
        <v>0</v>
      </c>
      <c r="Y22" s="44">
        <v>1</v>
      </c>
      <c r="Z22" s="41">
        <f>+X22*Y22</f>
        <v>0</v>
      </c>
      <c r="AA22" s="42">
        <f>+X22-Z22</f>
        <v>0</v>
      </c>
      <c r="AB22" s="43">
        <f>+L22+Q22+W22</f>
        <v>5.133</v>
      </c>
      <c r="AC22" s="52">
        <v>1</v>
      </c>
      <c r="AD22" s="40">
        <f>+AC22*V22</f>
        <v>5.133</v>
      </c>
      <c r="AE22" s="40">
        <f>+V22-AD22</f>
        <v>0</v>
      </c>
      <c r="AF22" s="43"/>
      <c r="AG22" s="36" t="s">
        <v>66</v>
      </c>
      <c r="AH22" s="45" t="s">
        <v>63</v>
      </c>
      <c r="AI22" s="36" t="s">
        <v>8</v>
      </c>
      <c r="AJ22" s="38"/>
      <c r="AK22" s="46" t="s">
        <v>8</v>
      </c>
      <c r="AL22" s="36" t="str">
        <f>IF(B22="","",IF(LEFT(B22,2)="FC","OUI","NON"))</f>
        <v>OUI</v>
      </c>
      <c r="AM22" s="37" t="str">
        <f>IF(A22="","incertain","vendu")</f>
        <v>vendu</v>
      </c>
    </row>
    <row r="23" spans="1:39" s="35" customFormat="1" ht="26.1" customHeight="1" x14ac:dyDescent="0.25">
      <c r="A23" s="36">
        <v>240042</v>
      </c>
      <c r="B23" s="35" t="s">
        <v>211</v>
      </c>
      <c r="C23" s="37">
        <v>1</v>
      </c>
      <c r="D23" s="36" t="s">
        <v>219</v>
      </c>
      <c r="E23" s="37"/>
      <c r="F23" s="35" t="s">
        <v>194</v>
      </c>
      <c r="G23" s="35">
        <f>IF(F23="","",IFERROR(VLOOKUP(F23,'validation des champs'!A:B,2,FALSE),"vide"))</f>
        <v>124</v>
      </c>
      <c r="H23" s="35" t="s">
        <v>194</v>
      </c>
      <c r="I23" s="35">
        <f>IF(H23="","",IFERROR(VLOOKUP(H23,'validation des champs'!C:D,2,FALSE),"Mathieu 140"))</f>
        <v>124</v>
      </c>
      <c r="J23" s="35" t="s">
        <v>182</v>
      </c>
      <c r="K23" s="38">
        <v>45341</v>
      </c>
      <c r="L23" s="39">
        <v>5.9290000000000003</v>
      </c>
      <c r="M23" s="40">
        <v>0</v>
      </c>
      <c r="N23" s="50">
        <v>1</v>
      </c>
      <c r="O23" s="41">
        <v>0</v>
      </c>
      <c r="P23" s="42">
        <v>0</v>
      </c>
      <c r="Q23" s="39">
        <v>0</v>
      </c>
      <c r="R23" s="40">
        <v>0</v>
      </c>
      <c r="S23" s="50">
        <v>1</v>
      </c>
      <c r="T23" s="41">
        <f>+S23*R23</f>
        <v>0</v>
      </c>
      <c r="U23" s="42">
        <f>+R23-T23</f>
        <v>0</v>
      </c>
      <c r="V23" s="43">
        <f>+Q23+L23</f>
        <v>5.9290000000000003</v>
      </c>
      <c r="W23" s="39">
        <v>0</v>
      </c>
      <c r="X23" s="41">
        <v>0</v>
      </c>
      <c r="Y23" s="44">
        <v>1</v>
      </c>
      <c r="Z23" s="41">
        <f>+X23*Y23</f>
        <v>0</v>
      </c>
      <c r="AA23" s="42">
        <f>+X23-Z23</f>
        <v>0</v>
      </c>
      <c r="AB23" s="43">
        <f>+L23+Q23+W23</f>
        <v>5.9290000000000003</v>
      </c>
      <c r="AC23" s="52">
        <v>1</v>
      </c>
      <c r="AD23" s="40">
        <f>+AC23*V23</f>
        <v>5.9290000000000003</v>
      </c>
      <c r="AE23" s="40">
        <f>+V23-AD23</f>
        <v>0</v>
      </c>
      <c r="AF23" s="43"/>
      <c r="AG23" s="36" t="s">
        <v>66</v>
      </c>
      <c r="AH23" s="45" t="s">
        <v>63</v>
      </c>
      <c r="AI23" s="36" t="s">
        <v>8</v>
      </c>
      <c r="AJ23" s="38" t="s">
        <v>5</v>
      </c>
      <c r="AK23" s="46" t="s">
        <v>8</v>
      </c>
      <c r="AL23" s="36" t="str">
        <f>IF(B23="","",IF(LEFT(B23,2)="FC","OUI","NON"))</f>
        <v>OUI</v>
      </c>
      <c r="AM23" s="37" t="str">
        <f>IF(A23="","incertain","vendu")</f>
        <v>vendu</v>
      </c>
    </row>
    <row r="24" spans="1:39" s="35" customFormat="1" ht="26.1" customHeight="1" x14ac:dyDescent="0.25">
      <c r="A24" s="36">
        <v>220407</v>
      </c>
      <c r="B24" s="35" t="s">
        <v>24</v>
      </c>
      <c r="C24" s="37">
        <v>1</v>
      </c>
      <c r="D24" s="36" t="s">
        <v>219</v>
      </c>
      <c r="E24" s="37"/>
      <c r="F24" s="35" t="s">
        <v>72</v>
      </c>
      <c r="G24" s="35">
        <f>IF(F24="","",IFERROR(VLOOKUP(F24,'validation des champs'!A:B,2,FALSE),"vide"))</f>
        <v>117</v>
      </c>
      <c r="H24" s="35" t="s">
        <v>80</v>
      </c>
      <c r="I24" s="35">
        <f>IF(H24="","",IFERROR(VLOOKUP(H24,'validation des champs'!C:D,2,FALSE),"Mathieu 140"))</f>
        <v>122</v>
      </c>
      <c r="J24" s="35" t="s">
        <v>25</v>
      </c>
      <c r="K24" s="59">
        <v>45348</v>
      </c>
      <c r="L24" s="39">
        <v>45.722000000000001</v>
      </c>
      <c r="M24" s="40">
        <v>0</v>
      </c>
      <c r="N24" s="50">
        <v>1</v>
      </c>
      <c r="O24" s="41">
        <f t="shared" ref="O24:O32" si="11">+N24*M24</f>
        <v>0</v>
      </c>
      <c r="P24" s="42">
        <f t="shared" ref="P24:P32" si="12">+M24-O24</f>
        <v>0</v>
      </c>
      <c r="Q24" s="39">
        <v>48.832999999999998</v>
      </c>
      <c r="R24" s="40">
        <v>0</v>
      </c>
      <c r="S24" s="50">
        <v>1</v>
      </c>
      <c r="T24" s="41">
        <f t="shared" ref="T24:T25" si="13">+S24*R24</f>
        <v>0</v>
      </c>
      <c r="U24" s="42">
        <f t="shared" ref="U24:U25" si="14">+R24-T24</f>
        <v>0</v>
      </c>
      <c r="V24" s="43">
        <f t="shared" ref="V24:V25" si="15">+Q24+L24</f>
        <v>94.555000000000007</v>
      </c>
      <c r="W24" s="51">
        <v>6.4779999999999998</v>
      </c>
      <c r="X24" s="41">
        <v>0</v>
      </c>
      <c r="Y24" s="44">
        <v>1</v>
      </c>
      <c r="Z24" s="41">
        <f t="shared" ref="Z24:Z25" si="16">+X24*Y24</f>
        <v>0</v>
      </c>
      <c r="AA24" s="42">
        <f t="shared" ref="AA24:AA25" si="17">+X24-Z24</f>
        <v>0</v>
      </c>
      <c r="AB24" s="43">
        <f t="shared" ref="AB24:AB25" si="18">+L24+Q24+W24</f>
        <v>101.033</v>
      </c>
      <c r="AC24" s="52">
        <v>1</v>
      </c>
      <c r="AD24" s="40">
        <f t="shared" ref="AD24:AD25" si="19">+AC24*V24</f>
        <v>94.555000000000007</v>
      </c>
      <c r="AE24" s="40">
        <f t="shared" ref="AE24:AE25" si="20">+V24-AD24</f>
        <v>0</v>
      </c>
      <c r="AF24" s="43"/>
      <c r="AG24" s="36" t="s">
        <v>53</v>
      </c>
      <c r="AH24" s="45" t="s">
        <v>63</v>
      </c>
      <c r="AI24" s="36" t="s">
        <v>4</v>
      </c>
      <c r="AJ24" s="38" t="s">
        <v>5</v>
      </c>
      <c r="AK24" s="46" t="s">
        <v>4</v>
      </c>
      <c r="AL24" s="36" t="str">
        <f t="shared" ref="AL24:AL25" si="21">IF(B24="","",IF(LEFT(B24,2)="FC","OUI","NON"))</f>
        <v>NON</v>
      </c>
      <c r="AM24" s="37" t="str">
        <f t="shared" ref="AM24:AM25" si="22">IF(A24="","incertain","vendu")</f>
        <v>vendu</v>
      </c>
    </row>
    <row r="25" spans="1:39" s="35" customFormat="1" ht="26.1" customHeight="1" x14ac:dyDescent="0.25">
      <c r="A25" s="36">
        <v>210373</v>
      </c>
      <c r="B25" s="35" t="s">
        <v>33</v>
      </c>
      <c r="C25" s="37">
        <v>1</v>
      </c>
      <c r="D25" s="36" t="s">
        <v>219</v>
      </c>
      <c r="E25" s="37" t="s">
        <v>35</v>
      </c>
      <c r="F25" s="35" t="s">
        <v>70</v>
      </c>
      <c r="G25" s="35">
        <f>IF(F25="","",IFERROR(VLOOKUP(F25,'validation des champs'!A:B,2,FALSE),"vide"))</f>
        <v>116</v>
      </c>
      <c r="H25" s="35" t="s">
        <v>78</v>
      </c>
      <c r="I25" s="35">
        <f>IF(H25="","",IFERROR(VLOOKUP(H25,'validation des champs'!C:D,2,FALSE),"Mathieu 140"))</f>
        <v>118</v>
      </c>
      <c r="J25" s="35" t="s">
        <v>36</v>
      </c>
      <c r="K25" s="59">
        <v>45351</v>
      </c>
      <c r="L25" s="39">
        <v>23.498000000000001</v>
      </c>
      <c r="M25" s="40">
        <v>0</v>
      </c>
      <c r="N25" s="50">
        <v>1</v>
      </c>
      <c r="O25" s="41">
        <f t="shared" si="11"/>
        <v>0</v>
      </c>
      <c r="P25" s="42">
        <f t="shared" si="12"/>
        <v>0</v>
      </c>
      <c r="Q25" s="39">
        <v>26.048999999999999</v>
      </c>
      <c r="R25" s="40">
        <v>0</v>
      </c>
      <c r="S25" s="50">
        <v>1</v>
      </c>
      <c r="T25" s="41">
        <f t="shared" si="13"/>
        <v>0</v>
      </c>
      <c r="U25" s="42">
        <f t="shared" si="14"/>
        <v>0</v>
      </c>
      <c r="V25" s="43">
        <f t="shared" si="15"/>
        <v>49.546999999999997</v>
      </c>
      <c r="W25" s="39">
        <v>0</v>
      </c>
      <c r="X25" s="41">
        <v>0</v>
      </c>
      <c r="Y25" s="44">
        <v>1</v>
      </c>
      <c r="Z25" s="41">
        <f t="shared" si="16"/>
        <v>0</v>
      </c>
      <c r="AA25" s="42">
        <f t="shared" si="17"/>
        <v>0</v>
      </c>
      <c r="AB25" s="43">
        <f t="shared" si="18"/>
        <v>49.546999999999997</v>
      </c>
      <c r="AC25" s="52">
        <v>1</v>
      </c>
      <c r="AD25" s="40">
        <f t="shared" si="19"/>
        <v>49.546999999999997</v>
      </c>
      <c r="AE25" s="40">
        <f t="shared" si="20"/>
        <v>0</v>
      </c>
      <c r="AF25" s="43"/>
      <c r="AG25" s="36" t="s">
        <v>34</v>
      </c>
      <c r="AH25" s="45" t="s">
        <v>63</v>
      </c>
      <c r="AI25" s="36" t="s">
        <v>4</v>
      </c>
      <c r="AJ25" s="38" t="s">
        <v>5</v>
      </c>
      <c r="AK25" s="46" t="s">
        <v>4</v>
      </c>
      <c r="AL25" s="36" t="str">
        <f t="shared" si="21"/>
        <v>NON</v>
      </c>
      <c r="AM25" s="37" t="str">
        <f t="shared" si="22"/>
        <v>vendu</v>
      </c>
    </row>
    <row r="26" spans="1:39" s="35" customFormat="1" ht="26.1" customHeight="1" x14ac:dyDescent="0.25">
      <c r="A26" s="36">
        <v>230074</v>
      </c>
      <c r="B26" s="35" t="s">
        <v>240</v>
      </c>
      <c r="C26" s="37">
        <v>3</v>
      </c>
      <c r="D26" s="36" t="s">
        <v>219</v>
      </c>
      <c r="E26" s="37"/>
      <c r="F26" s="35" t="s">
        <v>72</v>
      </c>
      <c r="G26" s="35">
        <f>IF(F26="","",IFERROR(VLOOKUP(F26,'validation des champs'!A:B,2,FALSE),"vide"))</f>
        <v>117</v>
      </c>
      <c r="H26" s="35" t="s">
        <v>139</v>
      </c>
      <c r="I26" s="35">
        <f>IF(H26="","",IFERROR(VLOOKUP(H26,'validation des champs'!C:D,2,FALSE),"Mathieu 140"))</f>
        <v>134</v>
      </c>
      <c r="J26" s="35" t="s">
        <v>23</v>
      </c>
      <c r="K26" s="59">
        <v>45348</v>
      </c>
      <c r="L26" s="39">
        <v>0</v>
      </c>
      <c r="M26" s="40">
        <v>0</v>
      </c>
      <c r="N26" s="50">
        <v>1</v>
      </c>
      <c r="O26" s="41">
        <f t="shared" si="11"/>
        <v>0</v>
      </c>
      <c r="P26" s="42">
        <f t="shared" si="12"/>
        <v>0</v>
      </c>
      <c r="Q26" s="39">
        <v>41.38</v>
      </c>
      <c r="R26" s="40">
        <v>0</v>
      </c>
      <c r="S26" s="50">
        <v>1</v>
      </c>
      <c r="T26" s="41">
        <f t="shared" ref="T26:T33" si="23">+S26*R26</f>
        <v>0</v>
      </c>
      <c r="U26" s="42">
        <f t="shared" ref="U26:U33" si="24">+R26-T26</f>
        <v>0</v>
      </c>
      <c r="V26" s="43">
        <f t="shared" ref="V26:V33" si="25">+Q26+L26</f>
        <v>41.38</v>
      </c>
      <c r="W26" s="39">
        <v>0</v>
      </c>
      <c r="X26" s="41">
        <v>0</v>
      </c>
      <c r="Y26" s="44">
        <v>1</v>
      </c>
      <c r="Z26" s="41">
        <f t="shared" ref="Z26:Z33" si="26">+X26*Y26</f>
        <v>0</v>
      </c>
      <c r="AA26" s="42">
        <f t="shared" ref="AA26:AA33" si="27">+X26-Z26</f>
        <v>0</v>
      </c>
      <c r="AB26" s="43">
        <f t="shared" ref="AB26:AB33" si="28">+L26+Q26+W26</f>
        <v>41.38</v>
      </c>
      <c r="AC26" s="52">
        <v>1</v>
      </c>
      <c r="AD26" s="40">
        <f t="shared" ref="AD26:AD33" si="29">+AC26*V26</f>
        <v>41.38</v>
      </c>
      <c r="AE26" s="40">
        <f t="shared" ref="AE26:AE33" si="30">+V26-AD26</f>
        <v>0</v>
      </c>
      <c r="AF26" s="43"/>
      <c r="AG26" s="36" t="s">
        <v>19</v>
      </c>
      <c r="AH26" s="45" t="s">
        <v>63</v>
      </c>
      <c r="AI26" s="36" t="s">
        <v>8</v>
      </c>
      <c r="AJ26" s="38" t="s">
        <v>5</v>
      </c>
      <c r="AK26" s="46" t="s">
        <v>8</v>
      </c>
      <c r="AL26" s="36" t="str">
        <f t="shared" ref="AL26:AL33" si="31">IF(B26="","",IF(LEFT(B26,2)="FC","OUI","NON"))</f>
        <v>NON</v>
      </c>
      <c r="AM26" s="37" t="str">
        <f t="shared" ref="AM26:AM33" si="32">IF(A26="","incertain","vendu")</f>
        <v>vendu</v>
      </c>
    </row>
    <row r="27" spans="1:39" s="35" customFormat="1" ht="26.1" customHeight="1" x14ac:dyDescent="0.25">
      <c r="A27" s="36">
        <v>230052</v>
      </c>
      <c r="B27" s="35" t="s">
        <v>26</v>
      </c>
      <c r="C27" s="37">
        <v>3</v>
      </c>
      <c r="D27" s="36" t="s">
        <v>221</v>
      </c>
      <c r="E27" s="37"/>
      <c r="F27" s="35" t="s">
        <v>72</v>
      </c>
      <c r="G27" s="35">
        <f>IF(F27="","",IFERROR(VLOOKUP(F27,'validation des champs'!A:B,2,FALSE),"vide"))</f>
        <v>117</v>
      </c>
      <c r="H27" s="35" t="s">
        <v>78</v>
      </c>
      <c r="I27" s="35">
        <f>IF(H27="","",IFERROR(VLOOKUP(H27,'validation des champs'!C:D,2,FALSE),"Mathieu 140"))</f>
        <v>118</v>
      </c>
      <c r="J27" s="35" t="s">
        <v>27</v>
      </c>
      <c r="K27" s="59">
        <v>45355</v>
      </c>
      <c r="L27" s="39">
        <f>40.225+23.27</f>
        <v>63.495000000000005</v>
      </c>
      <c r="M27" s="40">
        <v>0</v>
      </c>
      <c r="N27" s="50">
        <v>1</v>
      </c>
      <c r="O27" s="41">
        <f t="shared" si="11"/>
        <v>0</v>
      </c>
      <c r="P27" s="42">
        <f t="shared" si="12"/>
        <v>0</v>
      </c>
      <c r="Q27" s="39">
        <f>3.97+29.31</f>
        <v>33.28</v>
      </c>
      <c r="R27" s="40">
        <v>12</v>
      </c>
      <c r="S27" s="50">
        <v>1</v>
      </c>
      <c r="T27" s="41">
        <f t="shared" si="23"/>
        <v>12</v>
      </c>
      <c r="U27" s="42">
        <f t="shared" si="24"/>
        <v>0</v>
      </c>
      <c r="V27" s="43">
        <f t="shared" si="25"/>
        <v>96.775000000000006</v>
      </c>
      <c r="W27" s="51">
        <v>6.6470000000000002</v>
      </c>
      <c r="X27" s="41">
        <v>0</v>
      </c>
      <c r="Y27" s="44">
        <v>1</v>
      </c>
      <c r="Z27" s="41">
        <f t="shared" si="26"/>
        <v>0</v>
      </c>
      <c r="AA27" s="42">
        <f t="shared" si="27"/>
        <v>0</v>
      </c>
      <c r="AB27" s="43">
        <f t="shared" si="28"/>
        <v>103.42200000000001</v>
      </c>
      <c r="AC27" s="52">
        <v>1</v>
      </c>
      <c r="AD27" s="40">
        <f t="shared" si="29"/>
        <v>96.775000000000006</v>
      </c>
      <c r="AE27" s="40">
        <f t="shared" si="30"/>
        <v>0</v>
      </c>
      <c r="AF27" s="43"/>
      <c r="AG27" s="36" t="s">
        <v>19</v>
      </c>
      <c r="AH27" s="45" t="s">
        <v>63</v>
      </c>
      <c r="AI27" s="36" t="s">
        <v>4</v>
      </c>
      <c r="AJ27" s="38" t="s">
        <v>5</v>
      </c>
      <c r="AK27" s="46" t="s">
        <v>4</v>
      </c>
      <c r="AL27" s="36" t="str">
        <f t="shared" si="31"/>
        <v>NON</v>
      </c>
      <c r="AM27" s="37" t="str">
        <f t="shared" si="32"/>
        <v>vendu</v>
      </c>
    </row>
    <row r="28" spans="1:39" s="35" customFormat="1" ht="26.1" customHeight="1" x14ac:dyDescent="0.25">
      <c r="A28" s="36">
        <v>230052</v>
      </c>
      <c r="B28" s="35" t="s">
        <v>105</v>
      </c>
      <c r="C28" s="37">
        <v>3</v>
      </c>
      <c r="D28" s="36" t="s">
        <v>219</v>
      </c>
      <c r="E28" s="37"/>
      <c r="F28" s="35" t="s">
        <v>72</v>
      </c>
      <c r="G28" s="35">
        <f>IF(F28="","",IFERROR(VLOOKUP(F28,'validation des champs'!A:B,2,FALSE),"vide"))</f>
        <v>117</v>
      </c>
      <c r="H28" s="35" t="s">
        <v>78</v>
      </c>
      <c r="I28" s="35">
        <f>IF(H28="","",IFERROR(VLOOKUP(H28,'validation des champs'!C:D,2,FALSE),"Mathieu 140"))</f>
        <v>118</v>
      </c>
      <c r="J28" s="35" t="s">
        <v>107</v>
      </c>
      <c r="K28" s="59">
        <v>45355</v>
      </c>
      <c r="L28" s="39">
        <v>0</v>
      </c>
      <c r="M28" s="40">
        <v>0</v>
      </c>
      <c r="N28" s="50">
        <v>1</v>
      </c>
      <c r="O28" s="41">
        <f t="shared" si="11"/>
        <v>0</v>
      </c>
      <c r="P28" s="42">
        <f t="shared" si="12"/>
        <v>0</v>
      </c>
      <c r="Q28" s="39">
        <v>6.52</v>
      </c>
      <c r="R28" s="40">
        <v>1.5</v>
      </c>
      <c r="S28" s="50">
        <v>1</v>
      </c>
      <c r="T28" s="41">
        <f t="shared" si="23"/>
        <v>1.5</v>
      </c>
      <c r="U28" s="42">
        <f t="shared" si="24"/>
        <v>0</v>
      </c>
      <c r="V28" s="43">
        <f t="shared" si="25"/>
        <v>6.52</v>
      </c>
      <c r="W28" s="51">
        <v>2.6520000000000001</v>
      </c>
      <c r="X28" s="41">
        <v>0</v>
      </c>
      <c r="Y28" s="44">
        <v>1</v>
      </c>
      <c r="Z28" s="41">
        <f t="shared" si="26"/>
        <v>0</v>
      </c>
      <c r="AA28" s="42">
        <f t="shared" si="27"/>
        <v>0</v>
      </c>
      <c r="AB28" s="43">
        <f t="shared" si="28"/>
        <v>9.1720000000000006</v>
      </c>
      <c r="AC28" s="52">
        <v>1</v>
      </c>
      <c r="AD28" s="40">
        <f t="shared" si="29"/>
        <v>6.52</v>
      </c>
      <c r="AE28" s="40">
        <f t="shared" si="30"/>
        <v>0</v>
      </c>
      <c r="AF28" s="43"/>
      <c r="AG28" s="36" t="s">
        <v>19</v>
      </c>
      <c r="AH28" s="45" t="s">
        <v>63</v>
      </c>
      <c r="AI28" s="36" t="s">
        <v>4</v>
      </c>
      <c r="AJ28" s="38" t="s">
        <v>5</v>
      </c>
      <c r="AK28" s="46" t="s">
        <v>4</v>
      </c>
      <c r="AL28" s="36" t="str">
        <f t="shared" si="31"/>
        <v>NON</v>
      </c>
      <c r="AM28" s="37" t="str">
        <f t="shared" si="32"/>
        <v>vendu</v>
      </c>
    </row>
    <row r="29" spans="1:39" s="35" customFormat="1" ht="26.1" customHeight="1" x14ac:dyDescent="0.25">
      <c r="A29" s="36">
        <v>230163</v>
      </c>
      <c r="B29" s="35" t="s">
        <v>241</v>
      </c>
      <c r="C29" s="37">
        <v>2</v>
      </c>
      <c r="D29" s="36" t="s">
        <v>219</v>
      </c>
      <c r="E29" s="37"/>
      <c r="F29" s="35" t="s">
        <v>71</v>
      </c>
      <c r="G29" s="35">
        <f>IF(F29="","",IFERROR(VLOOKUP(F29,'validation des champs'!A:B,2,FALSE),"vide"))</f>
        <v>135</v>
      </c>
      <c r="H29" s="35" t="s">
        <v>79</v>
      </c>
      <c r="I29" s="35">
        <f>IF(H29="","",IFERROR(VLOOKUP(H29,'validation des champs'!C:D,2,FALSE),"Mathieu 140"))</f>
        <v>114</v>
      </c>
      <c r="J29" s="35" t="s">
        <v>22</v>
      </c>
      <c r="K29" s="59">
        <v>45355</v>
      </c>
      <c r="L29" s="39">
        <v>0</v>
      </c>
      <c r="M29" s="40">
        <v>0</v>
      </c>
      <c r="N29" s="50">
        <v>1</v>
      </c>
      <c r="O29" s="41">
        <f t="shared" si="11"/>
        <v>0</v>
      </c>
      <c r="P29" s="42">
        <f t="shared" si="12"/>
        <v>0</v>
      </c>
      <c r="Q29" s="39">
        <v>9</v>
      </c>
      <c r="R29" s="40">
        <v>5.5</v>
      </c>
      <c r="S29" s="50">
        <v>1</v>
      </c>
      <c r="T29" s="41">
        <f t="shared" si="23"/>
        <v>5.5</v>
      </c>
      <c r="U29" s="42">
        <f t="shared" si="24"/>
        <v>0</v>
      </c>
      <c r="V29" s="43">
        <f t="shared" si="25"/>
        <v>9</v>
      </c>
      <c r="W29" s="51">
        <v>2.7949999999999999</v>
      </c>
      <c r="X29" s="41">
        <v>0</v>
      </c>
      <c r="Y29" s="44">
        <v>1</v>
      </c>
      <c r="Z29" s="41">
        <f t="shared" si="26"/>
        <v>0</v>
      </c>
      <c r="AA29" s="42">
        <f t="shared" si="27"/>
        <v>0</v>
      </c>
      <c r="AB29" s="43">
        <f t="shared" si="28"/>
        <v>11.795</v>
      </c>
      <c r="AC29" s="52">
        <v>1</v>
      </c>
      <c r="AD29" s="40">
        <f t="shared" si="29"/>
        <v>9</v>
      </c>
      <c r="AE29" s="40">
        <f t="shared" si="30"/>
        <v>0</v>
      </c>
      <c r="AF29" s="43"/>
      <c r="AG29" s="36" t="s">
        <v>19</v>
      </c>
      <c r="AH29" s="45" t="s">
        <v>63</v>
      </c>
      <c r="AI29" s="36" t="s">
        <v>4</v>
      </c>
      <c r="AJ29" s="38" t="s">
        <v>5</v>
      </c>
      <c r="AK29" s="46" t="s">
        <v>4</v>
      </c>
      <c r="AL29" s="36" t="str">
        <f t="shared" si="31"/>
        <v>NON</v>
      </c>
      <c r="AM29" s="37" t="str">
        <f t="shared" si="32"/>
        <v>vendu</v>
      </c>
    </row>
    <row r="30" spans="1:39" s="35" customFormat="1" ht="26.1" customHeight="1" x14ac:dyDescent="0.25">
      <c r="A30" s="36">
        <v>220137</v>
      </c>
      <c r="B30" s="35" t="s">
        <v>242</v>
      </c>
      <c r="C30" s="37">
        <v>6</v>
      </c>
      <c r="D30" s="36" t="s">
        <v>219</v>
      </c>
      <c r="E30" s="37"/>
      <c r="F30" s="35" t="s">
        <v>72</v>
      </c>
      <c r="G30" s="35">
        <f>IF(F30="","",IFERROR(VLOOKUP(F30,'validation des champs'!A:B,2,FALSE),"vide"))</f>
        <v>117</v>
      </c>
      <c r="H30" s="35" t="s">
        <v>106</v>
      </c>
      <c r="I30" s="35">
        <f>IF(H30="","",IFERROR(VLOOKUP(H30,'validation des champs'!C:D,2,FALSE),"Mathieu 140"))</f>
        <v>123</v>
      </c>
      <c r="J30" s="35" t="s">
        <v>31</v>
      </c>
      <c r="K30" s="59">
        <v>45355</v>
      </c>
      <c r="L30" s="39">
        <v>5.0990000000000002</v>
      </c>
      <c r="M30" s="40">
        <v>0</v>
      </c>
      <c r="N30" s="50">
        <v>1</v>
      </c>
      <c r="O30" s="41">
        <f t="shared" si="11"/>
        <v>0</v>
      </c>
      <c r="P30" s="42">
        <f t="shared" si="12"/>
        <v>0</v>
      </c>
      <c r="Q30" s="39">
        <v>2.7970000000000002</v>
      </c>
      <c r="R30" s="40">
        <v>0</v>
      </c>
      <c r="S30" s="50">
        <v>1</v>
      </c>
      <c r="T30" s="41">
        <f t="shared" si="23"/>
        <v>0</v>
      </c>
      <c r="U30" s="42">
        <f t="shared" si="24"/>
        <v>0</v>
      </c>
      <c r="V30" s="43">
        <f t="shared" si="25"/>
        <v>7.8960000000000008</v>
      </c>
      <c r="W30" s="39">
        <v>0.53400000000000003</v>
      </c>
      <c r="X30" s="41">
        <v>0.5</v>
      </c>
      <c r="Y30" s="44">
        <v>1</v>
      </c>
      <c r="Z30" s="41">
        <f t="shared" si="26"/>
        <v>0.5</v>
      </c>
      <c r="AA30" s="42">
        <f t="shared" si="27"/>
        <v>0</v>
      </c>
      <c r="AB30" s="43">
        <f t="shared" si="28"/>
        <v>8.4300000000000015</v>
      </c>
      <c r="AC30" s="52">
        <v>1</v>
      </c>
      <c r="AD30" s="40">
        <f t="shared" si="29"/>
        <v>7.8960000000000008</v>
      </c>
      <c r="AE30" s="40">
        <f t="shared" si="30"/>
        <v>0</v>
      </c>
      <c r="AF30" s="43"/>
      <c r="AG30" s="36" t="s">
        <v>19</v>
      </c>
      <c r="AH30" s="45" t="s">
        <v>63</v>
      </c>
      <c r="AI30" s="36" t="s">
        <v>4</v>
      </c>
      <c r="AJ30" s="38" t="s">
        <v>5</v>
      </c>
      <c r="AK30" s="46"/>
      <c r="AL30" s="36" t="str">
        <f t="shared" si="31"/>
        <v>NON</v>
      </c>
      <c r="AM30" s="37" t="str">
        <f t="shared" si="32"/>
        <v>vendu</v>
      </c>
    </row>
    <row r="31" spans="1:39" s="35" customFormat="1" ht="26.1" customHeight="1" x14ac:dyDescent="0.25">
      <c r="A31" s="36">
        <v>230163</v>
      </c>
      <c r="B31" s="35" t="s">
        <v>244</v>
      </c>
      <c r="C31" s="37">
        <v>2</v>
      </c>
      <c r="D31" s="36" t="s">
        <v>219</v>
      </c>
      <c r="E31" s="37"/>
      <c r="F31" s="35" t="s">
        <v>71</v>
      </c>
      <c r="G31" s="35">
        <f>IF(F31="","",IFERROR(VLOOKUP(F31,'validation des champs'!A:B,2,FALSE),"vide"))</f>
        <v>135</v>
      </c>
      <c r="H31" s="35" t="s">
        <v>79</v>
      </c>
      <c r="I31" s="35">
        <f>IF(H31="","",IFERROR(VLOOKUP(H31,'validation des champs'!C:D,2,FALSE),"Mathieu 140"))</f>
        <v>114</v>
      </c>
      <c r="J31" s="35" t="s">
        <v>32</v>
      </c>
      <c r="K31" s="59">
        <v>45355</v>
      </c>
      <c r="L31" s="39">
        <v>0</v>
      </c>
      <c r="M31" s="40">
        <v>0</v>
      </c>
      <c r="N31" s="50">
        <v>1</v>
      </c>
      <c r="O31" s="41">
        <f t="shared" si="11"/>
        <v>0</v>
      </c>
      <c r="P31" s="42">
        <f t="shared" si="12"/>
        <v>0</v>
      </c>
      <c r="Q31" s="39">
        <v>12.49</v>
      </c>
      <c r="R31" s="40">
        <v>7.4</v>
      </c>
      <c r="S31" s="50">
        <v>1</v>
      </c>
      <c r="T31" s="41">
        <f t="shared" si="23"/>
        <v>7.4</v>
      </c>
      <c r="U31" s="42">
        <f t="shared" si="24"/>
        <v>0</v>
      </c>
      <c r="V31" s="43">
        <f t="shared" si="25"/>
        <v>12.49</v>
      </c>
      <c r="W31" s="51">
        <v>2.6320000000000001</v>
      </c>
      <c r="X31" s="41">
        <v>0</v>
      </c>
      <c r="Y31" s="44">
        <v>1</v>
      </c>
      <c r="Z31" s="41">
        <f t="shared" si="26"/>
        <v>0</v>
      </c>
      <c r="AA31" s="42">
        <f t="shared" si="27"/>
        <v>0</v>
      </c>
      <c r="AB31" s="43">
        <f t="shared" si="28"/>
        <v>15.122</v>
      </c>
      <c r="AC31" s="52">
        <v>1</v>
      </c>
      <c r="AD31" s="40">
        <f t="shared" si="29"/>
        <v>12.49</v>
      </c>
      <c r="AE31" s="40">
        <f t="shared" si="30"/>
        <v>0</v>
      </c>
      <c r="AF31" s="43"/>
      <c r="AG31" s="36" t="s">
        <v>19</v>
      </c>
      <c r="AH31" s="45" t="s">
        <v>63</v>
      </c>
      <c r="AI31" s="36" t="s">
        <v>4</v>
      </c>
      <c r="AJ31" s="38" t="s">
        <v>5</v>
      </c>
      <c r="AK31" s="46" t="s">
        <v>4</v>
      </c>
      <c r="AL31" s="36" t="str">
        <f t="shared" si="31"/>
        <v>NON</v>
      </c>
      <c r="AM31" s="37" t="str">
        <f t="shared" si="32"/>
        <v>vendu</v>
      </c>
    </row>
    <row r="32" spans="1:39" s="35" customFormat="1" ht="26.1" customHeight="1" x14ac:dyDescent="0.25">
      <c r="A32" s="36">
        <v>230248</v>
      </c>
      <c r="B32" s="35" t="s">
        <v>245</v>
      </c>
      <c r="C32" s="37">
        <v>2</v>
      </c>
      <c r="D32" s="36" t="s">
        <v>220</v>
      </c>
      <c r="E32" s="37"/>
      <c r="F32" s="35" t="s">
        <v>73</v>
      </c>
      <c r="G32" s="35">
        <f>IF(F32="","",IFERROR(VLOOKUP(F32,'validation des champs'!A:B,2,FALSE),"vide"))</f>
        <v>101</v>
      </c>
      <c r="H32" s="35" t="s">
        <v>75</v>
      </c>
      <c r="I32" s="35">
        <f>IF(H32="","",IFERROR(VLOOKUP(H32,'validation des champs'!C:D,2,FALSE),"Mathieu 140"))</f>
        <v>126</v>
      </c>
      <c r="J32" s="35" t="s">
        <v>205</v>
      </c>
      <c r="K32" s="59">
        <v>45355</v>
      </c>
      <c r="L32" s="39">
        <v>0</v>
      </c>
      <c r="M32" s="40">
        <v>0</v>
      </c>
      <c r="N32" s="50">
        <v>1</v>
      </c>
      <c r="O32" s="41">
        <f t="shared" si="11"/>
        <v>0</v>
      </c>
      <c r="P32" s="42">
        <f t="shared" si="12"/>
        <v>0</v>
      </c>
      <c r="Q32" s="39">
        <f>23.94+0.179+0.806</f>
        <v>24.925000000000001</v>
      </c>
      <c r="R32" s="40">
        <v>19.2</v>
      </c>
      <c r="S32" s="50">
        <v>1</v>
      </c>
      <c r="T32" s="41">
        <f t="shared" si="23"/>
        <v>19.2</v>
      </c>
      <c r="U32" s="42">
        <f t="shared" si="24"/>
        <v>0</v>
      </c>
      <c r="V32" s="43">
        <f t="shared" si="25"/>
        <v>24.925000000000001</v>
      </c>
      <c r="W32" s="51">
        <v>0.65300000000000002</v>
      </c>
      <c r="X32" s="41">
        <v>0</v>
      </c>
      <c r="Y32" s="50">
        <v>1</v>
      </c>
      <c r="Z32" s="41">
        <f t="shared" si="26"/>
        <v>0</v>
      </c>
      <c r="AA32" s="42">
        <f t="shared" si="27"/>
        <v>0</v>
      </c>
      <c r="AB32" s="43">
        <f t="shared" si="28"/>
        <v>25.577999999999999</v>
      </c>
      <c r="AC32" s="52">
        <v>1</v>
      </c>
      <c r="AD32" s="40">
        <f t="shared" si="29"/>
        <v>24.925000000000001</v>
      </c>
      <c r="AE32" s="40">
        <f t="shared" si="30"/>
        <v>0</v>
      </c>
      <c r="AF32" s="43"/>
      <c r="AG32" s="36" t="s">
        <v>52</v>
      </c>
      <c r="AH32" s="45" t="s">
        <v>63</v>
      </c>
      <c r="AI32" s="36" t="s">
        <v>4</v>
      </c>
      <c r="AJ32" s="38" t="s">
        <v>5</v>
      </c>
      <c r="AK32" s="46" t="s">
        <v>4</v>
      </c>
      <c r="AL32" s="36" t="str">
        <f t="shared" si="31"/>
        <v>NON</v>
      </c>
      <c r="AM32" s="37" t="str">
        <f t="shared" si="32"/>
        <v>vendu</v>
      </c>
    </row>
    <row r="33" spans="1:39" s="35" customFormat="1" ht="26.1" customHeight="1" x14ac:dyDescent="0.25">
      <c r="A33" s="36">
        <v>24008</v>
      </c>
      <c r="B33" s="35" t="s">
        <v>210</v>
      </c>
      <c r="C33" s="37">
        <v>1</v>
      </c>
      <c r="D33" s="36" t="s">
        <v>219</v>
      </c>
      <c r="E33" s="37"/>
      <c r="F33" s="35" t="s">
        <v>71</v>
      </c>
      <c r="G33" s="35">
        <f>IF(F33="","",IFERROR(VLOOKUP(F33,'validation des champs'!A:B,2,FALSE),"vide"))</f>
        <v>135</v>
      </c>
      <c r="H33" s="35" t="s">
        <v>71</v>
      </c>
      <c r="I33" s="35">
        <f>IF(H33="","",IFERROR(VLOOKUP(H33,'validation des champs'!C:D,2,FALSE),"Mathieu 140"))</f>
        <v>135</v>
      </c>
      <c r="J33" s="35" t="s">
        <v>192</v>
      </c>
      <c r="K33" s="59">
        <v>45338</v>
      </c>
      <c r="L33" s="39">
        <v>0.32200000000000001</v>
      </c>
      <c r="M33" s="40">
        <v>0</v>
      </c>
      <c r="N33" s="50">
        <v>1</v>
      </c>
      <c r="O33" s="41">
        <v>0</v>
      </c>
      <c r="P33" s="42">
        <v>0</v>
      </c>
      <c r="Q33" s="39">
        <v>0</v>
      </c>
      <c r="R33" s="40">
        <v>0</v>
      </c>
      <c r="S33" s="50">
        <v>1</v>
      </c>
      <c r="T33" s="41">
        <f t="shared" si="23"/>
        <v>0</v>
      </c>
      <c r="U33" s="42">
        <f t="shared" si="24"/>
        <v>0</v>
      </c>
      <c r="V33" s="43">
        <f t="shared" si="25"/>
        <v>0.32200000000000001</v>
      </c>
      <c r="W33" s="39">
        <v>0</v>
      </c>
      <c r="X33" s="41">
        <v>0</v>
      </c>
      <c r="Y33" s="44">
        <v>1</v>
      </c>
      <c r="Z33" s="41">
        <f t="shared" si="26"/>
        <v>0</v>
      </c>
      <c r="AA33" s="42">
        <f t="shared" si="27"/>
        <v>0</v>
      </c>
      <c r="AB33" s="43">
        <f t="shared" si="28"/>
        <v>0.32200000000000001</v>
      </c>
      <c r="AC33" s="52">
        <v>1</v>
      </c>
      <c r="AD33" s="40">
        <f t="shared" si="29"/>
        <v>0.32200000000000001</v>
      </c>
      <c r="AE33" s="40">
        <f t="shared" si="30"/>
        <v>0</v>
      </c>
      <c r="AF33" s="43"/>
      <c r="AG33" s="36" t="s">
        <v>193</v>
      </c>
      <c r="AH33" s="45" t="s">
        <v>63</v>
      </c>
      <c r="AI33" s="36" t="s">
        <v>8</v>
      </c>
      <c r="AJ33" s="38" t="s">
        <v>5</v>
      </c>
      <c r="AK33" s="46" t="s">
        <v>8</v>
      </c>
      <c r="AL33" s="36" t="str">
        <f t="shared" si="31"/>
        <v>OUI</v>
      </c>
      <c r="AM33" s="37" t="str">
        <f t="shared" si="32"/>
        <v>vendu</v>
      </c>
    </row>
    <row r="34" spans="1:39" s="35" customFormat="1" ht="26.1" customHeight="1" x14ac:dyDescent="0.25">
      <c r="A34" s="138">
        <v>240019</v>
      </c>
      <c r="B34" s="139" t="s">
        <v>289</v>
      </c>
      <c r="C34" s="140">
        <v>1</v>
      </c>
      <c r="D34" s="138" t="s">
        <v>219</v>
      </c>
      <c r="E34" s="140"/>
      <c r="F34" s="138" t="s">
        <v>194</v>
      </c>
      <c r="G34" s="139">
        <f>IF(F34="","",IFERROR(VLOOKUP(F34,'validation des champs'!A:B,2,FALSE),"vide"))</f>
        <v>124</v>
      </c>
      <c r="H34" s="139" t="s">
        <v>194</v>
      </c>
      <c r="I34" s="139">
        <f>IF(H34="","",IFERROR(VLOOKUP(H34,'validation des champs'!C:D,2,FALSE),"Mathieu 140"))</f>
        <v>124</v>
      </c>
      <c r="J34" s="139" t="s">
        <v>181</v>
      </c>
      <c r="K34" s="141">
        <v>45328</v>
      </c>
      <c r="L34" s="142">
        <v>1.117</v>
      </c>
      <c r="M34" s="143">
        <v>0</v>
      </c>
      <c r="N34" s="144">
        <v>1</v>
      </c>
      <c r="O34" s="143">
        <v>0</v>
      </c>
      <c r="P34" s="145">
        <v>0</v>
      </c>
      <c r="Q34" s="142">
        <v>0</v>
      </c>
      <c r="R34" s="143">
        <v>0</v>
      </c>
      <c r="S34" s="144">
        <v>1</v>
      </c>
      <c r="T34" s="143">
        <f t="shared" ref="T34:T41" si="33">+S34*R34</f>
        <v>0</v>
      </c>
      <c r="U34" s="146">
        <f t="shared" ref="U34:U41" si="34">+R34-T34</f>
        <v>0</v>
      </c>
      <c r="V34" s="147">
        <f t="shared" ref="V34:V41" si="35">+Q34+L34</f>
        <v>1.117</v>
      </c>
      <c r="W34" s="142">
        <v>0</v>
      </c>
      <c r="X34" s="143">
        <v>0</v>
      </c>
      <c r="Y34" s="144">
        <v>1</v>
      </c>
      <c r="Z34" s="143">
        <f t="shared" ref="Z34:Z41" si="36">+X34*Y34</f>
        <v>0</v>
      </c>
      <c r="AA34" s="145">
        <f t="shared" ref="AA34:AA41" si="37">+X34-Z34</f>
        <v>0</v>
      </c>
      <c r="AB34" s="147">
        <f t="shared" ref="AB34:AB41" si="38">+L34+Q34+W34</f>
        <v>1.117</v>
      </c>
      <c r="AC34" s="148">
        <v>1</v>
      </c>
      <c r="AD34" s="143">
        <f t="shared" ref="AD34:AD41" si="39">+AC34*V34</f>
        <v>1.117</v>
      </c>
      <c r="AE34" s="145">
        <f t="shared" ref="AE34:AE41" si="40">+V34-AD34</f>
        <v>0</v>
      </c>
      <c r="AF34" s="149"/>
      <c r="AG34" s="138" t="s">
        <v>66</v>
      </c>
      <c r="AH34" s="150" t="s">
        <v>63</v>
      </c>
      <c r="AI34" s="138" t="s">
        <v>8</v>
      </c>
      <c r="AJ34" s="151" t="s">
        <v>5</v>
      </c>
      <c r="AK34" s="152" t="s">
        <v>8</v>
      </c>
      <c r="AL34" s="138" t="str">
        <f t="shared" ref="AL34:AL41" si="41">IF(B34="","",IF(LEFT(B34,2)="FC","OUI","NON"))</f>
        <v>OUI</v>
      </c>
      <c r="AM34" s="140" t="str">
        <f t="shared" ref="AM34:AM41" si="42">IF(A34="","incertain","vendu")</f>
        <v>vendu</v>
      </c>
    </row>
    <row r="35" spans="1:39" s="35" customFormat="1" ht="26.1" customHeight="1" x14ac:dyDescent="0.25">
      <c r="A35" s="138">
        <v>220193</v>
      </c>
      <c r="B35" s="139" t="s">
        <v>177</v>
      </c>
      <c r="C35" s="140">
        <v>1</v>
      </c>
      <c r="D35" s="138" t="s">
        <v>219</v>
      </c>
      <c r="E35" s="140"/>
      <c r="F35" s="138" t="s">
        <v>194</v>
      </c>
      <c r="G35" s="139">
        <f>IF(F35="","",IFERROR(VLOOKUP(F35,'validation des champs'!A:B,2,FALSE),"vide"))</f>
        <v>124</v>
      </c>
      <c r="H35" s="139" t="s">
        <v>79</v>
      </c>
      <c r="I35" s="139">
        <f>IF(H35="","",IFERROR(VLOOKUP(H35,'validation des champs'!C:D,2,FALSE),"Mathieu 140"))</f>
        <v>114</v>
      </c>
      <c r="J35" s="139" t="s">
        <v>178</v>
      </c>
      <c r="K35" s="141">
        <v>45355</v>
      </c>
      <c r="L35" s="142">
        <v>0</v>
      </c>
      <c r="M35" s="143">
        <v>0</v>
      </c>
      <c r="N35" s="144">
        <v>1</v>
      </c>
      <c r="O35" s="143">
        <v>0</v>
      </c>
      <c r="P35" s="145">
        <v>0</v>
      </c>
      <c r="Q35" s="142">
        <v>1.4590000000000001</v>
      </c>
      <c r="R35" s="143">
        <v>1</v>
      </c>
      <c r="S35" s="144">
        <v>1</v>
      </c>
      <c r="T35" s="143">
        <f t="shared" si="33"/>
        <v>1</v>
      </c>
      <c r="U35" s="146">
        <f t="shared" si="34"/>
        <v>0</v>
      </c>
      <c r="V35" s="147">
        <f t="shared" si="35"/>
        <v>1.4590000000000001</v>
      </c>
      <c r="W35" s="142">
        <v>0</v>
      </c>
      <c r="X35" s="143">
        <v>0</v>
      </c>
      <c r="Y35" s="144">
        <v>1</v>
      </c>
      <c r="Z35" s="143">
        <f t="shared" si="36"/>
        <v>0</v>
      </c>
      <c r="AA35" s="145">
        <f t="shared" si="37"/>
        <v>0</v>
      </c>
      <c r="AB35" s="147">
        <f t="shared" si="38"/>
        <v>1.4590000000000001</v>
      </c>
      <c r="AC35" s="144">
        <v>1</v>
      </c>
      <c r="AD35" s="143">
        <f t="shared" si="39"/>
        <v>1.4590000000000001</v>
      </c>
      <c r="AE35" s="145">
        <f t="shared" si="40"/>
        <v>0</v>
      </c>
      <c r="AF35" s="149"/>
      <c r="AG35" s="138" t="s">
        <v>66</v>
      </c>
      <c r="AH35" s="150" t="s">
        <v>63</v>
      </c>
      <c r="AI35" s="138" t="s">
        <v>4</v>
      </c>
      <c r="AJ35" s="151" t="s">
        <v>5</v>
      </c>
      <c r="AK35" s="152" t="s">
        <v>4</v>
      </c>
      <c r="AL35" s="138" t="str">
        <f t="shared" si="41"/>
        <v>NON</v>
      </c>
      <c r="AM35" s="140" t="str">
        <f t="shared" si="42"/>
        <v>vendu</v>
      </c>
    </row>
    <row r="36" spans="1:39" s="35" customFormat="1" ht="26.1" customHeight="1" x14ac:dyDescent="0.25">
      <c r="A36" s="138">
        <v>230198</v>
      </c>
      <c r="B36" s="139" t="s">
        <v>213</v>
      </c>
      <c r="C36" s="140">
        <v>1</v>
      </c>
      <c r="D36" s="138" t="s">
        <v>219</v>
      </c>
      <c r="E36" s="140"/>
      <c r="F36" s="138" t="s">
        <v>71</v>
      </c>
      <c r="G36" s="139">
        <f>IF(F36="","",IFERROR(VLOOKUP(F36,'validation des champs'!A:B,2,FALSE),"vide"))</f>
        <v>135</v>
      </c>
      <c r="H36" s="139" t="s">
        <v>71</v>
      </c>
      <c r="I36" s="139">
        <f>IF(H36="","",IFERROR(VLOOKUP(H36,'validation des champs'!C:D,2,FALSE),"Mathieu 140"))</f>
        <v>135</v>
      </c>
      <c r="J36" s="139" t="s">
        <v>123</v>
      </c>
      <c r="K36" s="141">
        <v>45369</v>
      </c>
      <c r="L36" s="142">
        <v>2.5489999999999999</v>
      </c>
      <c r="M36" s="143">
        <v>0</v>
      </c>
      <c r="N36" s="144">
        <v>1</v>
      </c>
      <c r="O36" s="143">
        <v>0</v>
      </c>
      <c r="P36" s="145">
        <v>0</v>
      </c>
      <c r="Q36" s="142">
        <v>0</v>
      </c>
      <c r="R36" s="143">
        <v>0</v>
      </c>
      <c r="S36" s="144">
        <v>1</v>
      </c>
      <c r="T36" s="143">
        <f t="shared" si="33"/>
        <v>0</v>
      </c>
      <c r="U36" s="146">
        <f t="shared" si="34"/>
        <v>0</v>
      </c>
      <c r="V36" s="147">
        <f t="shared" si="35"/>
        <v>2.5489999999999999</v>
      </c>
      <c r="W36" s="142">
        <v>0</v>
      </c>
      <c r="X36" s="143">
        <v>0</v>
      </c>
      <c r="Y36" s="144">
        <v>1</v>
      </c>
      <c r="Z36" s="143">
        <f t="shared" si="36"/>
        <v>0</v>
      </c>
      <c r="AA36" s="145">
        <f t="shared" si="37"/>
        <v>0</v>
      </c>
      <c r="AB36" s="147">
        <f t="shared" si="38"/>
        <v>2.5489999999999999</v>
      </c>
      <c r="AC36" s="144">
        <v>1</v>
      </c>
      <c r="AD36" s="143">
        <f t="shared" si="39"/>
        <v>2.5489999999999999</v>
      </c>
      <c r="AE36" s="145">
        <f t="shared" si="40"/>
        <v>0</v>
      </c>
      <c r="AF36" s="149"/>
      <c r="AG36" s="138" t="s">
        <v>66</v>
      </c>
      <c r="AH36" s="150" t="s">
        <v>63</v>
      </c>
      <c r="AI36" s="138" t="s">
        <v>8</v>
      </c>
      <c r="AJ36" s="151" t="s">
        <v>5</v>
      </c>
      <c r="AK36" s="152" t="s">
        <v>8</v>
      </c>
      <c r="AL36" s="138" t="str">
        <f t="shared" si="41"/>
        <v>OUI</v>
      </c>
      <c r="AM36" s="140" t="str">
        <f t="shared" si="42"/>
        <v>vendu</v>
      </c>
    </row>
    <row r="37" spans="1:39" s="35" customFormat="1" ht="26.1" customHeight="1" x14ac:dyDescent="0.25">
      <c r="A37" s="138">
        <v>230393</v>
      </c>
      <c r="B37" s="139" t="s">
        <v>246</v>
      </c>
      <c r="C37" s="140">
        <v>7</v>
      </c>
      <c r="D37" s="138" t="s">
        <v>219</v>
      </c>
      <c r="E37" s="140"/>
      <c r="F37" s="138" t="s">
        <v>73</v>
      </c>
      <c r="G37" s="139">
        <f>IF(F37="","",IFERROR(VLOOKUP(F37,'validation des champs'!A:B,2,FALSE),"vide"))</f>
        <v>101</v>
      </c>
      <c r="H37" s="139" t="s">
        <v>81</v>
      </c>
      <c r="I37" s="139" t="str">
        <f>IF(H37="","",IFERROR(VLOOKUP(H37,'validation des champs'!C:D,2,FALSE),"Mathieu 140"))</f>
        <v>Mathieu 140</v>
      </c>
      <c r="J37" s="139" t="s">
        <v>37</v>
      </c>
      <c r="K37" s="141">
        <v>45357</v>
      </c>
      <c r="L37" s="142">
        <v>0</v>
      </c>
      <c r="M37" s="143">
        <v>0</v>
      </c>
      <c r="N37" s="144">
        <v>1</v>
      </c>
      <c r="O37" s="143">
        <f>+N37*M37</f>
        <v>0</v>
      </c>
      <c r="P37" s="145">
        <f>+M37-O37</f>
        <v>0</v>
      </c>
      <c r="Q37" s="142">
        <v>21.821000000000002</v>
      </c>
      <c r="R37" s="143">
        <v>7.3</v>
      </c>
      <c r="S37" s="144">
        <v>1</v>
      </c>
      <c r="T37" s="143">
        <f t="shared" si="33"/>
        <v>7.3</v>
      </c>
      <c r="U37" s="146">
        <f t="shared" si="34"/>
        <v>0</v>
      </c>
      <c r="V37" s="147">
        <f t="shared" si="35"/>
        <v>21.821000000000002</v>
      </c>
      <c r="W37" s="142">
        <v>0</v>
      </c>
      <c r="X37" s="143">
        <v>0</v>
      </c>
      <c r="Y37" s="153">
        <v>1</v>
      </c>
      <c r="Z37" s="143">
        <f t="shared" si="36"/>
        <v>0</v>
      </c>
      <c r="AA37" s="145">
        <f t="shared" si="37"/>
        <v>0</v>
      </c>
      <c r="AB37" s="147">
        <f t="shared" si="38"/>
        <v>21.821000000000002</v>
      </c>
      <c r="AC37" s="144">
        <v>1</v>
      </c>
      <c r="AD37" s="143">
        <f t="shared" si="39"/>
        <v>21.821000000000002</v>
      </c>
      <c r="AE37" s="145">
        <f t="shared" si="40"/>
        <v>0</v>
      </c>
      <c r="AF37" s="149"/>
      <c r="AG37" s="138" t="s">
        <v>19</v>
      </c>
      <c r="AH37" s="150" t="s">
        <v>63</v>
      </c>
      <c r="AI37" s="138" t="s">
        <v>8</v>
      </c>
      <c r="AJ37" s="151" t="s">
        <v>5</v>
      </c>
      <c r="AK37" s="152" t="s">
        <v>8</v>
      </c>
      <c r="AL37" s="138" t="str">
        <f t="shared" si="41"/>
        <v>NON</v>
      </c>
      <c r="AM37" s="140" t="str">
        <f t="shared" si="42"/>
        <v>vendu</v>
      </c>
    </row>
    <row r="38" spans="1:39" s="35" customFormat="1" ht="26.1" customHeight="1" x14ac:dyDescent="0.25">
      <c r="A38" s="138">
        <v>240061</v>
      </c>
      <c r="B38" s="139" t="s">
        <v>290</v>
      </c>
      <c r="C38" s="140">
        <v>1</v>
      </c>
      <c r="D38" s="138" t="s">
        <v>219</v>
      </c>
      <c r="E38" s="140"/>
      <c r="F38" s="138" t="s">
        <v>194</v>
      </c>
      <c r="G38" s="139">
        <f>IF(F38="","",IFERROR(VLOOKUP(F38,'validation des champs'!A:B,2,FALSE),"vide"))</f>
        <v>124</v>
      </c>
      <c r="H38" s="139" t="s">
        <v>179</v>
      </c>
      <c r="I38" s="139" t="str">
        <f>IF(H38="","",IFERROR(VLOOKUP(H38,'validation des champs'!C:D,2,FALSE),"Mathieu 140"))</f>
        <v>Mathieu 140</v>
      </c>
      <c r="J38" s="139" t="s">
        <v>291</v>
      </c>
      <c r="K38" s="141">
        <v>45357</v>
      </c>
      <c r="L38" s="142">
        <v>5.8390000000000004</v>
      </c>
      <c r="M38" s="154">
        <v>0</v>
      </c>
      <c r="N38" s="144">
        <v>1</v>
      </c>
      <c r="O38" s="143">
        <v>0</v>
      </c>
      <c r="P38" s="145">
        <v>0</v>
      </c>
      <c r="Q38" s="142">
        <v>0</v>
      </c>
      <c r="R38" s="143">
        <v>0</v>
      </c>
      <c r="S38" s="144">
        <v>1</v>
      </c>
      <c r="T38" s="143">
        <f t="shared" si="33"/>
        <v>0</v>
      </c>
      <c r="U38" s="146">
        <f t="shared" si="34"/>
        <v>0</v>
      </c>
      <c r="V38" s="147">
        <f t="shared" si="35"/>
        <v>5.8390000000000004</v>
      </c>
      <c r="W38" s="142">
        <v>0</v>
      </c>
      <c r="X38" s="143">
        <v>0</v>
      </c>
      <c r="Y38" s="144">
        <v>1</v>
      </c>
      <c r="Z38" s="143">
        <f t="shared" si="36"/>
        <v>0</v>
      </c>
      <c r="AA38" s="145">
        <f t="shared" si="37"/>
        <v>0</v>
      </c>
      <c r="AB38" s="147">
        <f t="shared" si="38"/>
        <v>5.8390000000000004</v>
      </c>
      <c r="AC38" s="144">
        <v>1</v>
      </c>
      <c r="AD38" s="143">
        <f t="shared" si="39"/>
        <v>5.8390000000000004</v>
      </c>
      <c r="AE38" s="145">
        <f t="shared" si="40"/>
        <v>0</v>
      </c>
      <c r="AF38" s="149"/>
      <c r="AG38" s="138" t="s">
        <v>66</v>
      </c>
      <c r="AH38" s="150" t="s">
        <v>63</v>
      </c>
      <c r="AI38" s="138" t="s">
        <v>115</v>
      </c>
      <c r="AJ38" s="151" t="s">
        <v>5</v>
      </c>
      <c r="AK38" s="152" t="s">
        <v>8</v>
      </c>
      <c r="AL38" s="138" t="str">
        <f t="shared" si="41"/>
        <v>OUI</v>
      </c>
      <c r="AM38" s="140" t="str">
        <f t="shared" si="42"/>
        <v>vendu</v>
      </c>
    </row>
    <row r="39" spans="1:39" s="35" customFormat="1" ht="26.1" customHeight="1" x14ac:dyDescent="0.25">
      <c r="A39" s="138">
        <v>240025</v>
      </c>
      <c r="B39" s="139" t="s">
        <v>301</v>
      </c>
      <c r="C39" s="140">
        <v>1</v>
      </c>
      <c r="D39" s="138" t="s">
        <v>219</v>
      </c>
      <c r="E39" s="140"/>
      <c r="F39" s="138" t="s">
        <v>72</v>
      </c>
      <c r="G39" s="139">
        <f>IF(F39="","",IFERROR(VLOOKUP(F39,'validation des champs'!A:B,2,FALSE),"vide"))</f>
        <v>117</v>
      </c>
      <c r="H39" s="139" t="s">
        <v>179</v>
      </c>
      <c r="I39" s="139" t="str">
        <f>IF(H39="","",IFERROR(VLOOKUP(H39,'validation des champs'!C:D,2,FALSE),"Mathieu 140"))</f>
        <v>Mathieu 140</v>
      </c>
      <c r="J39" s="139" t="s">
        <v>181</v>
      </c>
      <c r="K39" s="141">
        <v>45331</v>
      </c>
      <c r="L39" s="142">
        <v>1.159</v>
      </c>
      <c r="M39" s="143">
        <v>0</v>
      </c>
      <c r="N39" s="144">
        <v>1</v>
      </c>
      <c r="O39" s="143">
        <v>0</v>
      </c>
      <c r="P39" s="145">
        <v>0</v>
      </c>
      <c r="Q39" s="142">
        <v>0</v>
      </c>
      <c r="R39" s="143">
        <v>0</v>
      </c>
      <c r="S39" s="144">
        <v>1</v>
      </c>
      <c r="T39" s="143">
        <f t="shared" si="33"/>
        <v>0</v>
      </c>
      <c r="U39" s="146">
        <f t="shared" si="34"/>
        <v>0</v>
      </c>
      <c r="V39" s="147">
        <f t="shared" si="35"/>
        <v>1.159</v>
      </c>
      <c r="W39" s="142">
        <v>0</v>
      </c>
      <c r="X39" s="143">
        <v>0</v>
      </c>
      <c r="Y39" s="153">
        <v>1</v>
      </c>
      <c r="Z39" s="143">
        <f t="shared" si="36"/>
        <v>0</v>
      </c>
      <c r="AA39" s="145">
        <f t="shared" si="37"/>
        <v>0</v>
      </c>
      <c r="AB39" s="147">
        <f t="shared" si="38"/>
        <v>1.159</v>
      </c>
      <c r="AC39" s="148">
        <v>1</v>
      </c>
      <c r="AD39" s="143">
        <f t="shared" si="39"/>
        <v>1.159</v>
      </c>
      <c r="AE39" s="145">
        <f t="shared" si="40"/>
        <v>0</v>
      </c>
      <c r="AF39" s="149"/>
      <c r="AG39" s="138" t="s">
        <v>66</v>
      </c>
      <c r="AH39" s="150" t="s">
        <v>63</v>
      </c>
      <c r="AI39" s="138" t="s">
        <v>8</v>
      </c>
      <c r="AJ39" s="151" t="s">
        <v>5</v>
      </c>
      <c r="AK39" s="152" t="s">
        <v>8</v>
      </c>
      <c r="AL39" s="138" t="str">
        <f t="shared" si="41"/>
        <v>OUI</v>
      </c>
      <c r="AM39" s="140" t="str">
        <f t="shared" si="42"/>
        <v>vendu</v>
      </c>
    </row>
    <row r="40" spans="1:39" s="35" customFormat="1" ht="26.1" customHeight="1" x14ac:dyDescent="0.25">
      <c r="A40" s="138">
        <v>240049</v>
      </c>
      <c r="B40" s="139" t="s">
        <v>234</v>
      </c>
      <c r="C40" s="140">
        <v>1</v>
      </c>
      <c r="D40" s="138" t="s">
        <v>219</v>
      </c>
      <c r="E40" s="140" t="s">
        <v>318</v>
      </c>
      <c r="F40" s="138" t="s">
        <v>194</v>
      </c>
      <c r="G40" s="139">
        <f>IF(F40="","",IFERROR(VLOOKUP(F40,'validation des champs'!A:B,2,FALSE),"vide"))</f>
        <v>124</v>
      </c>
      <c r="H40" s="139" t="s">
        <v>179</v>
      </c>
      <c r="I40" s="139" t="str">
        <f>IF(H40="","",IFERROR(VLOOKUP(H40,'validation des champs'!C:D,2,FALSE),"Mathieu 140"))</f>
        <v>Mathieu 140</v>
      </c>
      <c r="J40" s="139" t="s">
        <v>235</v>
      </c>
      <c r="K40" s="141">
        <v>45352</v>
      </c>
      <c r="L40" s="142">
        <v>7.1890000000000001</v>
      </c>
      <c r="M40" s="143">
        <v>0</v>
      </c>
      <c r="N40" s="144">
        <v>1</v>
      </c>
      <c r="O40" s="143">
        <v>0</v>
      </c>
      <c r="P40" s="145">
        <v>0</v>
      </c>
      <c r="Q40" s="142">
        <v>0</v>
      </c>
      <c r="R40" s="143">
        <v>0</v>
      </c>
      <c r="S40" s="144">
        <v>1</v>
      </c>
      <c r="T40" s="143">
        <f t="shared" si="33"/>
        <v>0</v>
      </c>
      <c r="U40" s="146">
        <f t="shared" si="34"/>
        <v>0</v>
      </c>
      <c r="V40" s="147">
        <f t="shared" si="35"/>
        <v>7.1890000000000001</v>
      </c>
      <c r="W40" s="142">
        <v>0</v>
      </c>
      <c r="X40" s="143">
        <v>0</v>
      </c>
      <c r="Y40" s="153">
        <v>1</v>
      </c>
      <c r="Z40" s="143">
        <f t="shared" si="36"/>
        <v>0</v>
      </c>
      <c r="AA40" s="145">
        <f t="shared" si="37"/>
        <v>0</v>
      </c>
      <c r="AB40" s="147">
        <f t="shared" si="38"/>
        <v>7.1890000000000001</v>
      </c>
      <c r="AC40" s="148">
        <v>1</v>
      </c>
      <c r="AD40" s="143">
        <f t="shared" si="39"/>
        <v>7.1890000000000001</v>
      </c>
      <c r="AE40" s="145">
        <f t="shared" si="40"/>
        <v>0</v>
      </c>
      <c r="AF40" s="149"/>
      <c r="AG40" s="138" t="s">
        <v>66</v>
      </c>
      <c r="AH40" s="150" t="s">
        <v>63</v>
      </c>
      <c r="AI40" s="138" t="s">
        <v>8</v>
      </c>
      <c r="AJ40" s="151" t="s">
        <v>5</v>
      </c>
      <c r="AK40" s="152" t="s">
        <v>8</v>
      </c>
      <c r="AL40" s="138" t="str">
        <f t="shared" si="41"/>
        <v>OUI</v>
      </c>
      <c r="AM40" s="140" t="str">
        <f t="shared" si="42"/>
        <v>vendu</v>
      </c>
    </row>
    <row r="41" spans="1:39" s="35" customFormat="1" ht="26.1" customHeight="1" x14ac:dyDescent="0.25">
      <c r="A41" s="138">
        <v>230335</v>
      </c>
      <c r="B41" s="139" t="s">
        <v>28</v>
      </c>
      <c r="C41" s="140">
        <v>1</v>
      </c>
      <c r="D41" s="138" t="s">
        <v>223</v>
      </c>
      <c r="E41" s="140"/>
      <c r="F41" s="138" t="s">
        <v>194</v>
      </c>
      <c r="G41" s="139">
        <f>IF(F41="","",IFERROR(VLOOKUP(F41,'validation des champs'!A:B,2,FALSE),"vide"))</f>
        <v>124</v>
      </c>
      <c r="H41" s="139" t="s">
        <v>77</v>
      </c>
      <c r="I41" s="139">
        <f>IF(H41="","",IFERROR(VLOOKUP(H41,'validation des champs'!C:D,2,FALSE),"Mathieu 140"))</f>
        <v>146</v>
      </c>
      <c r="J41" s="139" t="s">
        <v>29</v>
      </c>
      <c r="K41" s="141">
        <v>45362</v>
      </c>
      <c r="L41" s="142">
        <v>53.97</v>
      </c>
      <c r="M41" s="143">
        <v>0</v>
      </c>
      <c r="N41" s="144">
        <v>1</v>
      </c>
      <c r="O41" s="143">
        <f>+N41*M41</f>
        <v>0</v>
      </c>
      <c r="P41" s="145">
        <f>+M41-O41</f>
        <v>0</v>
      </c>
      <c r="Q41" s="142">
        <v>21.15</v>
      </c>
      <c r="R41" s="143">
        <v>10.199999999999999</v>
      </c>
      <c r="S41" s="144">
        <v>1</v>
      </c>
      <c r="T41" s="143">
        <f t="shared" si="33"/>
        <v>10.199999999999999</v>
      </c>
      <c r="U41" s="146">
        <f t="shared" si="34"/>
        <v>0</v>
      </c>
      <c r="V41" s="147">
        <f t="shared" si="35"/>
        <v>75.12</v>
      </c>
      <c r="W41" s="155">
        <v>6.8890000000000002</v>
      </c>
      <c r="X41" s="143">
        <v>0</v>
      </c>
      <c r="Y41" s="153">
        <v>1</v>
      </c>
      <c r="Z41" s="143">
        <f t="shared" si="36"/>
        <v>0</v>
      </c>
      <c r="AA41" s="145">
        <f t="shared" si="37"/>
        <v>0</v>
      </c>
      <c r="AB41" s="147">
        <f t="shared" si="38"/>
        <v>82.009</v>
      </c>
      <c r="AC41" s="148">
        <v>1</v>
      </c>
      <c r="AD41" s="143">
        <f t="shared" si="39"/>
        <v>75.12</v>
      </c>
      <c r="AE41" s="145">
        <f t="shared" si="40"/>
        <v>0</v>
      </c>
      <c r="AF41" s="149"/>
      <c r="AG41" s="138" t="s">
        <v>21</v>
      </c>
      <c r="AH41" s="150" t="s">
        <v>63</v>
      </c>
      <c r="AI41" s="138" t="s">
        <v>4</v>
      </c>
      <c r="AJ41" s="151" t="s">
        <v>5</v>
      </c>
      <c r="AK41" s="152" t="s">
        <v>4</v>
      </c>
      <c r="AL41" s="138" t="str">
        <f t="shared" si="41"/>
        <v>NON</v>
      </c>
      <c r="AM41" s="140" t="str">
        <f t="shared" si="42"/>
        <v>vendu</v>
      </c>
    </row>
    <row r="42" spans="1:39" s="35" customFormat="1" ht="26.1" customHeight="1" x14ac:dyDescent="0.25">
      <c r="A42" s="138">
        <v>240078</v>
      </c>
      <c r="B42" s="139" t="s">
        <v>312</v>
      </c>
      <c r="C42" s="140">
        <v>1</v>
      </c>
      <c r="D42" s="138" t="s">
        <v>219</v>
      </c>
      <c r="E42" s="140"/>
      <c r="F42" s="138" t="s">
        <v>194</v>
      </c>
      <c r="G42" s="139">
        <f>IF(F42="","",IFERROR(VLOOKUP(F42,'validation des champs'!A:B,2,FALSE),"vide"))</f>
        <v>124</v>
      </c>
      <c r="H42" s="139" t="s">
        <v>179</v>
      </c>
      <c r="I42" s="139" t="str">
        <f>IF(H42="","",IFERROR(VLOOKUP(H42,'validation des champs'!C:D,2,FALSE),"Mathieu 140"))</f>
        <v>Mathieu 140</v>
      </c>
      <c r="J42" s="139">
        <v>13.5</v>
      </c>
      <c r="K42" s="141">
        <v>45369</v>
      </c>
      <c r="L42" s="166">
        <v>2.4239999999999999</v>
      </c>
      <c r="M42" s="143">
        <v>0</v>
      </c>
      <c r="N42" s="144">
        <v>1</v>
      </c>
      <c r="O42" s="143">
        <v>0</v>
      </c>
      <c r="P42" s="145">
        <v>0</v>
      </c>
      <c r="Q42" s="142">
        <v>0</v>
      </c>
      <c r="R42" s="143">
        <v>0</v>
      </c>
      <c r="S42" s="144">
        <v>1</v>
      </c>
      <c r="T42" s="143">
        <f t="shared" ref="T42:T49" si="43">+S42*R42</f>
        <v>0</v>
      </c>
      <c r="U42" s="146">
        <f t="shared" ref="U42:U48" si="44">+R42-T42</f>
        <v>0</v>
      </c>
      <c r="V42" s="147">
        <f t="shared" ref="V42:V49" si="45">+Q42+L42</f>
        <v>2.4239999999999999</v>
      </c>
      <c r="W42" s="142">
        <v>0</v>
      </c>
      <c r="X42" s="143">
        <v>0</v>
      </c>
      <c r="Y42" s="153">
        <v>1</v>
      </c>
      <c r="Z42" s="143">
        <f t="shared" ref="Z42:Z49" si="46">+X42*Y42</f>
        <v>0</v>
      </c>
      <c r="AA42" s="145">
        <f t="shared" ref="AA42:AA49" si="47">+X42-Z42</f>
        <v>0</v>
      </c>
      <c r="AB42" s="147">
        <v>0</v>
      </c>
      <c r="AC42" s="148">
        <v>1</v>
      </c>
      <c r="AD42" s="143">
        <f t="shared" ref="AD42:AD49" si="48">+AC42*V42</f>
        <v>2.4239999999999999</v>
      </c>
      <c r="AE42" s="145">
        <f t="shared" ref="AE42:AE49" si="49">+V42-AD42</f>
        <v>0</v>
      </c>
      <c r="AF42" s="149"/>
      <c r="AG42" s="138" t="s">
        <v>66</v>
      </c>
      <c r="AH42" s="150" t="s">
        <v>63</v>
      </c>
      <c r="AI42" s="138" t="s">
        <v>115</v>
      </c>
      <c r="AJ42" s="151" t="s">
        <v>5</v>
      </c>
      <c r="AK42" s="152" t="s">
        <v>8</v>
      </c>
      <c r="AL42" s="138" t="str">
        <f t="shared" ref="AL42:AL49" si="50">IF(B42="","",IF(LEFT(B42,2)="FC","OUI","NON"))</f>
        <v>OUI</v>
      </c>
      <c r="AM42" s="140" t="str">
        <f t="shared" ref="AM42:AM49" si="51">IF(A42="","incertain","vendu")</f>
        <v>vendu</v>
      </c>
    </row>
    <row r="43" spans="1:39" s="35" customFormat="1" ht="26.1" customHeight="1" x14ac:dyDescent="0.25">
      <c r="A43" s="167">
        <v>230012</v>
      </c>
      <c r="B43" s="168" t="s">
        <v>238</v>
      </c>
      <c r="C43" s="169">
        <v>2</v>
      </c>
      <c r="D43" s="167" t="s">
        <v>219</v>
      </c>
      <c r="E43" s="169" t="s">
        <v>59</v>
      </c>
      <c r="F43" s="167" t="s">
        <v>70</v>
      </c>
      <c r="G43" s="168">
        <f>IF(F43="","",IFERROR(VLOOKUP(F43,'validation des champs'!A:B,2,FALSE),"vide"))</f>
        <v>116</v>
      </c>
      <c r="H43" s="168" t="s">
        <v>75</v>
      </c>
      <c r="I43" s="168">
        <f>IF(H43="","",IFERROR(VLOOKUP(H43,'validation des champs'!C:D,2,FALSE),"Mathieu 140"))</f>
        <v>126</v>
      </c>
      <c r="J43" s="168" t="s">
        <v>60</v>
      </c>
      <c r="K43" s="170">
        <v>45313</v>
      </c>
      <c r="L43" s="171">
        <v>0</v>
      </c>
      <c r="M43" s="172">
        <v>0</v>
      </c>
      <c r="N43" s="173">
        <v>1</v>
      </c>
      <c r="O43" s="172">
        <f>+N43*M43</f>
        <v>0</v>
      </c>
      <c r="P43" s="174">
        <f>+M43-O43</f>
        <v>0</v>
      </c>
      <c r="Q43" s="171">
        <v>0.311</v>
      </c>
      <c r="R43" s="172">
        <v>1</v>
      </c>
      <c r="S43" s="173">
        <v>1</v>
      </c>
      <c r="T43" s="172">
        <f t="shared" si="43"/>
        <v>1</v>
      </c>
      <c r="U43" s="175">
        <f t="shared" si="44"/>
        <v>0</v>
      </c>
      <c r="V43" s="176">
        <f t="shared" si="45"/>
        <v>0.311</v>
      </c>
      <c r="W43" s="171">
        <v>0</v>
      </c>
      <c r="X43" s="172">
        <v>0</v>
      </c>
      <c r="Y43" s="177">
        <v>1</v>
      </c>
      <c r="Z43" s="172">
        <f t="shared" si="46"/>
        <v>0</v>
      </c>
      <c r="AA43" s="174">
        <f t="shared" si="47"/>
        <v>0</v>
      </c>
      <c r="AB43" s="176">
        <f t="shared" ref="AB43:AB49" si="52">+L43+Q43+W43</f>
        <v>0.311</v>
      </c>
      <c r="AC43" s="178">
        <v>1</v>
      </c>
      <c r="AD43" s="172">
        <f t="shared" si="48"/>
        <v>0.311</v>
      </c>
      <c r="AE43" s="174">
        <f t="shared" si="49"/>
        <v>0</v>
      </c>
      <c r="AF43" s="179"/>
      <c r="AG43" s="167" t="s">
        <v>7</v>
      </c>
      <c r="AH43" s="180" t="s">
        <v>63</v>
      </c>
      <c r="AI43" s="167" t="s">
        <v>8</v>
      </c>
      <c r="AJ43" s="181" t="s">
        <v>5</v>
      </c>
      <c r="AK43" s="182" t="s">
        <v>8</v>
      </c>
      <c r="AL43" s="167" t="str">
        <f t="shared" si="50"/>
        <v>NON</v>
      </c>
      <c r="AM43" s="169" t="str">
        <f t="shared" si="51"/>
        <v>vendu</v>
      </c>
    </row>
    <row r="44" spans="1:39" s="35" customFormat="1" ht="26.1" customHeight="1" x14ac:dyDescent="0.25">
      <c r="A44" s="138">
        <v>230229</v>
      </c>
      <c r="B44" s="139" t="s">
        <v>15</v>
      </c>
      <c r="C44" s="140">
        <v>1</v>
      </c>
      <c r="D44" s="138" t="s">
        <v>219</v>
      </c>
      <c r="E44" s="140"/>
      <c r="F44" s="138" t="s">
        <v>73</v>
      </c>
      <c r="G44" s="139">
        <f>IF(F44="","",IFERROR(VLOOKUP(F44,'validation des champs'!A:B,2,FALSE),"vide"))</f>
        <v>101</v>
      </c>
      <c r="H44" s="139" t="s">
        <v>77</v>
      </c>
      <c r="I44" s="139">
        <f>IF(H44="","",IFERROR(VLOOKUP(H44,'validation des champs'!C:D,2,FALSE),"Mathieu 140"))</f>
        <v>146</v>
      </c>
      <c r="J44" s="139" t="s">
        <v>17</v>
      </c>
      <c r="K44" s="141">
        <v>45369</v>
      </c>
      <c r="L44" s="142">
        <v>7.69</v>
      </c>
      <c r="M44" s="143">
        <f>7+8.2</f>
        <v>15.2</v>
      </c>
      <c r="N44" s="144">
        <v>1</v>
      </c>
      <c r="O44" s="143">
        <f>+N44*M44</f>
        <v>15.2</v>
      </c>
      <c r="P44" s="145">
        <f>+M44-O44</f>
        <v>0</v>
      </c>
      <c r="Q44" s="142">
        <v>29.481000000000002</v>
      </c>
      <c r="R44" s="143">
        <v>16</v>
      </c>
      <c r="S44" s="144">
        <v>1</v>
      </c>
      <c r="T44" s="143">
        <f t="shared" si="43"/>
        <v>16</v>
      </c>
      <c r="U44" s="146">
        <f t="shared" si="44"/>
        <v>0</v>
      </c>
      <c r="V44" s="147">
        <f t="shared" si="45"/>
        <v>37.170999999999999</v>
      </c>
      <c r="W44" s="166">
        <v>1.212</v>
      </c>
      <c r="X44" s="143">
        <v>2</v>
      </c>
      <c r="Y44" s="153">
        <v>1</v>
      </c>
      <c r="Z44" s="143">
        <f t="shared" si="46"/>
        <v>2</v>
      </c>
      <c r="AA44" s="145">
        <f t="shared" si="47"/>
        <v>0</v>
      </c>
      <c r="AB44" s="147">
        <f t="shared" si="52"/>
        <v>38.383000000000003</v>
      </c>
      <c r="AC44" s="148">
        <v>1</v>
      </c>
      <c r="AD44" s="143">
        <f t="shared" si="48"/>
        <v>37.170999999999999</v>
      </c>
      <c r="AE44" s="145">
        <f t="shared" si="49"/>
        <v>0</v>
      </c>
      <c r="AF44" s="149"/>
      <c r="AG44" s="138" t="s">
        <v>16</v>
      </c>
      <c r="AH44" s="150" t="s">
        <v>63</v>
      </c>
      <c r="AI44" s="138" t="s">
        <v>4</v>
      </c>
      <c r="AJ44" s="151" t="s">
        <v>5</v>
      </c>
      <c r="AK44" s="152" t="s">
        <v>4</v>
      </c>
      <c r="AL44" s="138" t="str">
        <f t="shared" si="50"/>
        <v>NON</v>
      </c>
      <c r="AM44" s="140" t="str">
        <f t="shared" si="51"/>
        <v>vendu</v>
      </c>
    </row>
    <row r="45" spans="1:39" s="35" customFormat="1" ht="26.1" customHeight="1" x14ac:dyDescent="0.25">
      <c r="A45" s="138">
        <v>230248</v>
      </c>
      <c r="B45" s="139" t="s">
        <v>250</v>
      </c>
      <c r="C45" s="140">
        <v>2</v>
      </c>
      <c r="D45" s="138" t="s">
        <v>220</v>
      </c>
      <c r="E45" s="140"/>
      <c r="F45" s="138" t="s">
        <v>73</v>
      </c>
      <c r="G45" s="139">
        <f>IF(F45="","",IFERROR(VLOOKUP(F45,'validation des champs'!A:B,2,FALSE),"vide"))</f>
        <v>101</v>
      </c>
      <c r="H45" s="139" t="s">
        <v>75</v>
      </c>
      <c r="I45" s="139">
        <f>IF(H45="","",IFERROR(VLOOKUP(H45,'validation des champs'!C:D,2,FALSE),"Mathieu 140"))</f>
        <v>126</v>
      </c>
      <c r="J45" s="139" t="s">
        <v>32</v>
      </c>
      <c r="K45" s="141">
        <v>45369</v>
      </c>
      <c r="L45" s="142">
        <f>18.09-7.202</f>
        <v>10.888</v>
      </c>
      <c r="M45" s="143">
        <v>0</v>
      </c>
      <c r="N45" s="144">
        <v>1</v>
      </c>
      <c r="O45" s="143">
        <f>+N45*M45</f>
        <v>0</v>
      </c>
      <c r="P45" s="145">
        <f>+M45-O45</f>
        <v>0</v>
      </c>
      <c r="Q45" s="142">
        <v>7.202</v>
      </c>
      <c r="R45" s="143">
        <v>5.7</v>
      </c>
      <c r="S45" s="144">
        <v>1</v>
      </c>
      <c r="T45" s="143">
        <f t="shared" si="43"/>
        <v>5.7</v>
      </c>
      <c r="U45" s="146">
        <f t="shared" si="44"/>
        <v>0</v>
      </c>
      <c r="V45" s="147">
        <f t="shared" si="45"/>
        <v>18.09</v>
      </c>
      <c r="W45" s="166">
        <v>0.51600000000000001</v>
      </c>
      <c r="X45" s="143">
        <v>1</v>
      </c>
      <c r="Y45" s="153">
        <v>1</v>
      </c>
      <c r="Z45" s="143">
        <f t="shared" si="46"/>
        <v>1</v>
      </c>
      <c r="AA45" s="145">
        <f t="shared" si="47"/>
        <v>0</v>
      </c>
      <c r="AB45" s="147">
        <f t="shared" si="52"/>
        <v>18.606000000000002</v>
      </c>
      <c r="AC45" s="148">
        <v>1</v>
      </c>
      <c r="AD45" s="143">
        <f t="shared" si="48"/>
        <v>18.09</v>
      </c>
      <c r="AE45" s="145">
        <f t="shared" si="49"/>
        <v>0</v>
      </c>
      <c r="AF45" s="149"/>
      <c r="AG45" s="138" t="s">
        <v>316</v>
      </c>
      <c r="AH45" s="150" t="s">
        <v>63</v>
      </c>
      <c r="AI45" s="138" t="s">
        <v>4</v>
      </c>
      <c r="AJ45" s="151" t="s">
        <v>5</v>
      </c>
      <c r="AK45" s="152" t="s">
        <v>4</v>
      </c>
      <c r="AL45" s="138" t="str">
        <f t="shared" si="50"/>
        <v>NON</v>
      </c>
      <c r="AM45" s="140" t="str">
        <f t="shared" si="51"/>
        <v>vendu</v>
      </c>
    </row>
    <row r="46" spans="1:39" s="35" customFormat="1" ht="26.1" customHeight="1" x14ac:dyDescent="0.25">
      <c r="A46" s="138">
        <v>240011</v>
      </c>
      <c r="B46" s="139" t="s">
        <v>212</v>
      </c>
      <c r="C46" s="140">
        <v>1</v>
      </c>
      <c r="D46" s="138" t="s">
        <v>219</v>
      </c>
      <c r="E46" s="140"/>
      <c r="F46" s="138" t="s">
        <v>71</v>
      </c>
      <c r="G46" s="139">
        <f>IF(F46="","",IFERROR(VLOOKUP(F46,'validation des champs'!A:B,2,FALSE),"vide"))</f>
        <v>135</v>
      </c>
      <c r="H46" s="139" t="s">
        <v>179</v>
      </c>
      <c r="I46" s="139" t="str">
        <f>IF(H46="","",IFERROR(VLOOKUP(H46,'validation des champs'!C:D,2,FALSE),"Mathieu 140"))</f>
        <v>Mathieu 140</v>
      </c>
      <c r="J46" s="139" t="s">
        <v>200</v>
      </c>
      <c r="K46" s="141">
        <v>45358</v>
      </c>
      <c r="L46" s="142">
        <v>2.8239999999999998</v>
      </c>
      <c r="M46" s="143">
        <v>0</v>
      </c>
      <c r="N46" s="144">
        <v>1</v>
      </c>
      <c r="O46" s="143">
        <v>0</v>
      </c>
      <c r="P46" s="145">
        <v>0</v>
      </c>
      <c r="Q46" s="142">
        <v>0</v>
      </c>
      <c r="R46" s="143">
        <v>0</v>
      </c>
      <c r="S46" s="144">
        <v>1</v>
      </c>
      <c r="T46" s="143">
        <f t="shared" si="43"/>
        <v>0</v>
      </c>
      <c r="U46" s="146">
        <f t="shared" si="44"/>
        <v>0</v>
      </c>
      <c r="V46" s="147">
        <f t="shared" si="45"/>
        <v>2.8239999999999998</v>
      </c>
      <c r="W46" s="142">
        <v>0</v>
      </c>
      <c r="X46" s="143">
        <v>0</v>
      </c>
      <c r="Y46" s="153">
        <v>1</v>
      </c>
      <c r="Z46" s="143">
        <f t="shared" si="46"/>
        <v>0</v>
      </c>
      <c r="AA46" s="145">
        <f t="shared" si="47"/>
        <v>0</v>
      </c>
      <c r="AB46" s="147">
        <f t="shared" si="52"/>
        <v>2.8239999999999998</v>
      </c>
      <c r="AC46" s="153">
        <v>1</v>
      </c>
      <c r="AD46" s="143">
        <f t="shared" si="48"/>
        <v>2.8239999999999998</v>
      </c>
      <c r="AE46" s="145">
        <f t="shared" si="49"/>
        <v>0</v>
      </c>
      <c r="AF46" s="149"/>
      <c r="AG46" s="138" t="s">
        <v>66</v>
      </c>
      <c r="AH46" s="150" t="s">
        <v>63</v>
      </c>
      <c r="AI46" s="138" t="s">
        <v>8</v>
      </c>
      <c r="AJ46" s="151" t="s">
        <v>5</v>
      </c>
      <c r="AK46" s="152" t="s">
        <v>8</v>
      </c>
      <c r="AL46" s="138" t="str">
        <f t="shared" si="50"/>
        <v>OUI</v>
      </c>
      <c r="AM46" s="140" t="str">
        <f t="shared" si="51"/>
        <v>vendu</v>
      </c>
    </row>
    <row r="47" spans="1:39" s="35" customFormat="1" ht="26.1" customHeight="1" x14ac:dyDescent="0.25">
      <c r="A47" s="138">
        <v>230447</v>
      </c>
      <c r="B47" s="139" t="s">
        <v>295</v>
      </c>
      <c r="C47" s="140">
        <v>1</v>
      </c>
      <c r="D47" s="138" t="s">
        <v>219</v>
      </c>
      <c r="E47" s="140" t="s">
        <v>117</v>
      </c>
      <c r="F47" s="138" t="s">
        <v>194</v>
      </c>
      <c r="G47" s="139">
        <f>IF(F47="","",IFERROR(VLOOKUP(F47,'validation des champs'!A:B,2,FALSE),"vide"))</f>
        <v>124</v>
      </c>
      <c r="H47" s="139" t="s">
        <v>179</v>
      </c>
      <c r="I47" s="139" t="str">
        <f>IF(H47="","",IFERROR(VLOOKUP(H47,'validation des champs'!C:D,2,FALSE),"Mathieu 140"))</f>
        <v>Mathieu 140</v>
      </c>
      <c r="J47" s="139" t="s">
        <v>296</v>
      </c>
      <c r="K47" s="141">
        <v>45371</v>
      </c>
      <c r="L47" s="166">
        <v>0.58499999999999996</v>
      </c>
      <c r="M47" s="143">
        <v>0</v>
      </c>
      <c r="N47" s="144">
        <v>1</v>
      </c>
      <c r="O47" s="143">
        <v>0</v>
      </c>
      <c r="P47" s="145">
        <v>0</v>
      </c>
      <c r="Q47" s="142">
        <v>0</v>
      </c>
      <c r="R47" s="143">
        <v>0</v>
      </c>
      <c r="S47" s="144">
        <v>1</v>
      </c>
      <c r="T47" s="143">
        <f t="shared" si="43"/>
        <v>0</v>
      </c>
      <c r="U47" s="146">
        <f t="shared" si="44"/>
        <v>0</v>
      </c>
      <c r="V47" s="147">
        <f t="shared" si="45"/>
        <v>0.58499999999999996</v>
      </c>
      <c r="W47" s="142">
        <v>0</v>
      </c>
      <c r="X47" s="143">
        <v>0</v>
      </c>
      <c r="Y47" s="153">
        <v>1</v>
      </c>
      <c r="Z47" s="143">
        <f t="shared" si="46"/>
        <v>0</v>
      </c>
      <c r="AA47" s="145">
        <f t="shared" si="47"/>
        <v>0</v>
      </c>
      <c r="AB47" s="147">
        <f t="shared" si="52"/>
        <v>0.58499999999999996</v>
      </c>
      <c r="AC47" s="148">
        <v>1</v>
      </c>
      <c r="AD47" s="143">
        <f t="shared" si="48"/>
        <v>0.58499999999999996</v>
      </c>
      <c r="AE47" s="145">
        <f t="shared" si="49"/>
        <v>0</v>
      </c>
      <c r="AF47" s="149"/>
      <c r="AG47" s="138" t="s">
        <v>66</v>
      </c>
      <c r="AH47" s="150" t="s">
        <v>63</v>
      </c>
      <c r="AI47" s="138" t="s">
        <v>115</v>
      </c>
      <c r="AJ47" s="151" t="s">
        <v>5</v>
      </c>
      <c r="AK47" s="152" t="s">
        <v>8</v>
      </c>
      <c r="AL47" s="138" t="str">
        <f t="shared" si="50"/>
        <v>OUI</v>
      </c>
      <c r="AM47" s="140" t="str">
        <f t="shared" si="51"/>
        <v>vendu</v>
      </c>
    </row>
    <row r="48" spans="1:39" s="35" customFormat="1" ht="26.1" customHeight="1" x14ac:dyDescent="0.25">
      <c r="A48" s="138">
        <v>240090</v>
      </c>
      <c r="B48" s="139" t="s">
        <v>313</v>
      </c>
      <c r="C48" s="140">
        <v>1</v>
      </c>
      <c r="D48" s="138" t="s">
        <v>219</v>
      </c>
      <c r="E48" s="140"/>
      <c r="F48" s="138" t="s">
        <v>194</v>
      </c>
      <c r="G48" s="139">
        <f>IF(F48="","",IFERROR(VLOOKUP(F48,'validation des champs'!A:B,2,FALSE),"vide"))</f>
        <v>124</v>
      </c>
      <c r="H48" s="139" t="s">
        <v>179</v>
      </c>
      <c r="I48" s="139" t="str">
        <f>IF(H48="","",IFERROR(VLOOKUP(H48,'validation des champs'!C:D,2,FALSE),"Mathieu 140"))</f>
        <v>Mathieu 140</v>
      </c>
      <c r="J48" s="139" t="s">
        <v>314</v>
      </c>
      <c r="K48" s="141">
        <v>45371</v>
      </c>
      <c r="L48" s="166">
        <v>10.337999999999999</v>
      </c>
      <c r="M48" s="143">
        <v>0</v>
      </c>
      <c r="N48" s="144">
        <v>1</v>
      </c>
      <c r="O48" s="143">
        <v>0</v>
      </c>
      <c r="P48" s="145">
        <v>0</v>
      </c>
      <c r="Q48" s="142">
        <v>0</v>
      </c>
      <c r="R48" s="143">
        <v>0</v>
      </c>
      <c r="S48" s="144">
        <v>1</v>
      </c>
      <c r="T48" s="143">
        <f t="shared" si="43"/>
        <v>0</v>
      </c>
      <c r="U48" s="146">
        <f t="shared" si="44"/>
        <v>0</v>
      </c>
      <c r="V48" s="147">
        <f t="shared" si="45"/>
        <v>10.337999999999999</v>
      </c>
      <c r="W48" s="142">
        <v>0</v>
      </c>
      <c r="X48" s="143">
        <v>0</v>
      </c>
      <c r="Y48" s="153">
        <v>1</v>
      </c>
      <c r="Z48" s="143">
        <f t="shared" si="46"/>
        <v>0</v>
      </c>
      <c r="AA48" s="145">
        <f t="shared" si="47"/>
        <v>0</v>
      </c>
      <c r="AB48" s="147">
        <f t="shared" si="52"/>
        <v>10.337999999999999</v>
      </c>
      <c r="AC48" s="148">
        <v>1</v>
      </c>
      <c r="AD48" s="143">
        <f t="shared" si="48"/>
        <v>10.337999999999999</v>
      </c>
      <c r="AE48" s="145">
        <f t="shared" si="49"/>
        <v>0</v>
      </c>
      <c r="AF48" s="149"/>
      <c r="AG48" s="138" t="s">
        <v>66</v>
      </c>
      <c r="AH48" s="150" t="s">
        <v>63</v>
      </c>
      <c r="AI48" s="138" t="s">
        <v>115</v>
      </c>
      <c r="AJ48" s="151" t="s">
        <v>5</v>
      </c>
      <c r="AK48" s="152" t="s">
        <v>8</v>
      </c>
      <c r="AL48" s="138" t="str">
        <f t="shared" si="50"/>
        <v>OUI</v>
      </c>
      <c r="AM48" s="140" t="str">
        <f t="shared" si="51"/>
        <v>vendu</v>
      </c>
    </row>
    <row r="49" spans="1:43" s="35" customFormat="1" ht="26.1" customHeight="1" x14ac:dyDescent="0.25">
      <c r="A49" s="138">
        <v>230016</v>
      </c>
      <c r="B49" s="139" t="s">
        <v>30</v>
      </c>
      <c r="C49" s="140">
        <v>1</v>
      </c>
      <c r="D49" s="138" t="s">
        <v>219</v>
      </c>
      <c r="E49" s="140"/>
      <c r="F49" s="138" t="s">
        <v>71</v>
      </c>
      <c r="G49" s="139">
        <f>IF(F49="","",IFERROR(VLOOKUP(F49,'validation des champs'!A:B,2,FALSE),"vide"))</f>
        <v>135</v>
      </c>
      <c r="H49" s="139" t="s">
        <v>75</v>
      </c>
      <c r="I49" s="139">
        <f>IF(H49="","",IFERROR(VLOOKUP(H49,'validation des champs'!C:D,2,FALSE),"Mathieu 140"))</f>
        <v>126</v>
      </c>
      <c r="J49" s="139" t="s">
        <v>300</v>
      </c>
      <c r="K49" s="141">
        <v>45376</v>
      </c>
      <c r="L49" s="142">
        <v>20.271999999999998</v>
      </c>
      <c r="M49" s="143">
        <v>0</v>
      </c>
      <c r="N49" s="144">
        <v>1</v>
      </c>
      <c r="O49" s="143">
        <f t="shared" ref="O49:O56" si="53">+N49*M49</f>
        <v>0</v>
      </c>
      <c r="P49" s="145">
        <f t="shared" ref="P49:P56" si="54">+M49-O49</f>
        <v>0</v>
      </c>
      <c r="Q49" s="142">
        <f>(32.178-L49)+0.343</f>
        <v>12.248999999999999</v>
      </c>
      <c r="R49" s="143">
        <v>6.01</v>
      </c>
      <c r="S49" s="144">
        <v>1</v>
      </c>
      <c r="T49" s="143">
        <f t="shared" si="43"/>
        <v>6.01</v>
      </c>
      <c r="U49" s="146">
        <v>0</v>
      </c>
      <c r="V49" s="147">
        <f t="shared" si="45"/>
        <v>32.521000000000001</v>
      </c>
      <c r="W49" s="155">
        <v>4.3710000000000004</v>
      </c>
      <c r="X49" s="143">
        <v>0</v>
      </c>
      <c r="Y49" s="153">
        <v>1</v>
      </c>
      <c r="Z49" s="143">
        <f t="shared" si="46"/>
        <v>0</v>
      </c>
      <c r="AA49" s="145">
        <f t="shared" si="47"/>
        <v>0</v>
      </c>
      <c r="AB49" s="147">
        <f t="shared" si="52"/>
        <v>36.892000000000003</v>
      </c>
      <c r="AC49" s="148">
        <v>1</v>
      </c>
      <c r="AD49" s="143">
        <f t="shared" si="48"/>
        <v>32.521000000000001</v>
      </c>
      <c r="AE49" s="145">
        <f t="shared" si="49"/>
        <v>0</v>
      </c>
      <c r="AF49" s="149"/>
      <c r="AG49" s="138" t="s">
        <v>19</v>
      </c>
      <c r="AH49" s="150" t="s">
        <v>63</v>
      </c>
      <c r="AI49" s="138" t="s">
        <v>4</v>
      </c>
      <c r="AJ49" s="151" t="s">
        <v>5</v>
      </c>
      <c r="AK49" s="152" t="s">
        <v>4</v>
      </c>
      <c r="AL49" s="138" t="str">
        <f t="shared" si="50"/>
        <v>NON</v>
      </c>
      <c r="AM49" s="140" t="str">
        <f t="shared" si="51"/>
        <v>vendu</v>
      </c>
    </row>
    <row r="50" spans="1:43" s="35" customFormat="1" ht="26.1" customHeight="1" x14ac:dyDescent="0.25">
      <c r="A50" s="138">
        <v>220337</v>
      </c>
      <c r="B50" s="139" t="s">
        <v>39</v>
      </c>
      <c r="C50" s="140">
        <v>1</v>
      </c>
      <c r="D50" s="138" t="s">
        <v>219</v>
      </c>
      <c r="E50" s="140"/>
      <c r="F50" s="138" t="s">
        <v>194</v>
      </c>
      <c r="G50" s="139">
        <f>IF(F50="","",IFERROR(VLOOKUP(F50,'validation des champs'!A:B,2,FALSE),"vide"))</f>
        <v>124</v>
      </c>
      <c r="H50" s="139" t="s">
        <v>76</v>
      </c>
      <c r="I50" s="139" t="str">
        <f>IF(H50="","",IFERROR(VLOOKUP(H50,'validation des champs'!C:D,2,FALSE),"Mathieu 140"))</f>
        <v>Mathieu 140</v>
      </c>
      <c r="J50" s="293">
        <v>33.159999999999997</v>
      </c>
      <c r="K50" s="141">
        <v>45377</v>
      </c>
      <c r="L50" s="142">
        <v>50.725000000000001</v>
      </c>
      <c r="M50" s="143">
        <v>0</v>
      </c>
      <c r="N50" s="144">
        <v>1</v>
      </c>
      <c r="O50" s="143">
        <f t="shared" si="53"/>
        <v>0</v>
      </c>
      <c r="P50" s="145">
        <f t="shared" si="54"/>
        <v>0</v>
      </c>
      <c r="Q50" s="142">
        <v>18.809999999999999</v>
      </c>
      <c r="R50" s="143">
        <v>17</v>
      </c>
      <c r="S50" s="144">
        <v>1</v>
      </c>
      <c r="T50" s="143">
        <f t="shared" ref="T50:T57" si="55">+S50*R50</f>
        <v>17</v>
      </c>
      <c r="U50" s="146">
        <f t="shared" ref="U50:U57" si="56">+R50-T50</f>
        <v>0</v>
      </c>
      <c r="V50" s="147">
        <f t="shared" ref="V50:V57" si="57">+Q50+L50</f>
        <v>69.534999999999997</v>
      </c>
      <c r="W50" s="142">
        <v>0.28799999999999998</v>
      </c>
      <c r="X50" s="143">
        <v>1</v>
      </c>
      <c r="Y50" s="153">
        <v>1</v>
      </c>
      <c r="Z50" s="143">
        <f t="shared" ref="Z50:Z57" si="58">+X50*Y50</f>
        <v>1</v>
      </c>
      <c r="AA50" s="145">
        <f t="shared" ref="AA50:AA57" si="59">+X50-Z50</f>
        <v>0</v>
      </c>
      <c r="AB50" s="147">
        <f t="shared" ref="AB50:AB57" si="60">+L50+Q50+W50</f>
        <v>69.822999999999993</v>
      </c>
      <c r="AC50" s="148">
        <v>1</v>
      </c>
      <c r="AD50" s="143">
        <f t="shared" ref="AD50:AD57" si="61">+AC50*V50</f>
        <v>69.534999999999997</v>
      </c>
      <c r="AE50" s="145">
        <f t="shared" ref="AE50:AE57" si="62">+V50-AD50</f>
        <v>0</v>
      </c>
      <c r="AF50" s="149"/>
      <c r="AG50" s="138" t="s">
        <v>55</v>
      </c>
      <c r="AH50" s="150" t="s">
        <v>63</v>
      </c>
      <c r="AI50" s="138" t="s">
        <v>4</v>
      </c>
      <c r="AJ50" s="151" t="s">
        <v>5</v>
      </c>
      <c r="AK50" s="152" t="s">
        <v>4</v>
      </c>
      <c r="AL50" s="138" t="str">
        <f t="shared" ref="AL50:AL57" si="63">IF(B50="","",IF(LEFT(B50,2)="FC","OUI","NON"))</f>
        <v>NON</v>
      </c>
      <c r="AM50" s="140" t="str">
        <f t="shared" ref="AM50:AM57" si="64">IF(A50="","incertain","vendu")</f>
        <v>vendu</v>
      </c>
      <c r="AN50" s="138">
        <f t="shared" ref="AN50:AN57" si="65">YEAR(K50)</f>
        <v>2024</v>
      </c>
      <c r="AO50" s="294">
        <f t="shared" ref="AO50:AO57" si="66">_xlfn.ISOWEEKNUM(K50)</f>
        <v>13</v>
      </c>
      <c r="AP50" s="139"/>
      <c r="AQ50" s="140"/>
    </row>
    <row r="51" spans="1:43" s="35" customFormat="1" ht="26.1" customHeight="1" x14ac:dyDescent="0.25">
      <c r="A51" s="138">
        <v>210211</v>
      </c>
      <c r="B51" s="139" t="s">
        <v>247</v>
      </c>
      <c r="C51" s="140">
        <v>2</v>
      </c>
      <c r="D51" s="138" t="s">
        <v>219</v>
      </c>
      <c r="E51" s="140"/>
      <c r="F51" s="138" t="s">
        <v>73</v>
      </c>
      <c r="G51" s="139">
        <f>IF(F51="","",IFERROR(VLOOKUP(F51,'validation des champs'!A:B,2,FALSE),"vide"))</f>
        <v>101</v>
      </c>
      <c r="H51" s="139" t="s">
        <v>78</v>
      </c>
      <c r="I51" s="139">
        <f>IF(H51="","",IFERROR(VLOOKUP(H51,'validation des champs'!C:D,2,FALSE),"Mathieu 140"))</f>
        <v>118</v>
      </c>
      <c r="J51" s="293">
        <v>8.1300000000000008</v>
      </c>
      <c r="K51" s="141">
        <v>45376</v>
      </c>
      <c r="L51" s="142">
        <v>0</v>
      </c>
      <c r="M51" s="143">
        <v>0</v>
      </c>
      <c r="N51" s="144">
        <v>1</v>
      </c>
      <c r="O51" s="143">
        <f t="shared" si="53"/>
        <v>0</v>
      </c>
      <c r="P51" s="145">
        <f t="shared" si="54"/>
        <v>0</v>
      </c>
      <c r="Q51" s="142">
        <v>10.787000000000001</v>
      </c>
      <c r="R51" s="143">
        <v>4.2</v>
      </c>
      <c r="S51" s="144">
        <v>1</v>
      </c>
      <c r="T51" s="143">
        <f t="shared" si="55"/>
        <v>4.2</v>
      </c>
      <c r="U51" s="146">
        <f t="shared" si="56"/>
        <v>0</v>
      </c>
      <c r="V51" s="147">
        <f t="shared" si="57"/>
        <v>10.787000000000001</v>
      </c>
      <c r="W51" s="166">
        <v>0.64300000000000002</v>
      </c>
      <c r="X51" s="143">
        <v>0.80400000000000005</v>
      </c>
      <c r="Y51" s="153">
        <v>1</v>
      </c>
      <c r="Z51" s="143">
        <f t="shared" si="58"/>
        <v>0.80400000000000005</v>
      </c>
      <c r="AA51" s="145">
        <f t="shared" si="59"/>
        <v>0</v>
      </c>
      <c r="AB51" s="147">
        <f t="shared" si="60"/>
        <v>11.430000000000001</v>
      </c>
      <c r="AC51" s="148">
        <v>1</v>
      </c>
      <c r="AD51" s="143">
        <f t="shared" si="61"/>
        <v>10.787000000000001</v>
      </c>
      <c r="AE51" s="145">
        <f t="shared" si="62"/>
        <v>0</v>
      </c>
      <c r="AF51" s="149"/>
      <c r="AG51" s="138" t="s">
        <v>297</v>
      </c>
      <c r="AH51" s="150" t="s">
        <v>63</v>
      </c>
      <c r="AI51" s="138" t="s">
        <v>4</v>
      </c>
      <c r="AJ51" s="151" t="s">
        <v>5</v>
      </c>
      <c r="AK51" s="152" t="s">
        <v>4</v>
      </c>
      <c r="AL51" s="138" t="str">
        <f t="shared" si="63"/>
        <v>NON</v>
      </c>
      <c r="AM51" s="140" t="str">
        <f t="shared" si="64"/>
        <v>vendu</v>
      </c>
      <c r="AN51" s="138">
        <f t="shared" si="65"/>
        <v>2024</v>
      </c>
      <c r="AO51" s="139">
        <f t="shared" si="66"/>
        <v>13</v>
      </c>
      <c r="AP51" s="139"/>
      <c r="AQ51" s="140"/>
    </row>
    <row r="52" spans="1:43" s="35" customFormat="1" ht="26.1" customHeight="1" thickBot="1" x14ac:dyDescent="0.3">
      <c r="A52" s="138">
        <v>210211</v>
      </c>
      <c r="B52" s="139" t="s">
        <v>42</v>
      </c>
      <c r="C52" s="140">
        <v>1</v>
      </c>
      <c r="D52" s="138" t="s">
        <v>219</v>
      </c>
      <c r="E52" s="140"/>
      <c r="F52" s="138" t="s">
        <v>73</v>
      </c>
      <c r="G52" s="139">
        <f>IF(F52="","",IFERROR(VLOOKUP(F52,'validation des champs'!A:B,2,FALSE),"vide"))</f>
        <v>101</v>
      </c>
      <c r="H52" s="139" t="s">
        <v>78</v>
      </c>
      <c r="I52" s="139">
        <f>IF(H52="","",IFERROR(VLOOKUP(H52,'validation des champs'!C:D,2,FALSE),"Mathieu 140"))</f>
        <v>118</v>
      </c>
      <c r="J52" s="293">
        <v>14.9</v>
      </c>
      <c r="K52" s="141">
        <v>45376</v>
      </c>
      <c r="L52" s="142">
        <v>14.654999999999999</v>
      </c>
      <c r="M52" s="143">
        <v>0</v>
      </c>
      <c r="N52" s="144">
        <v>1</v>
      </c>
      <c r="O52" s="143">
        <f t="shared" si="53"/>
        <v>0</v>
      </c>
      <c r="P52" s="145">
        <f t="shared" si="54"/>
        <v>0</v>
      </c>
      <c r="Q52" s="142">
        <v>5.51</v>
      </c>
      <c r="R52" s="143">
        <v>2.1</v>
      </c>
      <c r="S52" s="144">
        <v>1</v>
      </c>
      <c r="T52" s="143">
        <f t="shared" si="55"/>
        <v>2.1</v>
      </c>
      <c r="U52" s="146">
        <f t="shared" si="56"/>
        <v>0</v>
      </c>
      <c r="V52" s="147">
        <f t="shared" si="57"/>
        <v>20.164999999999999</v>
      </c>
      <c r="W52" s="155">
        <v>0.54400000000000004</v>
      </c>
      <c r="X52" s="143">
        <v>0</v>
      </c>
      <c r="Y52" s="153">
        <v>1</v>
      </c>
      <c r="Z52" s="143">
        <f t="shared" si="58"/>
        <v>0</v>
      </c>
      <c r="AA52" s="145">
        <f t="shared" si="59"/>
        <v>0</v>
      </c>
      <c r="AB52" s="147">
        <f t="shared" si="60"/>
        <v>20.709</v>
      </c>
      <c r="AC52" s="148">
        <v>1</v>
      </c>
      <c r="AD52" s="143">
        <f t="shared" si="61"/>
        <v>20.164999999999999</v>
      </c>
      <c r="AE52" s="145">
        <f t="shared" si="62"/>
        <v>0</v>
      </c>
      <c r="AF52" s="149"/>
      <c r="AG52" s="138" t="s">
        <v>297</v>
      </c>
      <c r="AH52" s="150" t="s">
        <v>63</v>
      </c>
      <c r="AI52" s="138" t="s">
        <v>4</v>
      </c>
      <c r="AJ52" s="151" t="s">
        <v>5</v>
      </c>
      <c r="AK52" s="152" t="s">
        <v>4</v>
      </c>
      <c r="AL52" s="138" t="str">
        <f t="shared" si="63"/>
        <v>NON</v>
      </c>
      <c r="AM52" s="140" t="str">
        <f t="shared" si="64"/>
        <v>vendu</v>
      </c>
      <c r="AN52" s="138">
        <f t="shared" si="65"/>
        <v>2024</v>
      </c>
      <c r="AO52" s="139">
        <f t="shared" si="66"/>
        <v>13</v>
      </c>
      <c r="AP52" s="139"/>
      <c r="AQ52" s="140"/>
    </row>
    <row r="53" spans="1:43" s="35" customFormat="1" ht="26.1" customHeight="1" thickBot="1" x14ac:dyDescent="0.3">
      <c r="A53" s="317">
        <v>230363</v>
      </c>
      <c r="B53" s="318" t="s">
        <v>40</v>
      </c>
      <c r="C53" s="319">
        <v>1</v>
      </c>
      <c r="D53" s="317" t="s">
        <v>223</v>
      </c>
      <c r="E53" s="319"/>
      <c r="F53" s="317" t="s">
        <v>72</v>
      </c>
      <c r="G53" s="318">
        <f>IF(F53="","",IFERROR(VLOOKUP(F53,'validation des champs'!A:B,2,FALSE),"vide"))</f>
        <v>117</v>
      </c>
      <c r="H53" s="318" t="s">
        <v>79</v>
      </c>
      <c r="I53" s="318">
        <f>IF(H53="","",IFERROR(VLOOKUP(H53,'validation des champs'!C:D,2,FALSE),"Mathieu 140"))</f>
        <v>114</v>
      </c>
      <c r="J53" s="320">
        <v>24.36</v>
      </c>
      <c r="K53" s="321">
        <v>45390</v>
      </c>
      <c r="L53" s="322">
        <v>40.81</v>
      </c>
      <c r="M53" s="323">
        <v>0</v>
      </c>
      <c r="N53" s="324">
        <v>1</v>
      </c>
      <c r="O53" s="323">
        <f t="shared" si="53"/>
        <v>0</v>
      </c>
      <c r="P53" s="325">
        <f t="shared" si="54"/>
        <v>0</v>
      </c>
      <c r="Q53" s="322">
        <v>35.92</v>
      </c>
      <c r="R53" s="323">
        <v>15.3</v>
      </c>
      <c r="S53" s="324">
        <v>1</v>
      </c>
      <c r="T53" s="323">
        <f t="shared" si="55"/>
        <v>15.3</v>
      </c>
      <c r="U53" s="326">
        <f t="shared" si="56"/>
        <v>0</v>
      </c>
      <c r="V53" s="327">
        <f t="shared" si="57"/>
        <v>76.73</v>
      </c>
      <c r="W53" s="328">
        <v>9.0380000000000003</v>
      </c>
      <c r="X53" s="323">
        <v>0</v>
      </c>
      <c r="Y53" s="329">
        <v>1</v>
      </c>
      <c r="Z53" s="323">
        <f t="shared" si="58"/>
        <v>0</v>
      </c>
      <c r="AA53" s="325">
        <f t="shared" si="59"/>
        <v>0</v>
      </c>
      <c r="AB53" s="327">
        <f t="shared" si="60"/>
        <v>85.768000000000001</v>
      </c>
      <c r="AC53" s="330">
        <v>1</v>
      </c>
      <c r="AD53" s="323">
        <f t="shared" si="61"/>
        <v>76.73</v>
      </c>
      <c r="AE53" s="325">
        <f t="shared" si="62"/>
        <v>0</v>
      </c>
      <c r="AF53" s="331"/>
      <c r="AG53" s="317" t="s">
        <v>19</v>
      </c>
      <c r="AH53" s="332" t="s">
        <v>63</v>
      </c>
      <c r="AI53" s="317" t="s">
        <v>4</v>
      </c>
      <c r="AJ53" s="333" t="s">
        <v>5</v>
      </c>
      <c r="AK53" s="334" t="s">
        <v>4</v>
      </c>
      <c r="AL53" s="317" t="str">
        <f t="shared" si="63"/>
        <v>NON</v>
      </c>
      <c r="AM53" s="319" t="str">
        <f t="shared" si="64"/>
        <v>vendu</v>
      </c>
      <c r="AN53" s="317">
        <f t="shared" si="65"/>
        <v>2024</v>
      </c>
      <c r="AO53" s="168">
        <f t="shared" si="66"/>
        <v>15</v>
      </c>
      <c r="AP53" s="318"/>
      <c r="AQ53" s="319"/>
    </row>
    <row r="54" spans="1:43" s="35" customFormat="1" ht="26.1" customHeight="1" x14ac:dyDescent="0.25">
      <c r="A54" s="317">
        <v>230378</v>
      </c>
      <c r="B54" s="318" t="s">
        <v>323</v>
      </c>
      <c r="C54" s="319">
        <v>3</v>
      </c>
      <c r="D54" s="317" t="s">
        <v>219</v>
      </c>
      <c r="E54" s="319" t="s">
        <v>231</v>
      </c>
      <c r="F54" s="317" t="s">
        <v>73</v>
      </c>
      <c r="G54" s="318">
        <f>IF(F54="","",IFERROR(VLOOKUP(F54,'validation des champs'!A:B,2,FALSE),"vide"))</f>
        <v>101</v>
      </c>
      <c r="H54" s="318" t="s">
        <v>80</v>
      </c>
      <c r="I54" s="318">
        <f>IF(H54="","",IFERROR(VLOOKUP(H54,'validation des champs'!C:D,2,FALSE),"Mathieu 140"))</f>
        <v>122</v>
      </c>
      <c r="J54" s="320">
        <v>15</v>
      </c>
      <c r="K54" s="321">
        <v>45390</v>
      </c>
      <c r="L54" s="322">
        <v>0</v>
      </c>
      <c r="M54" s="323">
        <v>0</v>
      </c>
      <c r="N54" s="324">
        <v>1</v>
      </c>
      <c r="O54" s="323">
        <f t="shared" si="53"/>
        <v>0</v>
      </c>
      <c r="P54" s="325">
        <f t="shared" si="54"/>
        <v>0</v>
      </c>
      <c r="Q54" s="322">
        <v>38.6</v>
      </c>
      <c r="R54" s="323">
        <v>19</v>
      </c>
      <c r="S54" s="324">
        <v>1</v>
      </c>
      <c r="T54" s="323">
        <f t="shared" si="55"/>
        <v>19</v>
      </c>
      <c r="U54" s="326">
        <f t="shared" si="56"/>
        <v>0</v>
      </c>
      <c r="V54" s="327">
        <f t="shared" si="57"/>
        <v>38.6</v>
      </c>
      <c r="W54" s="322">
        <v>2</v>
      </c>
      <c r="X54" s="323">
        <v>1</v>
      </c>
      <c r="Y54" s="329">
        <v>1</v>
      </c>
      <c r="Z54" s="323">
        <f t="shared" si="58"/>
        <v>1</v>
      </c>
      <c r="AA54" s="325">
        <f t="shared" si="59"/>
        <v>0</v>
      </c>
      <c r="AB54" s="327">
        <f t="shared" si="60"/>
        <v>40.6</v>
      </c>
      <c r="AC54" s="330">
        <v>1</v>
      </c>
      <c r="AD54" s="323">
        <f t="shared" si="61"/>
        <v>38.6</v>
      </c>
      <c r="AE54" s="325">
        <f t="shared" si="62"/>
        <v>0</v>
      </c>
      <c r="AF54" s="331"/>
      <c r="AG54" s="317" t="s">
        <v>326</v>
      </c>
      <c r="AH54" s="332" t="s">
        <v>63</v>
      </c>
      <c r="AI54" s="317" t="s">
        <v>4</v>
      </c>
      <c r="AJ54" s="333">
        <v>45366</v>
      </c>
      <c r="AK54" s="334" t="s">
        <v>4</v>
      </c>
      <c r="AL54" s="317" t="str">
        <f t="shared" si="63"/>
        <v>NON</v>
      </c>
      <c r="AM54" s="319" t="str">
        <f t="shared" si="64"/>
        <v>vendu</v>
      </c>
      <c r="AN54" s="317">
        <f t="shared" si="65"/>
        <v>2024</v>
      </c>
      <c r="AO54" s="168">
        <f t="shared" si="66"/>
        <v>15</v>
      </c>
      <c r="AP54" s="318"/>
      <c r="AQ54" s="319"/>
    </row>
    <row r="55" spans="1:43" s="35" customFormat="1" ht="26.1" customHeight="1" x14ac:dyDescent="0.25">
      <c r="A55" s="167">
        <v>230277</v>
      </c>
      <c r="B55" s="168" t="s">
        <v>9</v>
      </c>
      <c r="C55" s="169">
        <v>1</v>
      </c>
      <c r="D55" s="167" t="s">
        <v>220</v>
      </c>
      <c r="E55" s="169"/>
      <c r="F55" s="167" t="s">
        <v>73</v>
      </c>
      <c r="G55" s="168">
        <f>IF(F55="","",IFERROR(VLOOKUP(F55,'validation des champs'!A:B,2,FALSE),"vide"))</f>
        <v>101</v>
      </c>
      <c r="H55" s="168" t="s">
        <v>76</v>
      </c>
      <c r="I55" s="168" t="str">
        <f>IF(H55="","",IFERROR(VLOOKUP(H55,'validation des champs'!C:D,2,FALSE),"Mathieu 140"))</f>
        <v>Mathieu 140</v>
      </c>
      <c r="J55" s="371">
        <v>12.59</v>
      </c>
      <c r="K55" s="170">
        <v>45391</v>
      </c>
      <c r="L55" s="171">
        <v>5.7750000000000004</v>
      </c>
      <c r="M55" s="172">
        <v>0</v>
      </c>
      <c r="N55" s="173">
        <v>1</v>
      </c>
      <c r="O55" s="172">
        <f t="shared" si="53"/>
        <v>0</v>
      </c>
      <c r="P55" s="174">
        <f t="shared" si="54"/>
        <v>0</v>
      </c>
      <c r="Q55" s="171">
        <v>0</v>
      </c>
      <c r="R55" s="172">
        <v>0</v>
      </c>
      <c r="S55" s="173">
        <v>1</v>
      </c>
      <c r="T55" s="172">
        <f t="shared" si="55"/>
        <v>0</v>
      </c>
      <c r="U55" s="175">
        <f t="shared" si="56"/>
        <v>0</v>
      </c>
      <c r="V55" s="176">
        <f t="shared" si="57"/>
        <v>5.7750000000000004</v>
      </c>
      <c r="W55" s="171">
        <v>0</v>
      </c>
      <c r="X55" s="172">
        <v>0</v>
      </c>
      <c r="Y55" s="177">
        <v>1</v>
      </c>
      <c r="Z55" s="172">
        <f t="shared" si="58"/>
        <v>0</v>
      </c>
      <c r="AA55" s="174">
        <f t="shared" si="59"/>
        <v>0</v>
      </c>
      <c r="AB55" s="176">
        <f t="shared" si="60"/>
        <v>5.7750000000000004</v>
      </c>
      <c r="AC55" s="178">
        <v>1</v>
      </c>
      <c r="AD55" s="172">
        <f t="shared" si="61"/>
        <v>5.7750000000000004</v>
      </c>
      <c r="AE55" s="174">
        <f t="shared" si="62"/>
        <v>0</v>
      </c>
      <c r="AF55" s="179"/>
      <c r="AG55" s="167" t="s">
        <v>50</v>
      </c>
      <c r="AH55" s="180" t="s">
        <v>63</v>
      </c>
      <c r="AI55" s="167" t="s">
        <v>8</v>
      </c>
      <c r="AJ55" s="181" t="s">
        <v>5</v>
      </c>
      <c r="AK55" s="182" t="s">
        <v>8</v>
      </c>
      <c r="AL55" s="167" t="str">
        <f t="shared" si="63"/>
        <v>NON</v>
      </c>
      <c r="AM55" s="169" t="str">
        <f t="shared" si="64"/>
        <v>vendu</v>
      </c>
      <c r="AN55" s="167">
        <f t="shared" si="65"/>
        <v>2024</v>
      </c>
      <c r="AO55" s="372">
        <f t="shared" si="66"/>
        <v>15</v>
      </c>
      <c r="AP55" s="168"/>
      <c r="AQ55" s="169"/>
    </row>
    <row r="56" spans="1:43" s="35" customFormat="1" ht="26.1" customHeight="1" thickBot="1" x14ac:dyDescent="0.3">
      <c r="A56" s="373">
        <v>230277</v>
      </c>
      <c r="B56" s="294" t="s">
        <v>155</v>
      </c>
      <c r="C56" s="374">
        <v>1</v>
      </c>
      <c r="D56" s="373" t="s">
        <v>219</v>
      </c>
      <c r="E56" s="374"/>
      <c r="F56" s="373" t="s">
        <v>73</v>
      </c>
      <c r="G56" s="294">
        <f>IF(F56="","",IFERROR(VLOOKUP(F56,'validation des champs'!A:B,2,FALSE),"vide"))</f>
        <v>101</v>
      </c>
      <c r="H56" s="294" t="s">
        <v>76</v>
      </c>
      <c r="I56" s="294" t="str">
        <f>IF(H56="","",IFERROR(VLOOKUP(H56,'validation des champs'!C:D,2,FALSE),"Mathieu 140"))</f>
        <v>Mathieu 140</v>
      </c>
      <c r="J56" s="375">
        <v>12.59</v>
      </c>
      <c r="K56" s="376">
        <v>45391</v>
      </c>
      <c r="L56" s="377">
        <v>0</v>
      </c>
      <c r="M56" s="378">
        <v>0</v>
      </c>
      <c r="N56" s="379">
        <v>1</v>
      </c>
      <c r="O56" s="378">
        <f t="shared" si="53"/>
        <v>0</v>
      </c>
      <c r="P56" s="380">
        <f t="shared" si="54"/>
        <v>0</v>
      </c>
      <c r="Q56" s="377">
        <v>19.838000000000001</v>
      </c>
      <c r="R56" s="378">
        <v>0</v>
      </c>
      <c r="S56" s="379">
        <v>1</v>
      </c>
      <c r="T56" s="378">
        <f t="shared" si="55"/>
        <v>0</v>
      </c>
      <c r="U56" s="381">
        <f t="shared" si="56"/>
        <v>0</v>
      </c>
      <c r="V56" s="382">
        <f t="shared" si="57"/>
        <v>19.838000000000001</v>
      </c>
      <c r="W56" s="377">
        <v>0</v>
      </c>
      <c r="X56" s="378">
        <v>0</v>
      </c>
      <c r="Y56" s="383">
        <v>1</v>
      </c>
      <c r="Z56" s="378">
        <f t="shared" si="58"/>
        <v>0</v>
      </c>
      <c r="AA56" s="380">
        <f t="shared" si="59"/>
        <v>0</v>
      </c>
      <c r="AB56" s="382">
        <f t="shared" si="60"/>
        <v>19.838000000000001</v>
      </c>
      <c r="AC56" s="384">
        <v>1</v>
      </c>
      <c r="AD56" s="378">
        <f t="shared" si="61"/>
        <v>19.838000000000001</v>
      </c>
      <c r="AE56" s="380">
        <f t="shared" si="62"/>
        <v>0</v>
      </c>
      <c r="AF56" s="385"/>
      <c r="AG56" s="373" t="s">
        <v>50</v>
      </c>
      <c r="AH56" s="386" t="s">
        <v>63</v>
      </c>
      <c r="AI56" s="373" t="s">
        <v>8</v>
      </c>
      <c r="AJ56" s="387" t="s">
        <v>5</v>
      </c>
      <c r="AK56" s="388" t="s">
        <v>8</v>
      </c>
      <c r="AL56" s="373" t="str">
        <f t="shared" si="63"/>
        <v>NON</v>
      </c>
      <c r="AM56" s="374" t="str">
        <f t="shared" si="64"/>
        <v>vendu</v>
      </c>
      <c r="AN56" s="389">
        <f t="shared" si="65"/>
        <v>2024</v>
      </c>
      <c r="AO56" s="390">
        <f t="shared" si="66"/>
        <v>15</v>
      </c>
      <c r="AP56" s="391"/>
      <c r="AQ56" s="374"/>
    </row>
    <row r="57" spans="1:43" s="35" customFormat="1" ht="26.1" customHeight="1" x14ac:dyDescent="0.25">
      <c r="A57" s="167">
        <v>240045</v>
      </c>
      <c r="B57" s="168" t="s">
        <v>324</v>
      </c>
      <c r="C57" s="169">
        <v>1</v>
      </c>
      <c r="D57" s="167" t="s">
        <v>223</v>
      </c>
      <c r="E57" s="169"/>
      <c r="F57" s="167" t="s">
        <v>194</v>
      </c>
      <c r="G57" s="168">
        <f>IF(F57="","",IFERROR(VLOOKUP(F57,'validation des champs'!A:B,2,FALSE),"vide"))</f>
        <v>124</v>
      </c>
      <c r="H57" s="168" t="s">
        <v>77</v>
      </c>
      <c r="I57" s="168">
        <f>IF(H57="","",IFERROR(VLOOKUP(H57,'validation des champs'!C:D,2,FALSE),"Mathieu 140"))</f>
        <v>146</v>
      </c>
      <c r="J57" s="371">
        <v>17</v>
      </c>
      <c r="K57" s="170">
        <v>45397</v>
      </c>
      <c r="L57" s="171">
        <v>4.9080000000000004</v>
      </c>
      <c r="M57" s="172">
        <v>0</v>
      </c>
      <c r="N57" s="173">
        <v>1</v>
      </c>
      <c r="O57" s="172">
        <v>0</v>
      </c>
      <c r="P57" s="174">
        <v>0</v>
      </c>
      <c r="Q57" s="171">
        <f>7.382-L57</f>
        <v>2.4739999999999993</v>
      </c>
      <c r="R57" s="172">
        <v>0</v>
      </c>
      <c r="S57" s="173">
        <v>1</v>
      </c>
      <c r="T57" s="172">
        <f t="shared" si="55"/>
        <v>0</v>
      </c>
      <c r="U57" s="175">
        <f t="shared" si="56"/>
        <v>0</v>
      </c>
      <c r="V57" s="176">
        <f t="shared" si="57"/>
        <v>7.3819999999999997</v>
      </c>
      <c r="W57" s="171">
        <v>0</v>
      </c>
      <c r="X57" s="172">
        <v>0</v>
      </c>
      <c r="Y57" s="177">
        <v>1</v>
      </c>
      <c r="Z57" s="172">
        <f t="shared" si="58"/>
        <v>0</v>
      </c>
      <c r="AA57" s="174">
        <f t="shared" si="59"/>
        <v>0</v>
      </c>
      <c r="AB57" s="176">
        <f t="shared" si="60"/>
        <v>7.3819999999999997</v>
      </c>
      <c r="AC57" s="178">
        <v>1</v>
      </c>
      <c r="AD57" s="172">
        <f t="shared" si="61"/>
        <v>7.3819999999999997</v>
      </c>
      <c r="AE57" s="174">
        <f t="shared" si="62"/>
        <v>0</v>
      </c>
      <c r="AF57" s="179"/>
      <c r="AG57" s="167" t="s">
        <v>19</v>
      </c>
      <c r="AH57" s="180" t="s">
        <v>63</v>
      </c>
      <c r="AI57" s="167" t="s">
        <v>4</v>
      </c>
      <c r="AJ57" s="181" t="s">
        <v>5</v>
      </c>
      <c r="AK57" s="182" t="s">
        <v>4</v>
      </c>
      <c r="AL57" s="167" t="str">
        <f t="shared" si="63"/>
        <v>NON</v>
      </c>
      <c r="AM57" s="169" t="str">
        <f t="shared" si="64"/>
        <v>vendu</v>
      </c>
      <c r="AN57" s="167">
        <f t="shared" si="65"/>
        <v>2024</v>
      </c>
      <c r="AO57" s="168">
        <f t="shared" si="66"/>
        <v>16</v>
      </c>
      <c r="AP57" s="168"/>
      <c r="AQ57" s="169"/>
    </row>
    <row r="58" spans="1:43" s="35" customFormat="1" ht="26.1" customHeight="1" x14ac:dyDescent="0.25">
      <c r="A58" s="138">
        <v>240089</v>
      </c>
      <c r="B58" s="139" t="s">
        <v>315</v>
      </c>
      <c r="C58" s="140">
        <v>1</v>
      </c>
      <c r="D58" s="138" t="s">
        <v>219</v>
      </c>
      <c r="E58" s="140"/>
      <c r="F58" s="138" t="s">
        <v>194</v>
      </c>
      <c r="G58" s="139">
        <f>IF(F58="","",IFERROR(VLOOKUP(F58,'validation des champs'!A:B,2,FALSE),"vide"))</f>
        <v>124</v>
      </c>
      <c r="H58" s="139" t="s">
        <v>179</v>
      </c>
      <c r="I58" s="139" t="str">
        <f>IF(H58="","",IFERROR(VLOOKUP(H58,'validation des champs'!C:D,2,FALSE),"Mathieu 140"))</f>
        <v>Mathieu 140</v>
      </c>
      <c r="J58" s="293">
        <v>7</v>
      </c>
      <c r="K58" s="141">
        <v>45377</v>
      </c>
      <c r="L58" s="166">
        <v>0.57399999999999995</v>
      </c>
      <c r="M58" s="143">
        <v>0</v>
      </c>
      <c r="N58" s="144">
        <v>1</v>
      </c>
      <c r="O58" s="143">
        <v>0</v>
      </c>
      <c r="P58" s="145">
        <v>0</v>
      </c>
      <c r="Q58" s="142">
        <v>0</v>
      </c>
      <c r="R58" s="143">
        <v>0</v>
      </c>
      <c r="S58" s="144">
        <v>1</v>
      </c>
      <c r="T58" s="143">
        <f>+S58*R58</f>
        <v>0</v>
      </c>
      <c r="U58" s="146">
        <f>+R58-T58</f>
        <v>0</v>
      </c>
      <c r="V58" s="147">
        <f>+Q58+L58</f>
        <v>0.57399999999999995</v>
      </c>
      <c r="W58" s="142">
        <v>0</v>
      </c>
      <c r="X58" s="143">
        <v>0</v>
      </c>
      <c r="Y58" s="153">
        <v>1</v>
      </c>
      <c r="Z58" s="143">
        <f>+X58*Y58</f>
        <v>0</v>
      </c>
      <c r="AA58" s="145">
        <f>+X58-Z58</f>
        <v>0</v>
      </c>
      <c r="AB58" s="147">
        <f>+L58+Q58+W58</f>
        <v>0.57399999999999995</v>
      </c>
      <c r="AC58" s="148">
        <v>1</v>
      </c>
      <c r="AD58" s="143">
        <f>+AC58*V58</f>
        <v>0.57399999999999995</v>
      </c>
      <c r="AE58" s="145">
        <f>+V58-AD58</f>
        <v>0</v>
      </c>
      <c r="AF58" s="149"/>
      <c r="AG58" s="138" t="s">
        <v>66</v>
      </c>
      <c r="AH58" s="150" t="s">
        <v>63</v>
      </c>
      <c r="AI58" s="138" t="s">
        <v>115</v>
      </c>
      <c r="AJ58" s="151" t="s">
        <v>5</v>
      </c>
      <c r="AK58" s="152" t="s">
        <v>8</v>
      </c>
      <c r="AL58" s="138" t="str">
        <f>IF(B58="","",IF(LEFT(B58,2)="FC","OUI","NON"))</f>
        <v>OUI</v>
      </c>
      <c r="AM58" s="140" t="str">
        <f>IF(A58="","incertain","vendu")</f>
        <v>vendu</v>
      </c>
      <c r="AN58" s="138">
        <f>YEAR(K58)</f>
        <v>2024</v>
      </c>
      <c r="AO58" s="294">
        <f>_xlfn.ISOWEEKNUM(K58)</f>
        <v>13</v>
      </c>
      <c r="AP58" s="139"/>
      <c r="AQ58" s="140"/>
    </row>
    <row r="59" spans="1:43" s="35" customFormat="1" ht="26.1" customHeight="1" x14ac:dyDescent="0.25">
      <c r="A59" s="373">
        <v>240050</v>
      </c>
      <c r="B59" s="294" t="s">
        <v>344</v>
      </c>
      <c r="C59" s="374">
        <v>1</v>
      </c>
      <c r="D59" s="373" t="s">
        <v>219</v>
      </c>
      <c r="E59" s="374"/>
      <c r="F59" s="373" t="s">
        <v>194</v>
      </c>
      <c r="G59" s="294">
        <f>IF(F59="","",IFERROR(VLOOKUP(F59,'validation des champs'!A:B,2,FALSE),"vide"))</f>
        <v>124</v>
      </c>
      <c r="H59" s="294" t="s">
        <v>179</v>
      </c>
      <c r="I59" s="294" t="str">
        <f>IF(H59="","",IFERROR(VLOOKUP(H59,'validation des champs'!C:D,2,FALSE),"Mathieu 140"))</f>
        <v>Mathieu 140</v>
      </c>
      <c r="J59" s="375">
        <v>10.5</v>
      </c>
      <c r="K59" s="376">
        <v>45380</v>
      </c>
      <c r="L59" s="377">
        <v>2.12</v>
      </c>
      <c r="M59" s="378">
        <v>0</v>
      </c>
      <c r="N59" s="379">
        <v>1</v>
      </c>
      <c r="O59" s="378">
        <v>0</v>
      </c>
      <c r="P59" s="380">
        <v>0</v>
      </c>
      <c r="Q59" s="377">
        <v>0</v>
      </c>
      <c r="R59" s="378">
        <v>0</v>
      </c>
      <c r="S59" s="379">
        <v>1</v>
      </c>
      <c r="T59" s="378">
        <f>+S59*R59</f>
        <v>0</v>
      </c>
      <c r="U59" s="381">
        <f>+R59-T59</f>
        <v>0</v>
      </c>
      <c r="V59" s="382">
        <f>+Q59+L59</f>
        <v>2.12</v>
      </c>
      <c r="W59" s="377">
        <v>0</v>
      </c>
      <c r="X59" s="378">
        <v>0</v>
      </c>
      <c r="Y59" s="383">
        <v>1</v>
      </c>
      <c r="Z59" s="378">
        <f>+X59*Y59</f>
        <v>0</v>
      </c>
      <c r="AA59" s="380">
        <f>+X59-Z59</f>
        <v>0</v>
      </c>
      <c r="AB59" s="382">
        <f>+L59+Q59+W59</f>
        <v>2.12</v>
      </c>
      <c r="AC59" s="384">
        <v>1</v>
      </c>
      <c r="AD59" s="378">
        <f>+AC59*V59</f>
        <v>2.12</v>
      </c>
      <c r="AE59" s="380">
        <f>+V59-AD59</f>
        <v>0</v>
      </c>
      <c r="AF59" s="385"/>
      <c r="AG59" s="373" t="s">
        <v>19</v>
      </c>
      <c r="AH59" s="386" t="s">
        <v>63</v>
      </c>
      <c r="AI59" s="373" t="s">
        <v>8</v>
      </c>
      <c r="AJ59" s="387" t="s">
        <v>5</v>
      </c>
      <c r="AK59" s="388" t="s">
        <v>8</v>
      </c>
      <c r="AL59" s="373" t="str">
        <f>IF(B59="","",IF(LEFT(B59,2)="FC","OUI","NON"))</f>
        <v>OUI</v>
      </c>
      <c r="AM59" s="374" t="str">
        <f>IF(A59="","incertain","vendu")</f>
        <v>vendu</v>
      </c>
      <c r="AN59" s="389">
        <f>YEAR(K59)</f>
        <v>2024</v>
      </c>
      <c r="AO59" s="294">
        <f>_xlfn.ISOWEEKNUM(K59)</f>
        <v>13</v>
      </c>
      <c r="AP59" s="391"/>
      <c r="AQ59" s="374"/>
    </row>
    <row r="60" spans="1:43" s="35" customFormat="1" ht="26.1" customHeight="1" x14ac:dyDescent="0.25">
      <c r="A60" s="167">
        <v>220421</v>
      </c>
      <c r="B60" s="168" t="s">
        <v>253</v>
      </c>
      <c r="C60" s="169">
        <v>2</v>
      </c>
      <c r="D60" s="167" t="s">
        <v>225</v>
      </c>
      <c r="E60" s="169"/>
      <c r="F60" s="167" t="s">
        <v>72</v>
      </c>
      <c r="G60" s="168">
        <f>IF(F60="","",IFERROR(VLOOKUP(F60,'validation des champs'!A:B,2,FALSE),"vide"))</f>
        <v>117</v>
      </c>
      <c r="H60" s="168" t="s">
        <v>106</v>
      </c>
      <c r="I60" s="168">
        <f>IF(H60="","",IFERROR(VLOOKUP(H60,'validation des champs'!C:D,2,FALSE),"Mathieu 140"))</f>
        <v>123</v>
      </c>
      <c r="J60" s="371">
        <v>12.26</v>
      </c>
      <c r="K60" s="170">
        <v>45397</v>
      </c>
      <c r="L60" s="171">
        <v>85.492999999999995</v>
      </c>
      <c r="M60" s="172">
        <v>0</v>
      </c>
      <c r="N60" s="173">
        <v>1</v>
      </c>
      <c r="O60" s="172">
        <f>+N60*M60</f>
        <v>0</v>
      </c>
      <c r="P60" s="174">
        <f>+M60-O60</f>
        <v>0</v>
      </c>
      <c r="Q60" s="171">
        <f>21.788+1.28+0.842</f>
        <v>23.91</v>
      </c>
      <c r="R60" s="172">
        <v>25</v>
      </c>
      <c r="S60" s="173">
        <v>1</v>
      </c>
      <c r="T60" s="172">
        <f t="shared" ref="T60:T62" si="67">+S60*R60</f>
        <v>25</v>
      </c>
      <c r="U60" s="175">
        <f t="shared" ref="U60:U62" si="68">+R60-T60</f>
        <v>0</v>
      </c>
      <c r="V60" s="176">
        <f t="shared" ref="V60:V62" si="69">+Q60+L60</f>
        <v>109.40299999999999</v>
      </c>
      <c r="W60" s="421">
        <v>0</v>
      </c>
      <c r="X60" s="172">
        <v>1.24</v>
      </c>
      <c r="Y60" s="177">
        <v>1</v>
      </c>
      <c r="Z60" s="172">
        <f t="shared" ref="Z60:Z62" si="70">+X60*Y60</f>
        <v>1.24</v>
      </c>
      <c r="AA60" s="174">
        <f t="shared" ref="AA60:AA62" si="71">+X60-Z60</f>
        <v>0</v>
      </c>
      <c r="AB60" s="176">
        <f t="shared" ref="AB60:AB62" si="72">+L60+Q60+W60</f>
        <v>109.40299999999999</v>
      </c>
      <c r="AC60" s="178">
        <v>1</v>
      </c>
      <c r="AD60" s="172">
        <f t="shared" ref="AD60:AD62" si="73">+AC60*V60</f>
        <v>109.40299999999999</v>
      </c>
      <c r="AE60" s="174">
        <f t="shared" ref="AE60:AE62" si="74">+V60-AD60</f>
        <v>0</v>
      </c>
      <c r="AF60" s="179"/>
      <c r="AG60" s="167" t="s">
        <v>19</v>
      </c>
      <c r="AH60" s="180" t="s">
        <v>63</v>
      </c>
      <c r="AI60" s="167" t="s">
        <v>4</v>
      </c>
      <c r="AJ60" s="181" t="s">
        <v>5</v>
      </c>
      <c r="AK60" s="182" t="s">
        <v>4</v>
      </c>
      <c r="AL60" s="167" t="str">
        <f t="shared" ref="AL60:AL62" si="75">IF(B60="","",IF(LEFT(B60,2)="FC","OUI","NON"))</f>
        <v>NON</v>
      </c>
      <c r="AM60" s="169" t="str">
        <f t="shared" ref="AM60:AM62" si="76">IF(A60="","incertain","vendu")</f>
        <v>vendu</v>
      </c>
      <c r="AN60" s="167">
        <f t="shared" ref="AN60:AN62" si="77">YEAR(K60)</f>
        <v>2024</v>
      </c>
      <c r="AO60" s="168">
        <f t="shared" ref="AO60:AO62" si="78">_xlfn.ISOWEEKNUM(K60)</f>
        <v>16</v>
      </c>
      <c r="AP60" s="168"/>
      <c r="AQ60" s="169"/>
    </row>
    <row r="61" spans="1:43" s="35" customFormat="1" ht="26.1" customHeight="1" thickBot="1" x14ac:dyDescent="0.3">
      <c r="A61" s="138">
        <v>220421</v>
      </c>
      <c r="B61" s="139" t="s">
        <v>347</v>
      </c>
      <c r="C61" s="140">
        <v>2</v>
      </c>
      <c r="D61" s="138" t="s">
        <v>225</v>
      </c>
      <c r="E61" s="140"/>
      <c r="F61" s="138" t="s">
        <v>72</v>
      </c>
      <c r="G61" s="139">
        <f>IF(F61="","",IFERROR(VLOOKUP(F61,'validation des champs'!A:B,2,FALSE),"vide"))</f>
        <v>117</v>
      </c>
      <c r="H61" s="139" t="s">
        <v>106</v>
      </c>
      <c r="I61" s="139">
        <f>IF(H61="","",IFERROR(VLOOKUP(H61,'validation des champs'!C:D,2,FALSE),"Mathieu 140"))</f>
        <v>123</v>
      </c>
      <c r="J61" s="293">
        <v>31.06</v>
      </c>
      <c r="K61" s="141">
        <v>45398</v>
      </c>
      <c r="L61" s="142">
        <v>42.4</v>
      </c>
      <c r="M61" s="143">
        <v>0</v>
      </c>
      <c r="N61" s="144">
        <v>1</v>
      </c>
      <c r="O61" s="143">
        <f>+N61*M61</f>
        <v>0</v>
      </c>
      <c r="P61" s="145">
        <f>+M61-O61</f>
        <v>0</v>
      </c>
      <c r="Q61" s="142">
        <f>3.7+1.26</f>
        <v>4.96</v>
      </c>
      <c r="R61" s="143">
        <v>0</v>
      </c>
      <c r="S61" s="144">
        <v>0.9</v>
      </c>
      <c r="T61" s="143">
        <f t="shared" si="67"/>
        <v>0</v>
      </c>
      <c r="U61" s="146">
        <f t="shared" si="68"/>
        <v>0</v>
      </c>
      <c r="V61" s="147">
        <f t="shared" si="69"/>
        <v>47.36</v>
      </c>
      <c r="W61" s="155">
        <v>10.515000000000001</v>
      </c>
      <c r="X61" s="143">
        <v>0</v>
      </c>
      <c r="Y61" s="153">
        <v>1</v>
      </c>
      <c r="Z61" s="143">
        <f t="shared" si="70"/>
        <v>0</v>
      </c>
      <c r="AA61" s="145">
        <f t="shared" si="71"/>
        <v>0</v>
      </c>
      <c r="AB61" s="147">
        <f t="shared" si="72"/>
        <v>57.875</v>
      </c>
      <c r="AC61" s="148">
        <v>1</v>
      </c>
      <c r="AD61" s="143">
        <f t="shared" si="73"/>
        <v>47.36</v>
      </c>
      <c r="AE61" s="145">
        <f t="shared" si="74"/>
        <v>0</v>
      </c>
      <c r="AF61" s="149"/>
      <c r="AG61" s="138" t="s">
        <v>19</v>
      </c>
      <c r="AH61" s="150" t="s">
        <v>63</v>
      </c>
      <c r="AI61" s="138" t="s">
        <v>4</v>
      </c>
      <c r="AJ61" s="151" t="s">
        <v>5</v>
      </c>
      <c r="AK61" s="152" t="s">
        <v>4</v>
      </c>
      <c r="AL61" s="138" t="str">
        <f t="shared" si="75"/>
        <v>NON</v>
      </c>
      <c r="AM61" s="140" t="str">
        <f t="shared" si="76"/>
        <v>vendu</v>
      </c>
      <c r="AN61" s="138">
        <f t="shared" si="77"/>
        <v>2024</v>
      </c>
      <c r="AO61" s="139">
        <f t="shared" si="78"/>
        <v>16</v>
      </c>
      <c r="AP61" s="139"/>
      <c r="AQ61" s="140"/>
    </row>
    <row r="62" spans="1:43" s="35" customFormat="1" ht="26.1" customHeight="1" x14ac:dyDescent="0.25">
      <c r="A62" s="317">
        <v>230074</v>
      </c>
      <c r="B62" s="318" t="s">
        <v>256</v>
      </c>
      <c r="C62" s="319">
        <v>3</v>
      </c>
      <c r="D62" s="317" t="s">
        <v>219</v>
      </c>
      <c r="E62" s="319"/>
      <c r="F62" s="317" t="s">
        <v>72</v>
      </c>
      <c r="G62" s="318">
        <f>IF(F62="","",IFERROR(VLOOKUP(F62,'validation des champs'!A:B,2,FALSE),"vide"))</f>
        <v>117</v>
      </c>
      <c r="H62" s="318" t="s">
        <v>139</v>
      </c>
      <c r="I62" s="318">
        <f>IF(H62="","",IFERROR(VLOOKUP(H62,'validation des champs'!C:D,2,FALSE),"Mathieu 140"))</f>
        <v>134</v>
      </c>
      <c r="J62" s="320">
        <v>21</v>
      </c>
      <c r="K62" s="321">
        <v>45411</v>
      </c>
      <c r="L62" s="322">
        <v>7.56</v>
      </c>
      <c r="M62" s="323">
        <v>0</v>
      </c>
      <c r="N62" s="324">
        <v>1</v>
      </c>
      <c r="O62" s="323">
        <f>+N62*M62</f>
        <v>0</v>
      </c>
      <c r="P62" s="325">
        <f>+M62-O62</f>
        <v>0</v>
      </c>
      <c r="Q62" s="422">
        <v>14.22</v>
      </c>
      <c r="R62" s="323">
        <v>0</v>
      </c>
      <c r="S62" s="324">
        <v>1</v>
      </c>
      <c r="T62" s="323">
        <f t="shared" si="67"/>
        <v>0</v>
      </c>
      <c r="U62" s="326">
        <f t="shared" si="68"/>
        <v>0</v>
      </c>
      <c r="V62" s="327">
        <f t="shared" si="69"/>
        <v>21.78</v>
      </c>
      <c r="W62" s="322">
        <v>0</v>
      </c>
      <c r="X62" s="323">
        <v>0</v>
      </c>
      <c r="Y62" s="329">
        <v>1</v>
      </c>
      <c r="Z62" s="323">
        <f t="shared" si="70"/>
        <v>0</v>
      </c>
      <c r="AA62" s="325">
        <f t="shared" si="71"/>
        <v>0</v>
      </c>
      <c r="AB62" s="327">
        <f t="shared" si="72"/>
        <v>21.78</v>
      </c>
      <c r="AC62" s="330">
        <v>1</v>
      </c>
      <c r="AD62" s="323">
        <f t="shared" si="73"/>
        <v>21.78</v>
      </c>
      <c r="AE62" s="325">
        <f t="shared" si="74"/>
        <v>0</v>
      </c>
      <c r="AF62" s="331"/>
      <c r="AG62" s="317" t="s">
        <v>19</v>
      </c>
      <c r="AH62" s="332" t="s">
        <v>63</v>
      </c>
      <c r="AI62" s="317" t="s">
        <v>4</v>
      </c>
      <c r="AJ62" s="333" t="s">
        <v>5</v>
      </c>
      <c r="AK62" s="334" t="s">
        <v>4</v>
      </c>
      <c r="AL62" s="317" t="str">
        <f t="shared" si="75"/>
        <v>NON</v>
      </c>
      <c r="AM62" s="319" t="str">
        <f t="shared" si="76"/>
        <v>vendu</v>
      </c>
      <c r="AN62" s="317">
        <f t="shared" si="77"/>
        <v>2024</v>
      </c>
      <c r="AO62" s="168">
        <f t="shared" si="78"/>
        <v>18</v>
      </c>
      <c r="AP62" s="318"/>
      <c r="AQ62" s="319"/>
    </row>
    <row r="63" spans="1:43" s="35" customFormat="1" ht="26.1" customHeight="1" x14ac:dyDescent="0.25">
      <c r="A63" s="138">
        <v>220421</v>
      </c>
      <c r="B63" s="139" t="s">
        <v>348</v>
      </c>
      <c r="C63" s="140">
        <v>2</v>
      </c>
      <c r="D63" s="138" t="s">
        <v>225</v>
      </c>
      <c r="E63" s="140"/>
      <c r="F63" s="138" t="s">
        <v>72</v>
      </c>
      <c r="G63" s="139">
        <f>IF(F63="","",IFERROR(VLOOKUP(F63,'validation des champs'!A:B,2,FALSE),"vide"))</f>
        <v>117</v>
      </c>
      <c r="H63" s="139" t="s">
        <v>106</v>
      </c>
      <c r="I63" s="139">
        <f>IF(H63="","",IFERROR(VLOOKUP(H63,'validation des champs'!C:D,2,FALSE),"Mathieu 140"))</f>
        <v>123</v>
      </c>
      <c r="J63" s="293">
        <v>22.7</v>
      </c>
      <c r="K63" s="141">
        <v>45400</v>
      </c>
      <c r="L63" s="142">
        <v>44.15</v>
      </c>
      <c r="M63" s="143">
        <v>0</v>
      </c>
      <c r="N63" s="144">
        <v>1</v>
      </c>
      <c r="O63" s="143">
        <f>+N63*M63</f>
        <v>0</v>
      </c>
      <c r="P63" s="145">
        <f>+M63-O63</f>
        <v>0</v>
      </c>
      <c r="Q63" s="142">
        <v>0</v>
      </c>
      <c r="R63" s="143">
        <v>0</v>
      </c>
      <c r="S63" s="144">
        <v>1</v>
      </c>
      <c r="T63" s="143">
        <f>+S63*R63</f>
        <v>0</v>
      </c>
      <c r="U63" s="146">
        <f>+R63-T63</f>
        <v>0</v>
      </c>
      <c r="V63" s="147">
        <f>+Q63+L63</f>
        <v>44.15</v>
      </c>
      <c r="W63" s="155">
        <v>0</v>
      </c>
      <c r="X63" s="143">
        <v>0</v>
      </c>
      <c r="Y63" s="153">
        <v>1</v>
      </c>
      <c r="Z63" s="143">
        <f>+X63*Y63</f>
        <v>0</v>
      </c>
      <c r="AA63" s="145">
        <f>+X63-Z63</f>
        <v>0</v>
      </c>
      <c r="AB63" s="147">
        <f>+L63+Q63+W63</f>
        <v>44.15</v>
      </c>
      <c r="AC63" s="148">
        <v>1</v>
      </c>
      <c r="AD63" s="143">
        <f>+AC63*V63</f>
        <v>44.15</v>
      </c>
      <c r="AE63" s="145">
        <f>+V63-AD63</f>
        <v>0</v>
      </c>
      <c r="AF63" s="149"/>
      <c r="AG63" s="138" t="s">
        <v>19</v>
      </c>
      <c r="AH63" s="150" t="s">
        <v>63</v>
      </c>
      <c r="AI63" s="138" t="s">
        <v>4</v>
      </c>
      <c r="AJ63" s="151">
        <v>45366</v>
      </c>
      <c r="AK63" s="152" t="s">
        <v>4</v>
      </c>
      <c r="AL63" s="138" t="str">
        <f>IF(B63="","",IF(LEFT(B63,2)="FC","OUI","NON"))</f>
        <v>NON</v>
      </c>
      <c r="AM63" s="140" t="str">
        <f>IF(A63="","incertain","vendu")</f>
        <v>vendu</v>
      </c>
      <c r="AN63" s="138">
        <f>YEAR(K63)</f>
        <v>2024</v>
      </c>
      <c r="AO63" s="294">
        <f>_xlfn.ISOWEEKNUM(K63)</f>
        <v>16</v>
      </c>
      <c r="AP63" s="139"/>
      <c r="AQ63" s="140"/>
    </row>
    <row r="64" spans="1:43" s="35" customFormat="1" ht="26.1" customHeight="1" x14ac:dyDescent="0.25">
      <c r="A64" s="138">
        <v>230468</v>
      </c>
      <c r="B64" s="139" t="s">
        <v>343</v>
      </c>
      <c r="C64" s="140">
        <v>1</v>
      </c>
      <c r="D64" s="138" t="s">
        <v>219</v>
      </c>
      <c r="E64" s="140"/>
      <c r="F64" s="138" t="s">
        <v>71</v>
      </c>
      <c r="G64" s="139">
        <f>IF(F64="","",IFERROR(VLOOKUP(F64,'validation des champs'!A:B,2,FALSE),"vide"))</f>
        <v>135</v>
      </c>
      <c r="H64" s="139" t="s">
        <v>179</v>
      </c>
      <c r="I64" s="139" t="str">
        <f>IF(H64="","",IFERROR(VLOOKUP(H64,'validation des champs'!C:D,2,FALSE),"Mathieu 140"))</f>
        <v>Mathieu 140</v>
      </c>
      <c r="J64" s="293">
        <v>6</v>
      </c>
      <c r="K64" s="141">
        <v>45398</v>
      </c>
      <c r="L64" s="166">
        <v>5.9039999999999999</v>
      </c>
      <c r="M64" s="143">
        <v>0</v>
      </c>
      <c r="N64" s="144">
        <v>1</v>
      </c>
      <c r="O64" s="143">
        <v>0</v>
      </c>
      <c r="P64" s="145">
        <v>0</v>
      </c>
      <c r="Q64" s="142">
        <v>0</v>
      </c>
      <c r="R64" s="143">
        <v>0</v>
      </c>
      <c r="S64" s="144">
        <v>1</v>
      </c>
      <c r="T64" s="143">
        <f>+S64*R64</f>
        <v>0</v>
      </c>
      <c r="U64" s="146">
        <f>+R64-T64</f>
        <v>0</v>
      </c>
      <c r="V64" s="147">
        <f>+Q64+L64</f>
        <v>5.9039999999999999</v>
      </c>
      <c r="W64" s="142">
        <v>0</v>
      </c>
      <c r="X64" s="143">
        <v>0</v>
      </c>
      <c r="Y64" s="153">
        <v>1</v>
      </c>
      <c r="Z64" s="143">
        <f>+X64*Y64</f>
        <v>0</v>
      </c>
      <c r="AA64" s="145">
        <f>+X64-Z64</f>
        <v>0</v>
      </c>
      <c r="AB64" s="147">
        <f>+L64+Q64+W64</f>
        <v>5.9039999999999999</v>
      </c>
      <c r="AC64" s="148">
        <v>1</v>
      </c>
      <c r="AD64" s="143">
        <f>+AC64*V64</f>
        <v>5.9039999999999999</v>
      </c>
      <c r="AE64" s="145">
        <f>+V64-AD64</f>
        <v>0</v>
      </c>
      <c r="AF64" s="149"/>
      <c r="AG64" s="138" t="s">
        <v>19</v>
      </c>
      <c r="AH64" s="150" t="s">
        <v>63</v>
      </c>
      <c r="AI64" s="138" t="s">
        <v>8</v>
      </c>
      <c r="AJ64" s="151" t="s">
        <v>5</v>
      </c>
      <c r="AK64" s="152" t="s">
        <v>8</v>
      </c>
      <c r="AL64" s="138" t="str">
        <f>IF(B64="","",IF(LEFT(B64,2)="FC","OUI","NON"))</f>
        <v>OUI</v>
      </c>
      <c r="AM64" s="140" t="str">
        <f>IF(A64="","incertain","vendu")</f>
        <v>vendu</v>
      </c>
      <c r="AN64" s="138">
        <f>YEAR(K64)</f>
        <v>2024</v>
      </c>
      <c r="AO64" s="139">
        <f>_xlfn.ISOWEEKNUM(K64)</f>
        <v>16</v>
      </c>
      <c r="AP64" s="139"/>
      <c r="AQ64" s="140"/>
    </row>
    <row r="65" spans="1:43" s="35" customFormat="1" ht="26.1" customHeight="1" thickBot="1" x14ac:dyDescent="0.3">
      <c r="A65" s="373">
        <v>230393</v>
      </c>
      <c r="B65" s="294" t="s">
        <v>359</v>
      </c>
      <c r="C65" s="374">
        <v>7</v>
      </c>
      <c r="D65" s="373" t="s">
        <v>219</v>
      </c>
      <c r="E65" s="374"/>
      <c r="F65" s="373" t="s">
        <v>73</v>
      </c>
      <c r="G65" s="294">
        <f>IF(F65="","",IFERROR(VLOOKUP(F65,'validation des champs'!A:B,2,FALSE),"vide"))</f>
        <v>101</v>
      </c>
      <c r="H65" s="294" t="s">
        <v>81</v>
      </c>
      <c r="I65" s="294" t="str">
        <f>IF(H65="","",IFERROR(VLOOKUP(H65,'validation des champs'!C:D,2,FALSE),"Mathieu 140"))</f>
        <v>Mathieu 140</v>
      </c>
      <c r="J65" s="375">
        <v>12.5</v>
      </c>
      <c r="K65" s="376">
        <v>45401</v>
      </c>
      <c r="L65" s="377">
        <v>0</v>
      </c>
      <c r="M65" s="378">
        <v>0</v>
      </c>
      <c r="N65" s="379">
        <v>1</v>
      </c>
      <c r="O65" s="378">
        <f>+N65*M65</f>
        <v>0</v>
      </c>
      <c r="P65" s="380">
        <f>+M65-O65</f>
        <v>0</v>
      </c>
      <c r="Q65" s="377">
        <v>11.5</v>
      </c>
      <c r="R65" s="378">
        <v>22</v>
      </c>
      <c r="S65" s="379">
        <v>1</v>
      </c>
      <c r="T65" s="378">
        <f>+S65*R65</f>
        <v>22</v>
      </c>
      <c r="U65" s="381">
        <f>+R65-T65</f>
        <v>0</v>
      </c>
      <c r="V65" s="382">
        <f>+Q65+L65</f>
        <v>11.5</v>
      </c>
      <c r="W65" s="377">
        <v>0</v>
      </c>
      <c r="X65" s="378">
        <v>0</v>
      </c>
      <c r="Y65" s="383">
        <v>1</v>
      </c>
      <c r="Z65" s="378">
        <f>+X65*Y65</f>
        <v>0</v>
      </c>
      <c r="AA65" s="380">
        <f>+X65-Z65</f>
        <v>0</v>
      </c>
      <c r="AB65" s="382">
        <f>+L65+Q65+W65</f>
        <v>11.5</v>
      </c>
      <c r="AC65" s="384">
        <v>1</v>
      </c>
      <c r="AD65" s="378">
        <f>+AC65*V65</f>
        <v>11.5</v>
      </c>
      <c r="AE65" s="380">
        <f>+V65-AD65</f>
        <v>0</v>
      </c>
      <c r="AF65" s="385"/>
      <c r="AG65" s="373" t="s">
        <v>19</v>
      </c>
      <c r="AH65" s="386" t="s">
        <v>63</v>
      </c>
      <c r="AI65" s="373" t="s">
        <v>8</v>
      </c>
      <c r="AJ65" s="387" t="s">
        <v>5</v>
      </c>
      <c r="AK65" s="388" t="s">
        <v>8</v>
      </c>
      <c r="AL65" s="373" t="str">
        <f>IF(B65="","",IF(LEFT(B65,2)="FC","OUI","NON"))</f>
        <v>NON</v>
      </c>
      <c r="AM65" s="374" t="str">
        <f>IF(A65="","incertain","vendu")</f>
        <v>vendu</v>
      </c>
      <c r="AN65" s="389">
        <f>YEAR(K65)</f>
        <v>2024</v>
      </c>
      <c r="AO65" s="390">
        <f>_xlfn.ISOWEEKNUM(K65)</f>
        <v>16</v>
      </c>
      <c r="AP65" s="391"/>
      <c r="AQ65" s="374"/>
    </row>
    <row r="66" spans="1:43" s="35" customFormat="1" ht="26.1" customHeight="1" x14ac:dyDescent="0.25">
      <c r="A66" s="138">
        <v>230492</v>
      </c>
      <c r="B66" s="139" t="s">
        <v>104</v>
      </c>
      <c r="C66" s="140">
        <v>1</v>
      </c>
      <c r="D66" s="138" t="s">
        <v>221</v>
      </c>
      <c r="E66" s="140"/>
      <c r="F66" s="138" t="s">
        <v>194</v>
      </c>
      <c r="G66" s="139">
        <f>IF(F66="","",IFERROR(VLOOKUP(F66,'validation des champs'!A:B,2,FALSE),"vide"))</f>
        <v>124</v>
      </c>
      <c r="H66" s="139" t="s">
        <v>82</v>
      </c>
      <c r="I66" s="139" t="str">
        <f>IF(H66="","",IFERROR(VLOOKUP(H66,'validation des champs'!C:D,2,FALSE),"Mathieu 140"))</f>
        <v>Mathieu 140</v>
      </c>
      <c r="J66" s="293">
        <v>23.6</v>
      </c>
      <c r="K66" s="432">
        <v>45404</v>
      </c>
      <c r="L66" s="142">
        <v>33.28</v>
      </c>
      <c r="M66" s="143">
        <v>0</v>
      </c>
      <c r="N66" s="144">
        <v>1</v>
      </c>
      <c r="O66" s="143">
        <v>0</v>
      </c>
      <c r="P66" s="145">
        <v>0</v>
      </c>
      <c r="Q66" s="142">
        <f>48.84+0.25</f>
        <v>49.09</v>
      </c>
      <c r="R66" s="143">
        <v>25</v>
      </c>
      <c r="S66" s="144">
        <v>1</v>
      </c>
      <c r="T66" s="143">
        <f>+S66*R66</f>
        <v>25</v>
      </c>
      <c r="U66" s="146">
        <f>+R66-T66</f>
        <v>0</v>
      </c>
      <c r="V66" s="147">
        <f>+Q66+L66</f>
        <v>82.37</v>
      </c>
      <c r="W66" s="142">
        <v>1</v>
      </c>
      <c r="X66" s="143">
        <v>0</v>
      </c>
      <c r="Y66" s="153">
        <v>1</v>
      </c>
      <c r="Z66" s="143">
        <f>+X66*Y66</f>
        <v>0</v>
      </c>
      <c r="AA66" s="145">
        <f>+X66-Z66</f>
        <v>0</v>
      </c>
      <c r="AB66" s="147">
        <f>+L66+Q66+W66</f>
        <v>83.37</v>
      </c>
      <c r="AC66" s="148">
        <v>1</v>
      </c>
      <c r="AD66" s="143">
        <f>+AC66*V66</f>
        <v>82.37</v>
      </c>
      <c r="AE66" s="145">
        <f>+V66-AD66</f>
        <v>0</v>
      </c>
      <c r="AF66" s="149"/>
      <c r="AG66" s="138" t="s">
        <v>90</v>
      </c>
      <c r="AH66" s="150" t="s">
        <v>63</v>
      </c>
      <c r="AI66" s="138" t="s">
        <v>4</v>
      </c>
      <c r="AJ66" s="151" t="s">
        <v>5</v>
      </c>
      <c r="AK66" s="152" t="s">
        <v>4</v>
      </c>
      <c r="AL66" s="138" t="str">
        <f>IF(B66="","",IF(LEFT(B66,2)="FC","OUI","NON"))</f>
        <v>NON</v>
      </c>
      <c r="AM66" s="140" t="str">
        <f>IF(A66="","incertain","vendu")</f>
        <v>vendu</v>
      </c>
      <c r="AN66" s="138">
        <f>YEAR(K66)</f>
        <v>2024</v>
      </c>
      <c r="AO66" s="139">
        <f>_xlfn.ISOWEEKNUM(K66)</f>
        <v>17</v>
      </c>
      <c r="AP66" s="139"/>
      <c r="AQ66" s="140"/>
    </row>
    <row r="67" spans="1:43" s="35" customFormat="1" ht="26.1" customHeight="1" x14ac:dyDescent="0.25">
      <c r="A67" s="167">
        <v>220421</v>
      </c>
      <c r="B67" s="168" t="s">
        <v>349</v>
      </c>
      <c r="C67" s="169">
        <v>4</v>
      </c>
      <c r="D67" s="167" t="s">
        <v>225</v>
      </c>
      <c r="E67" s="169"/>
      <c r="F67" s="167" t="s">
        <v>72</v>
      </c>
      <c r="G67" s="168">
        <v>117</v>
      </c>
      <c r="H67" s="168" t="s">
        <v>106</v>
      </c>
      <c r="I67" s="168">
        <v>123</v>
      </c>
      <c r="J67" s="371">
        <v>19.71</v>
      </c>
      <c r="K67" s="170">
        <v>45406</v>
      </c>
      <c r="L67" s="171">
        <v>48.478999999999999</v>
      </c>
      <c r="M67" s="172">
        <v>0</v>
      </c>
      <c r="N67" s="173">
        <v>1</v>
      </c>
      <c r="O67" s="172">
        <v>0</v>
      </c>
      <c r="P67" s="174">
        <v>0</v>
      </c>
      <c r="Q67" s="171">
        <v>0</v>
      </c>
      <c r="R67" s="172">
        <v>0</v>
      </c>
      <c r="S67" s="173">
        <v>1</v>
      </c>
      <c r="T67" s="172">
        <v>0</v>
      </c>
      <c r="U67" s="175">
        <v>0</v>
      </c>
      <c r="V67" s="176">
        <v>48.478999999999999</v>
      </c>
      <c r="W67" s="421">
        <v>0</v>
      </c>
      <c r="X67" s="172">
        <v>0</v>
      </c>
      <c r="Y67" s="177">
        <v>1</v>
      </c>
      <c r="Z67" s="172">
        <v>0</v>
      </c>
      <c r="AA67" s="174">
        <v>0</v>
      </c>
      <c r="AB67" s="176">
        <v>48.478999999999999</v>
      </c>
      <c r="AC67" s="178">
        <v>1</v>
      </c>
      <c r="AD67" s="172">
        <v>48.478999999999999</v>
      </c>
      <c r="AE67" s="174">
        <v>0</v>
      </c>
      <c r="AF67" s="179"/>
      <c r="AG67" s="167" t="s">
        <v>19</v>
      </c>
      <c r="AH67" s="180" t="s">
        <v>63</v>
      </c>
      <c r="AI67" s="167" t="s">
        <v>4</v>
      </c>
      <c r="AJ67" s="181">
        <v>45366</v>
      </c>
      <c r="AK67" s="182" t="s">
        <v>4</v>
      </c>
      <c r="AL67" s="167" t="s">
        <v>115</v>
      </c>
      <c r="AM67" s="169" t="s">
        <v>377</v>
      </c>
      <c r="AN67" s="167">
        <v>2024</v>
      </c>
      <c r="AO67" s="168">
        <v>17</v>
      </c>
      <c r="AP67" s="168"/>
      <c r="AQ67" s="169"/>
    </row>
    <row r="68" spans="1:43" s="35" customFormat="1" ht="26.1" customHeight="1" x14ac:dyDescent="0.25">
      <c r="A68" s="138">
        <v>220421</v>
      </c>
      <c r="B68" s="139" t="s">
        <v>350</v>
      </c>
      <c r="C68" s="140">
        <v>4</v>
      </c>
      <c r="D68" s="138" t="s">
        <v>225</v>
      </c>
      <c r="E68" s="140"/>
      <c r="F68" s="138" t="s">
        <v>72</v>
      </c>
      <c r="G68" s="139">
        <v>117</v>
      </c>
      <c r="H68" s="139" t="s">
        <v>106</v>
      </c>
      <c r="I68" s="139">
        <v>123</v>
      </c>
      <c r="J68" s="293">
        <v>19.71</v>
      </c>
      <c r="K68" s="141">
        <v>45407</v>
      </c>
      <c r="L68" s="142">
        <v>14.945</v>
      </c>
      <c r="M68" s="143">
        <v>0</v>
      </c>
      <c r="N68" s="144">
        <v>1</v>
      </c>
      <c r="O68" s="143">
        <v>0</v>
      </c>
      <c r="P68" s="145">
        <v>0</v>
      </c>
      <c r="Q68" s="142">
        <v>0</v>
      </c>
      <c r="R68" s="143">
        <v>0</v>
      </c>
      <c r="S68" s="144">
        <v>1</v>
      </c>
      <c r="T68" s="143">
        <v>0</v>
      </c>
      <c r="U68" s="146">
        <v>0</v>
      </c>
      <c r="V68" s="147">
        <v>14.945</v>
      </c>
      <c r="W68" s="155">
        <v>0</v>
      </c>
      <c r="X68" s="143">
        <v>0</v>
      </c>
      <c r="Y68" s="153">
        <v>1</v>
      </c>
      <c r="Z68" s="143">
        <v>0</v>
      </c>
      <c r="AA68" s="145">
        <v>0</v>
      </c>
      <c r="AB68" s="147">
        <v>14.945</v>
      </c>
      <c r="AC68" s="148">
        <v>1</v>
      </c>
      <c r="AD68" s="143">
        <v>14.945</v>
      </c>
      <c r="AE68" s="145">
        <v>0</v>
      </c>
      <c r="AF68" s="149"/>
      <c r="AG68" s="138" t="s">
        <v>19</v>
      </c>
      <c r="AH68" s="150" t="s">
        <v>63</v>
      </c>
      <c r="AI68" s="138" t="s">
        <v>4</v>
      </c>
      <c r="AJ68" s="151">
        <v>45366</v>
      </c>
      <c r="AK68" s="152" t="s">
        <v>4</v>
      </c>
      <c r="AL68" s="138" t="s">
        <v>115</v>
      </c>
      <c r="AM68" s="140" t="s">
        <v>377</v>
      </c>
      <c r="AN68" s="138">
        <v>2024</v>
      </c>
      <c r="AO68" s="294">
        <v>17</v>
      </c>
      <c r="AP68" s="139"/>
      <c r="AQ68" s="140"/>
    </row>
  </sheetData>
  <conditionalFormatting sqref="B2:B11">
    <cfRule type="duplicateValues" dxfId="101" priority="211"/>
  </conditionalFormatting>
  <conditionalFormatting sqref="B12:B16">
    <cfRule type="duplicateValues" dxfId="100" priority="205"/>
  </conditionalFormatting>
  <conditionalFormatting sqref="B17">
    <cfRule type="duplicateValues" dxfId="99" priority="196"/>
  </conditionalFormatting>
  <conditionalFormatting sqref="S2:S18">
    <cfRule type="colorScale" priority="195">
      <colorScale>
        <cfvo type="num" val="0"/>
        <cfvo type="num" val="1"/>
        <color rgb="FFFF0000"/>
        <color rgb="FF00B050"/>
      </colorScale>
    </cfRule>
  </conditionalFormatting>
  <conditionalFormatting sqref="N2:N18">
    <cfRule type="colorScale" priority="192">
      <colorScale>
        <cfvo type="num" val="0"/>
        <cfvo type="num" val="1"/>
        <color rgb="FFFF0000"/>
        <color rgb="FF00B050"/>
      </colorScale>
    </cfRule>
  </conditionalFormatting>
  <conditionalFormatting sqref="Y18">
    <cfRule type="colorScale" priority="190">
      <colorScale>
        <cfvo type="num" val="0"/>
        <cfvo type="num" val="1"/>
        <color rgb="FFFF0000"/>
        <color rgb="FF00B050"/>
      </colorScale>
    </cfRule>
  </conditionalFormatting>
  <conditionalFormatting sqref="Y17">
    <cfRule type="colorScale" priority="188">
      <colorScale>
        <cfvo type="num" val="0"/>
        <cfvo type="num" val="1"/>
        <color rgb="FFFF0000"/>
        <color rgb="FF00B050"/>
      </colorScale>
    </cfRule>
  </conditionalFormatting>
  <conditionalFormatting sqref="Y16">
    <cfRule type="colorScale" priority="187">
      <colorScale>
        <cfvo type="num" val="0"/>
        <cfvo type="num" val="1"/>
        <color rgb="FFFF0000"/>
        <color rgb="FF00B050"/>
      </colorScale>
    </cfRule>
  </conditionalFormatting>
  <conditionalFormatting sqref="Y15">
    <cfRule type="colorScale" priority="186">
      <colorScale>
        <cfvo type="num" val="0"/>
        <cfvo type="num" val="1"/>
        <color rgb="FFFF0000"/>
        <color rgb="FF00B050"/>
      </colorScale>
    </cfRule>
  </conditionalFormatting>
  <conditionalFormatting sqref="Y14">
    <cfRule type="colorScale" priority="185">
      <colorScale>
        <cfvo type="num" val="0"/>
        <cfvo type="num" val="1"/>
        <color rgb="FFFF0000"/>
        <color rgb="FF00B050"/>
      </colorScale>
    </cfRule>
  </conditionalFormatting>
  <conditionalFormatting sqref="Y13">
    <cfRule type="colorScale" priority="184">
      <colorScale>
        <cfvo type="num" val="0"/>
        <cfvo type="num" val="1"/>
        <color rgb="FFFF0000"/>
        <color rgb="FF00B050"/>
      </colorScale>
    </cfRule>
  </conditionalFormatting>
  <conditionalFormatting sqref="Y12">
    <cfRule type="colorScale" priority="183">
      <colorScale>
        <cfvo type="num" val="0"/>
        <cfvo type="num" val="1"/>
        <color rgb="FFFF0000"/>
        <color rgb="FF00B050"/>
      </colorScale>
    </cfRule>
  </conditionalFormatting>
  <conditionalFormatting sqref="Y11">
    <cfRule type="colorScale" priority="182">
      <colorScale>
        <cfvo type="num" val="0"/>
        <cfvo type="num" val="1"/>
        <color rgb="FFFF0000"/>
        <color rgb="FF00B050"/>
      </colorScale>
    </cfRule>
  </conditionalFormatting>
  <conditionalFormatting sqref="Y10">
    <cfRule type="colorScale" priority="181">
      <colorScale>
        <cfvo type="num" val="0"/>
        <cfvo type="num" val="1"/>
        <color rgb="FFFF0000"/>
        <color rgb="FF00B050"/>
      </colorScale>
    </cfRule>
  </conditionalFormatting>
  <conditionalFormatting sqref="Y9">
    <cfRule type="colorScale" priority="180">
      <colorScale>
        <cfvo type="num" val="0"/>
        <cfvo type="num" val="1"/>
        <color rgb="FFFF0000"/>
        <color rgb="FF00B050"/>
      </colorScale>
    </cfRule>
  </conditionalFormatting>
  <conditionalFormatting sqref="Y8">
    <cfRule type="colorScale" priority="179">
      <colorScale>
        <cfvo type="num" val="0"/>
        <cfvo type="num" val="1"/>
        <color rgb="FFFF0000"/>
        <color rgb="FF00B050"/>
      </colorScale>
    </cfRule>
  </conditionalFormatting>
  <conditionalFormatting sqref="Y7">
    <cfRule type="colorScale" priority="178">
      <colorScale>
        <cfvo type="num" val="0"/>
        <cfvo type="num" val="1"/>
        <color rgb="FFFF0000"/>
        <color rgb="FF00B050"/>
      </colorScale>
    </cfRule>
  </conditionalFormatting>
  <conditionalFormatting sqref="Y6">
    <cfRule type="colorScale" priority="177">
      <colorScale>
        <cfvo type="num" val="0"/>
        <cfvo type="num" val="1"/>
        <color rgb="FFFF0000"/>
        <color rgb="FF00B050"/>
      </colorScale>
    </cfRule>
  </conditionalFormatting>
  <conditionalFormatting sqref="Y5">
    <cfRule type="colorScale" priority="176">
      <colorScale>
        <cfvo type="num" val="0"/>
        <cfvo type="num" val="1"/>
        <color rgb="FFFF0000"/>
        <color rgb="FF00B050"/>
      </colorScale>
    </cfRule>
  </conditionalFormatting>
  <conditionalFormatting sqref="Y4">
    <cfRule type="colorScale" priority="175">
      <colorScale>
        <cfvo type="num" val="0"/>
        <cfvo type="num" val="1"/>
        <color rgb="FFFF0000"/>
        <color rgb="FF00B050"/>
      </colorScale>
    </cfRule>
  </conditionalFormatting>
  <conditionalFormatting sqref="Y3">
    <cfRule type="colorScale" priority="174">
      <colorScale>
        <cfvo type="num" val="0"/>
        <cfvo type="num" val="1"/>
        <color rgb="FFFF0000"/>
        <color rgb="FF00B050"/>
      </colorScale>
    </cfRule>
  </conditionalFormatting>
  <conditionalFormatting sqref="Y2">
    <cfRule type="colorScale" priority="173">
      <colorScale>
        <cfvo type="num" val="0"/>
        <cfvo type="num" val="1"/>
        <color rgb="FFFF0000"/>
        <color rgb="FF00B050"/>
      </colorScale>
    </cfRule>
  </conditionalFormatting>
  <conditionalFormatting sqref="AC18">
    <cfRule type="colorScale" priority="169">
      <colorScale>
        <cfvo type="num" val="0"/>
        <cfvo type="num" val="1"/>
        <color rgb="FFFF0000"/>
        <color rgb="FF00B050"/>
      </colorScale>
    </cfRule>
  </conditionalFormatting>
  <conditionalFormatting sqref="AC17">
    <cfRule type="colorScale" priority="168">
      <colorScale>
        <cfvo type="num" val="0"/>
        <cfvo type="num" val="1"/>
        <color rgb="FFFF0000"/>
        <color rgb="FF00B050"/>
      </colorScale>
    </cfRule>
  </conditionalFormatting>
  <conditionalFormatting sqref="AC16">
    <cfRule type="colorScale" priority="167">
      <colorScale>
        <cfvo type="num" val="0"/>
        <cfvo type="num" val="1"/>
        <color rgb="FFFF0000"/>
        <color rgb="FF00B050"/>
      </colorScale>
    </cfRule>
  </conditionalFormatting>
  <conditionalFormatting sqref="AC15">
    <cfRule type="colorScale" priority="166">
      <colorScale>
        <cfvo type="num" val="0"/>
        <cfvo type="num" val="1"/>
        <color rgb="FFFF0000"/>
        <color rgb="FF00B050"/>
      </colorScale>
    </cfRule>
  </conditionalFormatting>
  <conditionalFormatting sqref="AC14">
    <cfRule type="colorScale" priority="165">
      <colorScale>
        <cfvo type="num" val="0"/>
        <cfvo type="num" val="1"/>
        <color rgb="FFFF0000"/>
        <color rgb="FF00B050"/>
      </colorScale>
    </cfRule>
  </conditionalFormatting>
  <conditionalFormatting sqref="AC13">
    <cfRule type="colorScale" priority="164">
      <colorScale>
        <cfvo type="num" val="0"/>
        <cfvo type="num" val="1"/>
        <color rgb="FFFF0000"/>
        <color rgb="FF00B050"/>
      </colorScale>
    </cfRule>
  </conditionalFormatting>
  <conditionalFormatting sqref="AC12">
    <cfRule type="colorScale" priority="163">
      <colorScale>
        <cfvo type="num" val="0"/>
        <cfvo type="num" val="1"/>
        <color rgb="FFFF0000"/>
        <color rgb="FF00B050"/>
      </colorScale>
    </cfRule>
  </conditionalFormatting>
  <conditionalFormatting sqref="AC11">
    <cfRule type="colorScale" priority="162">
      <colorScale>
        <cfvo type="num" val="0"/>
        <cfvo type="num" val="1"/>
        <color rgb="FFFF0000"/>
        <color rgb="FF00B050"/>
      </colorScale>
    </cfRule>
  </conditionalFormatting>
  <conditionalFormatting sqref="AC10">
    <cfRule type="colorScale" priority="161">
      <colorScale>
        <cfvo type="num" val="0"/>
        <cfvo type="num" val="1"/>
        <color rgb="FFFF0000"/>
        <color rgb="FF00B050"/>
      </colorScale>
    </cfRule>
  </conditionalFormatting>
  <conditionalFormatting sqref="AC9">
    <cfRule type="colorScale" priority="160">
      <colorScale>
        <cfvo type="num" val="0"/>
        <cfvo type="num" val="1"/>
        <color rgb="FFFF0000"/>
        <color rgb="FF00B050"/>
      </colorScale>
    </cfRule>
  </conditionalFormatting>
  <conditionalFormatting sqref="AC8">
    <cfRule type="colorScale" priority="159">
      <colorScale>
        <cfvo type="num" val="0"/>
        <cfvo type="num" val="1"/>
        <color rgb="FFFF0000"/>
        <color rgb="FF00B050"/>
      </colorScale>
    </cfRule>
  </conditionalFormatting>
  <conditionalFormatting sqref="AC7">
    <cfRule type="colorScale" priority="158">
      <colorScale>
        <cfvo type="num" val="0"/>
        <cfvo type="num" val="1"/>
        <color rgb="FFFF0000"/>
        <color rgb="FF00B050"/>
      </colorScale>
    </cfRule>
  </conditionalFormatting>
  <conditionalFormatting sqref="AC6">
    <cfRule type="colorScale" priority="157">
      <colorScale>
        <cfvo type="num" val="0"/>
        <cfvo type="num" val="1"/>
        <color rgb="FFFF0000"/>
        <color rgb="FF00B050"/>
      </colorScale>
    </cfRule>
  </conditionalFormatting>
  <conditionalFormatting sqref="AC5">
    <cfRule type="colorScale" priority="156">
      <colorScale>
        <cfvo type="num" val="0"/>
        <cfvo type="num" val="1"/>
        <color rgb="FFFF0000"/>
        <color rgb="FF00B050"/>
      </colorScale>
    </cfRule>
  </conditionalFormatting>
  <conditionalFormatting sqref="AC4">
    <cfRule type="colorScale" priority="155">
      <colorScale>
        <cfvo type="num" val="0"/>
        <cfvo type="num" val="1"/>
        <color rgb="FFFF0000"/>
        <color rgb="FF00B050"/>
      </colorScale>
    </cfRule>
  </conditionalFormatting>
  <conditionalFormatting sqref="AC3">
    <cfRule type="colorScale" priority="154">
      <colorScale>
        <cfvo type="num" val="0"/>
        <cfvo type="num" val="1"/>
        <color rgb="FFFF0000"/>
        <color rgb="FF00B050"/>
      </colorScale>
    </cfRule>
  </conditionalFormatting>
  <conditionalFormatting sqref="AC2">
    <cfRule type="colorScale" priority="153">
      <colorScale>
        <cfvo type="num" val="0"/>
        <cfvo type="num" val="1"/>
        <color rgb="FFFF0000"/>
        <color rgb="FF00B050"/>
      </colorScale>
    </cfRule>
  </conditionalFormatting>
  <conditionalFormatting sqref="S1 N1 Y1 AC1">
    <cfRule type="colorScale" priority="152">
      <colorScale>
        <cfvo type="num" val="0"/>
        <cfvo type="num" val="1"/>
        <color rgb="FFFF0000"/>
        <color rgb="FF00B050"/>
      </colorScale>
    </cfRule>
  </conditionalFormatting>
  <conditionalFormatting sqref="AM1">
    <cfRule type="cellIs" dxfId="98" priority="150" operator="equal">
      <formula>"incertain"</formula>
    </cfRule>
    <cfRule type="cellIs" dxfId="97" priority="151" operator="equal">
      <formula>"vendu"</formula>
    </cfRule>
  </conditionalFormatting>
  <conditionalFormatting sqref="N19 S19 Y19 AC19">
    <cfRule type="colorScale" priority="149">
      <colorScale>
        <cfvo type="num" val="0"/>
        <cfvo type="num" val="1"/>
        <color rgb="FFFF0000"/>
        <color rgb="FF00B050"/>
      </colorScale>
    </cfRule>
  </conditionalFormatting>
  <conditionalFormatting sqref="AM2:AM19">
    <cfRule type="cellIs" dxfId="96" priority="147" operator="equal">
      <formula>"incertain"</formula>
    </cfRule>
    <cfRule type="cellIs" dxfId="95" priority="148" operator="equal">
      <formula>"vendu"</formula>
    </cfRule>
  </conditionalFormatting>
  <conditionalFormatting sqref="N20:N21 S20:S21 Y20:Y21 AC20:AC21">
    <cfRule type="colorScale" priority="146">
      <colorScale>
        <cfvo type="num" val="0"/>
        <cfvo type="num" val="1"/>
        <color rgb="FFFF0000"/>
        <color rgb="FF00B050"/>
      </colorScale>
    </cfRule>
  </conditionalFormatting>
  <conditionalFormatting sqref="AM20:AM21">
    <cfRule type="cellIs" dxfId="94" priority="144" operator="equal">
      <formula>"incertain"</formula>
    </cfRule>
    <cfRule type="cellIs" dxfId="93" priority="145" operator="equal">
      <formula>"vendu"</formula>
    </cfRule>
  </conditionalFormatting>
  <conditionalFormatting sqref="N22 S22 Y22 AC22">
    <cfRule type="colorScale" priority="143">
      <colorScale>
        <cfvo type="num" val="0"/>
        <cfvo type="num" val="1"/>
        <color rgb="FFFF0000"/>
        <color rgb="FF00B050"/>
      </colorScale>
    </cfRule>
  </conditionalFormatting>
  <conditionalFormatting sqref="AM22">
    <cfRule type="cellIs" dxfId="92" priority="141" operator="equal">
      <formula>"incertain"</formula>
    </cfRule>
    <cfRule type="cellIs" dxfId="91" priority="142" operator="equal">
      <formula>"vendu"</formula>
    </cfRule>
  </conditionalFormatting>
  <conditionalFormatting sqref="S23 N23 Y23 AC23">
    <cfRule type="colorScale" priority="140">
      <colorScale>
        <cfvo type="num" val="0"/>
        <cfvo type="num" val="1"/>
        <color rgb="FFFF0000"/>
        <color rgb="FF00B050"/>
      </colorScale>
    </cfRule>
  </conditionalFormatting>
  <conditionalFormatting sqref="AM23">
    <cfRule type="cellIs" dxfId="90" priority="138" operator="equal">
      <formula>"incertain"</formula>
    </cfRule>
    <cfRule type="cellIs" dxfId="89" priority="139" operator="equal">
      <formula>"vendu"</formula>
    </cfRule>
  </conditionalFormatting>
  <conditionalFormatting sqref="N24:N25 S24:S25 Y24:Y25 AC24:AC25">
    <cfRule type="colorScale" priority="137">
      <colorScale>
        <cfvo type="num" val="0"/>
        <cfvo type="num" val="1"/>
        <color rgb="FFFF0000"/>
        <color rgb="FF00B050"/>
      </colorScale>
    </cfRule>
  </conditionalFormatting>
  <conditionalFormatting sqref="AM24:AM25">
    <cfRule type="cellIs" dxfId="88" priority="135" operator="equal">
      <formula>"incertain"</formula>
    </cfRule>
    <cfRule type="cellIs" dxfId="87" priority="136" operator="equal">
      <formula>"vendu"</formula>
    </cfRule>
  </conditionalFormatting>
  <conditionalFormatting sqref="N26 S26 Y26 AC26">
    <cfRule type="colorScale" priority="134">
      <colorScale>
        <cfvo type="num" val="0"/>
        <cfvo type="num" val="1"/>
        <color rgb="FFFF0000"/>
        <color rgb="FF00B050"/>
      </colorScale>
    </cfRule>
  </conditionalFormatting>
  <conditionalFormatting sqref="AM26">
    <cfRule type="cellIs" dxfId="86" priority="132" operator="equal">
      <formula>"incertain"</formula>
    </cfRule>
    <cfRule type="cellIs" dxfId="85" priority="133" operator="equal">
      <formula>"vendu"</formula>
    </cfRule>
  </conditionalFormatting>
  <conditionalFormatting sqref="AC27:AC28 Y27:Y28 S27:S28 N27:N28">
    <cfRule type="colorScale" priority="131">
      <colorScale>
        <cfvo type="num" val="0"/>
        <cfvo type="num" val="1"/>
        <color rgb="FFFF0000"/>
        <color rgb="FF00B050"/>
      </colorScale>
    </cfRule>
  </conditionalFormatting>
  <conditionalFormatting sqref="AM27:AM28">
    <cfRule type="cellIs" dxfId="84" priority="129" operator="equal">
      <formula>"incertain"</formula>
    </cfRule>
    <cfRule type="cellIs" dxfId="83" priority="130" operator="equal">
      <formula>"vendu"</formula>
    </cfRule>
  </conditionalFormatting>
  <conditionalFormatting sqref="N29:N32 S29:S32 Y29:Y32 AC29:AC32">
    <cfRule type="colorScale" priority="128">
      <colorScale>
        <cfvo type="num" val="0"/>
        <cfvo type="num" val="1"/>
        <color rgb="FFFF0000"/>
        <color rgb="FF00B050"/>
      </colorScale>
    </cfRule>
  </conditionalFormatting>
  <conditionalFormatting sqref="AM29:AM32">
    <cfRule type="cellIs" dxfId="82" priority="126" operator="equal">
      <formula>"incertain"</formula>
    </cfRule>
    <cfRule type="cellIs" dxfId="81" priority="127" operator="equal">
      <formula>"vendu"</formula>
    </cfRule>
  </conditionalFormatting>
  <conditionalFormatting sqref="S33 N33 Y33 AC33">
    <cfRule type="colorScale" priority="125">
      <colorScale>
        <cfvo type="num" val="0"/>
        <cfvo type="num" val="1"/>
        <color rgb="FFFF0000"/>
        <color rgb="FF00B050"/>
      </colorScale>
    </cfRule>
  </conditionalFormatting>
  <conditionalFormatting sqref="AM33">
    <cfRule type="cellIs" dxfId="80" priority="123" operator="equal">
      <formula>"incertain"</formula>
    </cfRule>
    <cfRule type="cellIs" dxfId="79" priority="124" operator="equal">
      <formula>"vendu"</formula>
    </cfRule>
  </conditionalFormatting>
  <conditionalFormatting sqref="N34 S34 Y34 AC34">
    <cfRule type="colorScale" priority="122">
      <colorScale>
        <cfvo type="num" val="0"/>
        <cfvo type="num" val="1"/>
        <color rgb="FFFF0000"/>
        <color rgb="FF00B050"/>
      </colorScale>
    </cfRule>
  </conditionalFormatting>
  <conditionalFormatting sqref="AM34:AM36">
    <cfRule type="cellIs" dxfId="78" priority="120" operator="equal">
      <formula>"incertain"</formula>
    </cfRule>
    <cfRule type="cellIs" dxfId="77" priority="121" operator="equal">
      <formula>"vendu"</formula>
    </cfRule>
  </conditionalFormatting>
  <conditionalFormatting sqref="N35:N36">
    <cfRule type="colorScale" priority="119">
      <colorScale>
        <cfvo type="num" val="0"/>
        <cfvo type="num" val="1"/>
        <color rgb="FFFF0000"/>
        <color rgb="FF00B050"/>
      </colorScale>
    </cfRule>
  </conditionalFormatting>
  <conditionalFormatting sqref="S35">
    <cfRule type="colorScale" priority="118">
      <colorScale>
        <cfvo type="num" val="0"/>
        <cfvo type="num" val="1"/>
        <color rgb="FFFF0000"/>
        <color rgb="FF00B050"/>
      </colorScale>
    </cfRule>
  </conditionalFormatting>
  <conditionalFormatting sqref="S37 Y37 N37">
    <cfRule type="colorScale" priority="117">
      <colorScale>
        <cfvo type="num" val="0"/>
        <cfvo type="num" val="1"/>
        <color rgb="FFFF0000"/>
        <color rgb="FF00B050"/>
      </colorScale>
    </cfRule>
  </conditionalFormatting>
  <conditionalFormatting sqref="AM37">
    <cfRule type="cellIs" dxfId="76" priority="115" operator="equal">
      <formula>"incertain"</formula>
    </cfRule>
    <cfRule type="cellIs" dxfId="75" priority="116" operator="equal">
      <formula>"vendu"</formula>
    </cfRule>
  </conditionalFormatting>
  <conditionalFormatting sqref="N38">
    <cfRule type="colorScale" priority="114">
      <colorScale>
        <cfvo type="num" val="0"/>
        <cfvo type="num" val="1"/>
        <color rgb="FFFF0000"/>
        <color rgb="FF00B050"/>
      </colorScale>
    </cfRule>
  </conditionalFormatting>
  <conditionalFormatting sqref="S38">
    <cfRule type="colorScale" priority="113">
      <colorScale>
        <cfvo type="num" val="0"/>
        <cfvo type="num" val="1"/>
        <color rgb="FFFF0000"/>
        <color rgb="FF00B050"/>
      </colorScale>
    </cfRule>
  </conditionalFormatting>
  <conditionalFormatting sqref="S36">
    <cfRule type="colorScale" priority="112">
      <colorScale>
        <cfvo type="num" val="0"/>
        <cfvo type="num" val="1"/>
        <color rgb="FFFF0000"/>
        <color rgb="FF00B050"/>
      </colorScale>
    </cfRule>
  </conditionalFormatting>
  <conditionalFormatting sqref="Y36">
    <cfRule type="colorScale" priority="111">
      <colorScale>
        <cfvo type="num" val="0"/>
        <cfvo type="num" val="1"/>
        <color rgb="FFFF0000"/>
        <color rgb="FF00B050"/>
      </colorScale>
    </cfRule>
  </conditionalFormatting>
  <conditionalFormatting sqref="Y35">
    <cfRule type="colorScale" priority="110">
      <colorScale>
        <cfvo type="num" val="0"/>
        <cfvo type="num" val="1"/>
        <color rgb="FFFF0000"/>
        <color rgb="FF00B050"/>
      </colorScale>
    </cfRule>
  </conditionalFormatting>
  <conditionalFormatting sqref="Y38">
    <cfRule type="colorScale" priority="109">
      <colorScale>
        <cfvo type="num" val="0"/>
        <cfvo type="num" val="1"/>
        <color rgb="FFFF0000"/>
        <color rgb="FF00B050"/>
      </colorScale>
    </cfRule>
  </conditionalFormatting>
  <conditionalFormatting sqref="AC35">
    <cfRule type="colorScale" priority="108">
      <colorScale>
        <cfvo type="num" val="0"/>
        <cfvo type="num" val="1"/>
        <color rgb="FFFF0000"/>
        <color rgb="FF00B050"/>
      </colorScale>
    </cfRule>
  </conditionalFormatting>
  <conditionalFormatting sqref="AC36">
    <cfRule type="colorScale" priority="107">
      <colorScale>
        <cfvo type="num" val="0"/>
        <cfvo type="num" val="1"/>
        <color rgb="FFFF0000"/>
        <color rgb="FF00B050"/>
      </colorScale>
    </cfRule>
  </conditionalFormatting>
  <conditionalFormatting sqref="AC37:AC38">
    <cfRule type="colorScale" priority="106">
      <colorScale>
        <cfvo type="num" val="0"/>
        <cfvo type="num" val="1"/>
        <color rgb="FFFF0000"/>
        <color rgb="FF00B050"/>
      </colorScale>
    </cfRule>
  </conditionalFormatting>
  <conditionalFormatting sqref="AM38">
    <cfRule type="cellIs" dxfId="74" priority="104" operator="equal">
      <formula>"incertain"</formula>
    </cfRule>
    <cfRule type="cellIs" dxfId="73" priority="105" operator="equal">
      <formula>"vendu"</formula>
    </cfRule>
  </conditionalFormatting>
  <conditionalFormatting sqref="Y39 AC39 S39 N39">
    <cfRule type="colorScale" priority="103">
      <colorScale>
        <cfvo type="num" val="0"/>
        <cfvo type="num" val="1"/>
        <color rgb="FFFF0000"/>
        <color rgb="FF00B050"/>
      </colorScale>
    </cfRule>
  </conditionalFormatting>
  <conditionalFormatting sqref="AM39">
    <cfRule type="cellIs" dxfId="72" priority="101" operator="equal">
      <formula>"incertain"</formula>
    </cfRule>
    <cfRule type="cellIs" dxfId="71" priority="102" operator="equal">
      <formula>"vendu"</formula>
    </cfRule>
  </conditionalFormatting>
  <conditionalFormatting sqref="N40 S40 Y40 AC40">
    <cfRule type="colorScale" priority="100">
      <colorScale>
        <cfvo type="num" val="0"/>
        <cfvo type="num" val="1"/>
        <color rgb="FFFF0000"/>
        <color rgb="FF00B050"/>
      </colorScale>
    </cfRule>
  </conditionalFormatting>
  <conditionalFormatting sqref="AM40">
    <cfRule type="cellIs" dxfId="70" priority="98" operator="equal">
      <formula>"incertain"</formula>
    </cfRule>
    <cfRule type="cellIs" dxfId="69" priority="99" operator="equal">
      <formula>"vendu"</formula>
    </cfRule>
  </conditionalFormatting>
  <conditionalFormatting sqref="AC41 Y41">
    <cfRule type="colorScale" priority="97">
      <colorScale>
        <cfvo type="num" val="0"/>
        <cfvo type="num" val="1"/>
        <color rgb="FFFF0000"/>
        <color rgb="FF00B050"/>
      </colorScale>
    </cfRule>
  </conditionalFormatting>
  <conditionalFormatting sqref="AM41">
    <cfRule type="cellIs" dxfId="68" priority="95" operator="equal">
      <formula>"incertain"</formula>
    </cfRule>
    <cfRule type="cellIs" dxfId="67" priority="96" operator="equal">
      <formula>"vendu"</formula>
    </cfRule>
  </conditionalFormatting>
  <conditionalFormatting sqref="S41">
    <cfRule type="colorScale" priority="94">
      <colorScale>
        <cfvo type="num" val="0"/>
        <cfvo type="num" val="1"/>
        <color rgb="FFFF0000"/>
        <color rgb="FF00B050"/>
      </colorScale>
    </cfRule>
  </conditionalFormatting>
  <conditionalFormatting sqref="N41">
    <cfRule type="colorScale" priority="93">
      <colorScale>
        <cfvo type="num" val="0"/>
        <cfvo type="num" val="1"/>
        <color rgb="FFFF0000"/>
        <color rgb="FF00B050"/>
      </colorScale>
    </cfRule>
  </conditionalFormatting>
  <conditionalFormatting sqref="N42 S42 Y42 AC42">
    <cfRule type="colorScale" priority="92">
      <colorScale>
        <cfvo type="num" val="0"/>
        <cfvo type="num" val="1"/>
        <color rgb="FFFF0000"/>
        <color rgb="FF00B050"/>
      </colorScale>
    </cfRule>
  </conditionalFormatting>
  <conditionalFormatting sqref="AM42">
    <cfRule type="cellIs" dxfId="66" priority="90" operator="equal">
      <formula>"incertain"</formula>
    </cfRule>
    <cfRule type="cellIs" dxfId="65" priority="91" operator="equal">
      <formula>"vendu"</formula>
    </cfRule>
  </conditionalFormatting>
  <conditionalFormatting sqref="N43 S43 Y43 AC43">
    <cfRule type="colorScale" priority="89">
      <colorScale>
        <cfvo type="num" val="0"/>
        <cfvo type="num" val="1"/>
        <color rgb="FFFF0000"/>
        <color rgb="FF00B050"/>
      </colorScale>
    </cfRule>
  </conditionalFormatting>
  <conditionalFormatting sqref="AM43">
    <cfRule type="cellIs" dxfId="64" priority="87" operator="equal">
      <formula>"incertain"</formula>
    </cfRule>
    <cfRule type="cellIs" dxfId="63" priority="88" operator="equal">
      <formula>"vendu"</formula>
    </cfRule>
  </conditionalFormatting>
  <conditionalFormatting sqref="N44:N45 S44:S45 Y44:Y46 AC44:AC46">
    <cfRule type="colorScale" priority="86">
      <colorScale>
        <cfvo type="num" val="0"/>
        <cfvo type="num" val="1"/>
        <color rgb="FFFF0000"/>
        <color rgb="FF00B050"/>
      </colorScale>
    </cfRule>
  </conditionalFormatting>
  <conditionalFormatting sqref="AM44:AM46">
    <cfRule type="cellIs" dxfId="62" priority="84" operator="equal">
      <formula>"incertain"</formula>
    </cfRule>
    <cfRule type="cellIs" dxfId="61" priority="85" operator="equal">
      <formula>"vendu"</formula>
    </cfRule>
  </conditionalFormatting>
  <conditionalFormatting sqref="N47:N48 S47:S48 Y47:Y48 AC47:AC48">
    <cfRule type="colorScale" priority="83">
      <colorScale>
        <cfvo type="num" val="0"/>
        <cfvo type="num" val="1"/>
        <color rgb="FFFF0000"/>
        <color rgb="FF00B050"/>
      </colorScale>
    </cfRule>
  </conditionalFormatting>
  <conditionalFormatting sqref="AM47:AM48">
    <cfRule type="cellIs" dxfId="60" priority="81" operator="equal">
      <formula>"incertain"</formula>
    </cfRule>
    <cfRule type="cellIs" dxfId="59" priority="82" operator="equal">
      <formula>"vendu"</formula>
    </cfRule>
  </conditionalFormatting>
  <conditionalFormatting sqref="S46">
    <cfRule type="colorScale" priority="80">
      <colorScale>
        <cfvo type="num" val="0"/>
        <cfvo type="num" val="1"/>
        <color rgb="FFFF0000"/>
        <color rgb="FF00B050"/>
      </colorScale>
    </cfRule>
  </conditionalFormatting>
  <conditionalFormatting sqref="N46">
    <cfRule type="colorScale" priority="79">
      <colorScale>
        <cfvo type="num" val="0"/>
        <cfvo type="num" val="1"/>
        <color rgb="FFFF0000"/>
        <color rgb="FF00B050"/>
      </colorScale>
    </cfRule>
  </conditionalFormatting>
  <conditionalFormatting sqref="S49 N49 Y49 AC49">
    <cfRule type="colorScale" priority="78">
      <colorScale>
        <cfvo type="num" val="0"/>
        <cfvo type="num" val="1"/>
        <color rgb="FFFF0000"/>
        <color rgb="FF00B050"/>
      </colorScale>
    </cfRule>
  </conditionalFormatting>
  <conditionalFormatting sqref="AM49">
    <cfRule type="cellIs" dxfId="58" priority="76" operator="equal">
      <formula>"incertain"</formula>
    </cfRule>
    <cfRule type="cellIs" dxfId="57" priority="77" operator="equal">
      <formula>"vendu"</formula>
    </cfRule>
  </conditionalFormatting>
  <conditionalFormatting sqref="N50 S50 Y50 AC50">
    <cfRule type="colorScale" priority="75">
      <colorScale>
        <cfvo type="num" val="0"/>
        <cfvo type="num" val="1"/>
        <color rgb="FFFF0000"/>
        <color rgb="FF00B050"/>
      </colorScale>
    </cfRule>
  </conditionalFormatting>
  <conditionalFormatting sqref="J50">
    <cfRule type="cellIs" dxfId="56" priority="71" operator="equal">
      <formula>"?"</formula>
    </cfRule>
    <cfRule type="cellIs" dxfId="55" priority="72" operator="greaterThanOrEqual">
      <formula>16.5</formula>
    </cfRule>
  </conditionalFormatting>
  <conditionalFormatting sqref="AM50:AN50">
    <cfRule type="cellIs" dxfId="54" priority="73" operator="equal">
      <formula>"incertain"</formula>
    </cfRule>
    <cfRule type="cellIs" dxfId="53" priority="74" operator="equal">
      <formula>"vendu"</formula>
    </cfRule>
  </conditionalFormatting>
  <conditionalFormatting sqref="AC51:AC52 Y51:Y52 S51:S52 N51:N52">
    <cfRule type="colorScale" priority="70">
      <colorScale>
        <cfvo type="num" val="0"/>
        <cfvo type="num" val="1"/>
        <color rgb="FFFF0000"/>
        <color rgb="FF00B050"/>
      </colorScale>
    </cfRule>
  </conditionalFormatting>
  <conditionalFormatting sqref="J51:J52">
    <cfRule type="cellIs" dxfId="52" priority="66" operator="equal">
      <formula>"?"</formula>
    </cfRule>
    <cfRule type="cellIs" dxfId="51" priority="67" operator="greaterThanOrEqual">
      <formula>16.5</formula>
    </cfRule>
  </conditionalFormatting>
  <conditionalFormatting sqref="AM51:AN52">
    <cfRule type="cellIs" dxfId="50" priority="68" operator="equal">
      <formula>"incertain"</formula>
    </cfRule>
    <cfRule type="cellIs" dxfId="49" priority="69" operator="equal">
      <formula>"vendu"</formula>
    </cfRule>
  </conditionalFormatting>
  <conditionalFormatting sqref="Y53 AC53 S53 N53">
    <cfRule type="colorScale" priority="65">
      <colorScale>
        <cfvo type="num" val="0"/>
        <cfvo type="num" val="1"/>
        <color rgb="FFFF0000"/>
        <color rgb="FF00B050"/>
      </colorScale>
    </cfRule>
  </conditionalFormatting>
  <conditionalFormatting sqref="J53">
    <cfRule type="cellIs" dxfId="48" priority="61" operator="equal">
      <formula>"?"</formula>
    </cfRule>
    <cfRule type="cellIs" dxfId="47" priority="62" operator="greaterThanOrEqual">
      <formula>16.5</formula>
    </cfRule>
  </conditionalFormatting>
  <conditionalFormatting sqref="AM53:AN53">
    <cfRule type="cellIs" dxfId="46" priority="63" operator="equal">
      <formula>"incertain"</formula>
    </cfRule>
    <cfRule type="cellIs" dxfId="45" priority="64" operator="equal">
      <formula>"vendu"</formula>
    </cfRule>
  </conditionalFormatting>
  <conditionalFormatting sqref="AC54:AC56 Y54:Y56 S54:S56 N54:N56">
    <cfRule type="colorScale" priority="60">
      <colorScale>
        <cfvo type="num" val="0"/>
        <cfvo type="num" val="1"/>
        <color rgb="FFFF0000"/>
        <color rgb="FF00B050"/>
      </colorScale>
    </cfRule>
  </conditionalFormatting>
  <conditionalFormatting sqref="J54:J56">
    <cfRule type="cellIs" dxfId="44" priority="56" operator="equal">
      <formula>"?"</formula>
    </cfRule>
    <cfRule type="cellIs" dxfId="43" priority="57" operator="greaterThanOrEqual">
      <formula>16.5</formula>
    </cfRule>
  </conditionalFormatting>
  <conditionalFormatting sqref="AM54:AN56">
    <cfRule type="cellIs" dxfId="42" priority="58" operator="equal">
      <formula>"incertain"</formula>
    </cfRule>
    <cfRule type="cellIs" dxfId="41" priority="59" operator="equal">
      <formula>"vendu"</formula>
    </cfRule>
  </conditionalFormatting>
  <conditionalFormatting sqref="Y57 AC57 S57 N57">
    <cfRule type="colorScale" priority="55">
      <colorScale>
        <cfvo type="num" val="0"/>
        <cfvo type="num" val="1"/>
        <color rgb="FFFF0000"/>
        <color rgb="FF00B050"/>
      </colorScale>
    </cfRule>
  </conditionalFormatting>
  <conditionalFormatting sqref="J57">
    <cfRule type="cellIs" dxfId="40" priority="51" operator="equal">
      <formula>"?"</formula>
    </cfRule>
    <cfRule type="cellIs" dxfId="39" priority="52" operator="greaterThanOrEqual">
      <formula>16.5</formula>
    </cfRule>
  </conditionalFormatting>
  <conditionalFormatting sqref="AM57:AN57">
    <cfRule type="cellIs" dxfId="38" priority="53" operator="equal">
      <formula>"incertain"</formula>
    </cfRule>
    <cfRule type="cellIs" dxfId="37" priority="54" operator="equal">
      <formula>"vendu"</formula>
    </cfRule>
  </conditionalFormatting>
  <conditionalFormatting sqref="AC58:AC59 Y58:Y59 S58:S59 N58:N59">
    <cfRule type="colorScale" priority="50">
      <colorScale>
        <cfvo type="num" val="0"/>
        <cfvo type="num" val="1"/>
        <color rgb="FFFF0000"/>
        <color rgb="FF00B050"/>
      </colorScale>
    </cfRule>
  </conditionalFormatting>
  <conditionalFormatting sqref="J58:J59">
    <cfRule type="cellIs" dxfId="36" priority="46" operator="equal">
      <formula>"?"</formula>
    </cfRule>
    <cfRule type="cellIs" dxfId="35" priority="47" operator="greaterThanOrEqual">
      <formula>16.5</formula>
    </cfRule>
  </conditionalFormatting>
  <conditionalFormatting sqref="AM58:AN59">
    <cfRule type="cellIs" dxfId="34" priority="48" operator="equal">
      <formula>"incertain"</formula>
    </cfRule>
    <cfRule type="cellIs" dxfId="33" priority="49" operator="equal">
      <formula>"vendu"</formula>
    </cfRule>
  </conditionalFormatting>
  <conditionalFormatting sqref="Y60 AC60 S60 N60">
    <cfRule type="colorScale" priority="45">
      <colorScale>
        <cfvo type="num" val="0"/>
        <cfvo type="num" val="1"/>
        <color rgb="FFFF0000"/>
        <color rgb="FF00B050"/>
      </colorScale>
    </cfRule>
  </conditionalFormatting>
  <conditionalFormatting sqref="J60">
    <cfRule type="cellIs" dxfId="32" priority="41" operator="equal">
      <formula>"?"</formula>
    </cfRule>
    <cfRule type="cellIs" dxfId="31" priority="42" operator="greaterThanOrEqual">
      <formula>16.5</formula>
    </cfRule>
  </conditionalFormatting>
  <conditionalFormatting sqref="AM60:AN60">
    <cfRule type="cellIs" dxfId="30" priority="43" operator="equal">
      <formula>"incertain"</formula>
    </cfRule>
    <cfRule type="cellIs" dxfId="29" priority="44" operator="equal">
      <formula>"vendu"</formula>
    </cfRule>
  </conditionalFormatting>
  <conditionalFormatting sqref="AC61 Y61 S61 N61">
    <cfRule type="colorScale" priority="40">
      <colorScale>
        <cfvo type="num" val="0"/>
        <cfvo type="num" val="1"/>
        <color rgb="FFFF0000"/>
        <color rgb="FF00B050"/>
      </colorScale>
    </cfRule>
  </conditionalFormatting>
  <conditionalFormatting sqref="J61">
    <cfRule type="cellIs" dxfId="28" priority="36" operator="equal">
      <formula>"?"</formula>
    </cfRule>
    <cfRule type="cellIs" dxfId="27" priority="37" operator="greaterThanOrEqual">
      <formula>16.5</formula>
    </cfRule>
  </conditionalFormatting>
  <conditionalFormatting sqref="AM61:AN61">
    <cfRule type="cellIs" dxfId="26" priority="38" operator="equal">
      <formula>"incertain"</formula>
    </cfRule>
    <cfRule type="cellIs" dxfId="25" priority="39" operator="equal">
      <formula>"vendu"</formula>
    </cfRule>
  </conditionalFormatting>
  <conditionalFormatting sqref="AC62 Y62 S62 N62">
    <cfRule type="colorScale" priority="35">
      <colorScale>
        <cfvo type="num" val="0"/>
        <cfvo type="num" val="1"/>
        <color rgb="FFFF0000"/>
        <color rgb="FF00B050"/>
      </colorScale>
    </cfRule>
  </conditionalFormatting>
  <conditionalFormatting sqref="J62">
    <cfRule type="cellIs" dxfId="24" priority="31" operator="equal">
      <formula>"?"</formula>
    </cfRule>
    <cfRule type="cellIs" dxfId="23" priority="32" operator="greaterThanOrEqual">
      <formula>16.5</formula>
    </cfRule>
  </conditionalFormatting>
  <conditionalFormatting sqref="AM62:AN62">
    <cfRule type="cellIs" dxfId="22" priority="33" operator="equal">
      <formula>"incertain"</formula>
    </cfRule>
    <cfRule type="cellIs" dxfId="21" priority="34" operator="equal">
      <formula>"vendu"</formula>
    </cfRule>
  </conditionalFormatting>
  <conditionalFormatting sqref="Y63 AC63 S63 N63">
    <cfRule type="colorScale" priority="30">
      <colorScale>
        <cfvo type="num" val="0"/>
        <cfvo type="num" val="1"/>
        <color rgb="FFFF0000"/>
        <color rgb="FF00B050"/>
      </colorScale>
    </cfRule>
  </conditionalFormatting>
  <conditionalFormatting sqref="J63">
    <cfRule type="cellIs" dxfId="20" priority="26" operator="equal">
      <formula>"?"</formula>
    </cfRule>
    <cfRule type="cellIs" dxfId="19" priority="27" operator="greaterThanOrEqual">
      <formula>16.5</formula>
    </cfRule>
  </conditionalFormatting>
  <conditionalFormatting sqref="AM63:AN63">
    <cfRule type="cellIs" dxfId="18" priority="28" operator="equal">
      <formula>"incertain"</formula>
    </cfRule>
    <cfRule type="cellIs" dxfId="17" priority="29" operator="equal">
      <formula>"vendu"</formula>
    </cfRule>
  </conditionalFormatting>
  <conditionalFormatting sqref="AC64 Y64 S64 N64">
    <cfRule type="colorScale" priority="25">
      <colorScale>
        <cfvo type="num" val="0"/>
        <cfvo type="num" val="1"/>
        <color rgb="FFFF0000"/>
        <color rgb="FF00B050"/>
      </colorScale>
    </cfRule>
  </conditionalFormatting>
  <conditionalFormatting sqref="J64">
    <cfRule type="cellIs" dxfId="16" priority="21" operator="equal">
      <formula>"?"</formula>
    </cfRule>
    <cfRule type="cellIs" dxfId="15" priority="22" operator="greaterThanOrEqual">
      <formula>16.5</formula>
    </cfRule>
  </conditionalFormatting>
  <conditionalFormatting sqref="AM64:AN64">
    <cfRule type="cellIs" dxfId="14" priority="23" operator="equal">
      <formula>"incertain"</formula>
    </cfRule>
    <cfRule type="cellIs" dxfId="13" priority="24" operator="equal">
      <formula>"vendu"</formula>
    </cfRule>
  </conditionalFormatting>
  <conditionalFormatting sqref="Y65 AC65 S65 N65">
    <cfRule type="colorScale" priority="15">
      <colorScale>
        <cfvo type="num" val="0"/>
        <cfvo type="num" val="1"/>
        <color rgb="FFFF0000"/>
        <color rgb="FF00B050"/>
      </colorScale>
    </cfRule>
  </conditionalFormatting>
  <conditionalFormatting sqref="J65">
    <cfRule type="cellIs" dxfId="12" priority="11" operator="equal">
      <formula>"?"</formula>
    </cfRule>
    <cfRule type="cellIs" dxfId="11" priority="12" operator="greaterThanOrEqual">
      <formula>16.5</formula>
    </cfRule>
  </conditionalFormatting>
  <conditionalFormatting sqref="AM65:AN65">
    <cfRule type="cellIs" dxfId="10" priority="13" operator="equal">
      <formula>"incertain"</formula>
    </cfRule>
    <cfRule type="cellIs" dxfId="9" priority="14" operator="equal">
      <formula>"vendu"</formula>
    </cfRule>
  </conditionalFormatting>
  <conditionalFormatting sqref="AC66 Y66 S66 N66">
    <cfRule type="colorScale" priority="10">
      <colorScale>
        <cfvo type="num" val="0"/>
        <cfvo type="num" val="1"/>
        <color rgb="FFFF0000"/>
        <color rgb="FF00B050"/>
      </colorScale>
    </cfRule>
  </conditionalFormatting>
  <conditionalFormatting sqref="J66">
    <cfRule type="cellIs" dxfId="8" priority="6" operator="equal">
      <formula>"?"</formula>
    </cfRule>
    <cfRule type="cellIs" dxfId="7" priority="7" operator="greaterThanOrEqual">
      <formula>16.5</formula>
    </cfRule>
  </conditionalFormatting>
  <conditionalFormatting sqref="AM66:AN66">
    <cfRule type="cellIs" dxfId="6" priority="8" operator="equal">
      <formula>"incertain"</formula>
    </cfRule>
    <cfRule type="cellIs" dxfId="5" priority="9" operator="equal">
      <formula>"vendu"</formula>
    </cfRule>
  </conditionalFormatting>
  <conditionalFormatting sqref="AC67:AC68 Y67:Y68 S67:S68 N67:N68">
    <cfRule type="colorScale" priority="5">
      <colorScale>
        <cfvo type="num" val="0"/>
        <cfvo type="num" val="1"/>
        <color rgb="FFFF0000"/>
        <color rgb="FF00B050"/>
      </colorScale>
    </cfRule>
  </conditionalFormatting>
  <conditionalFormatting sqref="J67:J68">
    <cfRule type="cellIs" dxfId="4" priority="1" operator="equal">
      <formula>"?"</formula>
    </cfRule>
    <cfRule type="cellIs" dxfId="3" priority="2" operator="greaterThanOrEqual">
      <formula>16.5</formula>
    </cfRule>
  </conditionalFormatting>
  <conditionalFormatting sqref="AM67:AN68">
    <cfRule type="cellIs" dxfId="2" priority="3" operator="equal">
      <formula>"incertain"</formula>
    </cfRule>
    <cfRule type="cellIs" dxfId="1" priority="4" operator="equal">
      <formula>"vendu"</formula>
    </cfRule>
  </conditionalFormatting>
  <pageMargins left="0.7" right="0.7" top="0.75" bottom="0.75" header="0.3" footer="0.3"/>
  <pageSetup paperSize="9" scale="6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impressioncollage">
                <anchor moveWithCells="1" sizeWithCells="1">
                  <from>
                    <xdr:col>39</xdr:col>
                    <xdr:colOff>314325</xdr:colOff>
                    <xdr:row>0</xdr:row>
                    <xdr:rowOff>114300</xdr:rowOff>
                  </from>
                  <to>
                    <xdr:col>41</xdr:col>
                    <xdr:colOff>609600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H4"/>
  <sheetViews>
    <sheetView zoomScaleNormal="100" workbookViewId="0">
      <selection activeCell="M14" sqref="M14"/>
    </sheetView>
  </sheetViews>
  <sheetFormatPr baseColWidth="10" defaultRowHeight="15.75" x14ac:dyDescent="0.25"/>
  <cols>
    <col min="1" max="1" width="12.85546875" style="19" customWidth="1"/>
    <col min="2" max="2" width="16.5703125" style="19" customWidth="1"/>
    <col min="3" max="3" width="15.140625" style="20" customWidth="1"/>
    <col min="4" max="4" width="11.42578125" style="20"/>
    <col min="5" max="5" width="11.42578125" style="19"/>
    <col min="6" max="6" width="13.28515625" style="19" customWidth="1"/>
    <col min="7" max="7" width="10.5703125" style="19" customWidth="1"/>
    <col min="8" max="16384" width="11.42578125" style="19"/>
  </cols>
  <sheetData>
    <row r="1" spans="1:8" s="16" customFormat="1" ht="31.5" x14ac:dyDescent="0.25">
      <c r="A1" s="16" t="s">
        <v>46</v>
      </c>
      <c r="B1" s="16" t="s">
        <v>0</v>
      </c>
      <c r="C1" s="16" t="s">
        <v>56</v>
      </c>
      <c r="D1" s="17" t="s">
        <v>201</v>
      </c>
      <c r="E1" s="18" t="s">
        <v>202</v>
      </c>
      <c r="F1" s="16" t="s">
        <v>1</v>
      </c>
      <c r="G1" s="16" t="s">
        <v>203</v>
      </c>
      <c r="H1" s="16" t="s">
        <v>204</v>
      </c>
    </row>
    <row r="2" spans="1:8" s="53" customFormat="1" ht="24.75" customHeight="1" x14ac:dyDescent="0.2">
      <c r="A2" s="138">
        <v>220451</v>
      </c>
      <c r="B2" s="139" t="s">
        <v>333</v>
      </c>
      <c r="C2" s="54" t="s">
        <v>299</v>
      </c>
      <c r="D2" s="57">
        <v>45372</v>
      </c>
      <c r="E2" s="54">
        <v>9.5120000000000005</v>
      </c>
      <c r="F2" s="54" t="s">
        <v>66</v>
      </c>
      <c r="G2" s="57">
        <v>45372</v>
      </c>
      <c r="H2" s="57">
        <v>45387</v>
      </c>
    </row>
    <row r="3" spans="1:8" s="53" customFormat="1" ht="24.75" customHeight="1" x14ac:dyDescent="0.2">
      <c r="A3" s="138">
        <v>230457</v>
      </c>
      <c r="B3" s="139" t="s">
        <v>391</v>
      </c>
      <c r="C3" s="54" t="s">
        <v>137</v>
      </c>
      <c r="D3" s="57">
        <v>45425</v>
      </c>
      <c r="E3" s="54">
        <v>2.1789999999999998</v>
      </c>
      <c r="F3" s="54" t="s">
        <v>66</v>
      </c>
      <c r="G3" s="57">
        <v>45400</v>
      </c>
      <c r="H3" s="57">
        <v>45400</v>
      </c>
    </row>
    <row r="4" spans="1:8" s="53" customFormat="1" ht="24.75" customHeight="1" x14ac:dyDescent="0.2">
      <c r="A4" s="138">
        <v>220421</v>
      </c>
      <c r="B4" s="139" t="s">
        <v>258</v>
      </c>
      <c r="C4" s="54" t="s">
        <v>298</v>
      </c>
      <c r="D4" s="57">
        <v>45439</v>
      </c>
      <c r="E4" s="54">
        <v>7.79</v>
      </c>
      <c r="F4" s="54" t="s">
        <v>66</v>
      </c>
      <c r="G4" s="57">
        <v>45405</v>
      </c>
      <c r="H4" s="57">
        <v>45405</v>
      </c>
    </row>
  </sheetData>
  <conditionalFormatting sqref="B1">
    <cfRule type="duplicateValues" dxfId="0" priority="17"/>
  </conditionalFormatting>
  <pageMargins left="0.7" right="0.7" top="0.75" bottom="0.75" header="0.3" footer="0.3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8"/>
  <sheetViews>
    <sheetView workbookViewId="0">
      <selection activeCell="J14" sqref="J14"/>
    </sheetView>
  </sheetViews>
  <sheetFormatPr baseColWidth="10" defaultRowHeight="15" x14ac:dyDescent="0.25"/>
  <cols>
    <col min="1" max="1" width="17.140625" bestFit="1" customWidth="1"/>
    <col min="3" max="3" width="17.5703125" bestFit="1" customWidth="1"/>
    <col min="10" max="10" width="30" customWidth="1"/>
    <col min="11" max="11" width="25" bestFit="1" customWidth="1"/>
  </cols>
  <sheetData>
    <row r="1" spans="1:11" x14ac:dyDescent="0.25">
      <c r="A1" t="s">
        <v>70</v>
      </c>
      <c r="B1">
        <v>116</v>
      </c>
      <c r="C1" t="s">
        <v>79</v>
      </c>
      <c r="D1">
        <v>114</v>
      </c>
      <c r="E1" t="s">
        <v>173</v>
      </c>
      <c r="F1">
        <f>COUNTA(PLANNING!B:B)</f>
        <v>115</v>
      </c>
      <c r="J1" t="s">
        <v>214</v>
      </c>
    </row>
    <row r="2" spans="1:11" x14ac:dyDescent="0.25">
      <c r="A2" t="s">
        <v>74</v>
      </c>
      <c r="B2">
        <v>131</v>
      </c>
      <c r="C2" t="s">
        <v>70</v>
      </c>
      <c r="D2">
        <v>116</v>
      </c>
      <c r="J2" s="11"/>
      <c r="K2" t="s">
        <v>215</v>
      </c>
    </row>
    <row r="3" spans="1:11" x14ac:dyDescent="0.25">
      <c r="A3" t="s">
        <v>73</v>
      </c>
      <c r="B3">
        <v>101</v>
      </c>
      <c r="C3" t="s">
        <v>74</v>
      </c>
      <c r="D3">
        <v>131</v>
      </c>
      <c r="J3" s="12"/>
      <c r="K3" t="s">
        <v>198</v>
      </c>
    </row>
    <row r="4" spans="1:11" x14ac:dyDescent="0.25">
      <c r="A4" t="s">
        <v>194</v>
      </c>
      <c r="B4">
        <v>124</v>
      </c>
      <c r="C4" t="s">
        <v>138</v>
      </c>
      <c r="D4">
        <v>115</v>
      </c>
      <c r="J4" s="13"/>
      <c r="K4" t="s">
        <v>196</v>
      </c>
    </row>
    <row r="5" spans="1:11" x14ac:dyDescent="0.25">
      <c r="A5" t="s">
        <v>71</v>
      </c>
      <c r="B5">
        <v>135</v>
      </c>
      <c r="C5" t="s">
        <v>73</v>
      </c>
      <c r="D5">
        <v>101</v>
      </c>
      <c r="J5" s="14"/>
      <c r="K5" t="s">
        <v>197</v>
      </c>
    </row>
    <row r="6" spans="1:11" x14ac:dyDescent="0.25">
      <c r="A6" t="s">
        <v>72</v>
      </c>
      <c r="B6">
        <v>117</v>
      </c>
      <c r="C6" t="s">
        <v>139</v>
      </c>
      <c r="D6">
        <v>134</v>
      </c>
      <c r="J6" s="15"/>
      <c r="K6" t="s">
        <v>199</v>
      </c>
    </row>
    <row r="7" spans="1:11" x14ac:dyDescent="0.25">
      <c r="C7" t="s">
        <v>77</v>
      </c>
      <c r="D7">
        <v>146</v>
      </c>
    </row>
    <row r="8" spans="1:11" x14ac:dyDescent="0.25">
      <c r="C8" t="s">
        <v>140</v>
      </c>
      <c r="D8">
        <v>113</v>
      </c>
    </row>
    <row r="9" spans="1:11" x14ac:dyDescent="0.25">
      <c r="C9" t="s">
        <v>137</v>
      </c>
      <c r="D9">
        <v>140</v>
      </c>
    </row>
    <row r="10" spans="1:11" x14ac:dyDescent="0.25">
      <c r="C10" t="s">
        <v>78</v>
      </c>
      <c r="D10">
        <v>118</v>
      </c>
      <c r="J10" s="49" t="s">
        <v>317</v>
      </c>
      <c r="K10" s="132">
        <v>60</v>
      </c>
    </row>
    <row r="11" spans="1:11" x14ac:dyDescent="0.25">
      <c r="C11" t="s">
        <v>106</v>
      </c>
      <c r="D11">
        <v>123</v>
      </c>
    </row>
    <row r="12" spans="1:11" x14ac:dyDescent="0.25">
      <c r="C12" t="s">
        <v>80</v>
      </c>
      <c r="D12">
        <v>122</v>
      </c>
    </row>
    <row r="13" spans="1:11" x14ac:dyDescent="0.25">
      <c r="C13" t="s">
        <v>195</v>
      </c>
      <c r="D13">
        <v>163</v>
      </c>
    </row>
    <row r="14" spans="1:11" x14ac:dyDescent="0.25">
      <c r="C14" t="s">
        <v>194</v>
      </c>
      <c r="D14">
        <v>124</v>
      </c>
    </row>
    <row r="15" spans="1:11" x14ac:dyDescent="0.25">
      <c r="C15" t="s">
        <v>135</v>
      </c>
      <c r="D15">
        <v>147</v>
      </c>
    </row>
    <row r="16" spans="1:11" x14ac:dyDescent="0.25">
      <c r="C16" t="s">
        <v>71</v>
      </c>
      <c r="D16">
        <v>135</v>
      </c>
    </row>
    <row r="17" spans="3:4" x14ac:dyDescent="0.25">
      <c r="C17" t="s">
        <v>75</v>
      </c>
      <c r="D17">
        <v>126</v>
      </c>
    </row>
    <row r="18" spans="3:4" x14ac:dyDescent="0.25">
      <c r="C18" t="s">
        <v>72</v>
      </c>
      <c r="D18">
        <v>117</v>
      </c>
    </row>
  </sheetData>
  <sortState ref="C1:D18">
    <sortCondition ref="C1:C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PLANNING</vt:lpstr>
      <vt:lpstr>Charge K2</vt:lpstr>
      <vt:lpstr>Chantiers livrés</vt:lpstr>
      <vt:lpstr>Sous-traitance</vt:lpstr>
      <vt:lpstr>validation des champs</vt:lpstr>
      <vt:lpstr>PLANNING!Impression_des_titres</vt:lpstr>
      <vt:lpstr>'Chantiers livrés'!Zone_d_impression</vt:lpstr>
      <vt:lpstr>'Charge K2'!Zone_d_impression</vt:lpstr>
      <vt:lpstr>'Sous-traitance'!Zone_d_impression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maison</cp:lastModifiedBy>
  <cp:lastPrinted>2024-04-22T13:09:12Z</cp:lastPrinted>
  <dcterms:created xsi:type="dcterms:W3CDTF">2015-06-05T18:19:34Z</dcterms:created>
  <dcterms:modified xsi:type="dcterms:W3CDTF">2024-05-02T16:39:10Z</dcterms:modified>
</cp:coreProperties>
</file>