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05" yWindow="-105" windowWidth="20730" windowHeight="11760" activeTab="1"/>
  </bookViews>
  <sheets>
    <sheet name="stock total système" sheetId="1" r:id="rId1"/>
    <sheet name="commande" sheetId="8" r:id="rId2"/>
  </sheets>
  <externalReferences>
    <externalReference r:id="rId3"/>
    <externalReference r:id="rId4"/>
  </externalReferences>
  <definedNames>
    <definedName name="autrepieces">[1]Listes!$R$2:$R$6</definedName>
    <definedName name="listecom">#REF!</definedName>
    <definedName name="listedate">#REF!</definedName>
    <definedName name="listeheure">#REF!</definedName>
    <definedName name="listemouvement">#REF!</definedName>
    <definedName name="listen°systeme">#REF!</definedName>
    <definedName name="listeouinon">#REF!</definedName>
    <definedName name="listesuivis">#REF!</definedName>
    <definedName name="listesysteme">#REF!</definedName>
    <definedName name="listetech">#REF!</definedName>
    <definedName name="listetype">#REF!</definedName>
    <definedName name="piecesadoucisseur">'[1]stock total systeme'!$C$10</definedName>
    <definedName name="piecesautoclave">'[1]stock total systeme'!$C$11:$C$32</definedName>
    <definedName name="piecesbakon">'[2]stock total systeme'!$C$35:$C$69</definedName>
    <definedName name="piecesbcc">'[2]stock total systeme'!$C$70:$C$116</definedName>
    <definedName name="piecescdl">'[1]stock total systeme'!$C$119:$C$126</definedName>
    <definedName name="piecescl">'[1]stock total systeme'!$C$166:$C$172</definedName>
    <definedName name="piecesclippeuse">'[1]stock total systeme'!$C$143:$C$160</definedName>
    <definedName name="piecescta">'[1]stock total systeme'!$C$214:$C$221</definedName>
    <definedName name="piecesegoutoire">'[1]stock total systeme'!$C$235:$C$236</definedName>
    <definedName name="piecesmw">'[1]stock total systeme'!$C$161:$C$165</definedName>
    <definedName name="piecespedi">'[1]stock total systeme'!$C$511:$C$515</definedName>
    <definedName name="piecesrs">'[1]total stock autres'!$C$6:$C$80</definedName>
    <definedName name="tech">#REF!</definedName>
    <definedName name="toutstock">#REF!</definedName>
  </definedNames>
  <calcPr calcId="145621"/>
</workbook>
</file>

<file path=xl/calcChain.xml><?xml version="1.0" encoding="utf-8"?>
<calcChain xmlns="http://schemas.openxmlformats.org/spreadsheetml/2006/main">
  <c r="I4" i="1" l="1"/>
  <c r="K546" i="1" l="1"/>
  <c r="I546" i="1"/>
  <c r="S545" i="1"/>
  <c r="K545" i="1"/>
  <c r="I545" i="1"/>
  <c r="F544" i="1"/>
  <c r="F543" i="1"/>
  <c r="K543" i="1" s="1"/>
  <c r="F542" i="1"/>
  <c r="K542" i="1" s="1"/>
  <c r="F541" i="1"/>
  <c r="F540" i="1"/>
  <c r="K540" i="1" s="1"/>
  <c r="F539" i="1"/>
  <c r="K539" i="1" s="1"/>
  <c r="F538" i="1"/>
  <c r="F537" i="1"/>
  <c r="K537" i="1" s="1"/>
  <c r="F536" i="1"/>
  <c r="K536" i="1" s="1"/>
  <c r="F535" i="1"/>
  <c r="F534" i="1"/>
  <c r="K534" i="1" s="1"/>
  <c r="F533" i="1"/>
  <c r="K533" i="1" s="1"/>
  <c r="F532" i="1"/>
  <c r="F531" i="1"/>
  <c r="K531" i="1" s="1"/>
  <c r="F530" i="1"/>
  <c r="K530" i="1" s="1"/>
  <c r="F529" i="1"/>
  <c r="F528" i="1"/>
  <c r="K528" i="1" s="1"/>
  <c r="F527" i="1"/>
  <c r="K527" i="1" s="1"/>
  <c r="F526" i="1"/>
  <c r="F525" i="1"/>
  <c r="K525" i="1" s="1"/>
  <c r="F524" i="1"/>
  <c r="K524" i="1" s="1"/>
  <c r="F523" i="1"/>
  <c r="F522" i="1"/>
  <c r="K522" i="1" s="1"/>
  <c r="F521" i="1"/>
  <c r="K521" i="1" s="1"/>
  <c r="F520" i="1"/>
  <c r="F519" i="1"/>
  <c r="K519" i="1" s="1"/>
  <c r="F518" i="1"/>
  <c r="K518" i="1" s="1"/>
  <c r="F517" i="1"/>
  <c r="F516" i="1"/>
  <c r="K516" i="1" s="1"/>
  <c r="I515" i="1"/>
  <c r="S515" i="1" s="1"/>
  <c r="F515" i="1"/>
  <c r="K515" i="1" s="1"/>
  <c r="K514" i="1"/>
  <c r="I514" i="1"/>
  <c r="S514" i="1" s="1"/>
  <c r="F514" i="1"/>
  <c r="I513" i="1"/>
  <c r="S513" i="1" s="1"/>
  <c r="F513" i="1"/>
  <c r="K513" i="1" s="1"/>
  <c r="I512" i="1"/>
  <c r="S512" i="1" s="1"/>
  <c r="F512" i="1"/>
  <c r="K512" i="1" s="1"/>
  <c r="I511" i="1"/>
  <c r="S511" i="1" s="1"/>
  <c r="F511" i="1"/>
  <c r="K511" i="1" s="1"/>
  <c r="I510" i="1"/>
  <c r="S510" i="1" s="1"/>
  <c r="F510" i="1"/>
  <c r="K510" i="1" s="1"/>
  <c r="I509" i="1"/>
  <c r="S509" i="1" s="1"/>
  <c r="F509" i="1"/>
  <c r="I508" i="1"/>
  <c r="S508" i="1" s="1"/>
  <c r="F508" i="1"/>
  <c r="K508" i="1" s="1"/>
  <c r="I507" i="1"/>
  <c r="S507" i="1" s="1"/>
  <c r="F507" i="1"/>
  <c r="K507" i="1" s="1"/>
  <c r="I506" i="1"/>
  <c r="S506" i="1" s="1"/>
  <c r="F506" i="1"/>
  <c r="K506" i="1" s="1"/>
  <c r="I505" i="1"/>
  <c r="S505" i="1" s="1"/>
  <c r="F505" i="1"/>
  <c r="K505" i="1" s="1"/>
  <c r="M509" i="1" s="1"/>
  <c r="I504" i="1"/>
  <c r="S504" i="1" s="1"/>
  <c r="F504" i="1"/>
  <c r="F503" i="1"/>
  <c r="I503" i="1" s="1"/>
  <c r="S503" i="1" s="1"/>
  <c r="F502" i="1"/>
  <c r="I502" i="1" s="1"/>
  <c r="S502" i="1" s="1"/>
  <c r="S501" i="1"/>
  <c r="K501" i="1"/>
  <c r="F501" i="1"/>
  <c r="I501" i="1" s="1"/>
  <c r="K500" i="1"/>
  <c r="F500" i="1"/>
  <c r="I500" i="1" s="1"/>
  <c r="S500" i="1" s="1"/>
  <c r="K499" i="1"/>
  <c r="F499" i="1"/>
  <c r="I499" i="1" s="1"/>
  <c r="S499" i="1" s="1"/>
  <c r="S498" i="1"/>
  <c r="F498" i="1"/>
  <c r="I498" i="1" s="1"/>
  <c r="K497" i="1"/>
  <c r="F497" i="1"/>
  <c r="I497" i="1" s="1"/>
  <c r="S497" i="1" s="1"/>
  <c r="K496" i="1"/>
  <c r="F496" i="1"/>
  <c r="I496" i="1" s="1"/>
  <c r="S496" i="1" s="1"/>
  <c r="S495" i="1"/>
  <c r="F495" i="1"/>
  <c r="I495" i="1" s="1"/>
  <c r="K494" i="1"/>
  <c r="F494" i="1"/>
  <c r="I494" i="1" s="1"/>
  <c r="S494" i="1" s="1"/>
  <c r="K493" i="1"/>
  <c r="F493" i="1"/>
  <c r="I493" i="1" s="1"/>
  <c r="S493" i="1" s="1"/>
  <c r="S492" i="1"/>
  <c r="F492" i="1"/>
  <c r="I492" i="1" s="1"/>
  <c r="K491" i="1"/>
  <c r="F491" i="1"/>
  <c r="I491" i="1" s="1"/>
  <c r="S491" i="1" s="1"/>
  <c r="F490" i="1"/>
  <c r="K490" i="1" s="1"/>
  <c r="F489" i="1"/>
  <c r="I489" i="1" s="1"/>
  <c r="S489" i="1" s="1"/>
  <c r="F488" i="1"/>
  <c r="K488" i="1" s="1"/>
  <c r="F487" i="1"/>
  <c r="K487" i="1" s="1"/>
  <c r="S486" i="1"/>
  <c r="F486" i="1"/>
  <c r="I486" i="1" s="1"/>
  <c r="F485" i="1"/>
  <c r="K485" i="1" s="1"/>
  <c r="F484" i="1"/>
  <c r="K484" i="1" s="1"/>
  <c r="S483" i="1"/>
  <c r="F483" i="1"/>
  <c r="I483" i="1" s="1"/>
  <c r="F482" i="1"/>
  <c r="K482" i="1" s="1"/>
  <c r="F481" i="1"/>
  <c r="K481" i="1" s="1"/>
  <c r="F480" i="1"/>
  <c r="I480" i="1" s="1"/>
  <c r="S480" i="1" s="1"/>
  <c r="F479" i="1"/>
  <c r="K479" i="1" s="1"/>
  <c r="F478" i="1"/>
  <c r="K478" i="1" s="1"/>
  <c r="S477" i="1"/>
  <c r="F477" i="1"/>
  <c r="I477" i="1" s="1"/>
  <c r="F476" i="1"/>
  <c r="K476" i="1" s="1"/>
  <c r="F475" i="1"/>
  <c r="K475" i="1" s="1"/>
  <c r="S474" i="1"/>
  <c r="F474" i="1"/>
  <c r="I474" i="1" s="1"/>
  <c r="F473" i="1"/>
  <c r="K473" i="1" s="1"/>
  <c r="F472" i="1"/>
  <c r="K472" i="1" s="1"/>
  <c r="F471" i="1"/>
  <c r="I471" i="1" s="1"/>
  <c r="S471" i="1" s="1"/>
  <c r="F470" i="1"/>
  <c r="K470" i="1" s="1"/>
  <c r="F469" i="1"/>
  <c r="I469" i="1" s="1"/>
  <c r="S469" i="1" s="1"/>
  <c r="S468" i="1"/>
  <c r="F468" i="1"/>
  <c r="I468" i="1" s="1"/>
  <c r="I467" i="1"/>
  <c r="S467" i="1" s="1"/>
  <c r="F467" i="1"/>
  <c r="I466" i="1"/>
  <c r="S466" i="1" s="1"/>
  <c r="F466" i="1"/>
  <c r="F465" i="1"/>
  <c r="I465" i="1" s="1"/>
  <c r="S465" i="1" s="1"/>
  <c r="F464" i="1"/>
  <c r="I464" i="1" s="1"/>
  <c r="S464" i="1" s="1"/>
  <c r="I463" i="1"/>
  <c r="S463" i="1" s="1"/>
  <c r="F463" i="1"/>
  <c r="I462" i="1"/>
  <c r="S462" i="1" s="1"/>
  <c r="F462" i="1"/>
  <c r="F461" i="1"/>
  <c r="I461" i="1" s="1"/>
  <c r="S461" i="1" s="1"/>
  <c r="F460" i="1"/>
  <c r="I460" i="1" s="1"/>
  <c r="S460" i="1" s="1"/>
  <c r="I459" i="1"/>
  <c r="S459" i="1" s="1"/>
  <c r="F459" i="1"/>
  <c r="I458" i="1"/>
  <c r="S458" i="1" s="1"/>
  <c r="F458" i="1"/>
  <c r="F457" i="1"/>
  <c r="K457" i="1" s="1"/>
  <c r="F456" i="1"/>
  <c r="F455" i="1"/>
  <c r="K455" i="1" s="1"/>
  <c r="F454" i="1"/>
  <c r="K454" i="1" s="1"/>
  <c r="F453" i="1"/>
  <c r="I452" i="1"/>
  <c r="S452" i="1" s="1"/>
  <c r="F452" i="1"/>
  <c r="K452" i="1" s="1"/>
  <c r="I451" i="1"/>
  <c r="S451" i="1" s="1"/>
  <c r="F451" i="1"/>
  <c r="K451" i="1" s="1"/>
  <c r="F450" i="1"/>
  <c r="I449" i="1"/>
  <c r="S449" i="1" s="1"/>
  <c r="F449" i="1"/>
  <c r="K449" i="1" s="1"/>
  <c r="F448" i="1"/>
  <c r="K448" i="1" s="1"/>
  <c r="F447" i="1"/>
  <c r="F446" i="1"/>
  <c r="K446" i="1" s="1"/>
  <c r="I445" i="1"/>
  <c r="S445" i="1" s="1"/>
  <c r="F445" i="1"/>
  <c r="K445" i="1" s="1"/>
  <c r="F444" i="1"/>
  <c r="F443" i="1"/>
  <c r="K443" i="1" s="1"/>
  <c r="F442" i="1"/>
  <c r="K442" i="1" s="1"/>
  <c r="F441" i="1"/>
  <c r="I440" i="1"/>
  <c r="S440" i="1" s="1"/>
  <c r="F440" i="1"/>
  <c r="K440" i="1" s="1"/>
  <c r="F439" i="1"/>
  <c r="K439" i="1" s="1"/>
  <c r="F438" i="1"/>
  <c r="F437" i="1"/>
  <c r="K437" i="1" s="1"/>
  <c r="F436" i="1"/>
  <c r="K436" i="1" s="1"/>
  <c r="F435" i="1"/>
  <c r="I434" i="1"/>
  <c r="S434" i="1" s="1"/>
  <c r="F434" i="1"/>
  <c r="K434" i="1" s="1"/>
  <c r="I433" i="1"/>
  <c r="S433" i="1" s="1"/>
  <c r="F433" i="1"/>
  <c r="K433" i="1" s="1"/>
  <c r="F432" i="1"/>
  <c r="I431" i="1"/>
  <c r="S431" i="1" s="1"/>
  <c r="F431" i="1"/>
  <c r="K431" i="1" s="1"/>
  <c r="F430" i="1"/>
  <c r="K430" i="1" s="1"/>
  <c r="F429" i="1"/>
  <c r="F428" i="1"/>
  <c r="K428" i="1" s="1"/>
  <c r="F427" i="1"/>
  <c r="K427" i="1" s="1"/>
  <c r="F426" i="1"/>
  <c r="I425" i="1"/>
  <c r="S425" i="1" s="1"/>
  <c r="F425" i="1"/>
  <c r="K425" i="1" s="1"/>
  <c r="I424" i="1"/>
  <c r="S424" i="1" s="1"/>
  <c r="F424" i="1"/>
  <c r="K424" i="1" s="1"/>
  <c r="F423" i="1"/>
  <c r="I422" i="1"/>
  <c r="S422" i="1" s="1"/>
  <c r="F422" i="1"/>
  <c r="K422" i="1" s="1"/>
  <c r="F421" i="1"/>
  <c r="K421" i="1" s="1"/>
  <c r="F420" i="1"/>
  <c r="F419" i="1"/>
  <c r="I419" i="1" s="1"/>
  <c r="S419" i="1" s="1"/>
  <c r="F418" i="1"/>
  <c r="F417" i="1"/>
  <c r="I417" i="1" s="1"/>
  <c r="S417" i="1" s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I376" i="1"/>
  <c r="S376" i="1" s="1"/>
  <c r="F376" i="1"/>
  <c r="K376" i="1" s="1"/>
  <c r="I375" i="1"/>
  <c r="S375" i="1" s="1"/>
  <c r="F375" i="1"/>
  <c r="K375" i="1" s="1"/>
  <c r="F374" i="1"/>
  <c r="K374" i="1" s="1"/>
  <c r="I373" i="1"/>
  <c r="S373" i="1" s="1"/>
  <c r="F373" i="1"/>
  <c r="K373" i="1" s="1"/>
  <c r="I372" i="1"/>
  <c r="S372" i="1" s="1"/>
  <c r="F372" i="1"/>
  <c r="K372" i="1" s="1"/>
  <c r="K371" i="1"/>
  <c r="M371" i="1" s="1"/>
  <c r="I371" i="1"/>
  <c r="S371" i="1" s="1"/>
  <c r="F371" i="1"/>
  <c r="K370" i="1"/>
  <c r="I370" i="1"/>
  <c r="S370" i="1" s="1"/>
  <c r="F370" i="1"/>
  <c r="K369" i="1"/>
  <c r="I369" i="1"/>
  <c r="S369" i="1" s="1"/>
  <c r="F369" i="1"/>
  <c r="S368" i="1"/>
  <c r="K368" i="1"/>
  <c r="I368" i="1"/>
  <c r="F368" i="1"/>
  <c r="K367" i="1"/>
  <c r="F367" i="1"/>
  <c r="I367" i="1" s="1"/>
  <c r="S367" i="1" s="1"/>
  <c r="S366" i="1"/>
  <c r="K366" i="1"/>
  <c r="I366" i="1"/>
  <c r="F366" i="1"/>
  <c r="S365" i="1"/>
  <c r="K365" i="1"/>
  <c r="I365" i="1"/>
  <c r="F365" i="1"/>
  <c r="S364" i="1"/>
  <c r="K364" i="1"/>
  <c r="M369" i="1" s="1"/>
  <c r="F364" i="1"/>
  <c r="I364" i="1" s="1"/>
  <c r="S363" i="1"/>
  <c r="K363" i="1"/>
  <c r="I363" i="1"/>
  <c r="F363" i="1"/>
  <c r="S362" i="1"/>
  <c r="I362" i="1"/>
  <c r="F362" i="1"/>
  <c r="S361" i="1"/>
  <c r="K361" i="1"/>
  <c r="F361" i="1"/>
  <c r="I361" i="1" s="1"/>
  <c r="S360" i="1"/>
  <c r="K360" i="1"/>
  <c r="I360" i="1"/>
  <c r="F360" i="1"/>
  <c r="S359" i="1"/>
  <c r="K359" i="1"/>
  <c r="I359" i="1"/>
  <c r="F359" i="1"/>
  <c r="K358" i="1"/>
  <c r="F358" i="1"/>
  <c r="I358" i="1" s="1"/>
  <c r="S358" i="1" s="1"/>
  <c r="S357" i="1"/>
  <c r="K357" i="1"/>
  <c r="I357" i="1"/>
  <c r="F357" i="1"/>
  <c r="S356" i="1"/>
  <c r="K356" i="1"/>
  <c r="I356" i="1"/>
  <c r="F356" i="1"/>
  <c r="S355" i="1"/>
  <c r="K355" i="1"/>
  <c r="F355" i="1"/>
  <c r="I355" i="1" s="1"/>
  <c r="S354" i="1"/>
  <c r="K354" i="1"/>
  <c r="I354" i="1"/>
  <c r="F354" i="1"/>
  <c r="S353" i="1"/>
  <c r="K353" i="1"/>
  <c r="I353" i="1"/>
  <c r="F353" i="1"/>
  <c r="K352" i="1"/>
  <c r="F352" i="1"/>
  <c r="I352" i="1" s="1"/>
  <c r="S352" i="1" s="1"/>
  <c r="K351" i="1"/>
  <c r="F351" i="1"/>
  <c r="I351" i="1" s="1"/>
  <c r="K350" i="1"/>
  <c r="I350" i="1"/>
  <c r="S350" i="1" s="1"/>
  <c r="F350" i="1"/>
  <c r="K349" i="1"/>
  <c r="I349" i="1"/>
  <c r="S349" i="1" s="1"/>
  <c r="F349" i="1"/>
  <c r="F348" i="1"/>
  <c r="K348" i="1" s="1"/>
  <c r="K347" i="1"/>
  <c r="I347" i="1"/>
  <c r="S347" i="1" s="1"/>
  <c r="F347" i="1"/>
  <c r="K346" i="1"/>
  <c r="I346" i="1"/>
  <c r="S346" i="1" s="1"/>
  <c r="F346" i="1"/>
  <c r="F345" i="1"/>
  <c r="K345" i="1" s="1"/>
  <c r="I344" i="1"/>
  <c r="S344" i="1" s="1"/>
  <c r="F344" i="1"/>
  <c r="K344" i="1" s="1"/>
  <c r="K343" i="1"/>
  <c r="I343" i="1"/>
  <c r="S343" i="1" s="1"/>
  <c r="F343" i="1"/>
  <c r="F342" i="1"/>
  <c r="K342" i="1" s="1"/>
  <c r="I341" i="1"/>
  <c r="S341" i="1" s="1"/>
  <c r="F341" i="1"/>
  <c r="K341" i="1" s="1"/>
  <c r="K340" i="1"/>
  <c r="I340" i="1"/>
  <c r="S340" i="1" s="1"/>
  <c r="F340" i="1"/>
  <c r="K339" i="1"/>
  <c r="F339" i="1"/>
  <c r="I339" i="1" s="1"/>
  <c r="S339" i="1" s="1"/>
  <c r="K338" i="1"/>
  <c r="I338" i="1"/>
  <c r="S338" i="1" s="1"/>
  <c r="F338" i="1"/>
  <c r="I337" i="1"/>
  <c r="F337" i="1"/>
  <c r="K337" i="1" s="1"/>
  <c r="K336" i="1"/>
  <c r="F336" i="1"/>
  <c r="I336" i="1" s="1"/>
  <c r="S336" i="1" s="1"/>
  <c r="I335" i="1"/>
  <c r="S335" i="1" s="1"/>
  <c r="F335" i="1"/>
  <c r="K335" i="1" s="1"/>
  <c r="F334" i="1"/>
  <c r="I334" i="1" s="1"/>
  <c r="F333" i="1"/>
  <c r="K333" i="1" s="1"/>
  <c r="K332" i="1"/>
  <c r="F332" i="1"/>
  <c r="I332" i="1" s="1"/>
  <c r="S332" i="1" s="1"/>
  <c r="F331" i="1"/>
  <c r="I331" i="1" s="1"/>
  <c r="S331" i="1" s="1"/>
  <c r="F330" i="1"/>
  <c r="K330" i="1" s="1"/>
  <c r="F329" i="1"/>
  <c r="I329" i="1" s="1"/>
  <c r="S329" i="1" s="1"/>
  <c r="K328" i="1"/>
  <c r="I328" i="1"/>
  <c r="F328" i="1"/>
  <c r="F327" i="1"/>
  <c r="K326" i="1"/>
  <c r="I326" i="1"/>
  <c r="S326" i="1" s="1"/>
  <c r="F326" i="1"/>
  <c r="K325" i="1"/>
  <c r="I325" i="1"/>
  <c r="S325" i="1" s="1"/>
  <c r="F325" i="1"/>
  <c r="F324" i="1"/>
  <c r="F323" i="1"/>
  <c r="I323" i="1" s="1"/>
  <c r="S323" i="1" s="1"/>
  <c r="I322" i="1"/>
  <c r="S322" i="1" s="1"/>
  <c r="F322" i="1"/>
  <c r="K322" i="1" s="1"/>
  <c r="F321" i="1"/>
  <c r="K321" i="1" s="1"/>
  <c r="K320" i="1"/>
  <c r="F320" i="1"/>
  <c r="I320" i="1" s="1"/>
  <c r="S320" i="1" s="1"/>
  <c r="K319" i="1"/>
  <c r="I319" i="1"/>
  <c r="S319" i="1" s="1"/>
  <c r="F319" i="1"/>
  <c r="F318" i="1"/>
  <c r="K318" i="1" s="1"/>
  <c r="S317" i="1"/>
  <c r="K317" i="1"/>
  <c r="F317" i="1"/>
  <c r="I317" i="1" s="1"/>
  <c r="F316" i="1"/>
  <c r="K316" i="1" s="1"/>
  <c r="F315" i="1"/>
  <c r="K314" i="1"/>
  <c r="F314" i="1"/>
  <c r="I314" i="1" s="1"/>
  <c r="S314" i="1" s="1"/>
  <c r="I313" i="1"/>
  <c r="S313" i="1" s="1"/>
  <c r="F313" i="1"/>
  <c r="K313" i="1" s="1"/>
  <c r="F312" i="1"/>
  <c r="K312" i="1" s="1"/>
  <c r="K311" i="1"/>
  <c r="F311" i="1"/>
  <c r="I311" i="1" s="1"/>
  <c r="S311" i="1" s="1"/>
  <c r="S310" i="1"/>
  <c r="K310" i="1"/>
  <c r="I310" i="1"/>
  <c r="F310" i="1"/>
  <c r="F309" i="1"/>
  <c r="K309" i="1" s="1"/>
  <c r="S308" i="1"/>
  <c r="K308" i="1"/>
  <c r="F308" i="1"/>
  <c r="I308" i="1" s="1"/>
  <c r="F307" i="1"/>
  <c r="K307" i="1" s="1"/>
  <c r="I306" i="1"/>
  <c r="S306" i="1" s="1"/>
  <c r="F306" i="1"/>
  <c r="K306" i="1" s="1"/>
  <c r="F305" i="1"/>
  <c r="K305" i="1" s="1"/>
  <c r="K304" i="1"/>
  <c r="F304" i="1"/>
  <c r="I304" i="1" s="1"/>
  <c r="S304" i="1" s="1"/>
  <c r="K303" i="1"/>
  <c r="I303" i="1"/>
  <c r="S303" i="1" s="1"/>
  <c r="F303" i="1"/>
  <c r="F302" i="1"/>
  <c r="K302" i="1" s="1"/>
  <c r="F301" i="1"/>
  <c r="I300" i="1"/>
  <c r="S300" i="1" s="1"/>
  <c r="F300" i="1"/>
  <c r="K300" i="1" s="1"/>
  <c r="F299" i="1"/>
  <c r="F298" i="1"/>
  <c r="K298" i="1" s="1"/>
  <c r="F297" i="1"/>
  <c r="I297" i="1" s="1"/>
  <c r="S297" i="1" s="1"/>
  <c r="I296" i="1"/>
  <c r="S296" i="1" s="1"/>
  <c r="F296" i="1"/>
  <c r="K296" i="1" s="1"/>
  <c r="F295" i="1"/>
  <c r="K295" i="1" s="1"/>
  <c r="S294" i="1"/>
  <c r="I294" i="1"/>
  <c r="F294" i="1"/>
  <c r="K294" i="1" s="1"/>
  <c r="F293" i="1"/>
  <c r="K292" i="1"/>
  <c r="F292" i="1"/>
  <c r="I292" i="1" s="1"/>
  <c r="S292" i="1" s="1"/>
  <c r="K291" i="1"/>
  <c r="F291" i="1"/>
  <c r="I291" i="1" s="1"/>
  <c r="S291" i="1" s="1"/>
  <c r="I290" i="1"/>
  <c r="S290" i="1" s="1"/>
  <c r="F290" i="1"/>
  <c r="K290" i="1" s="1"/>
  <c r="I289" i="1"/>
  <c r="S289" i="1" s="1"/>
  <c r="F289" i="1"/>
  <c r="K289" i="1" s="1"/>
  <c r="K288" i="1"/>
  <c r="I288" i="1"/>
  <c r="S288" i="1" s="1"/>
  <c r="F288" i="1"/>
  <c r="F287" i="1"/>
  <c r="F286" i="1"/>
  <c r="I286" i="1" s="1"/>
  <c r="S286" i="1" s="1"/>
  <c r="F285" i="1"/>
  <c r="I284" i="1"/>
  <c r="S284" i="1" s="1"/>
  <c r="F284" i="1"/>
  <c r="K284" i="1" s="1"/>
  <c r="K283" i="1"/>
  <c r="I283" i="1"/>
  <c r="S283" i="1" s="1"/>
  <c r="F283" i="1"/>
  <c r="F282" i="1"/>
  <c r="K282" i="1" s="1"/>
  <c r="F281" i="1"/>
  <c r="K280" i="1"/>
  <c r="F280" i="1"/>
  <c r="I280" i="1" s="1"/>
  <c r="S280" i="1" s="1"/>
  <c r="K279" i="1"/>
  <c r="F279" i="1"/>
  <c r="I279" i="1" s="1"/>
  <c r="S279" i="1" s="1"/>
  <c r="I278" i="1"/>
  <c r="S278" i="1" s="1"/>
  <c r="F278" i="1"/>
  <c r="K278" i="1" s="1"/>
  <c r="S277" i="1"/>
  <c r="I277" i="1"/>
  <c r="F277" i="1"/>
  <c r="K277" i="1" s="1"/>
  <c r="I276" i="1"/>
  <c r="S276" i="1" s="1"/>
  <c r="F276" i="1"/>
  <c r="K276" i="1" s="1"/>
  <c r="F275" i="1"/>
  <c r="K274" i="1"/>
  <c r="F274" i="1"/>
  <c r="I274" i="1" s="1"/>
  <c r="S274" i="1" s="1"/>
  <c r="F273" i="1"/>
  <c r="I273" i="1" s="1"/>
  <c r="S273" i="1" s="1"/>
  <c r="F272" i="1"/>
  <c r="K272" i="1" s="1"/>
  <c r="S271" i="1"/>
  <c r="I271" i="1"/>
  <c r="F271" i="1"/>
  <c r="K271" i="1" s="1"/>
  <c r="K270" i="1"/>
  <c r="I270" i="1"/>
  <c r="S270" i="1" s="1"/>
  <c r="F270" i="1"/>
  <c r="F269" i="1"/>
  <c r="K269" i="1" s="1"/>
  <c r="F268" i="1"/>
  <c r="I268" i="1" s="1"/>
  <c r="S268" i="1" s="1"/>
  <c r="F267" i="1"/>
  <c r="I267" i="1" s="1"/>
  <c r="S267" i="1" s="1"/>
  <c r="K266" i="1"/>
  <c r="F266" i="1"/>
  <c r="I266" i="1" s="1"/>
  <c r="S266" i="1" s="1"/>
  <c r="F265" i="1"/>
  <c r="I265" i="1" s="1"/>
  <c r="S265" i="1" s="1"/>
  <c r="K264" i="1"/>
  <c r="F264" i="1"/>
  <c r="I264" i="1" s="1"/>
  <c r="S264" i="1" s="1"/>
  <c r="F263" i="1"/>
  <c r="S262" i="1"/>
  <c r="I262" i="1"/>
  <c r="F262" i="1"/>
  <c r="K262" i="1" s="1"/>
  <c r="S261" i="1"/>
  <c r="K261" i="1"/>
  <c r="I261" i="1"/>
  <c r="F261" i="1"/>
  <c r="F260" i="1"/>
  <c r="S259" i="1"/>
  <c r="I259" i="1"/>
  <c r="F259" i="1"/>
  <c r="K259" i="1" s="1"/>
  <c r="K258" i="1"/>
  <c r="I258" i="1"/>
  <c r="S258" i="1" s="1"/>
  <c r="F258" i="1"/>
  <c r="F257" i="1"/>
  <c r="I256" i="1"/>
  <c r="S256" i="1" s="1"/>
  <c r="F256" i="1"/>
  <c r="K256" i="1" s="1"/>
  <c r="S255" i="1"/>
  <c r="K255" i="1"/>
  <c r="I255" i="1"/>
  <c r="F255" i="1"/>
  <c r="F254" i="1"/>
  <c r="I253" i="1"/>
  <c r="S253" i="1" s="1"/>
  <c r="F253" i="1"/>
  <c r="K253" i="1" s="1"/>
  <c r="K252" i="1"/>
  <c r="I252" i="1"/>
  <c r="S252" i="1" s="1"/>
  <c r="F252" i="1"/>
  <c r="F251" i="1"/>
  <c r="K251" i="1" s="1"/>
  <c r="F250" i="1"/>
  <c r="I250" i="1" s="1"/>
  <c r="S250" i="1" s="1"/>
  <c r="F249" i="1"/>
  <c r="I249" i="1" s="1"/>
  <c r="S249" i="1" s="1"/>
  <c r="F248" i="1"/>
  <c r="K248" i="1" s="1"/>
  <c r="F247" i="1"/>
  <c r="I247" i="1" s="1"/>
  <c r="S247" i="1" s="1"/>
  <c r="K246" i="1"/>
  <c r="F246" i="1"/>
  <c r="I246" i="1" s="1"/>
  <c r="S246" i="1" s="1"/>
  <c r="F245" i="1"/>
  <c r="K245" i="1" s="1"/>
  <c r="F244" i="1"/>
  <c r="I244" i="1" s="1"/>
  <c r="S244" i="1" s="1"/>
  <c r="F243" i="1"/>
  <c r="I243" i="1" s="1"/>
  <c r="S243" i="1" s="1"/>
  <c r="F242" i="1"/>
  <c r="K242" i="1" s="1"/>
  <c r="F241" i="1"/>
  <c r="I241" i="1" s="1"/>
  <c r="S241" i="1" s="1"/>
  <c r="K240" i="1"/>
  <c r="F240" i="1"/>
  <c r="I240" i="1" s="1"/>
  <c r="S240" i="1" s="1"/>
  <c r="F239" i="1"/>
  <c r="K239" i="1" s="1"/>
  <c r="F238" i="1"/>
  <c r="I238" i="1" s="1"/>
  <c r="S238" i="1" s="1"/>
  <c r="F237" i="1"/>
  <c r="I237" i="1" s="1"/>
  <c r="S237" i="1" s="1"/>
  <c r="F236" i="1"/>
  <c r="K236" i="1" s="1"/>
  <c r="F235" i="1"/>
  <c r="I235" i="1" s="1"/>
  <c r="S235" i="1" s="1"/>
  <c r="K234" i="1"/>
  <c r="F234" i="1"/>
  <c r="I234" i="1" s="1"/>
  <c r="S234" i="1" s="1"/>
  <c r="F233" i="1"/>
  <c r="K233" i="1" s="1"/>
  <c r="F232" i="1"/>
  <c r="I232" i="1" s="1"/>
  <c r="S232" i="1" s="1"/>
  <c r="F231" i="1"/>
  <c r="I231" i="1" s="1"/>
  <c r="S231" i="1" s="1"/>
  <c r="K230" i="1"/>
  <c r="I230" i="1"/>
  <c r="S230" i="1" s="1"/>
  <c r="F230" i="1"/>
  <c r="S229" i="1"/>
  <c r="K229" i="1"/>
  <c r="M230" i="1" s="1"/>
  <c r="I229" i="1"/>
  <c r="F229" i="1"/>
  <c r="S228" i="1"/>
  <c r="I228" i="1"/>
  <c r="F228" i="1"/>
  <c r="K227" i="1"/>
  <c r="I227" i="1"/>
  <c r="S227" i="1" s="1"/>
  <c r="F227" i="1"/>
  <c r="K226" i="1"/>
  <c r="I226" i="1"/>
  <c r="S226" i="1" s="1"/>
  <c r="F226" i="1"/>
  <c r="I225" i="1"/>
  <c r="S225" i="1" s="1"/>
  <c r="F225" i="1"/>
  <c r="K225" i="1" s="1"/>
  <c r="K224" i="1"/>
  <c r="I224" i="1"/>
  <c r="S224" i="1" s="1"/>
  <c r="F224" i="1"/>
  <c r="S223" i="1"/>
  <c r="F223" i="1"/>
  <c r="I223" i="1" s="1"/>
  <c r="K222" i="1"/>
  <c r="F222" i="1"/>
  <c r="I222" i="1" s="1"/>
  <c r="S222" i="1" s="1"/>
  <c r="S221" i="1"/>
  <c r="I221" i="1"/>
  <c r="F221" i="1"/>
  <c r="K221" i="1" s="1"/>
  <c r="S220" i="1"/>
  <c r="K220" i="1"/>
  <c r="I220" i="1"/>
  <c r="F220" i="1"/>
  <c r="F219" i="1"/>
  <c r="I218" i="1"/>
  <c r="S218" i="1" s="1"/>
  <c r="F218" i="1"/>
  <c r="K218" i="1" s="1"/>
  <c r="K217" i="1"/>
  <c r="I217" i="1"/>
  <c r="S217" i="1" s="1"/>
  <c r="F217" i="1"/>
  <c r="F216" i="1"/>
  <c r="F215" i="1"/>
  <c r="K215" i="1" s="1"/>
  <c r="K214" i="1"/>
  <c r="F214" i="1"/>
  <c r="I214" i="1" s="1"/>
  <c r="S214" i="1" s="1"/>
  <c r="F213" i="1"/>
  <c r="K213" i="1" s="1"/>
  <c r="F212" i="1"/>
  <c r="K212" i="1" s="1"/>
  <c r="F211" i="1"/>
  <c r="I211" i="1" s="1"/>
  <c r="S211" i="1" s="1"/>
  <c r="F210" i="1"/>
  <c r="K210" i="1" s="1"/>
  <c r="I209" i="1"/>
  <c r="S209" i="1" s="1"/>
  <c r="F209" i="1"/>
  <c r="K209" i="1" s="1"/>
  <c r="F208" i="1"/>
  <c r="I208" i="1" s="1"/>
  <c r="S208" i="1" s="1"/>
  <c r="I207" i="1"/>
  <c r="S207" i="1" s="1"/>
  <c r="F207" i="1"/>
  <c r="I206" i="1"/>
  <c r="S206" i="1" s="1"/>
  <c r="F206" i="1"/>
  <c r="S205" i="1"/>
  <c r="K205" i="1"/>
  <c r="I205" i="1"/>
  <c r="F205" i="1"/>
  <c r="F204" i="1"/>
  <c r="F203" i="1"/>
  <c r="K203" i="1" s="1"/>
  <c r="S202" i="1"/>
  <c r="K202" i="1"/>
  <c r="I202" i="1"/>
  <c r="F202" i="1"/>
  <c r="F201" i="1"/>
  <c r="F200" i="1"/>
  <c r="K200" i="1" s="1"/>
  <c r="I199" i="1"/>
  <c r="S199" i="1" s="1"/>
  <c r="F199" i="1"/>
  <c r="K199" i="1" s="1"/>
  <c r="F198" i="1"/>
  <c r="I197" i="1"/>
  <c r="S197" i="1" s="1"/>
  <c r="F197" i="1"/>
  <c r="K197" i="1" s="1"/>
  <c r="S196" i="1"/>
  <c r="I196" i="1"/>
  <c r="F196" i="1"/>
  <c r="K196" i="1" s="1"/>
  <c r="F195" i="1"/>
  <c r="I194" i="1"/>
  <c r="S194" i="1" s="1"/>
  <c r="F194" i="1"/>
  <c r="K194" i="1" s="1"/>
  <c r="F193" i="1"/>
  <c r="K193" i="1" s="1"/>
  <c r="F192" i="1"/>
  <c r="F191" i="1"/>
  <c r="K191" i="1" s="1"/>
  <c r="F190" i="1"/>
  <c r="K190" i="1" s="1"/>
  <c r="F189" i="1"/>
  <c r="I188" i="1"/>
  <c r="S188" i="1" s="1"/>
  <c r="F188" i="1"/>
  <c r="K188" i="1" s="1"/>
  <c r="F187" i="1"/>
  <c r="K187" i="1" s="1"/>
  <c r="F186" i="1"/>
  <c r="I185" i="1"/>
  <c r="S185" i="1" s="1"/>
  <c r="F185" i="1"/>
  <c r="K185" i="1" s="1"/>
  <c r="F184" i="1"/>
  <c r="K184" i="1" s="1"/>
  <c r="F183" i="1"/>
  <c r="F182" i="1"/>
  <c r="K182" i="1" s="1"/>
  <c r="F181" i="1"/>
  <c r="K181" i="1" s="1"/>
  <c r="F180" i="1"/>
  <c r="I179" i="1"/>
  <c r="S179" i="1" s="1"/>
  <c r="F179" i="1"/>
  <c r="K179" i="1" s="1"/>
  <c r="F178" i="1"/>
  <c r="K178" i="1" s="1"/>
  <c r="F177" i="1"/>
  <c r="I176" i="1"/>
  <c r="S176" i="1" s="1"/>
  <c r="F176" i="1"/>
  <c r="K176" i="1" s="1"/>
  <c r="F175" i="1"/>
  <c r="K175" i="1" s="1"/>
  <c r="F174" i="1"/>
  <c r="F173" i="1"/>
  <c r="K173" i="1" s="1"/>
  <c r="F172" i="1"/>
  <c r="K172" i="1" s="1"/>
  <c r="F171" i="1"/>
  <c r="I170" i="1"/>
  <c r="S170" i="1" s="1"/>
  <c r="F170" i="1"/>
  <c r="K170" i="1" s="1"/>
  <c r="F169" i="1"/>
  <c r="K169" i="1" s="1"/>
  <c r="F168" i="1"/>
  <c r="I167" i="1"/>
  <c r="S167" i="1" s="1"/>
  <c r="F167" i="1"/>
  <c r="K167" i="1" s="1"/>
  <c r="S166" i="1"/>
  <c r="K166" i="1"/>
  <c r="I166" i="1"/>
  <c r="F166" i="1"/>
  <c r="I165" i="1"/>
  <c r="S165" i="1" s="1"/>
  <c r="F165" i="1"/>
  <c r="K165" i="1" s="1"/>
  <c r="K164" i="1"/>
  <c r="I164" i="1"/>
  <c r="S164" i="1" s="1"/>
  <c r="F164" i="1"/>
  <c r="I163" i="1"/>
  <c r="S163" i="1" s="1"/>
  <c r="F163" i="1"/>
  <c r="K163" i="1" s="1"/>
  <c r="I162" i="1"/>
  <c r="S162" i="1" s="1"/>
  <c r="F162" i="1"/>
  <c r="K162" i="1" s="1"/>
  <c r="F161" i="1"/>
  <c r="K161" i="1" s="1"/>
  <c r="F160" i="1"/>
  <c r="K160" i="1" s="1"/>
  <c r="K159" i="1"/>
  <c r="I159" i="1"/>
  <c r="S159" i="1" s="1"/>
  <c r="F159" i="1"/>
  <c r="S158" i="1"/>
  <c r="K158" i="1"/>
  <c r="I158" i="1"/>
  <c r="F158" i="1"/>
  <c r="K157" i="1"/>
  <c r="I157" i="1"/>
  <c r="S157" i="1" s="1"/>
  <c r="F157" i="1"/>
  <c r="K156" i="1"/>
  <c r="I156" i="1"/>
  <c r="S156" i="1" s="1"/>
  <c r="F156" i="1"/>
  <c r="K155" i="1"/>
  <c r="I155" i="1"/>
  <c r="S155" i="1" s="1"/>
  <c r="F155" i="1"/>
  <c r="S154" i="1"/>
  <c r="K154" i="1"/>
  <c r="F154" i="1"/>
  <c r="I154" i="1" s="1"/>
  <c r="S153" i="1"/>
  <c r="K153" i="1"/>
  <c r="F153" i="1"/>
  <c r="I153" i="1" s="1"/>
  <c r="F152" i="1"/>
  <c r="K152" i="1" s="1"/>
  <c r="S151" i="1"/>
  <c r="K151" i="1"/>
  <c r="F151" i="1"/>
  <c r="I151" i="1" s="1"/>
  <c r="F150" i="1"/>
  <c r="I150" i="1" s="1"/>
  <c r="S150" i="1" s="1"/>
  <c r="F149" i="1"/>
  <c r="I149" i="1" s="1"/>
  <c r="S149" i="1" s="1"/>
  <c r="S148" i="1"/>
  <c r="K148" i="1"/>
  <c r="F148" i="1"/>
  <c r="I148" i="1" s="1"/>
  <c r="F147" i="1"/>
  <c r="I147" i="1" s="1"/>
  <c r="S147" i="1" s="1"/>
  <c r="K146" i="1"/>
  <c r="I146" i="1"/>
  <c r="S146" i="1" s="1"/>
  <c r="F146" i="1"/>
  <c r="K145" i="1"/>
  <c r="F145" i="1"/>
  <c r="I145" i="1" s="1"/>
  <c r="S145" i="1" s="1"/>
  <c r="S144" i="1"/>
  <c r="F144" i="1"/>
  <c r="I144" i="1" s="1"/>
  <c r="F143" i="1"/>
  <c r="K143" i="1" s="1"/>
  <c r="S142" i="1"/>
  <c r="K142" i="1"/>
  <c r="F142" i="1"/>
  <c r="I142" i="1" s="1"/>
  <c r="F141" i="1"/>
  <c r="I141" i="1" s="1"/>
  <c r="S141" i="1" s="1"/>
  <c r="F140" i="1"/>
  <c r="K140" i="1" s="1"/>
  <c r="F139" i="1"/>
  <c r="I139" i="1" s="1"/>
  <c r="S139" i="1" s="1"/>
  <c r="F138" i="1"/>
  <c r="I138" i="1" s="1"/>
  <c r="S138" i="1" s="1"/>
  <c r="K137" i="1"/>
  <c r="F137" i="1"/>
  <c r="I137" i="1" s="1"/>
  <c r="S137" i="1" s="1"/>
  <c r="F136" i="1"/>
  <c r="K136" i="1" s="1"/>
  <c r="S135" i="1"/>
  <c r="I135" i="1"/>
  <c r="F135" i="1"/>
  <c r="K135" i="1" s="1"/>
  <c r="K134" i="1"/>
  <c r="I134" i="1"/>
  <c r="S134" i="1" s="1"/>
  <c r="F134" i="1"/>
  <c r="F133" i="1"/>
  <c r="K133" i="1" s="1"/>
  <c r="F132" i="1"/>
  <c r="K132" i="1" s="1"/>
  <c r="I131" i="1"/>
  <c r="S131" i="1" s="1"/>
  <c r="F131" i="1"/>
  <c r="K131" i="1" s="1"/>
  <c r="F130" i="1"/>
  <c r="K130" i="1" s="1"/>
  <c r="I129" i="1"/>
  <c r="S129" i="1" s="1"/>
  <c r="F129" i="1"/>
  <c r="K129" i="1" s="1"/>
  <c r="S128" i="1"/>
  <c r="K128" i="1"/>
  <c r="I128" i="1"/>
  <c r="F128" i="1"/>
  <c r="F127" i="1"/>
  <c r="K127" i="1" s="1"/>
  <c r="I126" i="1"/>
  <c r="S126" i="1" s="1"/>
  <c r="F126" i="1"/>
  <c r="K126" i="1" s="1"/>
  <c r="F125" i="1"/>
  <c r="K125" i="1" s="1"/>
  <c r="F124" i="1"/>
  <c r="K124" i="1" s="1"/>
  <c r="I123" i="1"/>
  <c r="S123" i="1" s="1"/>
  <c r="F123" i="1"/>
  <c r="K123" i="1" s="1"/>
  <c r="I122" i="1"/>
  <c r="S122" i="1" s="1"/>
  <c r="F122" i="1"/>
  <c r="K122" i="1" s="1"/>
  <c r="M136" i="1" s="1"/>
  <c r="I121" i="1"/>
  <c r="S121" i="1" s="1"/>
  <c r="F121" i="1"/>
  <c r="K121" i="1" s="1"/>
  <c r="F120" i="1"/>
  <c r="K120" i="1" s="1"/>
  <c r="F119" i="1"/>
  <c r="K119" i="1" s="1"/>
  <c r="F118" i="1"/>
  <c r="K118" i="1" s="1"/>
  <c r="F117" i="1"/>
  <c r="I117" i="1" s="1"/>
  <c r="S117" i="1" s="1"/>
  <c r="K116" i="1"/>
  <c r="F116" i="1"/>
  <c r="I116" i="1" s="1"/>
  <c r="S116" i="1" s="1"/>
  <c r="I115" i="1"/>
  <c r="S115" i="1" s="1"/>
  <c r="F115" i="1"/>
  <c r="K115" i="1" s="1"/>
  <c r="K114" i="1"/>
  <c r="I114" i="1"/>
  <c r="S114" i="1" s="1"/>
  <c r="F114" i="1"/>
  <c r="F113" i="1"/>
  <c r="K113" i="1" s="1"/>
  <c r="K112" i="1"/>
  <c r="I112" i="1"/>
  <c r="S112" i="1" s="1"/>
  <c r="F112" i="1"/>
  <c r="K111" i="1"/>
  <c r="M112" i="1" s="1"/>
  <c r="I111" i="1"/>
  <c r="S111" i="1" s="1"/>
  <c r="F111" i="1"/>
  <c r="F110" i="1"/>
  <c r="I110" i="1" s="1"/>
  <c r="S110" i="1" s="1"/>
  <c r="S109" i="1"/>
  <c r="K109" i="1"/>
  <c r="F109" i="1"/>
  <c r="I109" i="1" s="1"/>
  <c r="F108" i="1"/>
  <c r="K108" i="1" s="1"/>
  <c r="F107" i="1"/>
  <c r="I107" i="1" s="1"/>
  <c r="S107" i="1" s="1"/>
  <c r="S106" i="1"/>
  <c r="K106" i="1"/>
  <c r="F106" i="1"/>
  <c r="I106" i="1" s="1"/>
  <c r="I105" i="1"/>
  <c r="S105" i="1" s="1"/>
  <c r="F105" i="1"/>
  <c r="K105" i="1" s="1"/>
  <c r="S104" i="1"/>
  <c r="K104" i="1"/>
  <c r="F104" i="1"/>
  <c r="I104" i="1" s="1"/>
  <c r="K103" i="1"/>
  <c r="F103" i="1"/>
  <c r="I103" i="1" s="1"/>
  <c r="S103" i="1" s="1"/>
  <c r="S102" i="1"/>
  <c r="K102" i="1"/>
  <c r="I102" i="1"/>
  <c r="F102" i="1"/>
  <c r="F101" i="1"/>
  <c r="I101" i="1" s="1"/>
  <c r="S101" i="1" s="1"/>
  <c r="S100" i="1"/>
  <c r="K100" i="1"/>
  <c r="F100" i="1"/>
  <c r="I100" i="1" s="1"/>
  <c r="K99" i="1"/>
  <c r="I99" i="1"/>
  <c r="S99" i="1" s="1"/>
  <c r="F99" i="1"/>
  <c r="F98" i="1"/>
  <c r="I98" i="1" s="1"/>
  <c r="S98" i="1" s="1"/>
  <c r="K97" i="1"/>
  <c r="I97" i="1"/>
  <c r="S97" i="1" s="1"/>
  <c r="F97" i="1"/>
  <c r="F96" i="1"/>
  <c r="K96" i="1" s="1"/>
  <c r="S95" i="1"/>
  <c r="K95" i="1"/>
  <c r="F95" i="1"/>
  <c r="I95" i="1" s="1"/>
  <c r="F94" i="1"/>
  <c r="K94" i="1" s="1"/>
  <c r="I93" i="1"/>
  <c r="S93" i="1" s="1"/>
  <c r="F93" i="1"/>
  <c r="K93" i="1" s="1"/>
  <c r="S92" i="1"/>
  <c r="F92" i="1"/>
  <c r="I92" i="1" s="1"/>
  <c r="F91" i="1"/>
  <c r="K91" i="1" s="1"/>
  <c r="F90" i="1"/>
  <c r="I90" i="1" s="1"/>
  <c r="S90" i="1" s="1"/>
  <c r="S89" i="1"/>
  <c r="K89" i="1"/>
  <c r="F89" i="1"/>
  <c r="I89" i="1" s="1"/>
  <c r="I88" i="1"/>
  <c r="S88" i="1" s="1"/>
  <c r="F88" i="1"/>
  <c r="K88" i="1" s="1"/>
  <c r="S87" i="1"/>
  <c r="K87" i="1"/>
  <c r="I87" i="1"/>
  <c r="F87" i="1"/>
  <c r="F86" i="1"/>
  <c r="I86" i="1" s="1"/>
  <c r="S86" i="1" s="1"/>
  <c r="F85" i="1"/>
  <c r="K85" i="1" s="1"/>
  <c r="K84" i="1"/>
  <c r="I84" i="1"/>
  <c r="S84" i="1" s="1"/>
  <c r="F84" i="1"/>
  <c r="K83" i="1"/>
  <c r="F83" i="1"/>
  <c r="I83" i="1" s="1"/>
  <c r="S83" i="1" s="1"/>
  <c r="S82" i="1"/>
  <c r="K82" i="1"/>
  <c r="I82" i="1"/>
  <c r="F82" i="1"/>
  <c r="F81" i="1"/>
  <c r="K81" i="1" s="1"/>
  <c r="F80" i="1"/>
  <c r="I80" i="1" s="1"/>
  <c r="S80" i="1" s="1"/>
  <c r="K79" i="1"/>
  <c r="F79" i="1"/>
  <c r="I79" i="1" s="1"/>
  <c r="S79" i="1" s="1"/>
  <c r="F78" i="1"/>
  <c r="K78" i="1" s="1"/>
  <c r="F77" i="1"/>
  <c r="I77" i="1" s="1"/>
  <c r="S77" i="1" s="1"/>
  <c r="K76" i="1"/>
  <c r="F76" i="1"/>
  <c r="I76" i="1" s="1"/>
  <c r="S76" i="1" s="1"/>
  <c r="F75" i="1"/>
  <c r="K75" i="1" s="1"/>
  <c r="F74" i="1"/>
  <c r="I74" i="1" s="1"/>
  <c r="S74" i="1" s="1"/>
  <c r="K73" i="1"/>
  <c r="F73" i="1"/>
  <c r="I73" i="1" s="1"/>
  <c r="S73" i="1" s="1"/>
  <c r="F72" i="1"/>
  <c r="K72" i="1" s="1"/>
  <c r="F71" i="1"/>
  <c r="I71" i="1" s="1"/>
  <c r="S71" i="1" s="1"/>
  <c r="K70" i="1"/>
  <c r="F70" i="1"/>
  <c r="I70" i="1" s="1"/>
  <c r="S70" i="1" s="1"/>
  <c r="F69" i="1"/>
  <c r="K69" i="1" s="1"/>
  <c r="F68" i="1"/>
  <c r="I68" i="1" s="1"/>
  <c r="S68" i="1" s="1"/>
  <c r="K67" i="1"/>
  <c r="F67" i="1"/>
  <c r="I67" i="1" s="1"/>
  <c r="S67" i="1" s="1"/>
  <c r="F66" i="1"/>
  <c r="K66" i="1" s="1"/>
  <c r="F65" i="1"/>
  <c r="I65" i="1" s="1"/>
  <c r="S65" i="1" s="1"/>
  <c r="K64" i="1"/>
  <c r="F64" i="1"/>
  <c r="I64" i="1" s="1"/>
  <c r="S64" i="1" s="1"/>
  <c r="I63" i="1"/>
  <c r="S63" i="1" s="1"/>
  <c r="F63" i="1"/>
  <c r="K63" i="1" s="1"/>
  <c r="I62" i="1"/>
  <c r="S62" i="1" s="1"/>
  <c r="F62" i="1"/>
  <c r="K62" i="1" s="1"/>
  <c r="S61" i="1"/>
  <c r="K61" i="1"/>
  <c r="I61" i="1"/>
  <c r="F61" i="1"/>
  <c r="I60" i="1"/>
  <c r="S60" i="1" s="1"/>
  <c r="F60" i="1"/>
  <c r="K60" i="1" s="1"/>
  <c r="I59" i="1"/>
  <c r="S59" i="1" s="1"/>
  <c r="F59" i="1"/>
  <c r="K59" i="1" s="1"/>
  <c r="S58" i="1"/>
  <c r="I58" i="1"/>
  <c r="F58" i="1"/>
  <c r="K58" i="1" s="1"/>
  <c r="F57" i="1"/>
  <c r="K57" i="1" s="1"/>
  <c r="I56" i="1"/>
  <c r="S56" i="1" s="1"/>
  <c r="F56" i="1"/>
  <c r="K56" i="1" s="1"/>
  <c r="S55" i="1"/>
  <c r="I55" i="1"/>
  <c r="F55" i="1"/>
  <c r="K55" i="1" s="1"/>
  <c r="F54" i="1"/>
  <c r="K54" i="1" s="1"/>
  <c r="I53" i="1"/>
  <c r="S53" i="1" s="1"/>
  <c r="F53" i="1"/>
  <c r="K53" i="1" s="1"/>
  <c r="S52" i="1"/>
  <c r="I52" i="1"/>
  <c r="F52" i="1"/>
  <c r="K52" i="1" s="1"/>
  <c r="F51" i="1"/>
  <c r="K51" i="1" s="1"/>
  <c r="I50" i="1"/>
  <c r="S50" i="1" s="1"/>
  <c r="F50" i="1"/>
  <c r="K50" i="1" s="1"/>
  <c r="S49" i="1"/>
  <c r="I49" i="1"/>
  <c r="F49" i="1"/>
  <c r="K49" i="1" s="1"/>
  <c r="F48" i="1"/>
  <c r="K48" i="1" s="1"/>
  <c r="I47" i="1"/>
  <c r="S47" i="1" s="1"/>
  <c r="F47" i="1"/>
  <c r="K47" i="1" s="1"/>
  <c r="S46" i="1"/>
  <c r="I46" i="1"/>
  <c r="F46" i="1"/>
  <c r="K46" i="1" s="1"/>
  <c r="F45" i="1"/>
  <c r="K45" i="1" s="1"/>
  <c r="I44" i="1"/>
  <c r="S44" i="1" s="1"/>
  <c r="F44" i="1"/>
  <c r="K44" i="1" s="1"/>
  <c r="S43" i="1"/>
  <c r="I43" i="1"/>
  <c r="F43" i="1"/>
  <c r="K43" i="1" s="1"/>
  <c r="F42" i="1"/>
  <c r="K42" i="1" s="1"/>
  <c r="I41" i="1"/>
  <c r="S41" i="1" s="1"/>
  <c r="F41" i="1"/>
  <c r="K41" i="1" s="1"/>
  <c r="S40" i="1"/>
  <c r="I40" i="1"/>
  <c r="F40" i="1"/>
  <c r="K40" i="1" s="1"/>
  <c r="F39" i="1"/>
  <c r="K39" i="1" s="1"/>
  <c r="I38" i="1"/>
  <c r="S38" i="1" s="1"/>
  <c r="F38" i="1"/>
  <c r="K38" i="1" s="1"/>
  <c r="S37" i="1"/>
  <c r="I37" i="1"/>
  <c r="F37" i="1"/>
  <c r="K37" i="1" s="1"/>
  <c r="F36" i="1"/>
  <c r="K36" i="1" s="1"/>
  <c r="F35" i="1"/>
  <c r="K35" i="1" s="1"/>
  <c r="S34" i="1"/>
  <c r="I34" i="1"/>
  <c r="F34" i="1"/>
  <c r="K34" i="1" s="1"/>
  <c r="F33" i="1"/>
  <c r="K33" i="1" s="1"/>
  <c r="F32" i="1"/>
  <c r="K32" i="1" s="1"/>
  <c r="S31" i="1"/>
  <c r="I31" i="1"/>
  <c r="F31" i="1"/>
  <c r="K31" i="1" s="1"/>
  <c r="F30" i="1"/>
  <c r="K30" i="1" s="1"/>
  <c r="F29" i="1"/>
  <c r="K29" i="1" s="1"/>
  <c r="S28" i="1"/>
  <c r="K28" i="1"/>
  <c r="I28" i="1"/>
  <c r="F28" i="1"/>
  <c r="K27" i="1"/>
  <c r="M28" i="1" s="1"/>
  <c r="I27" i="1"/>
  <c r="S27" i="1" s="1"/>
  <c r="F27" i="1"/>
  <c r="K26" i="1"/>
  <c r="I26" i="1"/>
  <c r="S26" i="1" s="1"/>
  <c r="F26" i="1"/>
  <c r="S25" i="1"/>
  <c r="K25" i="1"/>
  <c r="I25" i="1"/>
  <c r="F25" i="1"/>
  <c r="S24" i="1"/>
  <c r="K24" i="1"/>
  <c r="I24" i="1"/>
  <c r="F24" i="1"/>
  <c r="S23" i="1"/>
  <c r="K23" i="1"/>
  <c r="I23" i="1"/>
  <c r="F23" i="1"/>
  <c r="S22" i="1"/>
  <c r="K22" i="1"/>
  <c r="I22" i="1"/>
  <c r="F22" i="1"/>
  <c r="K21" i="1"/>
  <c r="F21" i="1"/>
  <c r="I21" i="1" s="1"/>
  <c r="S21" i="1" s="1"/>
  <c r="K20" i="1"/>
  <c r="F20" i="1"/>
  <c r="I20" i="1" s="1"/>
  <c r="S20" i="1" s="1"/>
  <c r="F19" i="1"/>
  <c r="K19" i="1" s="1"/>
  <c r="F18" i="1"/>
  <c r="K18" i="1" s="1"/>
  <c r="F17" i="1"/>
  <c r="K17" i="1" s="1"/>
  <c r="F16" i="1"/>
  <c r="K16" i="1" s="1"/>
  <c r="F15" i="1"/>
  <c r="K15" i="1" s="1"/>
  <c r="F14" i="1"/>
  <c r="K14" i="1" s="1"/>
  <c r="F13" i="1"/>
  <c r="K13" i="1" s="1"/>
  <c r="F12" i="1"/>
  <c r="K12" i="1" s="1"/>
  <c r="F11" i="1"/>
  <c r="K11" i="1" s="1"/>
  <c r="F10" i="1"/>
  <c r="K10" i="1" s="1"/>
  <c r="F9" i="1"/>
  <c r="K9" i="1" s="1"/>
  <c r="F8" i="1"/>
  <c r="K8" i="1" s="1"/>
  <c r="F7" i="1"/>
  <c r="K7" i="1" s="1"/>
  <c r="F6" i="1"/>
  <c r="K6" i="1" s="1"/>
  <c r="F5" i="1"/>
  <c r="K5" i="1" s="1"/>
  <c r="F4" i="1"/>
  <c r="K4" i="1" s="1"/>
  <c r="M4" i="1" s="1"/>
  <c r="M166" i="1" l="1"/>
  <c r="M63" i="1"/>
  <c r="M26" i="1"/>
  <c r="I6" i="1"/>
  <c r="S6" i="1" s="1"/>
  <c r="I9" i="1"/>
  <c r="S9" i="1" s="1"/>
  <c r="I12" i="1"/>
  <c r="S12" i="1" s="1"/>
  <c r="I15" i="1"/>
  <c r="S15" i="1" s="1"/>
  <c r="I18" i="1"/>
  <c r="S18" i="1" s="1"/>
  <c r="K65" i="1"/>
  <c r="K68" i="1"/>
  <c r="M110" i="1" s="1"/>
  <c r="K71" i="1"/>
  <c r="K74" i="1"/>
  <c r="K77" i="1"/>
  <c r="K90" i="1"/>
  <c r="K117" i="1"/>
  <c r="M120" i="1" s="1"/>
  <c r="K149" i="1"/>
  <c r="K168" i="1"/>
  <c r="I168" i="1"/>
  <c r="S168" i="1" s="1"/>
  <c r="K177" i="1"/>
  <c r="M207" i="1" s="1"/>
  <c r="I177" i="1"/>
  <c r="S177" i="1" s="1"/>
  <c r="K186" i="1"/>
  <c r="I186" i="1"/>
  <c r="S186" i="1" s="1"/>
  <c r="K195" i="1"/>
  <c r="I195" i="1"/>
  <c r="S195" i="1" s="1"/>
  <c r="K208" i="1"/>
  <c r="I213" i="1"/>
  <c r="S213" i="1" s="1"/>
  <c r="K204" i="1"/>
  <c r="I204" i="1"/>
  <c r="S204" i="1" s="1"/>
  <c r="K285" i="1"/>
  <c r="I285" i="1"/>
  <c r="S285" i="1" s="1"/>
  <c r="I30" i="1"/>
  <c r="S30" i="1" s="1"/>
  <c r="I33" i="1"/>
  <c r="S33" i="1" s="1"/>
  <c r="I36" i="1"/>
  <c r="S36" i="1" s="1"/>
  <c r="I39" i="1"/>
  <c r="S39" i="1" s="1"/>
  <c r="I42" i="1"/>
  <c r="S42" i="1" s="1"/>
  <c r="I45" i="1"/>
  <c r="S45" i="1" s="1"/>
  <c r="I48" i="1"/>
  <c r="S48" i="1" s="1"/>
  <c r="I51" i="1"/>
  <c r="S51" i="1" s="1"/>
  <c r="I54" i="1"/>
  <c r="S54" i="1" s="1"/>
  <c r="I57" i="1"/>
  <c r="S57" i="1" s="1"/>
  <c r="I81" i="1"/>
  <c r="S81" i="1" s="1"/>
  <c r="I94" i="1"/>
  <c r="S94" i="1" s="1"/>
  <c r="I108" i="1"/>
  <c r="S108" i="1" s="1"/>
  <c r="I118" i="1"/>
  <c r="S118" i="1" s="1"/>
  <c r="I125" i="1"/>
  <c r="S125" i="1" s="1"/>
  <c r="I132" i="1"/>
  <c r="S132" i="1" s="1"/>
  <c r="K139" i="1"/>
  <c r="I160" i="1"/>
  <c r="S160" i="1" s="1"/>
  <c r="I173" i="1"/>
  <c r="S173" i="1" s="1"/>
  <c r="I182" i="1"/>
  <c r="S182" i="1" s="1"/>
  <c r="I191" i="1"/>
  <c r="S191" i="1" s="1"/>
  <c r="I200" i="1"/>
  <c r="S200" i="1" s="1"/>
  <c r="K260" i="1"/>
  <c r="I260" i="1"/>
  <c r="S260" i="1" s="1"/>
  <c r="K275" i="1"/>
  <c r="I275" i="1"/>
  <c r="S275" i="1" s="1"/>
  <c r="I66" i="1"/>
  <c r="S66" i="1" s="1"/>
  <c r="I69" i="1"/>
  <c r="S69" i="1" s="1"/>
  <c r="I72" i="1"/>
  <c r="S72" i="1" s="1"/>
  <c r="I75" i="1"/>
  <c r="S75" i="1" s="1"/>
  <c r="I78" i="1"/>
  <c r="S78" i="1" s="1"/>
  <c r="I91" i="1"/>
  <c r="S91" i="1" s="1"/>
  <c r="K101" i="1"/>
  <c r="I136" i="1"/>
  <c r="S136" i="1" s="1"/>
  <c r="I143" i="1"/>
  <c r="S143" i="1" s="1"/>
  <c r="K150" i="1"/>
  <c r="I169" i="1"/>
  <c r="S169" i="1" s="1"/>
  <c r="I178" i="1"/>
  <c r="S178" i="1" s="1"/>
  <c r="I187" i="1"/>
  <c r="S187" i="1" s="1"/>
  <c r="K235" i="1"/>
  <c r="K241" i="1"/>
  <c r="K247" i="1"/>
  <c r="K281" i="1"/>
  <c r="I281" i="1"/>
  <c r="S281" i="1" s="1"/>
  <c r="K286" i="1"/>
  <c r="K315" i="1"/>
  <c r="M324" i="1" s="1"/>
  <c r="I315" i="1"/>
  <c r="S315" i="1" s="1"/>
  <c r="I327" i="1"/>
  <c r="S327" i="1" s="1"/>
  <c r="K327" i="1"/>
  <c r="S4" i="1"/>
  <c r="I7" i="1"/>
  <c r="S7" i="1" s="1"/>
  <c r="I10" i="1"/>
  <c r="S10" i="1" s="1"/>
  <c r="I13" i="1"/>
  <c r="S13" i="1" s="1"/>
  <c r="I16" i="1"/>
  <c r="S16" i="1" s="1"/>
  <c r="I19" i="1"/>
  <c r="S19" i="1" s="1"/>
  <c r="K174" i="1"/>
  <c r="I174" i="1"/>
  <c r="S174" i="1" s="1"/>
  <c r="K183" i="1"/>
  <c r="I183" i="1"/>
  <c r="S183" i="1" s="1"/>
  <c r="K192" i="1"/>
  <c r="I192" i="1"/>
  <c r="S192" i="1" s="1"/>
  <c r="K201" i="1"/>
  <c r="I201" i="1"/>
  <c r="S201" i="1" s="1"/>
  <c r="I215" i="1"/>
  <c r="S215" i="1" s="1"/>
  <c r="K219" i="1"/>
  <c r="I219" i="1"/>
  <c r="S219" i="1" s="1"/>
  <c r="K265" i="1"/>
  <c r="M307" i="1" s="1"/>
  <c r="K287" i="1"/>
  <c r="I287" i="1"/>
  <c r="S287" i="1" s="1"/>
  <c r="K297" i="1"/>
  <c r="I85" i="1"/>
  <c r="S85" i="1" s="1"/>
  <c r="K98" i="1"/>
  <c r="I119" i="1"/>
  <c r="S119" i="1" s="1"/>
  <c r="I133" i="1"/>
  <c r="S133" i="1" s="1"/>
  <c r="I140" i="1"/>
  <c r="S140" i="1" s="1"/>
  <c r="K147" i="1"/>
  <c r="I161" i="1"/>
  <c r="S161" i="1" s="1"/>
  <c r="I210" i="1"/>
  <c r="S210" i="1" s="1"/>
  <c r="K223" i="1"/>
  <c r="M223" i="1" s="1"/>
  <c r="I236" i="1"/>
  <c r="S236" i="1" s="1"/>
  <c r="I242" i="1"/>
  <c r="S242" i="1" s="1"/>
  <c r="I248" i="1"/>
  <c r="S248" i="1" s="1"/>
  <c r="K257" i="1"/>
  <c r="I257" i="1"/>
  <c r="S257" i="1" s="1"/>
  <c r="K293" i="1"/>
  <c r="I293" i="1"/>
  <c r="S293" i="1" s="1"/>
  <c r="K299" i="1"/>
  <c r="I299" i="1"/>
  <c r="S299" i="1" s="1"/>
  <c r="K92" i="1"/>
  <c r="I130" i="1"/>
  <c r="S130" i="1" s="1"/>
  <c r="K144" i="1"/>
  <c r="M154" i="1" s="1"/>
  <c r="I175" i="1"/>
  <c r="S175" i="1" s="1"/>
  <c r="I184" i="1"/>
  <c r="S184" i="1" s="1"/>
  <c r="I193" i="1"/>
  <c r="S193" i="1" s="1"/>
  <c r="K211" i="1"/>
  <c r="K216" i="1"/>
  <c r="M221" i="1" s="1"/>
  <c r="I216" i="1"/>
  <c r="S216" i="1" s="1"/>
  <c r="K231" i="1"/>
  <c r="K237" i="1"/>
  <c r="K243" i="1"/>
  <c r="K249" i="1"/>
  <c r="I5" i="1"/>
  <c r="S5" i="1" s="1"/>
  <c r="I8" i="1"/>
  <c r="S8" i="1" s="1"/>
  <c r="I11" i="1"/>
  <c r="S11" i="1" s="1"/>
  <c r="I14" i="1"/>
  <c r="S14" i="1" s="1"/>
  <c r="I17" i="1"/>
  <c r="S17" i="1" s="1"/>
  <c r="K171" i="1"/>
  <c r="I171" i="1"/>
  <c r="S171" i="1" s="1"/>
  <c r="K180" i="1"/>
  <c r="I180" i="1"/>
  <c r="S180" i="1" s="1"/>
  <c r="K189" i="1"/>
  <c r="I189" i="1"/>
  <c r="S189" i="1" s="1"/>
  <c r="K198" i="1"/>
  <c r="I198" i="1"/>
  <c r="S198" i="1" s="1"/>
  <c r="K254" i="1"/>
  <c r="M263" i="1" s="1"/>
  <c r="I254" i="1"/>
  <c r="S254" i="1" s="1"/>
  <c r="K324" i="1"/>
  <c r="I324" i="1"/>
  <c r="S324" i="1" s="1"/>
  <c r="K86" i="1"/>
  <c r="I96" i="1"/>
  <c r="S96" i="1" s="1"/>
  <c r="K110" i="1"/>
  <c r="I113" i="1"/>
  <c r="S113" i="1" s="1"/>
  <c r="I120" i="1"/>
  <c r="S120" i="1" s="1"/>
  <c r="I127" i="1"/>
  <c r="S127" i="1" s="1"/>
  <c r="K141" i="1"/>
  <c r="I152" i="1"/>
  <c r="S152" i="1" s="1"/>
  <c r="M159" i="1"/>
  <c r="I212" i="1"/>
  <c r="S212" i="1" s="1"/>
  <c r="M228" i="1"/>
  <c r="K232" i="1"/>
  <c r="K238" i="1"/>
  <c r="K244" i="1"/>
  <c r="K250" i="1"/>
  <c r="K267" i="1"/>
  <c r="I29" i="1"/>
  <c r="S29" i="1" s="1"/>
  <c r="I32" i="1"/>
  <c r="S32" i="1" s="1"/>
  <c r="I35" i="1"/>
  <c r="S35" i="1" s="1"/>
  <c r="K301" i="1"/>
  <c r="I301" i="1"/>
  <c r="S301" i="1" s="1"/>
  <c r="K80" i="1"/>
  <c r="K107" i="1"/>
  <c r="I124" i="1"/>
  <c r="S124" i="1" s="1"/>
  <c r="K138" i="1"/>
  <c r="I172" i="1"/>
  <c r="S172" i="1" s="1"/>
  <c r="I181" i="1"/>
  <c r="S181" i="1" s="1"/>
  <c r="I190" i="1"/>
  <c r="S190" i="1" s="1"/>
  <c r="I203" i="1"/>
  <c r="S203" i="1" s="1"/>
  <c r="I233" i="1"/>
  <c r="S233" i="1" s="1"/>
  <c r="I239" i="1"/>
  <c r="S239" i="1" s="1"/>
  <c r="I245" i="1"/>
  <c r="S245" i="1" s="1"/>
  <c r="I251" i="1"/>
  <c r="S251" i="1" s="1"/>
  <c r="K263" i="1"/>
  <c r="I263" i="1"/>
  <c r="S263" i="1" s="1"/>
  <c r="K268" i="1"/>
  <c r="K273" i="1"/>
  <c r="I298" i="1"/>
  <c r="S298" i="1" s="1"/>
  <c r="I305" i="1"/>
  <c r="S305" i="1" s="1"/>
  <c r="I312" i="1"/>
  <c r="S312" i="1" s="1"/>
  <c r="I342" i="1"/>
  <c r="S342" i="1" s="1"/>
  <c r="K444" i="1"/>
  <c r="I444" i="1"/>
  <c r="S444" i="1" s="1"/>
  <c r="K526" i="1"/>
  <c r="I526" i="1"/>
  <c r="S526" i="1" s="1"/>
  <c r="K538" i="1"/>
  <c r="I538" i="1"/>
  <c r="S538" i="1" s="1"/>
  <c r="I272" i="1"/>
  <c r="S272" i="1" s="1"/>
  <c r="I282" i="1"/>
  <c r="S282" i="1" s="1"/>
  <c r="I295" i="1"/>
  <c r="S295" i="1" s="1"/>
  <c r="I316" i="1"/>
  <c r="S316" i="1" s="1"/>
  <c r="K323" i="1"/>
  <c r="I330" i="1"/>
  <c r="S330" i="1" s="1"/>
  <c r="K334" i="1"/>
  <c r="I374" i="1"/>
  <c r="S374" i="1" s="1"/>
  <c r="K380" i="1"/>
  <c r="I380" i="1"/>
  <c r="S380" i="1" s="1"/>
  <c r="K386" i="1"/>
  <c r="I386" i="1"/>
  <c r="S386" i="1" s="1"/>
  <c r="K392" i="1"/>
  <c r="I392" i="1"/>
  <c r="S392" i="1" s="1"/>
  <c r="K398" i="1"/>
  <c r="I398" i="1"/>
  <c r="S398" i="1" s="1"/>
  <c r="K404" i="1"/>
  <c r="I404" i="1"/>
  <c r="S404" i="1" s="1"/>
  <c r="K410" i="1"/>
  <c r="I410" i="1"/>
  <c r="S410" i="1" s="1"/>
  <c r="K416" i="1"/>
  <c r="I416" i="1"/>
  <c r="S416" i="1" s="1"/>
  <c r="K423" i="1"/>
  <c r="I423" i="1"/>
  <c r="S423" i="1" s="1"/>
  <c r="I430" i="1"/>
  <c r="S430" i="1" s="1"/>
  <c r="I437" i="1"/>
  <c r="S437" i="1" s="1"/>
  <c r="M515" i="1"/>
  <c r="I269" i="1"/>
  <c r="S269" i="1" s="1"/>
  <c r="I302" i="1"/>
  <c r="S302" i="1" s="1"/>
  <c r="I309" i="1"/>
  <c r="S309" i="1" s="1"/>
  <c r="K438" i="1"/>
  <c r="I438" i="1"/>
  <c r="S438" i="1" s="1"/>
  <c r="I381" i="1"/>
  <c r="S381" i="1" s="1"/>
  <c r="K381" i="1"/>
  <c r="I387" i="1"/>
  <c r="S387" i="1" s="1"/>
  <c r="K387" i="1"/>
  <c r="I393" i="1"/>
  <c r="S393" i="1" s="1"/>
  <c r="K393" i="1"/>
  <c r="I399" i="1"/>
  <c r="S399" i="1" s="1"/>
  <c r="K399" i="1"/>
  <c r="I405" i="1"/>
  <c r="S405" i="1" s="1"/>
  <c r="K405" i="1"/>
  <c r="I411" i="1"/>
  <c r="S411" i="1" s="1"/>
  <c r="K411" i="1"/>
  <c r="K453" i="1"/>
  <c r="I453" i="1"/>
  <c r="S453" i="1" s="1"/>
  <c r="K517" i="1"/>
  <c r="I517" i="1"/>
  <c r="S517" i="1" s="1"/>
  <c r="K529" i="1"/>
  <c r="I529" i="1"/>
  <c r="S529" i="1" s="1"/>
  <c r="K541" i="1"/>
  <c r="I541" i="1"/>
  <c r="S541" i="1" s="1"/>
  <c r="K331" i="1"/>
  <c r="K432" i="1"/>
  <c r="I432" i="1"/>
  <c r="S432" i="1" s="1"/>
  <c r="I439" i="1"/>
  <c r="S439" i="1" s="1"/>
  <c r="I446" i="1"/>
  <c r="S446" i="1" s="1"/>
  <c r="K382" i="1"/>
  <c r="I382" i="1"/>
  <c r="S382" i="1" s="1"/>
  <c r="K388" i="1"/>
  <c r="I388" i="1"/>
  <c r="S388" i="1" s="1"/>
  <c r="K394" i="1"/>
  <c r="I394" i="1"/>
  <c r="S394" i="1" s="1"/>
  <c r="K400" i="1"/>
  <c r="I400" i="1"/>
  <c r="S400" i="1" s="1"/>
  <c r="K406" i="1"/>
  <c r="I406" i="1"/>
  <c r="S406" i="1" s="1"/>
  <c r="K412" i="1"/>
  <c r="I412" i="1"/>
  <c r="S412" i="1" s="1"/>
  <c r="K418" i="1"/>
  <c r="I418" i="1"/>
  <c r="S418" i="1" s="1"/>
  <c r="K447" i="1"/>
  <c r="I447" i="1"/>
  <c r="S447" i="1" s="1"/>
  <c r="I454" i="1"/>
  <c r="S454" i="1" s="1"/>
  <c r="I307" i="1"/>
  <c r="S307" i="1" s="1"/>
  <c r="I321" i="1"/>
  <c r="S321" i="1" s="1"/>
  <c r="K426" i="1"/>
  <c r="I426" i="1"/>
  <c r="S426" i="1" s="1"/>
  <c r="K520" i="1"/>
  <c r="M545" i="1" s="1"/>
  <c r="I520" i="1"/>
  <c r="S520" i="1" s="1"/>
  <c r="K532" i="1"/>
  <c r="I532" i="1"/>
  <c r="S532" i="1" s="1"/>
  <c r="K544" i="1"/>
  <c r="I544" i="1"/>
  <c r="S544" i="1" s="1"/>
  <c r="K377" i="1"/>
  <c r="I377" i="1"/>
  <c r="S377" i="1" s="1"/>
  <c r="K383" i="1"/>
  <c r="I383" i="1"/>
  <c r="S383" i="1" s="1"/>
  <c r="K389" i="1"/>
  <c r="I389" i="1"/>
  <c r="S389" i="1" s="1"/>
  <c r="K395" i="1"/>
  <c r="I395" i="1"/>
  <c r="S395" i="1" s="1"/>
  <c r="K401" i="1"/>
  <c r="I401" i="1"/>
  <c r="S401" i="1" s="1"/>
  <c r="K407" i="1"/>
  <c r="I407" i="1"/>
  <c r="S407" i="1" s="1"/>
  <c r="K413" i="1"/>
  <c r="I413" i="1"/>
  <c r="S413" i="1" s="1"/>
  <c r="K441" i="1"/>
  <c r="I441" i="1"/>
  <c r="S441" i="1" s="1"/>
  <c r="I448" i="1"/>
  <c r="S448" i="1" s="1"/>
  <c r="I455" i="1"/>
  <c r="S455" i="1" s="1"/>
  <c r="I318" i="1"/>
  <c r="S318" i="1" s="1"/>
  <c r="I348" i="1"/>
  <c r="S348" i="1" s="1"/>
  <c r="M376" i="1"/>
  <c r="K420" i="1"/>
  <c r="I420" i="1"/>
  <c r="S420" i="1" s="1"/>
  <c r="I427" i="1"/>
  <c r="S427" i="1" s="1"/>
  <c r="K456" i="1"/>
  <c r="I456" i="1"/>
  <c r="S456" i="1" s="1"/>
  <c r="I378" i="1"/>
  <c r="S378" i="1" s="1"/>
  <c r="K378" i="1"/>
  <c r="I384" i="1"/>
  <c r="S384" i="1" s="1"/>
  <c r="K384" i="1"/>
  <c r="I390" i="1"/>
  <c r="S390" i="1" s="1"/>
  <c r="K390" i="1"/>
  <c r="I396" i="1"/>
  <c r="S396" i="1" s="1"/>
  <c r="K396" i="1"/>
  <c r="I402" i="1"/>
  <c r="S402" i="1" s="1"/>
  <c r="K402" i="1"/>
  <c r="I408" i="1"/>
  <c r="S408" i="1" s="1"/>
  <c r="K408" i="1"/>
  <c r="I414" i="1"/>
  <c r="S414" i="1" s="1"/>
  <c r="K414" i="1"/>
  <c r="K435" i="1"/>
  <c r="I435" i="1"/>
  <c r="S435" i="1" s="1"/>
  <c r="I442" i="1"/>
  <c r="S442" i="1" s="1"/>
  <c r="K523" i="1"/>
  <c r="I523" i="1"/>
  <c r="S523" i="1" s="1"/>
  <c r="K535" i="1"/>
  <c r="I535" i="1"/>
  <c r="S535" i="1" s="1"/>
  <c r="K329" i="1"/>
  <c r="M362" i="1" s="1"/>
  <c r="I333" i="1"/>
  <c r="S333" i="1" s="1"/>
  <c r="I345" i="1"/>
  <c r="S345" i="1" s="1"/>
  <c r="I421" i="1"/>
  <c r="S421" i="1" s="1"/>
  <c r="I428" i="1"/>
  <c r="S428" i="1" s="1"/>
  <c r="K450" i="1"/>
  <c r="I450" i="1"/>
  <c r="S450" i="1" s="1"/>
  <c r="I457" i="1"/>
  <c r="S457" i="1" s="1"/>
  <c r="K379" i="1"/>
  <c r="I379" i="1"/>
  <c r="S379" i="1" s="1"/>
  <c r="K385" i="1"/>
  <c r="I385" i="1"/>
  <c r="S385" i="1" s="1"/>
  <c r="K391" i="1"/>
  <c r="I391" i="1"/>
  <c r="S391" i="1" s="1"/>
  <c r="K397" i="1"/>
  <c r="I397" i="1"/>
  <c r="S397" i="1" s="1"/>
  <c r="K403" i="1"/>
  <c r="I403" i="1"/>
  <c r="S403" i="1" s="1"/>
  <c r="K409" i="1"/>
  <c r="I409" i="1"/>
  <c r="S409" i="1" s="1"/>
  <c r="K415" i="1"/>
  <c r="I415" i="1"/>
  <c r="S415" i="1" s="1"/>
  <c r="K429" i="1"/>
  <c r="I429" i="1"/>
  <c r="S429" i="1" s="1"/>
  <c r="I436" i="1"/>
  <c r="S436" i="1" s="1"/>
  <c r="I443" i="1"/>
  <c r="S443" i="1" s="1"/>
  <c r="K417" i="1"/>
  <c r="K471" i="1"/>
  <c r="M504" i="1" s="1"/>
  <c r="K474" i="1"/>
  <c r="K477" i="1"/>
  <c r="K480" i="1"/>
  <c r="K483" i="1"/>
  <c r="K486" i="1"/>
  <c r="K489" i="1"/>
  <c r="K492" i="1"/>
  <c r="K495" i="1"/>
  <c r="K498" i="1"/>
  <c r="I472" i="1"/>
  <c r="S472" i="1" s="1"/>
  <c r="I475" i="1"/>
  <c r="S475" i="1" s="1"/>
  <c r="I478" i="1"/>
  <c r="S478" i="1" s="1"/>
  <c r="I481" i="1"/>
  <c r="S481" i="1" s="1"/>
  <c r="I484" i="1"/>
  <c r="S484" i="1" s="1"/>
  <c r="I487" i="1"/>
  <c r="S487" i="1" s="1"/>
  <c r="I490" i="1"/>
  <c r="S490" i="1" s="1"/>
  <c r="I518" i="1"/>
  <c r="S518" i="1" s="1"/>
  <c r="I521" i="1"/>
  <c r="S521" i="1" s="1"/>
  <c r="I524" i="1"/>
  <c r="S524" i="1" s="1"/>
  <c r="I527" i="1"/>
  <c r="S527" i="1" s="1"/>
  <c r="I530" i="1"/>
  <c r="S530" i="1" s="1"/>
  <c r="I533" i="1"/>
  <c r="S533" i="1" s="1"/>
  <c r="I536" i="1"/>
  <c r="S536" i="1" s="1"/>
  <c r="I539" i="1"/>
  <c r="S539" i="1" s="1"/>
  <c r="I542" i="1"/>
  <c r="S542" i="1" s="1"/>
  <c r="I470" i="1"/>
  <c r="S470" i="1" s="1"/>
  <c r="I473" i="1"/>
  <c r="S473" i="1" s="1"/>
  <c r="I476" i="1"/>
  <c r="S476" i="1" s="1"/>
  <c r="I479" i="1"/>
  <c r="S479" i="1" s="1"/>
  <c r="I482" i="1"/>
  <c r="S482" i="1" s="1"/>
  <c r="I485" i="1"/>
  <c r="S485" i="1" s="1"/>
  <c r="I488" i="1"/>
  <c r="S488" i="1" s="1"/>
  <c r="I516" i="1"/>
  <c r="S516" i="1" s="1"/>
  <c r="I519" i="1"/>
  <c r="S519" i="1" s="1"/>
  <c r="I522" i="1"/>
  <c r="S522" i="1" s="1"/>
  <c r="I525" i="1"/>
  <c r="S525" i="1" s="1"/>
  <c r="I528" i="1"/>
  <c r="S528" i="1" s="1"/>
  <c r="I531" i="1"/>
  <c r="S531" i="1" s="1"/>
  <c r="I534" i="1"/>
  <c r="S534" i="1" s="1"/>
  <c r="I537" i="1"/>
  <c r="S537" i="1" s="1"/>
  <c r="I540" i="1"/>
  <c r="S540" i="1" s="1"/>
  <c r="I543" i="1"/>
  <c r="S543" i="1" s="1"/>
  <c r="M469" i="1" l="1"/>
  <c r="M215" i="1"/>
  <c r="M251" i="1"/>
  <c r="S546" i="1"/>
</calcChain>
</file>

<file path=xl/sharedStrings.xml><?xml version="1.0" encoding="utf-8"?>
<sst xmlns="http://schemas.openxmlformats.org/spreadsheetml/2006/main" count="2071" uniqueCount="939">
  <si>
    <t>tech</t>
  </si>
  <si>
    <t>désignation</t>
  </si>
  <si>
    <t>référence</t>
  </si>
  <si>
    <t>fournisseur</t>
  </si>
  <si>
    <t>afficheur rotation fouet WEST 6100+</t>
  </si>
  <si>
    <t xml:space="preserve">Insert Han E male 16 Contacts sur 2 Rangées,500 V 16A </t>
  </si>
  <si>
    <t>TM</t>
  </si>
  <si>
    <t>Fin de course Cablé (levée cuve)</t>
  </si>
  <si>
    <t xml:space="preserve">Insert Han E Femelle 16 Contacts sur 2 Rangées,500 V 16A </t>
  </si>
  <si>
    <t xml:space="preserve">LEVIER EASY-LOCK PRISE HARTING </t>
  </si>
  <si>
    <t>Tête + roulette Capteur de fin de course Telemecanique ZCKD21</t>
  </si>
  <si>
    <t>Thermostat de sécurité</t>
  </si>
  <si>
    <t>Chariot Alu support des roulettes pour cuve 150 L</t>
  </si>
  <si>
    <t>embase connecteur 16pts</t>
  </si>
  <si>
    <t>système</t>
  </si>
  <si>
    <t xml:space="preserve">stock </t>
  </si>
  <si>
    <t>stock ini</t>
  </si>
  <si>
    <t xml:space="preserve">seuil </t>
  </si>
  <si>
    <t>alerte stock</t>
  </si>
  <si>
    <t>prix HT unité</t>
  </si>
  <si>
    <t>prix tot</t>
  </si>
  <si>
    <t>adoucisseur</t>
  </si>
  <si>
    <t>Kit joint venturi pour adoucisseur ECOWATER modèle R46 5.1</t>
  </si>
  <si>
    <t>ESM 7290957</t>
  </si>
  <si>
    <t>-</t>
  </si>
  <si>
    <t>autoclave</t>
  </si>
  <si>
    <t>capteur de proximité</t>
  </si>
  <si>
    <t>e2a-m12kn08-wp-32</t>
  </si>
  <si>
    <t>RS</t>
  </si>
  <si>
    <t>capteur magnétique</t>
  </si>
  <si>
    <t>440n-z2nrs1a série A</t>
  </si>
  <si>
    <t>corps d'electrovanne sécurité gaz</t>
  </si>
  <si>
    <t>010.0183.001 (2113.07 )</t>
  </si>
  <si>
    <t>AMEN (installateur)</t>
  </si>
  <si>
    <t>disjoncteur 0,5 A</t>
  </si>
  <si>
    <t>cb2cb05</t>
  </si>
  <si>
    <t>filtres 100 microns cintropur</t>
  </si>
  <si>
    <t>culligan</t>
  </si>
  <si>
    <t>garniture type BAQE pour pompe 11Kw</t>
  </si>
  <si>
    <t>Le dauphin/ TGF</t>
  </si>
  <si>
    <t>NB joint de corps pompe 11Kw</t>
  </si>
  <si>
    <t>MABEO</t>
  </si>
  <si>
    <t>I.H.M autoclave</t>
  </si>
  <si>
    <t>PANEL VIEW PLUS 700</t>
  </si>
  <si>
    <t>SURDRY</t>
  </si>
  <si>
    <t>interrupteur de sécurité</t>
  </si>
  <si>
    <t>440N-G02123 / Allen Bradley</t>
  </si>
  <si>
    <t>joint de porte 1300 mm</t>
  </si>
  <si>
    <t>2102322  ref surdry</t>
  </si>
  <si>
    <t>lampe 24v(ampoules)</t>
  </si>
  <si>
    <t>RS 2940281 / Schneider</t>
  </si>
  <si>
    <t>alerte</t>
  </si>
  <si>
    <t>manomètre 0-6 bar G1/2 100mm</t>
  </si>
  <si>
    <t>RS 258-2368 / WIKA</t>
  </si>
  <si>
    <t>module d'ouverture progressif</t>
  </si>
  <si>
    <t>227411/ burket</t>
  </si>
  <si>
    <t xml:space="preserve">Pile chlorure de thionyle 3,6V 2400mAh </t>
  </si>
  <si>
    <t>RS 7020799</t>
  </si>
  <si>
    <t>vanne de proces dn 32 pn 25</t>
  </si>
  <si>
    <t>146322/ burket</t>
  </si>
  <si>
    <t>vanne de process dn 100 pn 25</t>
  </si>
  <si>
    <t>152815/ burket</t>
  </si>
  <si>
    <t>vanne de process dn 20 pn 25</t>
  </si>
  <si>
    <t>146283/ burket</t>
  </si>
  <si>
    <t>vanne de process dn 40</t>
  </si>
  <si>
    <t>00146327/ burket</t>
  </si>
  <si>
    <t>vanne de process dn 40 pn 25 316L</t>
  </si>
  <si>
    <t>181785/ burket</t>
  </si>
  <si>
    <t>vanne de process dn 50 pn 25</t>
  </si>
  <si>
    <t>146345/ burket</t>
  </si>
  <si>
    <t>ventillateur 24v 42mA5( pour le pc)</t>
  </si>
  <si>
    <t>RS 3373064</t>
  </si>
  <si>
    <t>Capteur proximité 440NGO2123</t>
  </si>
  <si>
    <t>autolaveuse</t>
  </si>
  <si>
    <t>COURROIE DENTEE AUTOLAVEUSE BR40</t>
  </si>
  <si>
    <t>HTD-474-3M-15 CXPIII</t>
  </si>
  <si>
    <t>ABRAM</t>
  </si>
  <si>
    <t>Courroie dentee</t>
  </si>
  <si>
    <t>HTD-390-3M-15</t>
  </si>
  <si>
    <t>bakon</t>
  </si>
  <si>
    <t>joint torique dim 55 x  5 mm, emplacement sous trémie bleu</t>
  </si>
  <si>
    <t>Joint Oring 55x5 sillicone 70 FDA</t>
  </si>
  <si>
    <t>joint de type quad ring diam 28,17 x 3,53 mm (cylindre de dosage à piston)</t>
  </si>
  <si>
    <t>Joint quadrilob 29,75x3,53 sillicone 70 FDA</t>
  </si>
  <si>
    <t>joint torique dim 62 x 3 mm (tubes de dosage)</t>
  </si>
  <si>
    <t>Joint Oring 62x3 sillicone 70 FDA</t>
  </si>
  <si>
    <t>joint torique Dim 49,5 x 3 mm (bloc de dosage à piston)</t>
  </si>
  <si>
    <t>Joint Oring 50x3 sillicone 70 FDA</t>
  </si>
  <si>
    <t>joint torique Dim 35 x 2,5 mm (tubes de distribution sauce)</t>
  </si>
  <si>
    <t>Joint Oring 37,5x2,58 sillicone 70 FDA</t>
  </si>
  <si>
    <t>joint torique Dim 18 x 2,5 mm (vérin pneumatique tête de dressage)</t>
  </si>
  <si>
    <t>roulement axe trémie</t>
  </si>
  <si>
    <t>S6905 RS</t>
  </si>
  <si>
    <t>Roulement support Trémie</t>
  </si>
  <si>
    <t>joint spi (roulement axe melangeur trémie)</t>
  </si>
  <si>
    <t>R 30-52-7</t>
  </si>
  <si>
    <t>vérin iso double effet (tête de dosage)</t>
  </si>
  <si>
    <t>DSNU-25-30-P-A (inox)</t>
  </si>
  <si>
    <t xml:space="preserve">PSI </t>
  </si>
  <si>
    <t>DSNU-25-30-P-A (standard)</t>
  </si>
  <si>
    <t>capot harting 16 poles</t>
  </si>
  <si>
    <t>(rexel) IL1 CHC16L</t>
  </si>
  <si>
    <t>pince solidarisant les connecteurs</t>
  </si>
  <si>
    <t>Pince prise harting</t>
  </si>
  <si>
    <t>connecteurs 9 broches prise harting f</t>
  </si>
  <si>
    <t>D-sub Femelle réf 09140093101</t>
  </si>
  <si>
    <t>connecteurs 9 broches prise harting m</t>
  </si>
  <si>
    <t>D-sub Male réf 09140093001</t>
  </si>
  <si>
    <t>connecteur F HARTING HAN8 16A</t>
  </si>
  <si>
    <t xml:space="preserve"> ref 09140082733</t>
  </si>
  <si>
    <t>REXEL</t>
  </si>
  <si>
    <t xml:space="preserve">connecteur M HARTING HAN8 16A </t>
  </si>
  <si>
    <t>ref 09140082633</t>
  </si>
  <si>
    <t xml:space="preserve">connecteur F HARTING HAN8 10A </t>
  </si>
  <si>
    <t>ref 09140122732</t>
  </si>
  <si>
    <t xml:space="preserve"> 'za&lt;W</t>
  </si>
  <si>
    <t>ref 09140122632</t>
  </si>
  <si>
    <t>équerre mal 1/8 T6</t>
  </si>
  <si>
    <t>47150610 (airfit  PSI)</t>
  </si>
  <si>
    <t>Vérin N25</t>
  </si>
  <si>
    <t>SMC CD85 N25-50C-B</t>
  </si>
  <si>
    <t>Vérin N20</t>
  </si>
  <si>
    <t>SMC CD85 N20-25-B</t>
  </si>
  <si>
    <t>joint 30*52*7 RVS</t>
  </si>
  <si>
    <t>30/52/7 RVS304</t>
  </si>
  <si>
    <t>vérin compact</t>
  </si>
  <si>
    <t>SMC CD55 B80-60</t>
  </si>
  <si>
    <t>Valve rotative</t>
  </si>
  <si>
    <t>capteur ILS</t>
  </si>
  <si>
    <t>210-250 (D-M9P5APC)</t>
  </si>
  <si>
    <t>Joint 1</t>
  </si>
  <si>
    <t>28,17 x 3,53</t>
  </si>
  <si>
    <t>Joint 2</t>
  </si>
  <si>
    <t>35 x 2,5</t>
  </si>
  <si>
    <t>joint 3</t>
  </si>
  <si>
    <t>49,5 x 3</t>
  </si>
  <si>
    <t>Joint 4</t>
  </si>
  <si>
    <t>41 x 2</t>
  </si>
  <si>
    <t>Distributeur 5/3</t>
  </si>
  <si>
    <t>SMC SY9320-5WAOU-03F-Q</t>
  </si>
  <si>
    <t>Distributeur 5/2</t>
  </si>
  <si>
    <t>SMC SY9120-5WAOU-03F-Q</t>
  </si>
  <si>
    <t>coupleur (Ø6mm) style staublî</t>
  </si>
  <si>
    <t>31080506 (aitfit PSI)</t>
  </si>
  <si>
    <t>Molette filetée plastique</t>
  </si>
  <si>
    <t>RS:016-1206</t>
  </si>
  <si>
    <t>LEVIER EASY-LOCK PRISE HARTING</t>
  </si>
  <si>
    <t>RS: 512-5441</t>
  </si>
  <si>
    <t>batteur et cuves chauffantes</t>
  </si>
  <si>
    <t>RS 454-2211
 (rexel WSTP6100-2100-002 (119,47))</t>
  </si>
  <si>
    <t>Axe acier pour verin</t>
  </si>
  <si>
    <t>B013166</t>
  </si>
  <si>
    <t>Bague retenue 150L</t>
  </si>
  <si>
    <t>B022677</t>
  </si>
  <si>
    <t>bande de raclage 150 L</t>
  </si>
  <si>
    <t>B04365115</t>
  </si>
  <si>
    <t>VMI</t>
  </si>
  <si>
    <t xml:space="preserve">bande de raclage 80 L </t>
  </si>
  <si>
    <t>B04365106</t>
  </si>
  <si>
    <t xml:space="preserve">Butée Arriere Batteur </t>
  </si>
  <si>
    <t>VMI: B02222804</t>
  </si>
  <si>
    <t>Butée FDC presence cuve</t>
  </si>
  <si>
    <t>B04398901</t>
  </si>
  <si>
    <t>Capot Prise Harting sortie coudée</t>
  </si>
  <si>
    <t>REXEL ILME MMO 06 L25</t>
  </si>
  <si>
    <t>Capteur de fin de course Telemecanique, NO/NF, 10 A, 240V, IP66</t>
  </si>
  <si>
    <t>XCKM121H29 RS: 235997</t>
  </si>
  <si>
    <t>chariot alu + sous postes cuves 150L</t>
  </si>
  <si>
    <t>BO22925E</t>
  </si>
  <si>
    <t>B02292504</t>
  </si>
  <si>
    <t>cicrclip Axe verin</t>
  </si>
  <si>
    <t>110BCE17</t>
  </si>
  <si>
    <t>Clapet anti-retour HR012 pompe hydraulique</t>
  </si>
  <si>
    <t>Atos HR-012 50</t>
  </si>
  <si>
    <t>Connecteur d'alimentation, Han A Series</t>
  </si>
  <si>
    <t xml:space="preserve"> RS 363-7914</t>
  </si>
  <si>
    <t>Connecteur d'alimentation, Han B Series Entrée latérale,</t>
  </si>
  <si>
    <t>RS 114-7756</t>
  </si>
  <si>
    <t>Courroie d'entrainement</t>
  </si>
  <si>
    <t>Electrodistributeur Hydraulique pour verins leve cuve</t>
  </si>
  <si>
    <t>BCH056</t>
  </si>
  <si>
    <t>B03342901</t>
  </si>
  <si>
    <t>fond de boitier en fonte d'aluminium</t>
  </si>
  <si>
    <t>fouet pour cuve 150 l</t>
  </si>
  <si>
    <t>B022896E3-A1</t>
  </si>
  <si>
    <t>Mr Pomarède 02,51,45,35,76</t>
  </si>
  <si>
    <t>fouet pour cuve 80 L</t>
  </si>
  <si>
    <t>B022881E5</t>
  </si>
  <si>
    <t>Glissiere de support (Queue d'arronde)</t>
  </si>
  <si>
    <t>B03376101</t>
  </si>
  <si>
    <t>Grille tournante</t>
  </si>
  <si>
    <t>B02263302</t>
  </si>
  <si>
    <t>huile fluide caloporteur</t>
  </si>
  <si>
    <t>igol Thermal ST1</t>
  </si>
  <si>
    <t>Huile Hydraulique Alimentaire Verins Batteurs</t>
  </si>
  <si>
    <t>igol Hydral HM32</t>
  </si>
  <si>
    <t>RS 114-8276</t>
  </si>
  <si>
    <t>RS 114-8298</t>
  </si>
  <si>
    <t>Joint spi bras satelitte DIM: 50x80x10</t>
  </si>
  <si>
    <t>joint suiffé (tresse 100% PTFE 12x12)</t>
  </si>
  <si>
    <t>MODULE SECURITE ACOTOM COM3C 24V batteur 2</t>
  </si>
  <si>
    <t>BELECO71W</t>
  </si>
  <si>
    <t>Potentiometre vitesse rotation BAT3</t>
  </si>
  <si>
    <t>RS: 620-6096</t>
  </si>
  <si>
    <t>poussoir de FDC presence cuve</t>
  </si>
  <si>
    <t>B046707</t>
  </si>
  <si>
    <t>protection thermoplongeur modele 2077-99 (plastique/verre)</t>
  </si>
  <si>
    <t xml:space="preserve">06 11ARNO590871 </t>
  </si>
  <si>
    <t>VULCANIC</t>
  </si>
  <si>
    <t>protection thermoplongeur modele 9622-01 (alu)</t>
  </si>
  <si>
    <t>AR122175A</t>
  </si>
  <si>
    <r>
      <t>RELAIS STATIQUE chauffage de cuves</t>
    </r>
    <r>
      <rPr>
        <b/>
        <sz val="9"/>
        <rFont val="Arabic Transparent"/>
        <charset val="178"/>
      </rPr>
      <t xml:space="preserve"> batteur 1</t>
    </r>
  </si>
  <si>
    <t>GNR25DCZ (RS 5361899)</t>
  </si>
  <si>
    <t>Roulement à billes SKF 6207-2RS1, Rainure profonde, 35mmx72mm</t>
  </si>
  <si>
    <t>6207-2RS1</t>
  </si>
  <si>
    <t>Roulement à billes SKF 6208-2RS1, Rainure profonde, 40mmx80mm</t>
  </si>
  <si>
    <t>6208-2RS1</t>
  </si>
  <si>
    <t>Roulement capot grille</t>
  </si>
  <si>
    <t>Roulettes pour cuves 80/100/150L</t>
  </si>
  <si>
    <t>BROU0362</t>
  </si>
  <si>
    <t>soupapes, 2882/d10c/s-ptfe</t>
  </si>
  <si>
    <t xml:space="preserve"> RS 360-8663</t>
  </si>
  <si>
    <t>tête de fouet</t>
  </si>
  <si>
    <t>B02280814E</t>
  </si>
  <si>
    <t>Verin hydraulique montée cuve L=735</t>
  </si>
  <si>
    <t>BVH33764</t>
  </si>
  <si>
    <t>protection facade pour afficheur rotation fouet WEST 6100+</t>
  </si>
  <si>
    <t>188-4635</t>
  </si>
  <si>
    <t>rs</t>
  </si>
  <si>
    <t>BSAV30225</t>
  </si>
  <si>
    <t>bcc</t>
  </si>
  <si>
    <t>BELEC106L</t>
  </si>
  <si>
    <t>casier a chaussure</t>
  </si>
  <si>
    <t>lampe uv</t>
  </si>
  <si>
    <t>ozn0046</t>
  </si>
  <si>
    <t>casier ch.</t>
  </si>
  <si>
    <t>moteur tangentiel</t>
  </si>
  <si>
    <t>D 10 372</t>
  </si>
  <si>
    <t>centrale de lavage</t>
  </si>
  <si>
    <t>clapet anti-retour</t>
  </si>
  <si>
    <t>Kit enrouleur double pour dévidoir inox</t>
  </si>
  <si>
    <t>LB10.POCH026</t>
  </si>
  <si>
    <t>Pistolet corps plastique marque prevost</t>
  </si>
  <si>
    <t>001 PM JETI (G1/2 BSPP)</t>
  </si>
  <si>
    <t>Pistolet eau corps acier/inox</t>
  </si>
  <si>
    <t>AKMN001-B</t>
  </si>
  <si>
    <t>Ressort cliquet centrale de lavage</t>
  </si>
  <si>
    <t>tuyau 12x20 /10 ML</t>
  </si>
  <si>
    <t>tuyaux 12x20/ 15 ML</t>
  </si>
  <si>
    <t>CDL</t>
  </si>
  <si>
    <t xml:space="preserve">venturi centrale de lavage </t>
  </si>
  <si>
    <t>chaudiere vapeur</t>
  </si>
  <si>
    <t>amortisseur valve pompe A</t>
  </si>
  <si>
    <t>UH17616</t>
  </si>
  <si>
    <t>CLAYTON</t>
  </si>
  <si>
    <t>amortisseur valve pompe B</t>
  </si>
  <si>
    <t>UH 60077</t>
  </si>
  <si>
    <t>cellule uvz 780 blue brûleur</t>
  </si>
  <si>
    <t>clapet valve de contrôle(sièges inox)</t>
  </si>
  <si>
    <t>UH62860</t>
  </si>
  <si>
    <t>diaphragme de pompe</t>
  </si>
  <si>
    <t>UH15055</t>
  </si>
  <si>
    <t>disque de diaphragme</t>
  </si>
  <si>
    <t>UH 12801</t>
  </si>
  <si>
    <t>disques clapet valve de contrôle</t>
  </si>
  <si>
    <t>UH25196</t>
  </si>
  <si>
    <t>joint, rondelles cuivre clapet</t>
  </si>
  <si>
    <t>PT100 6 connexions t° serpentin</t>
  </si>
  <si>
    <t xml:space="preserve">Sonde PT 100 </t>
  </si>
  <si>
    <t>purgeur Gestra pn 40</t>
  </si>
  <si>
    <t>MRCT</t>
  </si>
  <si>
    <t xml:space="preserve">régulateur purgeur Gestra </t>
  </si>
  <si>
    <t>P375234</t>
  </si>
  <si>
    <t>ressort clapet pompe aspiration</t>
  </si>
  <si>
    <t>UH18286</t>
  </si>
  <si>
    <t>ressort clapet pompe refoulement</t>
  </si>
  <si>
    <t>UH18285</t>
  </si>
  <si>
    <t>ressort de pression diaphragme</t>
  </si>
  <si>
    <t>UH12803</t>
  </si>
  <si>
    <t>transfo d'allumage, marque BRAHMA type T13/M</t>
  </si>
  <si>
    <t>type T13/M</t>
  </si>
  <si>
    <t>CV</t>
  </si>
  <si>
    <t>tuyau raccord pompe/bache</t>
  </si>
  <si>
    <t>M200251</t>
  </si>
  <si>
    <t>clippeuse</t>
  </si>
  <si>
    <t>arbre</t>
  </si>
  <si>
    <t>Polyclip / aïtech</t>
  </si>
  <si>
    <t>CAPTEUR secu fca 3442</t>
  </si>
  <si>
    <t>chaîne intermédiaire</t>
  </si>
  <si>
    <t>CHAINES AVANCES AGRAFEE</t>
  </si>
  <si>
    <t>COURROIE ref: STD 800 S8M CXA marque Continental</t>
  </si>
  <si>
    <t>COUTEAU fca 3442</t>
  </si>
  <si>
    <t>Embout caoutchouc frein dévidoir</t>
  </si>
  <si>
    <t>galet d=26</t>
  </si>
  <si>
    <t>galet d=35</t>
  </si>
  <si>
    <t>guide agrafe 30 mm cpl</t>
  </si>
  <si>
    <t>RESSORT couteaux boyaux</t>
  </si>
  <si>
    <t>rotule de droite</t>
  </si>
  <si>
    <t>rotule de gauche</t>
  </si>
  <si>
    <t>rotule droit</t>
  </si>
  <si>
    <t>roulement 6301/2 RS</t>
  </si>
  <si>
    <t>roulement à aiguille (04)</t>
  </si>
  <si>
    <t>roulement à aiguille (52)</t>
  </si>
  <si>
    <t>Cable VEMAG R500</t>
  </si>
  <si>
    <t>contre etiqueteuse MECAWEST</t>
  </si>
  <si>
    <t>Capteur photoélectrique, Cylindrique, Lumière rouge, LED, 0,05 → 7 m, NPN, 100 mA, Câble, IP67</t>
  </si>
  <si>
    <t>RS 729-5110</t>
  </si>
  <si>
    <t>CAMFIL</t>
  </si>
  <si>
    <t>courroie d'entrainement enrouleur glassine</t>
  </si>
  <si>
    <t>ADN 105</t>
  </si>
  <si>
    <t>fourche de détection capteur d'étiquettes (cellule BALLUFF)</t>
  </si>
  <si>
    <t>BGL 003 Y (BALLUFF)</t>
  </si>
  <si>
    <t>rouleau finition collage</t>
  </si>
  <si>
    <t>ZROUL MOUSB</t>
  </si>
  <si>
    <t>mecawest</t>
  </si>
  <si>
    <t>Cable connecteur</t>
  </si>
  <si>
    <t>4 pin M8</t>
  </si>
  <si>
    <t>coupe légume</t>
  </si>
  <si>
    <t>Pilon</t>
  </si>
  <si>
    <t>0KJ761</t>
  </si>
  <si>
    <t>KGR distribution</t>
  </si>
  <si>
    <t>Bouton Noir</t>
  </si>
  <si>
    <t>OU476</t>
  </si>
  <si>
    <t>Verrou</t>
  </si>
  <si>
    <t>0D022</t>
  </si>
  <si>
    <t>Goupilles</t>
  </si>
  <si>
    <t>OU502 (paquet de 5)</t>
  </si>
  <si>
    <t>Butées plastique</t>
  </si>
  <si>
    <t>0KQ699 (paquet de 5)</t>
  </si>
  <si>
    <t>Bague Articulée</t>
  </si>
  <si>
    <t>0KJ599</t>
  </si>
  <si>
    <t>coupe leg.</t>
  </si>
  <si>
    <t>Bagues</t>
  </si>
  <si>
    <t>0D3386</t>
  </si>
  <si>
    <t>crepiere</t>
  </si>
  <si>
    <t>JOINT TORIQUE SEPHAT (59)</t>
  </si>
  <si>
    <t>1000659 Marque Sephat</t>
  </si>
  <si>
    <t>Abram</t>
  </si>
  <si>
    <t>JOINT TORIQUE SEPHAT (19)</t>
  </si>
  <si>
    <t>1003319 Marque Sephat</t>
  </si>
  <si>
    <t>VERIN METAL WORK</t>
  </si>
  <si>
    <t>1213630100XN</t>
  </si>
  <si>
    <t>Sirven</t>
  </si>
  <si>
    <t>COUROIE TEXROPE 13x1700 LI170 PP (A67/13 01730/)</t>
  </si>
  <si>
    <t>MCO-52B</t>
  </si>
  <si>
    <t>Balpes</t>
  </si>
  <si>
    <t>CONTACTEUR DE CHAUFFE SIEMMENS</t>
  </si>
  <si>
    <t>3ZX1012-0RT04-1AA1</t>
  </si>
  <si>
    <t>Rexel</t>
  </si>
  <si>
    <t>arret d'urgence</t>
  </si>
  <si>
    <t>425-8449/fab:xb4bs8445</t>
  </si>
  <si>
    <t>DISTRIBUTEUR JOUCOMATIC 5/2</t>
  </si>
  <si>
    <t>52100005/ RS: 302-6459</t>
  </si>
  <si>
    <t>I.H.M siemens doseuse à crêpes, API - Extension d'écran Siemens TP 177micro 6AV6640-0CA11-0AX1 320 x 240 pix 1 pc(s)</t>
  </si>
  <si>
    <t>6AV6 640-0CA11-0AX1</t>
  </si>
  <si>
    <t>corps de clapet dosage</t>
  </si>
  <si>
    <t>70/0030</t>
  </si>
  <si>
    <t>Axe clapet de dosage</t>
  </si>
  <si>
    <t>70/0031</t>
  </si>
  <si>
    <t>galets</t>
  </si>
  <si>
    <t>70/0054</t>
  </si>
  <si>
    <t>Pince d'accrochage</t>
  </si>
  <si>
    <t>70/0090</t>
  </si>
  <si>
    <t>bagues hd levier clapet</t>
  </si>
  <si>
    <t>70/0121</t>
  </si>
  <si>
    <t>Tête de dosage</t>
  </si>
  <si>
    <t>70/0180</t>
  </si>
  <si>
    <t>Rondelles dessus piston</t>
  </si>
  <si>
    <t>70/0289</t>
  </si>
  <si>
    <t>Pistons dosage</t>
  </si>
  <si>
    <t>70/0287</t>
  </si>
  <si>
    <t>DEMI-TENDEUR</t>
  </si>
  <si>
    <t>85/0010</t>
  </si>
  <si>
    <t>filtre SMC</t>
  </si>
  <si>
    <t>amc520-04</t>
  </si>
  <si>
    <t>VERIN SMC 20-250-B</t>
  </si>
  <si>
    <t>CD85N20-250-B/ RS6240226</t>
  </si>
  <si>
    <t>VERIN SMC 20-25-B</t>
  </si>
  <si>
    <t xml:space="preserve">CD85N20-25-B  </t>
  </si>
  <si>
    <t>VERIN SMC 25-50C-B</t>
  </si>
  <si>
    <t>CD85N25-50C-B/rs 7006014</t>
  </si>
  <si>
    <t>CAPTEUR ILS SMC</t>
  </si>
  <si>
    <t>DZ63/ rs350-0755</t>
  </si>
  <si>
    <t>coton graissage</t>
  </si>
  <si>
    <t>M  ME-1</t>
  </si>
  <si>
    <t>bague en bronze</t>
  </si>
  <si>
    <t>MBA-32</t>
  </si>
  <si>
    <t>joints de pistons</t>
  </si>
  <si>
    <t>MJO-50</t>
  </si>
  <si>
    <t>Joint</t>
  </si>
  <si>
    <t>MJO-31C</t>
  </si>
  <si>
    <t>roue vis sans fin Delrin</t>
  </si>
  <si>
    <t>MRO-53C</t>
  </si>
  <si>
    <t>tuyau doseuse(tubelait)</t>
  </si>
  <si>
    <t>MTU-18</t>
  </si>
  <si>
    <t>vis sans fin delrin</t>
  </si>
  <si>
    <t>MVI-3</t>
  </si>
  <si>
    <t>VERIN PARKER (MINI)</t>
  </si>
  <si>
    <t>P1SS010DS-0025</t>
  </si>
  <si>
    <t>carte elec pompe graisseur</t>
  </si>
  <si>
    <t>Rs: 510-1209</t>
  </si>
  <si>
    <t>Mano 0-10bars R 1/8</t>
  </si>
  <si>
    <t>RS:233 0820</t>
  </si>
  <si>
    <t>TUYAU D'HUILE POMPE</t>
  </si>
  <si>
    <t>RS:667-8441</t>
  </si>
  <si>
    <t>TUYAU POMPE graisseurs</t>
  </si>
  <si>
    <t xml:space="preserve"> FAB:MTU-17D
RS:419-0012</t>
  </si>
  <si>
    <t>chaine spocket</t>
  </si>
  <si>
    <t>palier lisse</t>
  </si>
  <si>
    <t>motoreducteur à vis sans fin</t>
  </si>
  <si>
    <t>EMO-13E</t>
  </si>
  <si>
    <t>poulie a moyeu amovible</t>
  </si>
  <si>
    <t>MPO-2A80</t>
  </si>
  <si>
    <t>moyeu amovible</t>
  </si>
  <si>
    <t>MMO-4C</t>
  </si>
  <si>
    <t>pompe a gallet</t>
  </si>
  <si>
    <t>FRL asco numatics</t>
  </si>
  <si>
    <t>G652APJP4GA00HN</t>
  </si>
  <si>
    <t>asco numatics</t>
  </si>
  <si>
    <t>CTA</t>
  </si>
  <si>
    <t>filtres F7 287x592x48 CTA</t>
  </si>
  <si>
    <t>filtres F7 598X498X48 CTA</t>
  </si>
  <si>
    <t>filres G4 287x592x48 CTA</t>
  </si>
  <si>
    <t>filtres G4 598x498x48 CTA</t>
  </si>
  <si>
    <t>filtres G4 592x592x48 WOLF/ROOFTOP</t>
  </si>
  <si>
    <t>filtres F7 592x592x48 WOLF/ROOFTOP</t>
  </si>
  <si>
    <t>gaine textile spirale</t>
  </si>
  <si>
    <t>HAS</t>
  </si>
  <si>
    <t>gaine textile salle jaune</t>
  </si>
  <si>
    <t>DDM</t>
  </si>
  <si>
    <t>cellule barrière détection métaux</t>
  </si>
  <si>
    <t>cellule barrière balance pondérale</t>
  </si>
  <si>
    <t>Courroie crantée (10T5 / 185DIN 7721 KEV)</t>
  </si>
  <si>
    <t>electrovanne 5/2 24VDC</t>
  </si>
  <si>
    <t>Vérin 25/200 dw ISO 6432</t>
  </si>
  <si>
    <t>DSNU-25-200-PPV-Q (festo)</t>
  </si>
  <si>
    <t>Alimentation 150w 24vCC</t>
  </si>
  <si>
    <t>RS 1065852</t>
  </si>
  <si>
    <t>desinsectiseur</t>
  </si>
  <si>
    <t>Néon anti insectes</t>
  </si>
  <si>
    <t>789-9857</t>
  </si>
  <si>
    <t>Starter 151 pour néons anti insectes</t>
  </si>
  <si>
    <t>106537</t>
  </si>
  <si>
    <t>doseur d'eau</t>
  </si>
  <si>
    <t>façade sorema</t>
  </si>
  <si>
    <t>ACCFAC0021</t>
  </si>
  <si>
    <t>sorema</t>
  </si>
  <si>
    <t>pastilles double face facade carte</t>
  </si>
  <si>
    <t>REGCOM0161-SE</t>
  </si>
  <si>
    <t>réducteur de pression</t>
  </si>
  <si>
    <t>hydred4501</t>
  </si>
  <si>
    <t>manette régulateur de t°</t>
  </si>
  <si>
    <t>reg mit 0004</t>
  </si>
  <si>
    <t>electrovanne 230v</t>
  </si>
  <si>
    <t>égoutoire</t>
  </si>
  <si>
    <t>Amortisseur/verin pneumatique inox</t>
  </si>
  <si>
    <t>762072 / Citec</t>
  </si>
  <si>
    <t>Roue polyamide diam 60mm/épais21mm/perçage à l'axe 10mm</t>
  </si>
  <si>
    <t>elevateur VMI</t>
  </si>
  <si>
    <t xml:space="preserve">Capteur inductif de proximité Barillet M30 x 1,5, portée 15mm </t>
  </si>
  <si>
    <t>RS 444-3366</t>
  </si>
  <si>
    <t>galets cylindriques 5/2 polyamide blanc</t>
  </si>
  <si>
    <t>RS: 858742</t>
  </si>
  <si>
    <t>galets de rechange 82mm marron (roue avant)</t>
  </si>
  <si>
    <t>RS: 400 172</t>
  </si>
  <si>
    <t>ressort elevateur</t>
  </si>
  <si>
    <t>BO 35770</t>
  </si>
  <si>
    <t>roue arriere élevateur</t>
  </si>
  <si>
    <t xml:space="preserve">rs 787-1565 </t>
  </si>
  <si>
    <t>axe de pivotement</t>
  </si>
  <si>
    <t>BO 44306</t>
  </si>
  <si>
    <t>palier de déversement</t>
  </si>
  <si>
    <t>BO 18646</t>
  </si>
  <si>
    <t>Kit fdc rotation cuve</t>
  </si>
  <si>
    <t>BELEC1300</t>
  </si>
  <si>
    <t>Platine Axe de rotation</t>
  </si>
  <si>
    <t>B037744</t>
  </si>
  <si>
    <t>Bague bronze</t>
  </si>
  <si>
    <t>BBP025</t>
  </si>
  <si>
    <t>Palier ECLB acier</t>
  </si>
  <si>
    <t>B018646</t>
  </si>
  <si>
    <t>Clavette forme A</t>
  </si>
  <si>
    <t>BCL060635</t>
  </si>
  <si>
    <t>Came pivotement ECLB acier</t>
  </si>
  <si>
    <t>B044307</t>
  </si>
  <si>
    <t>M14 borgne</t>
  </si>
  <si>
    <t>BEHB14L</t>
  </si>
  <si>
    <t>bouchon mécanindus diam 72 type E</t>
  </si>
  <si>
    <t>BBOMED72</t>
  </si>
  <si>
    <t>axe diam 20 l=107</t>
  </si>
  <si>
    <t>B034330</t>
  </si>
  <si>
    <t>Circlips int 80</t>
  </si>
  <si>
    <t>BCI80</t>
  </si>
  <si>
    <t>Circlips int 72</t>
  </si>
  <si>
    <t>BCI72</t>
  </si>
  <si>
    <t>Circlips ext 35</t>
  </si>
  <si>
    <t>BCI35</t>
  </si>
  <si>
    <t>Entretoise D44,2/56 EP54</t>
  </si>
  <si>
    <t>B022672</t>
  </si>
  <si>
    <t>Joint à lèvre 55-90-10</t>
  </si>
  <si>
    <t>BJ09005510</t>
  </si>
  <si>
    <t>espera</t>
  </si>
  <si>
    <t>CELLULE A ULTRASON</t>
  </si>
  <si>
    <t>cellule de détection sick</t>
  </si>
  <si>
    <t>WLG4-3E1382</t>
  </si>
  <si>
    <t>COURROIE 1</t>
  </si>
  <si>
    <t>0610002 140XLU-12,7MM</t>
  </si>
  <si>
    <t xml:space="preserve">sav@espera.fr </t>
  </si>
  <si>
    <t>COURROIE 2</t>
  </si>
  <si>
    <t>0610003 160XLU-12,7MM</t>
  </si>
  <si>
    <t>courroie etiquetteuse ESPERA 140XL</t>
  </si>
  <si>
    <t>ref RS 4749490</t>
  </si>
  <si>
    <t>courroie etiquetteuse ESPERA 160XL 037</t>
  </si>
  <si>
    <t>ref RS 4749513</t>
  </si>
  <si>
    <t>FEUTRE ROND ENTRAINEMENT</t>
  </si>
  <si>
    <t>0610028     215U15AA</t>
  </si>
  <si>
    <t>moréducteur entrainement bande convoyage</t>
  </si>
  <si>
    <t>0610042     1LA7063-4AB-12/ GBRVF30P007Q</t>
  </si>
  <si>
    <t>moteur entrainement étiquette</t>
  </si>
  <si>
    <t>0610054      VRDM3913-50L-WC-IP65</t>
  </si>
  <si>
    <t>PATINS,(WOOD PAD ) EN FEUTRE</t>
  </si>
  <si>
    <t>0610004     620E50RE</t>
  </si>
  <si>
    <t>rouleau caoutchouc entrainement d'étiquettes</t>
  </si>
  <si>
    <t>0610107  (210E25GE)</t>
  </si>
  <si>
    <t>Roulement 2202RS</t>
  </si>
  <si>
    <t>2202EEG15</t>
  </si>
  <si>
    <t>MR240</t>
  </si>
  <si>
    <t>(levier) patins de blocage du papier</t>
  </si>
  <si>
    <t>Multivac</t>
  </si>
  <si>
    <t>bague d'etanchéité</t>
  </si>
  <si>
    <t>arète ou bord de distribution</t>
  </si>
  <si>
    <t>cable (nape) connection pour tête impression 53mm</t>
  </si>
  <si>
    <t>videojet:215983</t>
  </si>
  <si>
    <t>capteur d'etiquettes</t>
  </si>
  <si>
    <t>200156169/ OPT96NS-P700</t>
  </si>
  <si>
    <t>capteur d'etiquettes capacitif</t>
  </si>
  <si>
    <t>coffret mural L1=74 B1=24(embase prise harting)</t>
  </si>
  <si>
    <t>10.629.2370</t>
  </si>
  <si>
    <t>couroie b1:15/l1:425 htd 5m</t>
  </si>
  <si>
    <t>couroie crant b1=9,53  l1=254 XL</t>
  </si>
  <si>
    <t xml:space="preserve">courroie b1:25 / l1:1150 </t>
  </si>
  <si>
    <t>courroie B1=15L1=425htd5m</t>
  </si>
  <si>
    <t>courroie crant T2,5-330</t>
  </si>
  <si>
    <t>160XL037</t>
  </si>
  <si>
    <t>courroie crant entrainement enrouleur glassine</t>
  </si>
  <si>
    <t>6T2.5/620 RS 474-5202</t>
  </si>
  <si>
    <t>courroie plate</t>
  </si>
  <si>
    <t>disque embrayage enrouleur de glassine</t>
  </si>
  <si>
    <t>distributeur etiqueuse 3/2, festo CPE14-M1BH-30L-1/8</t>
  </si>
  <si>
    <t>105450138/ festo 196931</t>
  </si>
  <si>
    <t>distributeur etiqueuse 3/2, festo CPE14-M1BH-3GL-1/8</t>
  </si>
  <si>
    <t>105450138/ festo 196929</t>
  </si>
  <si>
    <t>Pile lithium 3V 1/2AA</t>
  </si>
  <si>
    <t>RS: 2409471</t>
  </si>
  <si>
    <t>PLAQUE DE CONTRE PRESSION</t>
  </si>
  <si>
    <t>ressort de torsion 25/0.7L</t>
  </si>
  <si>
    <t>rouleau de tension l1=150 li n.re</t>
  </si>
  <si>
    <t>roulement a bille gorge profonde, S698 RS + 1698 RS</t>
  </si>
  <si>
    <t xml:space="preserve">support H1=20 B1=14 L1=60 Al MgSi-T66 </t>
  </si>
  <si>
    <t>tête d'impression</t>
  </si>
  <si>
    <t>215980 provetic</t>
  </si>
  <si>
    <t>Provetic</t>
  </si>
  <si>
    <t xml:space="preserve">verin ISO6432, DSNU-25-100-PPV-A </t>
  </si>
  <si>
    <t>200154518/ festo 19248</t>
  </si>
  <si>
    <t>Michaud Chailly</t>
  </si>
  <si>
    <t>Roulement à billes NMB, Radiale, Métal, 8mm x 19mm x 6mm</t>
  </si>
  <si>
    <t>RS: 6125903</t>
  </si>
  <si>
    <t>poulie à rebord D1=380</t>
  </si>
  <si>
    <t>disque demarrage</t>
  </si>
  <si>
    <t>rondelle 1</t>
  </si>
  <si>
    <t>piece de compensation</t>
  </si>
  <si>
    <t xml:space="preserve">ressort de torsion </t>
  </si>
  <si>
    <t>COURROIE crantée</t>
  </si>
  <si>
    <t>Disque de synchronisation 1</t>
  </si>
  <si>
    <t>Disque de synchronisation 2</t>
  </si>
  <si>
    <t>Jeu de serrage</t>
  </si>
  <si>
    <t>Tourillon</t>
  </si>
  <si>
    <t>Entretoise</t>
  </si>
  <si>
    <t>couvercle 1</t>
  </si>
  <si>
    <t>couvercle 2</t>
  </si>
  <si>
    <t>courroie</t>
  </si>
  <si>
    <t>Disque de synchronisation 3</t>
  </si>
  <si>
    <t>rondelle 2</t>
  </si>
  <si>
    <t>tole de protection</t>
  </si>
  <si>
    <t>couvercle 3</t>
  </si>
  <si>
    <t>etuyeuse</t>
  </si>
  <si>
    <t xml:space="preserve"> verrin métal work dépileur étuits</t>
  </si>
  <si>
    <t>121A500200CP</t>
  </si>
  <si>
    <t>BOBINES 21V 2W</t>
  </si>
  <si>
    <t>W0215000101</t>
  </si>
  <si>
    <t>Capteur ILS métalwork</t>
  </si>
  <si>
    <t>CR22M</t>
  </si>
  <si>
    <t>Controleur de t°</t>
  </si>
  <si>
    <t>Omron E5C5V</t>
  </si>
  <si>
    <t>DISTRI. ISV 55 SOS 00 ISO1</t>
  </si>
  <si>
    <t>Métalwork 7051021100</t>
  </si>
  <si>
    <t xml:space="preserve">distrib 3:2 </t>
  </si>
  <si>
    <t>P2LBZ312ESNDCN</t>
  </si>
  <si>
    <t>ELECTRODISTRIBUTEURS SERIE 70, 5/2 monostable 1/8gaz dn25</t>
  </si>
  <si>
    <t>7010021100 métalwork</t>
  </si>
  <si>
    <t>motoréducteur bande sortie étuyeuse</t>
  </si>
  <si>
    <t>pompe à vide pneumatique</t>
  </si>
  <si>
    <t>X20A6-CN</t>
  </si>
  <si>
    <t>Generateur de vide  SMC</t>
  </si>
  <si>
    <t>RS:700-8767</t>
  </si>
  <si>
    <t>ressort 53 mm</t>
  </si>
  <si>
    <t>sonde temp. Bac a colle</t>
  </si>
  <si>
    <t>thm600fe</t>
  </si>
  <si>
    <t>vérin double effet rabateur du haut</t>
  </si>
  <si>
    <t>DNSU-20-50-PPV-A</t>
  </si>
  <si>
    <t>verrin double effet Festo (encolleurs)</t>
  </si>
  <si>
    <t>DSNU-25-100-PPV-A</t>
  </si>
  <si>
    <t>ventouse = PR25CN-08-B6</t>
  </si>
  <si>
    <t>725-377</t>
  </si>
  <si>
    <t>ventouse = PR50CN-08-B8</t>
  </si>
  <si>
    <t>725-383</t>
  </si>
  <si>
    <t>ventouse = PR32BS</t>
  </si>
  <si>
    <t>227-3957</t>
  </si>
  <si>
    <t>four</t>
  </si>
  <si>
    <t>CABLE TRESSE ht</t>
  </si>
  <si>
    <t>SAVO3689 OU 3002689</t>
  </si>
  <si>
    <t>buzzer 220 V AC/DC</t>
  </si>
  <si>
    <t>RS ; 457043</t>
  </si>
  <si>
    <t>DETECTEUR A GALET porte four 8.62</t>
  </si>
  <si>
    <t>RS 539208</t>
  </si>
  <si>
    <t>sillicon HT°</t>
  </si>
  <si>
    <t>join de porte 800x1815</t>
  </si>
  <si>
    <t>Système de levage P/D inox</t>
  </si>
  <si>
    <t>95x53x751</t>
  </si>
  <si>
    <t>Tout Technique</t>
  </si>
  <si>
    <t>Rampe d'accès 8.63-62-61</t>
  </si>
  <si>
    <t>Guidage rampe 83x18x770</t>
  </si>
  <si>
    <t>ensemble rotule 8,63 120x32 male</t>
  </si>
  <si>
    <t>ensemble rotule 8,63 120x32 fem</t>
  </si>
  <si>
    <t>Mini moteur de volets</t>
  </si>
  <si>
    <t>RS ; 5041258</t>
  </si>
  <si>
    <t>transformateur HT brûleur riello</t>
  </si>
  <si>
    <t>TRS830P</t>
  </si>
  <si>
    <t>sonde allumage brûleur rielllo</t>
  </si>
  <si>
    <t>FS 20</t>
  </si>
  <si>
    <t>sonde de ionisation brûleur rielllo</t>
  </si>
  <si>
    <t>FS 10</t>
  </si>
  <si>
    <t>moto réducteur chariot</t>
  </si>
  <si>
    <t>MRVFL63/FC</t>
  </si>
  <si>
    <t>fin de course XCKN2118P20</t>
  </si>
  <si>
    <t>Rexel (schneider XCKN2118PN)</t>
  </si>
  <si>
    <t>roulement à bille moteur soufflerie SKF</t>
  </si>
  <si>
    <t>RS: 7192086</t>
  </si>
  <si>
    <t>opticom</t>
  </si>
  <si>
    <t>ElectroVanne Gaz 1pouce 230v</t>
  </si>
  <si>
    <t>EV6-GAZ NF 1" 230 vca 6bars
092504M</t>
  </si>
  <si>
    <t xml:space="preserve">transfo 12v 105VA </t>
  </si>
  <si>
    <t>Rexel (POL7430)</t>
  </si>
  <si>
    <t>Bornier (domino) Ht T° 2 poles</t>
  </si>
  <si>
    <t>Rexel (LEG034332)</t>
  </si>
  <si>
    <t>sonde PT 100</t>
  </si>
  <si>
    <t>PT 100 5M opticom four</t>
  </si>
  <si>
    <t>joints spi motoréducteur plateau tournant</t>
  </si>
  <si>
    <t>RS: 722-9195,95</t>
  </si>
  <si>
    <t>cable electrique haute température</t>
  </si>
  <si>
    <t xml:space="preserve">Embase ampoules </t>
  </si>
  <si>
    <t>axe entrainement</t>
  </si>
  <si>
    <t>préssiostat</t>
  </si>
  <si>
    <t>support motoreducteur</t>
  </si>
  <si>
    <t>bague bronze</t>
  </si>
  <si>
    <t>bague lattygraph</t>
  </si>
  <si>
    <t>palier</t>
  </si>
  <si>
    <t>Moteur soufflage 8,62</t>
  </si>
  <si>
    <t>LS100HT 1000/1500</t>
  </si>
  <si>
    <t>tout technique</t>
  </si>
  <si>
    <t>Relais sécu gaz bruleur</t>
  </si>
  <si>
    <t>LGB22-230B27</t>
  </si>
  <si>
    <t>thermostat sécu 1</t>
  </si>
  <si>
    <t>JUMO EM-50 602021/0050</t>
  </si>
  <si>
    <t>thermostat sécu 2</t>
  </si>
  <si>
    <t>JUMO 602031</t>
  </si>
  <si>
    <t>plaque rotation palier</t>
  </si>
  <si>
    <t>tringlerie porte</t>
  </si>
  <si>
    <t>poignée secu interieur</t>
  </si>
  <si>
    <t>toshiba imprimante</t>
  </si>
  <si>
    <t>courroie crantée 124 L 075</t>
  </si>
  <si>
    <t>7FM00175000</t>
  </si>
  <si>
    <t>provetig</t>
  </si>
  <si>
    <t>rouleau d'entrainement inférieur face avant</t>
  </si>
  <si>
    <t>7FM00163000</t>
  </si>
  <si>
    <t>rouleau d'entrainement inférieur face arrière</t>
  </si>
  <si>
    <t>7FM00164000</t>
  </si>
  <si>
    <t>Tête thermique B-SA4T toshiba 200 DPI (ASYB-HEAD-SA4T FRU) imprimante bureau</t>
  </si>
  <si>
    <t>7FM00973000 F</t>
  </si>
  <si>
    <t>Tête thermique B-SX4 toshiba (ASYB-HEAD2-SX-R FRU)</t>
  </si>
  <si>
    <t>7FM01641000</t>
  </si>
  <si>
    <t>RS 474-9793</t>
  </si>
  <si>
    <t>détecteur photoélectrique</t>
  </si>
  <si>
    <t>RS 752-5143</t>
  </si>
  <si>
    <t>LINDE Gaz</t>
  </si>
  <si>
    <t>Réchauffeur 500w type c</t>
  </si>
  <si>
    <t>Linx</t>
  </si>
  <si>
    <t>Buze de tete</t>
  </si>
  <si>
    <t>FA74070/3103</t>
  </si>
  <si>
    <t>lynx</t>
  </si>
  <si>
    <t>cellule de détection</t>
  </si>
  <si>
    <t>FA61105</t>
  </si>
  <si>
    <t>tete support</t>
  </si>
  <si>
    <t>FA62050</t>
  </si>
  <si>
    <t>Kit d'entretien 7900</t>
  </si>
  <si>
    <t>FA74330</t>
  </si>
  <si>
    <t>Kit de maintenance 5900/7300</t>
  </si>
  <si>
    <t>FA65027</t>
  </si>
  <si>
    <t>tube damper drain</t>
  </si>
  <si>
    <t>fa74005</t>
  </si>
  <si>
    <t>multivac 240/230</t>
  </si>
  <si>
    <t>clapet antiretour Gaz R230</t>
  </si>
  <si>
    <t>Plaque de chauffe inférieur 240</t>
  </si>
  <si>
    <t>Plaque de soudure 240</t>
  </si>
  <si>
    <t>Zone froide R240/230</t>
  </si>
  <si>
    <t>Joint de soudure 2 voies 2 rangées R240</t>
  </si>
  <si>
    <t>Plaque de chauffe 230</t>
  </si>
  <si>
    <t>Joint de soudure 2 voies 1 rangée R230</t>
  </si>
  <si>
    <t>Plaque de soudure R230</t>
  </si>
  <si>
    <t>capteur d'étiquettes optisch L1=50</t>
  </si>
  <si>
    <t>buse de reinjection Gaz</t>
  </si>
  <si>
    <t>douilles</t>
  </si>
  <si>
    <t>bouchon</t>
  </si>
  <si>
    <t>Cale de hauteur 0,2 carré</t>
  </si>
  <si>
    <t>poignée enrouleur de lizière</t>
  </si>
  <si>
    <t>R230, Rondelle téflons D1-100 D2-36 L1-5 L2-0,5 PA6E</t>
  </si>
  <si>
    <t>Douille rouleau entrée film</t>
  </si>
  <si>
    <t>douilles (guide film sur rouleaux soudure)</t>
  </si>
  <si>
    <r>
      <t xml:space="preserve">fin de course enrouleur de lizières </t>
    </r>
    <r>
      <rPr>
        <b/>
        <sz val="9"/>
        <rFont val="Arial"/>
        <family val="2"/>
      </rPr>
      <t>SIEMENS 3se5232-oce12-1cao</t>
    </r>
  </si>
  <si>
    <t>Membrane de soudure 100X435 R240</t>
  </si>
  <si>
    <t>Membrane de soudure 120X315 R230</t>
  </si>
  <si>
    <t>pochette uv5 joint</t>
  </si>
  <si>
    <t>Pochette UV10</t>
  </si>
  <si>
    <t>Joint (d'étanchéité) de soupape gros</t>
  </si>
  <si>
    <t>Résistance blindées</t>
  </si>
  <si>
    <t>Ressort de soudure ou de pression</t>
  </si>
  <si>
    <t>Ressort UV10</t>
  </si>
  <si>
    <t>ressort de traction D1=18 ( enrouleur)</t>
  </si>
  <si>
    <t>R240 Ressort rappel bras rouleau sup. film de soudure</t>
  </si>
  <si>
    <t>circlip diam12</t>
  </si>
  <si>
    <t>Circlips diam 25</t>
  </si>
  <si>
    <t>bague d'étanchéité 14x10x4 NBN</t>
  </si>
  <si>
    <t>joints levresd1:24 /d2:14/ b1:8</t>
  </si>
  <si>
    <t>joint levre de vide</t>
  </si>
  <si>
    <t>courroie b1:16 l1:375at5 endlos</t>
  </si>
  <si>
    <t>couroie cranté b1:16 l1:450</t>
  </si>
  <si>
    <t>joint levre en k</t>
  </si>
  <si>
    <t xml:space="preserve">distrib 3/2  frein de film </t>
  </si>
  <si>
    <t>distributeur 3/2 pneum. NW-13 1 -10 bar 1+(0,1*Betriebsd.) G1/2Z 80255211301, Vanne de soudure</t>
  </si>
  <si>
    <t>Electrovanne Gaz</t>
  </si>
  <si>
    <t>distributeur 3/2 elektr</t>
  </si>
  <si>
    <t>distributeur 5/4 elektr(electrovanne double)</t>
  </si>
  <si>
    <t>distributeur 5/2(electrovanne simple)</t>
  </si>
  <si>
    <t>plaque entrée bloc distrib air</t>
  </si>
  <si>
    <t>plaque intermédiaire bloc distrib air</t>
  </si>
  <si>
    <t>groupe FRL complet</t>
  </si>
  <si>
    <t>filtre pierre groupe frl (élément filtrant)</t>
  </si>
  <si>
    <t xml:space="preserve">filtre </t>
  </si>
  <si>
    <t>manomètre</t>
  </si>
  <si>
    <t>detendeur normal 0/6 bars entrée gaz</t>
  </si>
  <si>
    <t>régulateur de pression gaz</t>
  </si>
  <si>
    <t>Débitmètre eau</t>
  </si>
  <si>
    <t>bague d'étanchéité nylon vérin R230</t>
  </si>
  <si>
    <t>flexible haute pression</t>
  </si>
  <si>
    <t>joint torique 3,2 (étanchéité bloc formage et soudure)</t>
  </si>
  <si>
    <t>capuchon plastique prot.</t>
  </si>
  <si>
    <t>aimants ronds 7,5x7,5</t>
  </si>
  <si>
    <t>sécurité magnétique verte 6 ML</t>
  </si>
  <si>
    <t>Bloc auxiliaire</t>
  </si>
  <si>
    <t>contacteur à courant alternatif 230 V 5,5 kW</t>
  </si>
  <si>
    <t>contacteur 230 V 7,5 KW</t>
  </si>
  <si>
    <t>contacteur 11kw/ contacteur de chauffe</t>
  </si>
  <si>
    <t>moteur lisière</t>
  </si>
  <si>
    <t>Filtre contacteur de chauffe</t>
  </si>
  <si>
    <t>Filtre contacteur 7,5 KW (filtres RC)</t>
  </si>
  <si>
    <t>huile blanche</t>
  </si>
  <si>
    <t>spray anti corosion</t>
  </si>
  <si>
    <t>vanne principale d'air 3/2 R230</t>
  </si>
  <si>
    <t>80,260,2240,22</t>
  </si>
  <si>
    <t>Capteur pression R230</t>
  </si>
  <si>
    <t>Filtre pneumatique  avant formage</t>
  </si>
  <si>
    <t>K030AA RS:210-8544</t>
  </si>
  <si>
    <t xml:space="preserve">atache rapide chaine d'entrainement </t>
  </si>
  <si>
    <t>nc</t>
  </si>
  <si>
    <t>Module Logique OU capteur de vide</t>
  </si>
  <si>
    <t>Rs 722-542</t>
  </si>
  <si>
    <t>filtre G1/2 filtration air comprimé formage</t>
  </si>
  <si>
    <t>RS; 2108544</t>
  </si>
  <si>
    <t>Bloc cont. Aux. 2NO-2NF</t>
  </si>
  <si>
    <t>SIE3RH2911-1HA22</t>
  </si>
  <si>
    <t>Contacteur 4kw 1NO AC 230V</t>
  </si>
  <si>
    <t>SIE3RT2016-1AP01</t>
  </si>
  <si>
    <t>Contacteur 5,5KW 1NO  AC230V</t>
  </si>
  <si>
    <t>SIE3RT2017-1AP01</t>
  </si>
  <si>
    <t>Contacteur 7,5KW AC 230V</t>
  </si>
  <si>
    <t>SIE3RT2018-1AP01</t>
  </si>
  <si>
    <t>Contacteur 11Kw 1NO+1NF AC230V</t>
  </si>
  <si>
    <t>SIE3RT2026-1AP00</t>
  </si>
  <si>
    <t>VARISTANCE 127 a 240VAC</t>
  </si>
  <si>
    <t>SIE3RT2916-1BD00</t>
  </si>
  <si>
    <t>Varistance pour Contacteurs 11Kw</t>
  </si>
  <si>
    <t>SIE3RT2926-1BD00</t>
  </si>
  <si>
    <t>Relais thermique 0,7-1A</t>
  </si>
  <si>
    <t>SIE3RU2116-0JB0</t>
  </si>
  <si>
    <t>Relais thermique 4,5-6,3A</t>
  </si>
  <si>
    <t>SIE3RU2116-1GB0</t>
  </si>
  <si>
    <t>Jeu de ressorts de rappel</t>
  </si>
  <si>
    <t>douille d'aiguille</t>
  </si>
  <si>
    <t>ressort de traction D1=12,7</t>
  </si>
  <si>
    <t>cache latéral rouleau film bas</t>
  </si>
  <si>
    <t>circlips 45*2,5</t>
  </si>
  <si>
    <t>clamping jaw 120*22,5</t>
  </si>
  <si>
    <t>verouillage capots barriere soudure/formage</t>
  </si>
  <si>
    <t>ressort de pression D1=9</t>
  </si>
  <si>
    <t>joint spi D1=68 D2=40</t>
  </si>
  <si>
    <t>VIS SW10 L1=31 L2=29</t>
  </si>
  <si>
    <t>VIS SW17 L1=64 L2=31</t>
  </si>
  <si>
    <t>joint d'étanchité</t>
  </si>
  <si>
    <t>multivac decoupe</t>
  </si>
  <si>
    <t>Contre découpe (enclume) R240</t>
  </si>
  <si>
    <t>Couteau perforation rond</t>
  </si>
  <si>
    <t>Couteau (poinçon) perforation ovale</t>
  </si>
  <si>
    <t>Entretoise découpe stone cut 240</t>
  </si>
  <si>
    <t>Bord extérieur à visser couteaux R240</t>
  </si>
  <si>
    <t>Contre découpe (enclume) R230</t>
  </si>
  <si>
    <t>Lame de coupe R230 ( vendu au 1m )</t>
  </si>
  <si>
    <t>Lame de coupe R240 (stone cut)</t>
  </si>
  <si>
    <t>Lame R240 HSS</t>
  </si>
  <si>
    <t>LDRMH</t>
  </si>
  <si>
    <t>couteaux circulaires R240</t>
  </si>
  <si>
    <t>couteaux circulaires R230</t>
  </si>
  <si>
    <t>Couteaux Demi-as de carreau R240</t>
  </si>
  <si>
    <t>Demi As Acier Ht performance</t>
  </si>
  <si>
    <t>2SP201MF021H</t>
  </si>
  <si>
    <t>Couteaux As de carreau R240</t>
  </si>
  <si>
    <t>As de carreau Acier Ht performance</t>
  </si>
  <si>
    <t>2SP201MF020H</t>
  </si>
  <si>
    <t>joint etanchéité UV10 (decoupe longitudinale)</t>
  </si>
  <si>
    <t>Joint d'arbre (decoupe longitudinale)</t>
  </si>
  <si>
    <t>roulement gorge profonde  (decoupe longitudinale)</t>
  </si>
  <si>
    <t>Bague intérieur D1=50  D2=45 (decoupe longitudinale)</t>
  </si>
  <si>
    <t>Bague d'étanchéité d'arbre  (decoupe longitudinale)</t>
  </si>
  <si>
    <t>cicrclips  (decoupe longitudinale)</t>
  </si>
  <si>
    <t>contre lame circulaire  (decoupe longitudinale)</t>
  </si>
  <si>
    <t>Lame circulaire</t>
  </si>
  <si>
    <t>Rondelles d'ajustage 0,1mm (contre couteaux longitudinale)</t>
  </si>
  <si>
    <t>Rondelles d'ajustage 0,2mm (contre couteaux longitudinale)</t>
  </si>
  <si>
    <t>Rondelles d'ajustage 0,5mm (contre couteaux longitudinale)</t>
  </si>
  <si>
    <t>R230 tourillon (coupe longitud.)</t>
  </si>
  <si>
    <t>R230 plaque roulement (coupe lonitud.)</t>
  </si>
  <si>
    <t>support moteur couteaux circulaire R230</t>
  </si>
  <si>
    <t>R230 roulement (3200 rs) (découpe circulaire)</t>
  </si>
  <si>
    <t>pièce d'accouplement entrainement couteaux circulaire R230</t>
  </si>
  <si>
    <t>accouplement verin de découpe R230</t>
  </si>
  <si>
    <t>roulement billes gorge profonde</t>
  </si>
  <si>
    <t>couteau en forme d'étoile</t>
  </si>
  <si>
    <t>cap nut (cache vis noir)</t>
  </si>
  <si>
    <t>pédiluve</t>
  </si>
  <si>
    <t>brosses</t>
  </si>
  <si>
    <t>sc01255</t>
  </si>
  <si>
    <t>motoreducteur</t>
  </si>
  <si>
    <t>sc00847</t>
  </si>
  <si>
    <t>kit doseur venturi</t>
  </si>
  <si>
    <t>SCM-DIA 3,5</t>
  </si>
  <si>
    <t xml:space="preserve">clapet anti-retour </t>
  </si>
  <si>
    <t>SC03671</t>
  </si>
  <si>
    <t>electrovanne 7200 24V 50/60Hz</t>
  </si>
  <si>
    <t>m&amp;m D886DVU</t>
  </si>
  <si>
    <t>PAV</t>
  </si>
  <si>
    <t>kit de réparation RA0250/302 D</t>
  </si>
  <si>
    <t>993.516.590</t>
  </si>
  <si>
    <t>kit de réparation 0250 C</t>
  </si>
  <si>
    <t>993.506.360</t>
  </si>
  <si>
    <t>goujons cylindrique 160/305 C/D</t>
  </si>
  <si>
    <t>437.534.364</t>
  </si>
  <si>
    <t>jeu de joint Viton RA 0250 C/D</t>
  </si>
  <si>
    <t>990.516.591</t>
  </si>
  <si>
    <t>clips ventilateur</t>
  </si>
  <si>
    <t>432.510.792</t>
  </si>
  <si>
    <t>kit entretien R250 C/D</t>
  </si>
  <si>
    <t>991.001.007</t>
  </si>
  <si>
    <t>SOCCO</t>
  </si>
  <si>
    <t>protege couteau 50mm</t>
  </si>
  <si>
    <t>Mandrin complet derouleur 50</t>
  </si>
  <si>
    <t>bague applicateur derouleur</t>
  </si>
  <si>
    <t>butée de dérouleur 1</t>
  </si>
  <si>
    <t>butée de dérouleur 2</t>
  </si>
  <si>
    <t>butée de dérouleur 8x20-9</t>
  </si>
  <si>
    <t>support couteau 70/50</t>
  </si>
  <si>
    <t>bague support couteaux</t>
  </si>
  <si>
    <t>ecrou support couteau</t>
  </si>
  <si>
    <t>applicateur 70/50 droit complet</t>
  </si>
  <si>
    <t>applicateur 70/50 gauche complet</t>
  </si>
  <si>
    <t>rouleau anti retour . 50</t>
  </si>
  <si>
    <t>ressort por applicateur</t>
  </si>
  <si>
    <t>axe rouleau cyl. 50 (M5 L=56)</t>
  </si>
  <si>
    <t>axe rouleau bombé .50 (M5diam 10 L=63)</t>
  </si>
  <si>
    <t>rouleau cyl. 50</t>
  </si>
  <si>
    <t>ressort central 1,1</t>
  </si>
  <si>
    <t>ressort 1:1</t>
  </si>
  <si>
    <t>entretoise à collerette</t>
  </si>
  <si>
    <t>support butée</t>
  </si>
  <si>
    <t>rouleau bombé DER . 50</t>
  </si>
  <si>
    <t>rouleau anti retour noir .50</t>
  </si>
  <si>
    <t>couteau de dérouleur .50</t>
  </si>
  <si>
    <t>vis M4X8 Din 7991</t>
  </si>
  <si>
    <t>Bande entrainement T100 (980x50)</t>
  </si>
  <si>
    <t>4173001870S</t>
  </si>
  <si>
    <t>Bande entrainement vielle scotcheuse (980x80)</t>
  </si>
  <si>
    <t>4173101870S</t>
  </si>
  <si>
    <t>cable acier</t>
  </si>
  <si>
    <t>Console a rouleaux  (pour boucher la scotcheuse du bas)</t>
  </si>
  <si>
    <t>Arrêt d'urgence</t>
  </si>
  <si>
    <t>RS: 305-2133</t>
  </si>
  <si>
    <t>Cales épaisseurs</t>
  </si>
  <si>
    <t>$</t>
  </si>
  <si>
    <t>°</t>
  </si>
  <si>
    <t>et</t>
  </si>
  <si>
    <t>date</t>
  </si>
  <si>
    <t xml:space="preserve">désignation </t>
  </si>
  <si>
    <t>ref</t>
  </si>
  <si>
    <t>qté</t>
  </si>
  <si>
    <t>commandé</t>
  </si>
  <si>
    <t>reçus</t>
  </si>
  <si>
    <t>Colonne1</t>
  </si>
  <si>
    <t>Colonne2</t>
  </si>
  <si>
    <t>non</t>
  </si>
  <si>
    <t>référence RS</t>
  </si>
  <si>
    <t>courroie150 xl 037</t>
  </si>
  <si>
    <t>279-6185</t>
  </si>
  <si>
    <t>oui</t>
  </si>
  <si>
    <t>contre etiquetteuse</t>
  </si>
  <si>
    <t>decoupe legume</t>
  </si>
  <si>
    <t>egoutoire</t>
  </si>
  <si>
    <t>KM</t>
  </si>
  <si>
    <t>batteur et cuves</t>
  </si>
  <si>
    <t>consomable</t>
  </si>
  <si>
    <t>embout tuyau (coupé)</t>
  </si>
  <si>
    <t>RS 330-0634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</si>
</sst>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"/>
    <numFmt numFmtId="166" formatCode="&quot;€&quot;#,##0.00_);[Red]\(&quot;€&quot;#,##0.00\)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abic Transparent"/>
      <charset val="178"/>
    </font>
    <font>
      <sz val="9"/>
      <color indexed="8"/>
      <name val="Arabic Transparent"/>
      <charset val="178"/>
    </font>
    <font>
      <sz val="10"/>
      <color indexed="8"/>
      <name val="Arabic Transparent"/>
      <charset val="178"/>
    </font>
    <font>
      <sz val="10"/>
      <name val="Arabic Transparent"/>
      <charset val="178"/>
    </font>
    <font>
      <b/>
      <sz val="9"/>
      <name val="Arabic Transparent"/>
      <charset val="178"/>
    </font>
    <font>
      <sz val="8"/>
      <color indexed="8"/>
      <name val="Arabic Transparent"/>
      <charset val="178"/>
    </font>
    <font>
      <sz val="9"/>
      <color theme="1"/>
      <name val="Arabic Transparent"/>
      <charset val="178"/>
    </font>
    <font>
      <u/>
      <sz val="11"/>
      <color theme="10"/>
      <name val="Calibri"/>
      <family val="2"/>
      <scheme val="minor"/>
    </font>
    <font>
      <sz val="8"/>
      <name val="Arabic Transparent"/>
      <charset val="178"/>
    </font>
    <font>
      <sz val="11"/>
      <color theme="10"/>
      <name val="Calibri"/>
      <family val="2"/>
      <scheme val="minor"/>
    </font>
    <font>
      <sz val="12"/>
      <name val="Arabic Transparent"/>
      <charset val="178"/>
    </font>
    <font>
      <sz val="9"/>
      <color theme="3"/>
      <name val="Arabic Transparent"/>
      <charset val="178"/>
    </font>
    <font>
      <sz val="9"/>
      <name val="Arabic Transparent"/>
    </font>
    <font>
      <sz val="9"/>
      <color indexed="8"/>
      <name val="Arabic Transparent"/>
    </font>
    <font>
      <b/>
      <sz val="9"/>
      <name val="Arabic Transparent"/>
    </font>
    <font>
      <sz val="8"/>
      <color theme="3"/>
      <name val="Arabic Transparent"/>
      <charset val="178"/>
    </font>
    <font>
      <b/>
      <sz val="9"/>
      <color theme="1"/>
      <name val="Arabic Transparent"/>
      <charset val="178"/>
    </font>
    <font>
      <sz val="9"/>
      <name val="Arial"/>
      <family val="2"/>
    </font>
    <font>
      <b/>
      <sz val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b/>
      <sz val="8"/>
      <name val="Arabic Transparent"/>
      <charset val="178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0" xfId="0" applyBorder="1"/>
    <xf numFmtId="0" fontId="0" fillId="0" borderId="9" xfId="0" applyBorder="1"/>
    <xf numFmtId="0" fontId="0" fillId="0" borderId="4" xfId="0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4" xfId="1" applyFont="1" applyBorder="1" applyAlignment="1" applyProtection="1">
      <alignment horizontal="center" vertical="center" wrapText="1"/>
    </xf>
    <xf numFmtId="165" fontId="0" fillId="0" borderId="4" xfId="0" applyNumberForma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14" fillId="7" borderId="4" xfId="1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 wrapText="1"/>
    </xf>
    <xf numFmtId="165" fontId="9" fillId="5" borderId="4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165" fontId="5" fillId="5" borderId="4" xfId="0" applyNumberFormat="1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 wrapText="1"/>
    </xf>
    <xf numFmtId="165" fontId="9" fillId="0" borderId="13" xfId="0" applyNumberFormat="1" applyFont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/>
    </xf>
    <xf numFmtId="165" fontId="5" fillId="5" borderId="13" xfId="0" applyNumberFormat="1" applyFont="1" applyFill="1" applyBorder="1" applyAlignment="1">
      <alignment horizontal="center" vertical="center" wrapText="1"/>
    </xf>
    <xf numFmtId="165" fontId="9" fillId="5" borderId="13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65" fontId="11" fillId="5" borderId="4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166" fontId="5" fillId="3" borderId="4" xfId="0" applyNumberFormat="1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0" borderId="4" xfId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165" fontId="18" fillId="3" borderId="4" xfId="0" applyNumberFormat="1" applyFont="1" applyFill="1" applyBorder="1" applyAlignment="1">
      <alignment horizontal="center" vertical="center"/>
    </xf>
    <xf numFmtId="165" fontId="19" fillId="0" borderId="4" xfId="0" applyNumberFormat="1" applyFont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 wrapText="1"/>
    </xf>
    <xf numFmtId="165" fontId="21" fillId="0" borderId="4" xfId="0" applyNumberFormat="1" applyFont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165" fontId="22" fillId="0" borderId="4" xfId="0" applyNumberFormat="1" applyFont="1" applyBorder="1" applyAlignment="1">
      <alignment horizontal="center" vertical="center" wrapText="1"/>
    </xf>
    <xf numFmtId="165" fontId="25" fillId="0" borderId="4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65" fontId="22" fillId="0" borderId="4" xfId="0" applyNumberFormat="1" applyFont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5" fontId="22" fillId="0" borderId="1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165" fontId="5" fillId="3" borderId="4" xfId="0" applyNumberFormat="1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0" fontId="13" fillId="12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5" fontId="6" fillId="3" borderId="8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/>
    </xf>
    <xf numFmtId="165" fontId="18" fillId="3" borderId="8" xfId="0" applyNumberFormat="1" applyFont="1" applyFill="1" applyBorder="1" applyAlignment="1">
      <alignment horizontal="center" vertical="center"/>
    </xf>
    <xf numFmtId="165" fontId="19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3" fillId="4" borderId="0" xfId="0" applyFont="1" applyFill="1" applyBorder="1" applyAlignment="1">
      <alignment horizontal="center" vertical="center" wrapText="1"/>
    </xf>
    <xf numFmtId="0" fontId="34" fillId="0" borderId="0" xfId="1" applyFont="1" applyFill="1" applyBorder="1" applyAlignment="1">
      <alignment horizontal="center" vertical="center"/>
    </xf>
    <xf numFmtId="164" fontId="33" fillId="4" borderId="0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3" fontId="32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numFmt numFmtId="165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abic Transparent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abic Transparent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abic Transparent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4</xdr:row>
          <xdr:rowOff>38100</xdr:rowOff>
        </xdr:from>
        <xdr:to>
          <xdr:col>0</xdr:col>
          <xdr:colOff>676275</xdr:colOff>
          <xdr:row>6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f2a2cfc17e5f8bf/Bureau/VV/Gestion%20MA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Gestion%20M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menu principale"/>
      <sheetName val="Menu Prod"/>
      <sheetName val="menu demande prod"/>
      <sheetName val="création demande"/>
      <sheetName val="menu MAT"/>
      <sheetName val="menu EPN"/>
      <sheetName val="conditionnement"/>
      <sheetName val="generale"/>
      <sheetName val="salle de pre-cuisson"/>
      <sheetName val="salle de cuisson"/>
      <sheetName val="gestion astreinte"/>
      <sheetName val="liste demande"/>
      <sheetName val="demande prod KM"/>
      <sheetName val="DP CB"/>
      <sheetName val="DP TM"/>
      <sheetName val="control CDL"/>
      <sheetName val="menu mouvement stock"/>
      <sheetName val="stock total systeme"/>
      <sheetName val="total stock autres"/>
      <sheetName val="stock"/>
      <sheetName val="systeme"/>
      <sheetName val="commande"/>
      <sheetName val="menu main courante"/>
      <sheetName val="main courante"/>
      <sheetName val="menu commande"/>
      <sheetName val="récurence"/>
      <sheetName val="préventif"/>
      <sheetName val="notes pour reunions"/>
      <sheetName val="total stock"/>
      <sheetName val="mouvement es"/>
      <sheetName val="stock HGA"/>
      <sheetName val="mouvement HGA"/>
      <sheetName val="mouvement bâtiment"/>
      <sheetName val="roulements"/>
      <sheetName val="mouvement CV"/>
      <sheetName val="mouvement batteurs cuves"/>
      <sheetName val="mouvement CDL"/>
      <sheetName val="mouvement autoclave"/>
      <sheetName val="mouvement clippeuse"/>
      <sheetName val="mouvement convoyeur"/>
      <sheetName val="mouvement coupe légume"/>
      <sheetName val="mouvement crepiere"/>
      <sheetName val="mouvement CTA"/>
      <sheetName val="mouvement CEM"/>
      <sheetName val="mouvement DDM"/>
      <sheetName val="mouvement doseur d'eau"/>
      <sheetName val="mouvement bakon"/>
      <sheetName val="mouvement élévateur VMI"/>
      <sheetName val="mouvement espera"/>
      <sheetName val="mouvement etuyeuse"/>
      <sheetName val="mouvement fours"/>
      <sheetName val="mouvement toshiba"/>
      <sheetName val="mouvement LINDE"/>
      <sheetName val="mouvement lynx"/>
      <sheetName val="mouvement PAV"/>
      <sheetName val="mouvement pediluve"/>
      <sheetName val="mouvement scotcheuse"/>
      <sheetName val="mouvement adoucisseurs"/>
      <sheetName val="mouvement autolaveuse"/>
      <sheetName val="mouvement casier chaussure"/>
      <sheetName val="mouvement desinsectiseur"/>
      <sheetName val="mouvement égoutoir autoclave"/>
      <sheetName val="mouvement éléctrique"/>
      <sheetName val="mouvement MRR240"/>
      <sheetName val="mouv MULTIVAC R230 et R240"/>
      <sheetName val="mouv MULTIVAC DECOUPE"/>
      <sheetName val="mouv REF RS"/>
      <sheetName val="implantation salle verte"/>
      <sheetName val="Feuil2"/>
      <sheetName val="implantation salle jaune"/>
      <sheetName val="Feuil4"/>
      <sheetName val="nouveau systeme"/>
      <sheetName val="mouvement nouveau systeme"/>
      <sheetName val="Feuil3"/>
      <sheetName val="liste pieces"/>
      <sheetName val="pieces a classer"/>
      <sheetName val="menu test periodique"/>
      <sheetName val="TEST froid"/>
      <sheetName val="TEST eclairage secu"/>
      <sheetName val="Feuil8"/>
    </sheetNames>
    <sheetDataSet>
      <sheetData sheetId="0">
        <row r="2">
          <cell r="R2" t="str">
            <v>encres et solvant</v>
          </cell>
        </row>
        <row r="3">
          <cell r="R3" t="str">
            <v>convoyeur</v>
          </cell>
        </row>
        <row r="4">
          <cell r="R4" t="str">
            <v>batiment</v>
          </cell>
        </row>
        <row r="5">
          <cell r="R5" t="str">
            <v>référence RS</v>
          </cell>
        </row>
        <row r="6">
          <cell r="R6" t="str">
            <v>electrique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0">
          <cell r="C10" t="str">
            <v>Kit joint venturi pour adoucisseur ECOWATER modèle R46 5.1</v>
          </cell>
        </row>
        <row r="11">
          <cell r="C11" t="str">
            <v>capteur de proximité</v>
          </cell>
        </row>
        <row r="12">
          <cell r="C12" t="str">
            <v>capteur magnétique</v>
          </cell>
        </row>
        <row r="13">
          <cell r="C13" t="str">
            <v>corps d'electrovanne sécurité gaz</v>
          </cell>
        </row>
        <row r="14">
          <cell r="C14" t="str">
            <v>disjoncteur 0,5 A</v>
          </cell>
        </row>
        <row r="15">
          <cell r="C15" t="str">
            <v>filtres 100 microns cintropur</v>
          </cell>
        </row>
        <row r="16">
          <cell r="C16" t="str">
            <v>garniture type BAQE pour pompe 11Kw</v>
          </cell>
        </row>
        <row r="17">
          <cell r="C17" t="str">
            <v>NB joint de corps pompe 11Kw</v>
          </cell>
        </row>
        <row r="18">
          <cell r="C18" t="str">
            <v>I.H.M autoclave</v>
          </cell>
        </row>
        <row r="19">
          <cell r="C19" t="str">
            <v>interrupteur de sécurité</v>
          </cell>
        </row>
        <row r="20">
          <cell r="C20" t="str">
            <v>joint de porte 1300 mm</v>
          </cell>
        </row>
        <row r="21">
          <cell r="C21" t="str">
            <v>lampe 24v(ampoules)</v>
          </cell>
        </row>
        <row r="22">
          <cell r="C22" t="str">
            <v>manomètre 0-6 bar G1/2 100mm</v>
          </cell>
        </row>
        <row r="23">
          <cell r="C23" t="str">
            <v>module d'ouverture progressif</v>
          </cell>
        </row>
        <row r="24">
          <cell r="C24" t="str">
            <v xml:space="preserve">Pile chlorure de thionyle 3,6V 2400mAh </v>
          </cell>
        </row>
        <row r="25">
          <cell r="C25" t="str">
            <v>vanne de proces dn 32 pn 25</v>
          </cell>
        </row>
        <row r="26">
          <cell r="C26" t="str">
            <v>vanne de process dn 100 pn 25</v>
          </cell>
        </row>
        <row r="27">
          <cell r="C27" t="str">
            <v>vanne de process dn 20 pn 25</v>
          </cell>
        </row>
        <row r="28">
          <cell r="C28" t="str">
            <v>vanne de process dn 40</v>
          </cell>
        </row>
        <row r="29">
          <cell r="C29" t="str">
            <v>vanne de process dn 40 pn 25 316L</v>
          </cell>
        </row>
        <row r="30">
          <cell r="C30" t="str">
            <v>vanne de process dn 50 pn 25</v>
          </cell>
        </row>
        <row r="31">
          <cell r="C31" t="str">
            <v>ventillateur 24v 42mA5( pour le pc)</v>
          </cell>
        </row>
        <row r="32">
          <cell r="C32" t="str">
            <v>Capteur proximité 440NGO2123</v>
          </cell>
        </row>
        <row r="119">
          <cell r="C119" t="str">
            <v>clapet anti-retour</v>
          </cell>
        </row>
        <row r="120">
          <cell r="C120" t="str">
            <v>Kit enrouleur double pour dévidoir inox</v>
          </cell>
        </row>
        <row r="121">
          <cell r="C121" t="str">
            <v>Pistolet corps plastique marque prevost</v>
          </cell>
        </row>
        <row r="122">
          <cell r="C122" t="str">
            <v>Pistolet eau corps acier/inox</v>
          </cell>
        </row>
        <row r="123">
          <cell r="C123" t="str">
            <v>Ressort cliquet centrale de lavage</v>
          </cell>
        </row>
        <row r="124">
          <cell r="C124" t="str">
            <v>tuyau 12x20 /10 ML</v>
          </cell>
        </row>
        <row r="125">
          <cell r="C125" t="str">
            <v>tuyaux 12x20/ 15 ML</v>
          </cell>
        </row>
        <row r="126">
          <cell r="C126" t="str">
            <v xml:space="preserve">venturi centrale de lavage </v>
          </cell>
        </row>
        <row r="143">
          <cell r="C143" t="str">
            <v>arbre</v>
          </cell>
        </row>
        <row r="144">
          <cell r="C144" t="str">
            <v>CAPTEUR secu fca 3442</v>
          </cell>
        </row>
        <row r="145">
          <cell r="C145" t="str">
            <v>chaîne intermédiaire</v>
          </cell>
        </row>
        <row r="146">
          <cell r="C146" t="str">
            <v>CHAINES AVANCES AGRAFEE</v>
          </cell>
        </row>
        <row r="147">
          <cell r="C147" t="str">
            <v>COURROIE ref: STD 800 S8M CXA marque Continental</v>
          </cell>
        </row>
        <row r="148">
          <cell r="C148" t="str">
            <v>COUTEAU fca 3442</v>
          </cell>
        </row>
        <row r="149">
          <cell r="C149" t="str">
            <v>Embout caoutchouc frein dévidoir</v>
          </cell>
        </row>
        <row r="150">
          <cell r="C150" t="str">
            <v>galet d=26</v>
          </cell>
        </row>
        <row r="151">
          <cell r="C151" t="str">
            <v>galet d=35</v>
          </cell>
        </row>
        <row r="152">
          <cell r="C152" t="str">
            <v>guide agrafe 30 mm cpl</v>
          </cell>
        </row>
        <row r="153">
          <cell r="C153" t="str">
            <v>RESSORT couteaux boyaux</v>
          </cell>
        </row>
        <row r="154">
          <cell r="C154" t="str">
            <v>rotule de droite</v>
          </cell>
        </row>
        <row r="155">
          <cell r="C155" t="str">
            <v>rotule de gauche</v>
          </cell>
        </row>
        <row r="156">
          <cell r="C156" t="str">
            <v>rotule droit</v>
          </cell>
        </row>
        <row r="157">
          <cell r="C157" t="str">
            <v>roulement 6301/2 RS</v>
          </cell>
        </row>
        <row r="158">
          <cell r="C158" t="str">
            <v>roulement à aiguille (04)</v>
          </cell>
        </row>
        <row r="159">
          <cell r="C159" t="str">
            <v>roulement à aiguille (52)</v>
          </cell>
        </row>
        <row r="160">
          <cell r="C160" t="str">
            <v>Cable VEMAG R500</v>
          </cell>
        </row>
        <row r="161">
          <cell r="C161" t="str">
            <v>Capteur photoélectrique, Cylindrique, Lumière rouge, LED, 0,05 → 7 m, NPN, 100 mA, Câble, IP67</v>
          </cell>
        </row>
        <row r="162">
          <cell r="C162" t="str">
            <v>courroie d'entrainement enrouleur glassine</v>
          </cell>
        </row>
        <row r="163">
          <cell r="C163" t="str">
            <v>fourche de détection capteur d'étiquettes (cellule BALLUFF)</v>
          </cell>
        </row>
        <row r="164">
          <cell r="C164" t="str">
            <v>rouleau finition collage</v>
          </cell>
        </row>
        <row r="165">
          <cell r="C165" t="str">
            <v>Cable connecteur</v>
          </cell>
        </row>
        <row r="166">
          <cell r="C166" t="str">
            <v>Pilon</v>
          </cell>
        </row>
        <row r="167">
          <cell r="C167" t="str">
            <v>Bouton Noir</v>
          </cell>
        </row>
        <row r="168">
          <cell r="C168" t="str">
            <v>Verrou</v>
          </cell>
        </row>
        <row r="169">
          <cell r="C169" t="str">
            <v>Goupilles</v>
          </cell>
        </row>
        <row r="170">
          <cell r="C170" t="str">
            <v>Butées plastique</v>
          </cell>
        </row>
        <row r="171">
          <cell r="C171" t="str">
            <v>Bague Articulée</v>
          </cell>
        </row>
        <row r="172">
          <cell r="C172" t="str">
            <v>Bagues</v>
          </cell>
        </row>
        <row r="214">
          <cell r="C214" t="str">
            <v>filtres F7 287x592x48 CTA</v>
          </cell>
        </row>
        <row r="215">
          <cell r="C215" t="str">
            <v>filtres F7 598X498X48 CTA</v>
          </cell>
        </row>
        <row r="216">
          <cell r="C216" t="str">
            <v>filres G4 287x592x48 CTA</v>
          </cell>
        </row>
        <row r="217">
          <cell r="C217" t="str">
            <v>filtres G4 598x498x48 CTA</v>
          </cell>
        </row>
        <row r="218">
          <cell r="C218" t="str">
            <v>filtres G4 592x592x48 WOLF/ROOFTOP</v>
          </cell>
        </row>
        <row r="219">
          <cell r="C219" t="str">
            <v>filtres F7 592x592x48 WOLF/ROOFTOP</v>
          </cell>
        </row>
        <row r="220">
          <cell r="C220" t="str">
            <v>gaine textile spirale</v>
          </cell>
        </row>
        <row r="221">
          <cell r="C221" t="str">
            <v>gaine textile salle jaune</v>
          </cell>
        </row>
        <row r="235">
          <cell r="C235" t="str">
            <v>Amortisseur/verin pneumatique inox</v>
          </cell>
        </row>
        <row r="236">
          <cell r="C236" t="str">
            <v>Roue polyamide diam 60mm/épais21mm/perçage à l'axe 10mm</v>
          </cell>
        </row>
        <row r="511">
          <cell r="C511" t="str">
            <v>brosses</v>
          </cell>
        </row>
        <row r="512">
          <cell r="C512" t="str">
            <v>motoreducteur</v>
          </cell>
        </row>
        <row r="513">
          <cell r="C513" t="str">
            <v>kit doseur venturi</v>
          </cell>
        </row>
        <row r="514">
          <cell r="C514" t="str">
            <v xml:space="preserve">clapet anti-retour </v>
          </cell>
        </row>
        <row r="515">
          <cell r="C515" t="str">
            <v>electrovanne 7200 24V 50/60Hz</v>
          </cell>
        </row>
      </sheetData>
      <sheetData sheetId="19">
        <row r="6">
          <cell r="C6" t="str">
            <v>prise hypra 3pnt 16A femelle</v>
          </cell>
        </row>
        <row r="7">
          <cell r="C7" t="str">
            <v>prise hypra 3pnt 16A male</v>
          </cell>
        </row>
        <row r="8">
          <cell r="C8" t="str">
            <v>detecteur de mouvement mural</v>
          </cell>
        </row>
        <row r="9">
          <cell r="C9" t="str">
            <v>mousse pvc noire 25x10</v>
          </cell>
        </row>
        <row r="10">
          <cell r="C10" t="str">
            <v>tube fluo de 1200</v>
          </cell>
        </row>
        <row r="11">
          <cell r="C11" t="str">
            <v>tube fluo de 1500</v>
          </cell>
        </row>
        <row r="12">
          <cell r="C12" t="str">
            <v>courroie150 xl 037</v>
          </cell>
        </row>
        <row r="13">
          <cell r="C13" t="str">
            <v>VOYANT XB2</v>
          </cell>
        </row>
        <row r="14">
          <cell r="C14" t="str">
            <v>TORCHE RECHARGABLE</v>
          </cell>
        </row>
        <row r="15">
          <cell r="C15" t="str">
            <v xml:space="preserve"> Sensor, Polarised M18 </v>
          </cell>
        </row>
        <row r="16">
          <cell r="C16" t="str">
            <v>capteur pt100</v>
          </cell>
        </row>
        <row r="17">
          <cell r="C17" t="str">
            <v>capteur pt100 sonde</v>
          </cell>
        </row>
        <row r="18">
          <cell r="C18" t="str">
            <v>arret d'urgence champignons (crepière)</v>
          </cell>
        </row>
        <row r="19">
          <cell r="C19" t="str">
            <v xml:space="preserve">starter universel </v>
          </cell>
        </row>
        <row r="20">
          <cell r="C20" t="str">
            <v>relais 10a</v>
          </cell>
        </row>
        <row r="21">
          <cell r="C21" t="str">
            <v>bouton arret d'urgence</v>
          </cell>
        </row>
        <row r="22">
          <cell r="C22" t="str">
            <v xml:space="preserve">PIQUAGE MALE </v>
          </cell>
        </row>
        <row r="23">
          <cell r="C23" t="str">
            <v xml:space="preserve">COURROIE CRANTEE </v>
          </cell>
        </row>
        <row r="24">
          <cell r="C24" t="str">
            <v>LAMPE 24V</v>
          </cell>
        </row>
        <row r="25">
          <cell r="C25" t="str">
            <v xml:space="preserve"> ENSEMBLE F.R.L 1/2 </v>
          </cell>
        </row>
        <row r="26">
          <cell r="C26" t="str">
            <v>Interrupteur à bascule DP</v>
          </cell>
        </row>
        <row r="27">
          <cell r="C27" t="str">
            <v xml:space="preserve"> Couvercle étanche interrupteur </v>
          </cell>
        </row>
        <row r="28">
          <cell r="C28" t="str">
            <v xml:space="preserve"> ARRET D'URGENCE </v>
          </cell>
        </row>
        <row r="29">
          <cell r="C29" t="str">
            <v xml:space="preserve"> REGLEUR DE DEBIT </v>
          </cell>
        </row>
        <row r="30">
          <cell r="C30" t="str">
            <v xml:space="preserve"> FICHE 3P+T 20A 400V </v>
          </cell>
        </row>
        <row r="31">
          <cell r="C31" t="str">
            <v xml:space="preserve">POUSSOIR JAUNE </v>
          </cell>
        </row>
        <row r="32">
          <cell r="C32" t="str">
            <v xml:space="preserve">Bouchon obturateur lot de 10 </v>
          </cell>
        </row>
        <row r="33">
          <cell r="C33" t="str">
            <v xml:space="preserve">Roue thermocaoutchouc </v>
          </cell>
        </row>
        <row r="34">
          <cell r="C34" t="str">
            <v>KIT 3 DE FERRULES</v>
          </cell>
        </row>
        <row r="35">
          <cell r="C35" t="str">
            <v>joint d'etancheité</v>
          </cell>
        </row>
        <row r="36">
          <cell r="C36" t="str">
            <v xml:space="preserve">VOYANT LUMINEUX </v>
          </cell>
        </row>
        <row r="37">
          <cell r="C37" t="str">
            <v xml:space="preserve">COURROIE TRAPEZOIDALE </v>
          </cell>
        </row>
        <row r="38">
          <cell r="C38" t="str">
            <v xml:space="preserve">CABOCHON DE VOYANT </v>
          </cell>
        </row>
        <row r="39">
          <cell r="C39" t="str">
            <v xml:space="preserve">CAPOT FORMAT DIN </v>
          </cell>
        </row>
        <row r="40">
          <cell r="C40" t="str">
            <v xml:space="preserve">GAINE PVC NOIR 28MM </v>
          </cell>
        </row>
        <row r="41">
          <cell r="C41" t="str">
            <v xml:space="preserve">RACCORD DROIT M32 </v>
          </cell>
        </row>
        <row r="42">
          <cell r="C42" t="str">
            <v>Prise mobile 400V 3p+t+n femelle</v>
          </cell>
        </row>
        <row r="43">
          <cell r="C43" t="str">
            <v>fiche hypra 3p+n+t 400v Mâle</v>
          </cell>
        </row>
        <row r="44">
          <cell r="C44" t="str">
            <v xml:space="preserve"> FICH.DROIT.3P</v>
          </cell>
        </row>
        <row r="45">
          <cell r="C45" t="str">
            <v xml:space="preserve">COURROIE SYNCHROFLEX </v>
          </cell>
        </row>
        <row r="46">
          <cell r="C46" t="str">
            <v>Motor protection switch</v>
          </cell>
        </row>
        <row r="47">
          <cell r="C47" t="str">
            <v>IP55enclosure for motor</v>
          </cell>
        </row>
        <row r="48">
          <cell r="C48" t="str">
            <v xml:space="preserve">Transformateur montage </v>
          </cell>
        </row>
        <row r="49">
          <cell r="C49" t="str">
            <v>Transformateur montage</v>
          </cell>
        </row>
        <row r="50">
          <cell r="C50" t="str">
            <v xml:space="preserve"> Kit de verrouillage Martindale </v>
          </cell>
        </row>
        <row r="51">
          <cell r="C51" t="str">
            <v>Lunettes revêtement Hardium</v>
          </cell>
        </row>
        <row r="52">
          <cell r="C52" t="str">
            <v xml:space="preserve">BOUCHONS DE TUBES 30 </v>
          </cell>
        </row>
        <row r="53">
          <cell r="C53" t="str">
            <v>BOUCHONS DE TUBES 40</v>
          </cell>
        </row>
        <row r="54">
          <cell r="C54" t="str">
            <v>BOUCHONS DE TUBES 18</v>
          </cell>
        </row>
        <row r="55">
          <cell r="C55" t="str">
            <v xml:space="preserve">COURROIE SYNCHRONE </v>
          </cell>
        </row>
        <row r="56">
          <cell r="C56" t="str">
            <v>filtre ventillo</v>
          </cell>
        </row>
        <row r="57">
          <cell r="C57" t="str">
            <v xml:space="preserve">PRISE DE COURANT 2P+T 16A 250V </v>
          </cell>
        </row>
        <row r="58">
          <cell r="C58" t="str">
            <v>COFFRET ENCASTRE IP55</v>
          </cell>
        </row>
        <row r="59">
          <cell r="C59" t="str">
            <v xml:space="preserve">FICHE 3P+T 20A 400V </v>
          </cell>
        </row>
        <row r="60">
          <cell r="C60" t="str">
            <v>Ventilateur 614NGL</v>
          </cell>
        </row>
        <row r="61">
          <cell r="C61" t="str">
            <v>couvercle</v>
          </cell>
        </row>
        <row r="62">
          <cell r="C62" t="str">
            <v xml:space="preserve"> INT.SECT.RAL 32A NON UL</v>
          </cell>
        </row>
        <row r="63">
          <cell r="C63" t="str">
            <v>poussoir lumineux vert</v>
          </cell>
        </row>
        <row r="64">
          <cell r="C64" t="str">
            <v xml:space="preserve">TETE VOYANT LUMINEUX </v>
          </cell>
        </row>
        <row r="65">
          <cell r="C65" t="str">
            <v>TETE VOYANT LUMINEUX</v>
          </cell>
        </row>
        <row r="66">
          <cell r="C66" t="str">
            <v>electrovanne</v>
          </cell>
        </row>
        <row r="67">
          <cell r="C67" t="str">
            <v xml:space="preserve">BLOC LUMINEUX A LED BLANC </v>
          </cell>
        </row>
        <row r="68">
          <cell r="C68" t="str">
            <v>capteur a galet kissling</v>
          </cell>
        </row>
        <row r="69">
          <cell r="C69" t="str">
            <v xml:space="preserve">Gaine transparente IP67 </v>
          </cell>
        </row>
        <row r="70">
          <cell r="C70" t="str">
            <v xml:space="preserve">Bloc de contact 1 N/O </v>
          </cell>
        </row>
        <row r="71">
          <cell r="C71" t="str">
            <v>Bloc de contact 1 N/F zbe 102</v>
          </cell>
        </row>
        <row r="72">
          <cell r="C72" t="str">
            <v xml:space="preserve">Plaque obtur vierge </v>
          </cell>
        </row>
        <row r="73">
          <cell r="C73" t="str">
            <v xml:space="preserve">RACCORD DROIT M32 </v>
          </cell>
        </row>
        <row r="74">
          <cell r="C74" t="str">
            <v>reflecteur cellule</v>
          </cell>
        </row>
        <row r="75">
          <cell r="C75" t="str">
            <v>relais 24 vca</v>
          </cell>
        </row>
        <row r="76">
          <cell r="C76" t="str">
            <v>courroie multivac</v>
          </cell>
        </row>
        <row r="77">
          <cell r="C77" t="str">
            <v>Capteur photoélectrique, Cylindrique, Led IR, 0,6 m, PNP, 100 mA, Connecteur à 4 broches M12, IP65, IP67</v>
          </cell>
        </row>
        <row r="78">
          <cell r="C78" t="str">
            <v xml:space="preserve"> BoutonArret d'urgence</v>
          </cell>
        </row>
        <row r="79">
          <cell r="C79" t="str">
            <v>Loctite 5939 sillicone Ht Temperature</v>
          </cell>
        </row>
        <row r="80">
          <cell r="C80" t="str">
            <v>silencieux G1/4</v>
          </cell>
        </row>
      </sheetData>
      <sheetData sheetId="20"/>
      <sheetData sheetId="21"/>
      <sheetData sheetId="22">
        <row r="5">
          <cell r="E5" t="str">
            <v xml:space="preserve">désignation </v>
          </cell>
          <cell r="G5" t="str">
            <v>qté</v>
          </cell>
          <cell r="I5" t="str">
            <v>reçus</v>
          </cell>
        </row>
        <row r="7">
          <cell r="E7" t="str">
            <v>COURROIE ref: STD 800 S8M CXA marque Continental</v>
          </cell>
          <cell r="G7">
            <v>5</v>
          </cell>
          <cell r="I7" t="str">
            <v>non</v>
          </cell>
        </row>
        <row r="8">
          <cell r="E8" t="str">
            <v>filtres G4 592x592x48 WOLF/ROOFTOP</v>
          </cell>
          <cell r="G8">
            <v>5</v>
          </cell>
          <cell r="I8" t="str">
            <v>non</v>
          </cell>
        </row>
        <row r="9">
          <cell r="E9" t="str">
            <v>courroie150 xl 037</v>
          </cell>
          <cell r="G9">
            <v>2</v>
          </cell>
          <cell r="I9" t="str">
            <v>non</v>
          </cell>
        </row>
        <row r="10">
          <cell r="E10" t="str">
            <v>capteur magnétique</v>
          </cell>
          <cell r="G10">
            <v>17</v>
          </cell>
          <cell r="I10" t="str">
            <v>oui</v>
          </cell>
        </row>
        <row r="11">
          <cell r="E11" t="str">
            <v>capteur magnétique</v>
          </cell>
          <cell r="G11">
            <v>5</v>
          </cell>
          <cell r="I11" t="str">
            <v>oui</v>
          </cell>
        </row>
        <row r="12">
          <cell r="E12" t="str">
            <v>capteur magnétique</v>
          </cell>
          <cell r="I12" t="str">
            <v>non</v>
          </cell>
        </row>
        <row r="13">
          <cell r="E13" t="str">
            <v>fourche de détection capteur d'étiquettes (cellule BALLUFF)</v>
          </cell>
          <cell r="I13" t="str">
            <v>non</v>
          </cell>
        </row>
        <row r="14">
          <cell r="E14" t="str">
            <v>Verrou</v>
          </cell>
          <cell r="I14" t="str">
            <v>non</v>
          </cell>
        </row>
        <row r="15">
          <cell r="E15" t="str">
            <v>NB joint de corps pompe 11Kw</v>
          </cell>
          <cell r="I15" t="str">
            <v>non</v>
          </cell>
        </row>
        <row r="16">
          <cell r="E16" t="str">
            <v>capteur magnétique</v>
          </cell>
          <cell r="G16">
            <v>5</v>
          </cell>
          <cell r="I16" t="str">
            <v>oui</v>
          </cell>
        </row>
        <row r="17">
          <cell r="E17" t="str">
            <v>Amortisseur/verin pneumatique inox</v>
          </cell>
          <cell r="G17">
            <v>3</v>
          </cell>
          <cell r="I17" t="str">
            <v>oui</v>
          </cell>
        </row>
        <row r="18">
          <cell r="I18" t="str">
            <v>non</v>
          </cell>
        </row>
        <row r="19">
          <cell r="E19" t="str">
            <v>Kit joint venturi pour adoucisseur ECOWATER modèle R46 5.1</v>
          </cell>
          <cell r="G19">
            <v>2</v>
          </cell>
          <cell r="I19" t="str">
            <v>non</v>
          </cell>
        </row>
        <row r="20">
          <cell r="E20" t="str">
            <v xml:space="preserve">Butée Arriere Batteur </v>
          </cell>
          <cell r="G20">
            <v>5</v>
          </cell>
          <cell r="I20" t="str">
            <v>non</v>
          </cell>
        </row>
        <row r="21">
          <cell r="E21" t="str">
            <v>electrovanne 7200 24V 50/60Hz</v>
          </cell>
          <cell r="G21">
            <v>1</v>
          </cell>
          <cell r="I21" t="str">
            <v>non</v>
          </cell>
        </row>
        <row r="22">
          <cell r="E22" t="str">
            <v>Pistolet eau corps acier/inox</v>
          </cell>
          <cell r="G22">
            <v>5</v>
          </cell>
          <cell r="I22" t="str">
            <v>non</v>
          </cell>
        </row>
        <row r="23">
          <cell r="E23" t="str">
            <v>embout tuyau (coupé)</v>
          </cell>
          <cell r="G23">
            <v>5</v>
          </cell>
          <cell r="I23" t="str">
            <v>oui</v>
          </cell>
        </row>
        <row r="24">
          <cell r="G24">
            <v>5</v>
          </cell>
          <cell r="I24" t="str">
            <v>non</v>
          </cell>
        </row>
        <row r="25">
          <cell r="E25" t="str">
            <v>porte fusible pour la cuve de cuisson riz, salle de cuisson 2</v>
          </cell>
          <cell r="G25">
            <v>1</v>
          </cell>
          <cell r="I25" t="str">
            <v>non</v>
          </cell>
        </row>
        <row r="26">
          <cell r="E26" t="str">
            <v>wago par 2 et par 3</v>
          </cell>
          <cell r="I26" t="str">
            <v>oui</v>
          </cell>
        </row>
        <row r="27">
          <cell r="E27" t="str">
            <v>Loctite</v>
          </cell>
          <cell r="G27">
            <v>2</v>
          </cell>
          <cell r="I27" t="str">
            <v>oui</v>
          </cell>
        </row>
        <row r="28">
          <cell r="E28" t="str">
            <v>disque decoupe disqueuse</v>
          </cell>
          <cell r="I28" t="str">
            <v>oui</v>
          </cell>
        </row>
        <row r="29">
          <cell r="E29" t="str">
            <v>fin de course XCKN2118P20</v>
          </cell>
          <cell r="G29">
            <v>1</v>
          </cell>
          <cell r="I29" t="str">
            <v>oui</v>
          </cell>
        </row>
        <row r="30">
          <cell r="E30" t="str">
            <v>boites plexo doubles</v>
          </cell>
          <cell r="G30">
            <v>5</v>
          </cell>
          <cell r="I30" t="str">
            <v>oui</v>
          </cell>
        </row>
        <row r="31">
          <cell r="E31" t="str">
            <v>Roulement support Trémie</v>
          </cell>
          <cell r="G31">
            <v>4</v>
          </cell>
          <cell r="I31" t="str">
            <v>non</v>
          </cell>
        </row>
        <row r="32">
          <cell r="E32" t="str">
            <v>ressort apuis tete depose scotch</v>
          </cell>
          <cell r="G32">
            <v>2</v>
          </cell>
          <cell r="I32" t="str">
            <v>non</v>
          </cell>
        </row>
        <row r="33">
          <cell r="E33" t="str">
            <v>Courroie d'entrainement</v>
          </cell>
          <cell r="G33">
            <v>1</v>
          </cell>
          <cell r="I33" t="str">
            <v>non</v>
          </cell>
        </row>
        <row r="34">
          <cell r="E34" t="str">
            <v>Feuilles PTFE auto-adhésive 50cm de large ou plus</v>
          </cell>
          <cell r="I34" t="str">
            <v>non</v>
          </cell>
        </row>
        <row r="35">
          <cell r="E35" t="str">
            <v>colonne lumineuse contre-étiqueteuse</v>
          </cell>
          <cell r="G35">
            <v>1</v>
          </cell>
          <cell r="I35" t="str">
            <v>non</v>
          </cell>
        </row>
        <row r="36">
          <cell r="E36" t="str">
            <v>buzzer au choix pour la contre-étiqueteuse</v>
          </cell>
          <cell r="G36">
            <v>1</v>
          </cell>
          <cell r="I36" t="str">
            <v>oui</v>
          </cell>
        </row>
        <row r="37">
          <cell r="E37" t="str">
            <v>raccord rapide pour vérin crêpière</v>
          </cell>
          <cell r="G37">
            <v>8</v>
          </cell>
          <cell r="I37" t="str">
            <v>oui</v>
          </cell>
        </row>
        <row r="38">
          <cell r="E38" t="str">
            <v>raccord pneumatique divers pour remettre en stock</v>
          </cell>
          <cell r="G38">
            <v>1</v>
          </cell>
          <cell r="I38" t="str">
            <v>oui</v>
          </cell>
        </row>
        <row r="39">
          <cell r="E39" t="str">
            <v>Distributeur 5/3</v>
          </cell>
          <cell r="G39">
            <v>1</v>
          </cell>
          <cell r="I39" t="str">
            <v>non</v>
          </cell>
        </row>
        <row r="40">
          <cell r="E40" t="str">
            <v>rouleaux de teflon</v>
          </cell>
          <cell r="G40">
            <v>5</v>
          </cell>
          <cell r="I40" t="str">
            <v>oui</v>
          </cell>
        </row>
        <row r="41">
          <cell r="E41" t="str">
            <v>huile thermal ST1</v>
          </cell>
          <cell r="G41">
            <v>4</v>
          </cell>
          <cell r="I41" t="str">
            <v>non</v>
          </cell>
        </row>
        <row r="42">
          <cell r="E42" t="str">
            <v>système venturi pour la ventouse</v>
          </cell>
          <cell r="G42">
            <v>1</v>
          </cell>
          <cell r="I42" t="str">
            <v>non</v>
          </cell>
        </row>
        <row r="43">
          <cell r="E43" t="str">
            <v>buzzer pour la contre-étiqueteuse (à voir sinon buzzer standard)</v>
          </cell>
          <cell r="G43">
            <v>1</v>
          </cell>
          <cell r="I43" t="str">
            <v>oui</v>
          </cell>
        </row>
        <row r="44">
          <cell r="E44" t="str">
            <v>racccord pneumatique</v>
          </cell>
          <cell r="G44">
            <v>4</v>
          </cell>
          <cell r="I44" t="str">
            <v>oui</v>
          </cell>
        </row>
        <row r="45">
          <cell r="E45" t="str">
            <v>outillage</v>
          </cell>
          <cell r="G45">
            <v>2</v>
          </cell>
          <cell r="I45" t="str">
            <v>oui</v>
          </cell>
        </row>
        <row r="46">
          <cell r="E46" t="str">
            <v xml:space="preserve">sillicone blanc </v>
          </cell>
          <cell r="G46">
            <v>6</v>
          </cell>
          <cell r="I46" t="str">
            <v>oui</v>
          </cell>
        </row>
        <row r="47">
          <cell r="E47" t="str">
            <v>bouton 3 position avec retour</v>
          </cell>
          <cell r="G47">
            <v>3</v>
          </cell>
          <cell r="I47" t="str">
            <v>non</v>
          </cell>
        </row>
        <row r="48">
          <cell r="E48" t="str">
            <v>VERIN PARKER (MINI)</v>
          </cell>
          <cell r="G48">
            <v>8</v>
          </cell>
          <cell r="I48" t="str">
            <v>oui</v>
          </cell>
        </row>
        <row r="49">
          <cell r="E49" t="str">
            <v>Joint de soudure 2 voies 1 rangée R230</v>
          </cell>
          <cell r="G49">
            <v>3</v>
          </cell>
          <cell r="I49" t="str">
            <v>oui</v>
          </cell>
        </row>
        <row r="50">
          <cell r="E50" t="str">
            <v>Joint de soudure 2 voies 2 rangées R240</v>
          </cell>
          <cell r="G50">
            <v>3</v>
          </cell>
          <cell r="I50" t="str">
            <v>oui</v>
          </cell>
        </row>
        <row r="51">
          <cell r="E51" t="str">
            <v>afficheur rotation fouet WEST 6100+</v>
          </cell>
          <cell r="G51">
            <v>1</v>
          </cell>
          <cell r="I51" t="str">
            <v>oui</v>
          </cell>
        </row>
        <row r="52">
          <cell r="E52" t="str">
            <v>Couvercle prise harting à 2 pivots gabarit 77.27</v>
          </cell>
          <cell r="G52">
            <v>10</v>
          </cell>
          <cell r="I52" t="str">
            <v>non</v>
          </cell>
        </row>
        <row r="53">
          <cell r="E53" t="str">
            <v>Inter mural va et vient plexo</v>
          </cell>
          <cell r="G53">
            <v>10</v>
          </cell>
          <cell r="I53" t="str">
            <v>oui</v>
          </cell>
        </row>
        <row r="54">
          <cell r="E54" t="str">
            <v>Pistolet eau corps acier/inox</v>
          </cell>
          <cell r="G54">
            <v>4</v>
          </cell>
          <cell r="I54" t="str">
            <v>oui</v>
          </cell>
        </row>
        <row r="55">
          <cell r="E55" t="str">
            <v>Capot fiche harting étiquetteuse MR R240</v>
          </cell>
          <cell r="G55">
            <v>1</v>
          </cell>
          <cell r="I55" t="str">
            <v>oui</v>
          </cell>
        </row>
        <row r="56">
          <cell r="E56" t="str">
            <v>Chariot Alu support des roulettes pour cuve 150 L</v>
          </cell>
          <cell r="G56">
            <v>1</v>
          </cell>
          <cell r="I56" t="str">
            <v>oui</v>
          </cell>
        </row>
        <row r="57">
          <cell r="E57" t="str">
            <v>roulettes avec frein, platine fixation 110x110, hauteur totale environ 172 mm</v>
          </cell>
          <cell r="G57">
            <v>2</v>
          </cell>
          <cell r="I57" t="str">
            <v>non</v>
          </cell>
        </row>
        <row r="58">
          <cell r="E58" t="str">
            <v>obturateur pour plastron armoir ( rapport elec)</v>
          </cell>
          <cell r="G58">
            <v>5</v>
          </cell>
          <cell r="I58" t="str">
            <v>oui</v>
          </cell>
        </row>
        <row r="59">
          <cell r="E59" t="str">
            <v>roulement support tremie bakon</v>
          </cell>
          <cell r="G59">
            <v>4</v>
          </cell>
          <cell r="I59" t="str">
            <v>oui</v>
          </cell>
        </row>
        <row r="60">
          <cell r="E60" t="str">
            <v>support pour detecteurs quai</v>
          </cell>
          <cell r="G60">
            <v>4</v>
          </cell>
          <cell r="I60" t="str">
            <v>oui</v>
          </cell>
        </row>
        <row r="61">
          <cell r="E61" t="str">
            <v xml:space="preserve">detecteur presence pour quai : theLuxa S180 WH </v>
          </cell>
          <cell r="G61">
            <v>4</v>
          </cell>
          <cell r="I61" t="str">
            <v>oui</v>
          </cell>
        </row>
        <row r="62">
          <cell r="E62" t="str">
            <v>M4,5,6,8,10,12</v>
          </cell>
          <cell r="I62" t="str">
            <v>oui</v>
          </cell>
        </row>
        <row r="63">
          <cell r="E63" t="str">
            <v>ecrou M4,5,6,8,10,12</v>
          </cell>
          <cell r="I63" t="str">
            <v>oui</v>
          </cell>
        </row>
        <row r="64">
          <cell r="E64" t="str">
            <v>ecrou frein en M4,5,6,8,10,12</v>
          </cell>
          <cell r="I64" t="str">
            <v>oui</v>
          </cell>
        </row>
        <row r="65">
          <cell r="E65" t="str">
            <v>vis tete hexa 8*16</v>
          </cell>
          <cell r="I65" t="str">
            <v>oui</v>
          </cell>
        </row>
        <row r="66">
          <cell r="E66" t="str">
            <v>pastilles double face facade carte</v>
          </cell>
          <cell r="G66">
            <v>4</v>
          </cell>
          <cell r="I66" t="str">
            <v>oui</v>
          </cell>
        </row>
        <row r="67">
          <cell r="E67" t="str">
            <v>façade sorema</v>
          </cell>
          <cell r="G67">
            <v>1</v>
          </cell>
          <cell r="I67" t="str">
            <v>oui</v>
          </cell>
        </row>
        <row r="68">
          <cell r="E68" t="str">
            <v>colliers de serrage inox</v>
          </cell>
          <cell r="G68" t="str">
            <v>2 paquets</v>
          </cell>
          <cell r="I68" t="str">
            <v>oui</v>
          </cell>
        </row>
        <row r="69">
          <cell r="E69" t="str">
            <v>Roulement 2202RS</v>
          </cell>
          <cell r="G69">
            <v>2</v>
          </cell>
          <cell r="I69" t="str">
            <v>oui</v>
          </cell>
        </row>
        <row r="70">
          <cell r="E70" t="str">
            <v>Vérin de capot</v>
          </cell>
          <cell r="G70" t="str">
            <v>4 ou +</v>
          </cell>
          <cell r="I70" t="str">
            <v>non</v>
          </cell>
        </row>
        <row r="71">
          <cell r="E71" t="str">
            <v>scotch rubalise + anti-dérapant</v>
          </cell>
          <cell r="G71">
            <v>1</v>
          </cell>
          <cell r="I71" t="str">
            <v>oui</v>
          </cell>
        </row>
        <row r="72">
          <cell r="E72" t="str">
            <v>couteaux circulaire R230</v>
          </cell>
          <cell r="G72">
            <v>6</v>
          </cell>
          <cell r="I72" t="str">
            <v>oui</v>
          </cell>
        </row>
        <row r="73">
          <cell r="E73" t="str">
            <v>cellule fin de course girafe</v>
          </cell>
          <cell r="G73">
            <v>4</v>
          </cell>
          <cell r="I73" t="str">
            <v>non</v>
          </cell>
        </row>
        <row r="74">
          <cell r="E74" t="str">
            <v xml:space="preserve">joint blanc cuve cuisson </v>
          </cell>
          <cell r="I74" t="str">
            <v>oui</v>
          </cell>
        </row>
        <row r="75">
          <cell r="E75" t="str">
            <v>Joint de soudure 2 voies 1 rangée R230</v>
          </cell>
          <cell r="G75">
            <v>2</v>
          </cell>
          <cell r="I75" t="str">
            <v>oui</v>
          </cell>
        </row>
        <row r="76">
          <cell r="E76" t="str">
            <v>petit embout graisseur (palier blanc)</v>
          </cell>
          <cell r="G76">
            <v>10</v>
          </cell>
          <cell r="I76" t="str">
            <v>non</v>
          </cell>
        </row>
        <row r="77">
          <cell r="E77" t="str">
            <v xml:space="preserve">filtre circuit PAV </v>
          </cell>
          <cell r="G77">
            <v>5</v>
          </cell>
          <cell r="I77" t="str">
            <v>oui</v>
          </cell>
        </row>
        <row r="78">
          <cell r="E78" t="str">
            <v>filtre SMC</v>
          </cell>
          <cell r="G78">
            <v>1</v>
          </cell>
          <cell r="I78" t="str">
            <v>oui</v>
          </cell>
        </row>
        <row r="79">
          <cell r="E79" t="str">
            <v>join de porte 800x1815</v>
          </cell>
          <cell r="G79">
            <v>4</v>
          </cell>
          <cell r="I79" t="str">
            <v>oui</v>
          </cell>
        </row>
        <row r="80">
          <cell r="E80" t="str">
            <v xml:space="preserve">sectionneur Tesys 63 A Batteur 3 </v>
          </cell>
          <cell r="G80">
            <v>1</v>
          </cell>
          <cell r="I80" t="str">
            <v>oui</v>
          </cell>
        </row>
        <row r="81">
          <cell r="E81" t="str">
            <v>minuteur batteur</v>
          </cell>
          <cell r="G81">
            <v>3</v>
          </cell>
          <cell r="I81" t="str">
            <v>oui</v>
          </cell>
        </row>
        <row r="82">
          <cell r="E82" t="str">
            <v>Joint</v>
          </cell>
          <cell r="G82">
            <v>20</v>
          </cell>
          <cell r="I82" t="str">
            <v>oui</v>
          </cell>
        </row>
        <row r="83">
          <cell r="E83" t="str">
            <v>joints de pistons</v>
          </cell>
          <cell r="G83">
            <v>20</v>
          </cell>
          <cell r="I83" t="str">
            <v>oui</v>
          </cell>
        </row>
        <row r="84">
          <cell r="E84" t="str">
            <v>Mini moteur de volets</v>
          </cell>
          <cell r="G84">
            <v>2</v>
          </cell>
          <cell r="I84" t="str">
            <v>oui</v>
          </cell>
        </row>
        <row r="85">
          <cell r="E85" t="str">
            <v>Capot Prise Harting sortie coudée</v>
          </cell>
          <cell r="G85">
            <v>3</v>
          </cell>
          <cell r="I85" t="str">
            <v>non</v>
          </cell>
        </row>
        <row r="86">
          <cell r="E86" t="str">
            <v>embase connecteur 16pts</v>
          </cell>
          <cell r="G86">
            <v>4</v>
          </cell>
          <cell r="I86" t="str">
            <v>non</v>
          </cell>
        </row>
        <row r="87">
          <cell r="E87" t="str">
            <v xml:space="preserve">LEVIER EASY-LOCK PRISE HARTING </v>
          </cell>
          <cell r="G87">
            <v>4</v>
          </cell>
          <cell r="I87" t="str">
            <v>oui</v>
          </cell>
        </row>
        <row r="88">
          <cell r="E88" t="str">
            <v>toile emri en grain 240</v>
          </cell>
          <cell r="I88" t="str">
            <v>oui</v>
          </cell>
        </row>
        <row r="89">
          <cell r="E89" t="str">
            <v>cablette la plus fine possible</v>
          </cell>
          <cell r="I89" t="str">
            <v>oui</v>
          </cell>
        </row>
        <row r="90">
          <cell r="E90" t="str">
            <v>disque flap + decoupe</v>
          </cell>
          <cell r="G90" t="str">
            <v>x</v>
          </cell>
          <cell r="I90" t="str">
            <v>oui</v>
          </cell>
        </row>
        <row r="91">
          <cell r="E91" t="str">
            <v>DEMI-TENDEUR</v>
          </cell>
          <cell r="G91">
            <v>3</v>
          </cell>
          <cell r="I91" t="str">
            <v>oui</v>
          </cell>
        </row>
        <row r="92">
          <cell r="E92" t="str">
            <v>tranformateur balance</v>
          </cell>
          <cell r="G92">
            <v>2</v>
          </cell>
          <cell r="I92" t="str">
            <v>oui</v>
          </cell>
        </row>
        <row r="93">
          <cell r="E93" t="str">
            <v>Coupleur droit Nito Mâle Droit, Laiton</v>
          </cell>
          <cell r="G93">
            <v>3</v>
          </cell>
          <cell r="I93" t="str">
            <v>oui</v>
          </cell>
        </row>
        <row r="94">
          <cell r="E94" t="str">
            <v>CABLE TRESSE ht</v>
          </cell>
          <cell r="G94">
            <v>3</v>
          </cell>
          <cell r="I94" t="str">
            <v>oui</v>
          </cell>
        </row>
        <row r="95">
          <cell r="E95" t="str">
            <v>fôrets inox</v>
          </cell>
          <cell r="G95" t="str">
            <v>4 de chaque</v>
          </cell>
          <cell r="I95" t="str">
            <v>oui</v>
          </cell>
        </row>
        <row r="96">
          <cell r="E96" t="str">
            <v>Eau déminéralisé</v>
          </cell>
          <cell r="G96" t="str">
            <v>20 L</v>
          </cell>
          <cell r="I96" t="str">
            <v>oui</v>
          </cell>
        </row>
        <row r="97">
          <cell r="E97" t="str">
            <v>piles 1,5 V AAA LR03 (lampe frontale)</v>
          </cell>
          <cell r="G97">
            <v>10</v>
          </cell>
          <cell r="I97" t="str">
            <v>oui</v>
          </cell>
        </row>
        <row r="98">
          <cell r="E98" t="str">
            <v>gants</v>
          </cell>
          <cell r="G98" t="str">
            <v>xx</v>
          </cell>
          <cell r="I98" t="str">
            <v>oui</v>
          </cell>
        </row>
        <row r="99">
          <cell r="E99" t="str">
            <v>thermostat de sécurité cuves chauffantes</v>
          </cell>
          <cell r="G99">
            <v>3</v>
          </cell>
          <cell r="I99" t="str">
            <v>oui</v>
          </cell>
        </row>
        <row r="100">
          <cell r="E100" t="str">
            <v>carte electronique mixer</v>
          </cell>
          <cell r="G100">
            <v>1</v>
          </cell>
          <cell r="I100" t="str">
            <v>non</v>
          </cell>
        </row>
        <row r="101">
          <cell r="E101" t="str">
            <v xml:space="preserve">sectionneur Tesys 63 A Batteur 3 </v>
          </cell>
          <cell r="G101">
            <v>1</v>
          </cell>
          <cell r="I101" t="str">
            <v>oui</v>
          </cell>
        </row>
        <row r="102">
          <cell r="E102" t="str">
            <v>Raccords Nito 1/2 complet</v>
          </cell>
          <cell r="G102">
            <v>10</v>
          </cell>
          <cell r="I102" t="str">
            <v>oui</v>
          </cell>
        </row>
        <row r="103">
          <cell r="E103" t="str">
            <v>coton graissage</v>
          </cell>
          <cell r="G103">
            <v>84</v>
          </cell>
          <cell r="I103" t="str">
            <v>oui</v>
          </cell>
        </row>
        <row r="104">
          <cell r="E104" t="str">
            <v>disque flap</v>
          </cell>
          <cell r="G104">
            <v>10</v>
          </cell>
          <cell r="I104" t="str">
            <v>oui</v>
          </cell>
        </row>
        <row r="105">
          <cell r="E105" t="str">
            <v>disque decoupe</v>
          </cell>
          <cell r="G105">
            <v>20</v>
          </cell>
          <cell r="I105" t="str">
            <v>oui</v>
          </cell>
        </row>
        <row r="106">
          <cell r="E106" t="str">
            <v>néons</v>
          </cell>
          <cell r="G106" t="str">
            <v>10 de chaque</v>
          </cell>
          <cell r="I106" t="str">
            <v>oui</v>
          </cell>
        </row>
        <row r="108">
          <cell r="E108" t="str">
            <v>frein filet BLEU</v>
          </cell>
          <cell r="G108">
            <v>1</v>
          </cell>
          <cell r="I108" t="str">
            <v>oui</v>
          </cell>
        </row>
        <row r="109">
          <cell r="E109" t="str">
            <v>manomètre 0/10 Bar  raccord arrière 1/8</v>
          </cell>
          <cell r="G109">
            <v>2</v>
          </cell>
          <cell r="I109" t="str">
            <v>oui</v>
          </cell>
        </row>
        <row r="110">
          <cell r="E110" t="str">
            <v>sabres conv. Descente complet</v>
          </cell>
          <cell r="G110">
            <v>2</v>
          </cell>
          <cell r="I110" t="str">
            <v>oui</v>
          </cell>
        </row>
        <row r="111">
          <cell r="E111" t="str">
            <v>boitiers plexo à l'unité</v>
          </cell>
          <cell r="G111">
            <v>10</v>
          </cell>
          <cell r="I111" t="str">
            <v>oui</v>
          </cell>
        </row>
        <row r="112">
          <cell r="E112" t="str">
            <v>Bouchon long</v>
          </cell>
          <cell r="G112">
            <v>2</v>
          </cell>
          <cell r="I112" t="str">
            <v>oui</v>
          </cell>
        </row>
        <row r="113">
          <cell r="E113" t="str">
            <v>Filtres</v>
          </cell>
          <cell r="G113">
            <v>1</v>
          </cell>
          <cell r="I113" t="str">
            <v>oui</v>
          </cell>
        </row>
        <row r="114">
          <cell r="E114" t="str">
            <v>fourche de détection capteur d'étiquettes (cellule BALLUFF)</v>
          </cell>
          <cell r="G114">
            <v>1</v>
          </cell>
          <cell r="I114" t="str">
            <v>oui</v>
          </cell>
        </row>
        <row r="115">
          <cell r="E115" t="str">
            <v xml:space="preserve">venturi centrale de lavage </v>
          </cell>
          <cell r="G115">
            <v>2</v>
          </cell>
          <cell r="I115" t="str">
            <v>oui</v>
          </cell>
        </row>
        <row r="116">
          <cell r="E116" t="str">
            <v>joint blanc marmite</v>
          </cell>
          <cell r="G116">
            <v>5</v>
          </cell>
          <cell r="I116" t="str">
            <v>oui</v>
          </cell>
        </row>
        <row r="117">
          <cell r="E117" t="str">
            <v>connecteur graisse M6</v>
          </cell>
          <cell r="G117">
            <v>3</v>
          </cell>
          <cell r="I117" t="str">
            <v>non</v>
          </cell>
        </row>
        <row r="118">
          <cell r="E118" t="str">
            <v>roulement 6202</v>
          </cell>
          <cell r="G118">
            <v>20</v>
          </cell>
          <cell r="I118" t="str">
            <v>oui</v>
          </cell>
        </row>
        <row r="119">
          <cell r="E119" t="str">
            <v>kit carte variateur pompe bakon</v>
          </cell>
          <cell r="G119">
            <v>1</v>
          </cell>
          <cell r="I119" t="str">
            <v>oui</v>
          </cell>
        </row>
        <row r="120">
          <cell r="E120" t="str">
            <v>verrin decoupe R240</v>
          </cell>
          <cell r="G120">
            <v>1</v>
          </cell>
          <cell r="I120" t="str">
            <v>oui</v>
          </cell>
        </row>
        <row r="121">
          <cell r="E121" t="str">
            <v>transformateur HT brûleur riello</v>
          </cell>
          <cell r="G121">
            <v>1</v>
          </cell>
          <cell r="I121" t="str">
            <v>oui</v>
          </cell>
        </row>
        <row r="122">
          <cell r="E122" t="str">
            <v>enrouleur complet</v>
          </cell>
          <cell r="G122">
            <v>1</v>
          </cell>
          <cell r="I122" t="str">
            <v>oui</v>
          </cell>
        </row>
        <row r="123">
          <cell r="E123" t="str">
            <v>Joint de soudure 2 voies 2 rangées R240</v>
          </cell>
          <cell r="G123">
            <v>3</v>
          </cell>
          <cell r="I123" t="str">
            <v>oui</v>
          </cell>
        </row>
        <row r="124">
          <cell r="E124" t="str">
            <v>raccord verrin bakon G1/8 en 6</v>
          </cell>
          <cell r="G124">
            <v>20</v>
          </cell>
          <cell r="I124" t="str">
            <v>oui</v>
          </cell>
        </row>
        <row r="125">
          <cell r="E125" t="str">
            <v>graisse enderole pour chariot</v>
          </cell>
          <cell r="G125">
            <v>20</v>
          </cell>
          <cell r="I125" t="str">
            <v>oui</v>
          </cell>
        </row>
        <row r="126">
          <cell r="E126" t="str">
            <v>fer a souder</v>
          </cell>
          <cell r="G126">
            <v>1</v>
          </cell>
          <cell r="I126" t="str">
            <v>oui</v>
          </cell>
        </row>
        <row r="127">
          <cell r="E127" t="str">
            <v>Roulettes pour cuves 80/100/150L</v>
          </cell>
          <cell r="G127">
            <v>8</v>
          </cell>
          <cell r="I127" t="str">
            <v>oui</v>
          </cell>
        </row>
        <row r="128">
          <cell r="E128" t="str">
            <v>rouleau d'absorbant bleu</v>
          </cell>
          <cell r="G128">
            <v>2</v>
          </cell>
          <cell r="I128" t="str">
            <v>oui</v>
          </cell>
        </row>
        <row r="129">
          <cell r="E129" t="str">
            <v>rouleau de tension l1=150 li n.re</v>
          </cell>
          <cell r="G129">
            <v>1</v>
          </cell>
          <cell r="I129" t="str">
            <v>oui</v>
          </cell>
        </row>
        <row r="130">
          <cell r="E130" t="str">
            <v>courroie crant entrainement enrouleur glassine</v>
          </cell>
          <cell r="G130">
            <v>2</v>
          </cell>
          <cell r="I130" t="str">
            <v>oui</v>
          </cell>
        </row>
        <row r="131">
          <cell r="E131" t="str">
            <v>Raccord d'eau complet (accouplement sortie circulateur/bloc moteur) Karcher fixe</v>
          </cell>
          <cell r="G131" t="str">
            <v>1 de chaque</v>
          </cell>
          <cell r="I131" t="str">
            <v>non</v>
          </cell>
        </row>
        <row r="132">
          <cell r="E132" t="str">
            <v>Filefix III VIRAX</v>
          </cell>
          <cell r="G132">
            <v>1</v>
          </cell>
          <cell r="I132" t="str">
            <v>oui</v>
          </cell>
        </row>
        <row r="133">
          <cell r="E133" t="str">
            <v>liste exhaustive d'outils à remettre en stock</v>
          </cell>
          <cell r="I133" t="str">
            <v>oui</v>
          </cell>
        </row>
        <row r="134">
          <cell r="E134" t="str">
            <v>ensemble montage minuterie, joint, façade et adaptateur montage encastré</v>
          </cell>
          <cell r="G134">
            <v>2</v>
          </cell>
          <cell r="I134" t="str">
            <v>en cours</v>
          </cell>
        </row>
        <row r="135">
          <cell r="E135" t="str">
            <v>Inter sectionneur 63A</v>
          </cell>
          <cell r="I135" t="str">
            <v>oui</v>
          </cell>
        </row>
        <row r="136">
          <cell r="E136" t="str">
            <v>Boitier orange avec les boutons marche complet car fendu à plusieurs endroit</v>
          </cell>
          <cell r="G136">
            <v>1</v>
          </cell>
          <cell r="I136" t="str">
            <v>non</v>
          </cell>
        </row>
        <row r="137">
          <cell r="E137" t="str">
            <v>Bouton poussoir pour pupitre TTI 6,5 de ERELIA</v>
          </cell>
          <cell r="G137">
            <v>2</v>
          </cell>
          <cell r="I137" t="str">
            <v>oui</v>
          </cell>
        </row>
        <row r="138">
          <cell r="E138" t="str">
            <v>clapet anti-retour</v>
          </cell>
          <cell r="G138">
            <v>10</v>
          </cell>
          <cell r="I138" t="str">
            <v>oui</v>
          </cell>
        </row>
        <row r="139">
          <cell r="E139" t="str">
            <v>buzzer 220 V AC/DC</v>
          </cell>
          <cell r="G139">
            <v>5</v>
          </cell>
          <cell r="I139" t="str">
            <v>oui</v>
          </cell>
        </row>
        <row r="140">
          <cell r="E140" t="str">
            <v>Bouton de modif vitesse du variateur de la pompe péristatique</v>
          </cell>
          <cell r="G140">
            <v>1</v>
          </cell>
          <cell r="I140" t="str">
            <v>oui</v>
          </cell>
        </row>
        <row r="141">
          <cell r="E141" t="str">
            <v>emporte pièce pour perçage coffret électrique</v>
          </cell>
          <cell r="G141">
            <v>1</v>
          </cell>
          <cell r="I141" t="str">
            <v>oui</v>
          </cell>
        </row>
        <row r="142">
          <cell r="E142" t="str">
            <v>carte alim moteur pompe graisseur crepe</v>
          </cell>
          <cell r="G142" t="str">
            <v>2 (interieur fatigue aussi)</v>
          </cell>
          <cell r="I142" t="str">
            <v>oui</v>
          </cell>
        </row>
        <row r="143">
          <cell r="E143" t="str">
            <v>tige filleté M5/6/8/10 INOX</v>
          </cell>
          <cell r="I143" t="str">
            <v>oui</v>
          </cell>
        </row>
        <row r="144">
          <cell r="E144" t="str">
            <v>tuyo alimmentaire pompe bakon</v>
          </cell>
          <cell r="G144" t="str">
            <v>mini 4 metre</v>
          </cell>
          <cell r="I144" t="str">
            <v>oui</v>
          </cell>
        </row>
        <row r="145">
          <cell r="E145" t="str">
            <v>rislant, petit et gros</v>
          </cell>
          <cell r="G145" t="str">
            <v>x</v>
          </cell>
          <cell r="I145" t="str">
            <v>oui</v>
          </cell>
        </row>
        <row r="146">
          <cell r="E146" t="str">
            <v>joint soudure 240</v>
          </cell>
          <cell r="G146">
            <v>3</v>
          </cell>
          <cell r="I146" t="str">
            <v>oui</v>
          </cell>
        </row>
        <row r="147">
          <cell r="E147" t="str">
            <v>Vis autoforantes inox 5x65</v>
          </cell>
          <cell r="G147" t="str">
            <v>1 boite</v>
          </cell>
          <cell r="I147" t="str">
            <v>oui</v>
          </cell>
        </row>
        <row r="148">
          <cell r="E148" t="str">
            <v>Cable tresse haute tension, allumage du brûleur four Bongard</v>
          </cell>
          <cell r="G148">
            <v>4</v>
          </cell>
          <cell r="I148" t="str">
            <v>oui</v>
          </cell>
        </row>
        <row r="149">
          <cell r="E149" t="str">
            <v>Roulette avec ou sans embase</v>
          </cell>
          <cell r="G149">
            <v>4</v>
          </cell>
          <cell r="I149" t="str">
            <v>oui</v>
          </cell>
        </row>
        <row r="150">
          <cell r="E150" t="str">
            <v>Fourreaux filetés à emboiter, pour remplacement des roulettes sur la table de retournement entrée spirale</v>
          </cell>
          <cell r="G150">
            <v>4</v>
          </cell>
          <cell r="I150" t="str">
            <v>oui</v>
          </cell>
        </row>
        <row r="151">
          <cell r="E151" t="str">
            <v>distributeur 4/5 R230</v>
          </cell>
          <cell r="G151">
            <v>1</v>
          </cell>
          <cell r="I151" t="str">
            <v>oui</v>
          </cell>
        </row>
        <row r="152">
          <cell r="E152" t="str">
            <v>échappement pneumatique G 1/4 silencieux bakon</v>
          </cell>
          <cell r="G152">
            <v>20</v>
          </cell>
          <cell r="I152" t="str">
            <v>oui</v>
          </cell>
        </row>
        <row r="153">
          <cell r="E153" t="str">
            <v>harting mal cuve chauffante</v>
          </cell>
          <cell r="G153">
            <v>8</v>
          </cell>
          <cell r="I153" t="str">
            <v>oui</v>
          </cell>
        </row>
        <row r="155">
          <cell r="E155" t="str">
            <v>Embout élec (cosses)</v>
          </cell>
          <cell r="I155" t="str">
            <v>oui</v>
          </cell>
        </row>
        <row r="156">
          <cell r="E156" t="str">
            <v>courroie d'entrainement convoyeur Markem 2</v>
          </cell>
          <cell r="G156">
            <v>2</v>
          </cell>
          <cell r="I156" t="str">
            <v>oui</v>
          </cell>
        </row>
        <row r="157">
          <cell r="E157" t="str">
            <v>(autoclave) Thermomètre digital marque ANDERSON modèle FH3</v>
          </cell>
          <cell r="G157">
            <v>1</v>
          </cell>
          <cell r="I157" t="str">
            <v>oui</v>
          </cell>
        </row>
        <row r="158">
          <cell r="E158" t="str">
            <v>Sonde de température PT100 sur les cuves à panisses</v>
          </cell>
          <cell r="G158">
            <v>2</v>
          </cell>
          <cell r="I158" t="str">
            <v>oui</v>
          </cell>
        </row>
        <row r="159">
          <cell r="E159" t="str">
            <v>Sonde de température PT100 fours bongard</v>
          </cell>
          <cell r="G159">
            <v>3</v>
          </cell>
          <cell r="I159" t="str">
            <v>oui</v>
          </cell>
        </row>
        <row r="160">
          <cell r="E160" t="str">
            <v>Colliers de serrage inox pour tuyaux souples</v>
          </cell>
          <cell r="I160" t="str">
            <v>oui</v>
          </cell>
        </row>
        <row r="161">
          <cell r="E161" t="str">
            <v>Frein moteur élevateur de cuve blanc défaillant</v>
          </cell>
          <cell r="G161">
            <v>1</v>
          </cell>
          <cell r="I161" t="str">
            <v>oui</v>
          </cell>
        </row>
        <row r="162">
          <cell r="E162" t="str">
            <v>DETECTEUR A GALET porte four 8.62</v>
          </cell>
          <cell r="G162">
            <v>2</v>
          </cell>
          <cell r="I162" t="str">
            <v>oui</v>
          </cell>
        </row>
        <row r="163">
          <cell r="E163" t="str">
            <v>Vérin anti-rotation DPM</v>
          </cell>
          <cell r="G163">
            <v>2</v>
          </cell>
          <cell r="I163" t="str">
            <v>oui</v>
          </cell>
        </row>
        <row r="164">
          <cell r="E164" t="str">
            <v>Mécanisme interrupteur va et vient plexo</v>
          </cell>
          <cell r="G164">
            <v>10</v>
          </cell>
          <cell r="I164" t="str">
            <v>oui</v>
          </cell>
        </row>
        <row r="165">
          <cell r="E165" t="str">
            <v>Tête voyant rouge ZB5</v>
          </cell>
          <cell r="G165">
            <v>10</v>
          </cell>
          <cell r="I165" t="str">
            <v>oui</v>
          </cell>
        </row>
        <row r="166">
          <cell r="E166" t="str">
            <v>bouton A.U</v>
          </cell>
          <cell r="G166">
            <v>4</v>
          </cell>
          <cell r="I166" t="str">
            <v>oui</v>
          </cell>
        </row>
        <row r="167">
          <cell r="E167" t="str">
            <v>cellule détection étiquettte MR</v>
          </cell>
          <cell r="G167">
            <v>1</v>
          </cell>
          <cell r="I167" t="str">
            <v>oui</v>
          </cell>
        </row>
        <row r="168">
          <cell r="E168" t="str">
            <v>cable elec 3G 1,5 souple</v>
          </cell>
          <cell r="I168" t="str">
            <v>oui</v>
          </cell>
        </row>
        <row r="169">
          <cell r="E169" t="str">
            <v>potentiomètre 4,7 KOHMS LINEAIRE/ MOELLER</v>
          </cell>
          <cell r="G169">
            <v>1</v>
          </cell>
          <cell r="I169" t="str">
            <v>oui</v>
          </cell>
        </row>
        <row r="170">
          <cell r="E170" t="str">
            <v xml:space="preserve">MINUTERIE 24VAC 1S/99H59Mn   OMRON + accéssoires </v>
          </cell>
          <cell r="G170">
            <v>1</v>
          </cell>
          <cell r="I170" t="str">
            <v>oui</v>
          </cell>
        </row>
        <row r="171">
          <cell r="E171" t="str">
            <v>Boitier coupe-circuit enrouleur de lisière multivac</v>
          </cell>
          <cell r="G171">
            <v>1</v>
          </cell>
          <cell r="I171" t="str">
            <v>oui</v>
          </cell>
        </row>
        <row r="172">
          <cell r="E172" t="str">
            <v>clapet anti-retour bi directinnel MULTIVAC</v>
          </cell>
          <cell r="G172">
            <v>1</v>
          </cell>
          <cell r="I172" t="str">
            <v>oui</v>
          </cell>
        </row>
        <row r="173">
          <cell r="E173" t="str">
            <v>gants</v>
          </cell>
          <cell r="I173" t="str">
            <v>oui</v>
          </cell>
        </row>
        <row r="174">
          <cell r="E174" t="str">
            <v>Forets inox</v>
          </cell>
          <cell r="I174" t="str">
            <v>oui</v>
          </cell>
        </row>
        <row r="175">
          <cell r="E175" t="str">
            <v>Chez HYGINOX platine de connexion pour modèle HYGIcase HC10/15/20</v>
          </cell>
          <cell r="G175">
            <v>2</v>
          </cell>
          <cell r="I175" t="str">
            <v>oui</v>
          </cell>
        </row>
        <row r="176">
          <cell r="E176" t="str">
            <v>Chez HYGINOX Lampe à ozone sur platine pour modèle HYGIcase HC10/15/20</v>
          </cell>
          <cell r="G176">
            <v>1</v>
          </cell>
          <cell r="I176" t="str">
            <v>oui</v>
          </cell>
        </row>
        <row r="177">
          <cell r="E177" t="str">
            <v>Wago de 2 et 3 bornes</v>
          </cell>
          <cell r="G177" t="str">
            <v>1 boite de chaque</v>
          </cell>
          <cell r="I177" t="str">
            <v>oui</v>
          </cell>
        </row>
        <row r="178">
          <cell r="E178" t="str">
            <v>sillicone blanc (silirub NS, SOUDAL)</v>
          </cell>
          <cell r="G178">
            <v>5</v>
          </cell>
          <cell r="I178" t="str">
            <v>oui</v>
          </cell>
        </row>
        <row r="179">
          <cell r="E179" t="str">
            <v xml:space="preserve">Insert Han E Femelle 16 Contacts sur 2 Rangées,500 V 16A </v>
          </cell>
          <cell r="I179" t="str">
            <v>oui</v>
          </cell>
        </row>
        <row r="180">
          <cell r="E180" t="str">
            <v xml:space="preserve">arrêt d'urgence zb5as844 </v>
          </cell>
          <cell r="I180" t="str">
            <v>oui</v>
          </cell>
        </row>
        <row r="181">
          <cell r="E181" t="str">
            <v>arrêt d'urgence zb5ac44</v>
          </cell>
          <cell r="I181" t="str">
            <v>oui</v>
          </cell>
        </row>
        <row r="182">
          <cell r="E182" t="str">
            <v xml:space="preserve">tournevis elec petit </v>
          </cell>
          <cell r="G182">
            <v>5</v>
          </cell>
          <cell r="I182" t="str">
            <v>oui</v>
          </cell>
        </row>
        <row r="183">
          <cell r="E183" t="str">
            <v xml:space="preserve">Insert Han E male 16 Contacts sur 2 Rangées,500 V 16A </v>
          </cell>
          <cell r="G183" t="str">
            <v>3 minimum</v>
          </cell>
          <cell r="I183" t="str">
            <v>oui</v>
          </cell>
        </row>
        <row r="184">
          <cell r="E184" t="str">
            <v xml:space="preserve">PC plexo double precablée </v>
          </cell>
          <cell r="G184">
            <v>6</v>
          </cell>
          <cell r="I184" t="str">
            <v>oui</v>
          </cell>
        </row>
        <row r="185">
          <cell r="E185" t="str">
            <v>PC plexo Triple Précablée</v>
          </cell>
          <cell r="G185">
            <v>6</v>
          </cell>
          <cell r="I185" t="str">
            <v>oui</v>
          </cell>
        </row>
        <row r="186">
          <cell r="E186" t="str">
            <v xml:space="preserve"> Prise pour montage Plexo 16A 2P+T IP55</v>
          </cell>
          <cell r="G186">
            <v>35</v>
          </cell>
          <cell r="I186" t="str">
            <v>oui</v>
          </cell>
        </row>
        <row r="187">
          <cell r="E187" t="str">
            <v>Cadre Plexo PC simple</v>
          </cell>
          <cell r="G187">
            <v>21</v>
          </cell>
          <cell r="I187" t="str">
            <v>oui</v>
          </cell>
        </row>
        <row r="188">
          <cell r="E188" t="str">
            <v>Boitier Plexo PC double</v>
          </cell>
          <cell r="G188">
            <v>6</v>
          </cell>
          <cell r="I188" t="str">
            <v>oui</v>
          </cell>
        </row>
        <row r="189">
          <cell r="E189" t="str">
            <v>Boitier Plexo PC Triple</v>
          </cell>
          <cell r="G189">
            <v>6</v>
          </cell>
          <cell r="I189" t="str">
            <v>oui</v>
          </cell>
        </row>
        <row r="190">
          <cell r="E190" t="str">
            <v>Rondelles inox diam 8</v>
          </cell>
          <cell r="I190" t="str">
            <v>oui</v>
          </cell>
        </row>
        <row r="191">
          <cell r="E191" t="str">
            <v>glissiere complete pour rampe four</v>
          </cell>
          <cell r="I191" t="str">
            <v>oui</v>
          </cell>
        </row>
        <row r="192">
          <cell r="E192" t="str">
            <v>Graisse Klüber sole four</v>
          </cell>
          <cell r="I192" t="str">
            <v>oui</v>
          </cell>
        </row>
        <row r="193">
          <cell r="E193" t="str">
            <v>joint sourdure R240</v>
          </cell>
          <cell r="I193" t="str">
            <v>oui</v>
          </cell>
        </row>
        <row r="194">
          <cell r="E194" t="str">
            <v>sel adoucisseur</v>
          </cell>
          <cell r="I194" t="str">
            <v>oui</v>
          </cell>
        </row>
        <row r="195">
          <cell r="E195" t="str">
            <v xml:space="preserve">distributeur 3/2 multivac </v>
          </cell>
          <cell r="I195" t="str">
            <v>oui</v>
          </cell>
        </row>
        <row r="196">
          <cell r="E196" t="str">
            <v>roulement 6204 x 10</v>
          </cell>
          <cell r="I196" t="str">
            <v>oui</v>
          </cell>
        </row>
        <row r="197">
          <cell r="E197" t="str">
            <v>Pistolet pour station de lavage</v>
          </cell>
          <cell r="I197" t="str">
            <v>oui</v>
          </cell>
        </row>
        <row r="198">
          <cell r="E198" t="str">
            <v>Eau déminéralisé</v>
          </cell>
          <cell r="I198" t="str">
            <v>oui</v>
          </cell>
        </row>
        <row r="199">
          <cell r="E199" t="str">
            <v>Teflon</v>
          </cell>
          <cell r="I199" t="str">
            <v>oui</v>
          </cell>
        </row>
        <row r="200">
          <cell r="E200" t="str">
            <v>VIS Inox A2 M8x20</v>
          </cell>
          <cell r="I200" t="str">
            <v>oui</v>
          </cell>
        </row>
        <row r="201">
          <cell r="E201" t="str">
            <v>bande graissage crepière</v>
          </cell>
          <cell r="I201" t="str">
            <v>oui</v>
          </cell>
        </row>
        <row r="202">
          <cell r="E202" t="str">
            <v>EMBOUTS ELECTRIQUES DIVERS TAILLES Ø4MM</v>
          </cell>
          <cell r="I202" t="str">
            <v>oui</v>
          </cell>
        </row>
        <row r="203">
          <cell r="E203" t="str">
            <v>téflon étanchéité raccord</v>
          </cell>
          <cell r="I203" t="str">
            <v>oui</v>
          </cell>
        </row>
        <row r="204">
          <cell r="E204" t="str">
            <v>electrovanne doseur d'eau crépiêre</v>
          </cell>
          <cell r="I204" t="str">
            <v>oui</v>
          </cell>
        </row>
        <row r="205">
          <cell r="E205" t="str">
            <v>filetfix (pate d'etanchéité fluides)</v>
          </cell>
          <cell r="I205" t="str">
            <v>oui</v>
          </cell>
        </row>
        <row r="206">
          <cell r="E206" t="str">
            <v>verrin accroche sole (crêpière) /!\ stock = 0</v>
          </cell>
          <cell r="I206" t="str">
            <v>oui</v>
          </cell>
        </row>
        <row r="207">
          <cell r="E207" t="str">
            <v>verrin ouverture/fermeture clapé anti-retour /!\ stock = 0</v>
          </cell>
          <cell r="I207" t="str">
            <v>oui</v>
          </cell>
        </row>
        <row r="208">
          <cell r="E208" t="str">
            <v>disqueuse et visseuse</v>
          </cell>
          <cell r="I208" t="str">
            <v>oui</v>
          </cell>
        </row>
        <row r="209">
          <cell r="E209" t="str">
            <v>boite de forets</v>
          </cell>
          <cell r="I209" t="str">
            <v>oui</v>
          </cell>
        </row>
        <row r="210">
          <cell r="E210" t="str">
            <v>Acheter: disque a tronconner, siliconne, glue</v>
          </cell>
          <cell r="I210" t="str">
            <v>oui</v>
          </cell>
        </row>
        <row r="211">
          <cell r="E211" t="str">
            <v>colliers colson 360X9mm (consommable)</v>
          </cell>
          <cell r="I211" t="str">
            <v>oui</v>
          </cell>
        </row>
        <row r="212">
          <cell r="E212" t="str">
            <v>embout angle 90° pour pompe a graisse</v>
          </cell>
          <cell r="I212" t="str">
            <v>oui</v>
          </cell>
        </row>
        <row r="213">
          <cell r="E213" t="str">
            <v>gants</v>
          </cell>
          <cell r="I213" t="str">
            <v>oui</v>
          </cell>
        </row>
        <row r="214">
          <cell r="I214" t="str">
            <v>oui</v>
          </cell>
        </row>
        <row r="215">
          <cell r="E215" t="str">
            <v>FORET A ETAGE</v>
          </cell>
          <cell r="I215" t="str">
            <v>oui</v>
          </cell>
        </row>
        <row r="216">
          <cell r="E216" t="str">
            <v>JONC EN LAITON</v>
          </cell>
          <cell r="I216" t="str">
            <v>oui</v>
          </cell>
        </row>
        <row r="217">
          <cell r="E217" t="str">
            <v>tapis sortie DDM 200*795 (sortie et pesé)</v>
          </cell>
          <cell r="I217" t="str">
            <v>oui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36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RELAIS STATIQUE chauffage de cuves batteur 1</v>
          </cell>
          <cell r="G7">
            <v>-1</v>
          </cell>
        </row>
        <row r="8">
          <cell r="B8" t="str">
            <v>Fin de course Cablé (levée cuve)</v>
          </cell>
          <cell r="G8">
            <v>-2</v>
          </cell>
        </row>
        <row r="9">
          <cell r="B9" t="str">
            <v>afficheur rotation fouet WEST 6100+</v>
          </cell>
          <cell r="G9">
            <v>2</v>
          </cell>
        </row>
        <row r="10">
          <cell r="B10" t="str">
            <v xml:space="preserve">Insert Han E Femelle 16 Contacts sur 2 Rangées,500 V 16A </v>
          </cell>
          <cell r="G10">
            <v>-3</v>
          </cell>
        </row>
        <row r="11">
          <cell r="B11" t="str">
            <v xml:space="preserve">Insert Han E male 16 Contacts sur 2 Rangées,500 V 16A </v>
          </cell>
          <cell r="G11">
            <v>4</v>
          </cell>
        </row>
        <row r="12">
          <cell r="B12" t="str">
            <v xml:space="preserve">Insert Han E Femelle 16 Contacts sur 2 Rangées,500 V 16A </v>
          </cell>
          <cell r="G12">
            <v>4</v>
          </cell>
        </row>
        <row r="13">
          <cell r="B13" t="str">
            <v xml:space="preserve">Insert Han E Femelle 16 Contacts sur 2 Rangées,500 V 16A </v>
          </cell>
          <cell r="G13">
            <v>2</v>
          </cell>
        </row>
        <row r="14">
          <cell r="B14" t="str">
            <v xml:space="preserve">LEVIER EASY-LOCK PRISE HARTING </v>
          </cell>
          <cell r="G14">
            <v>-1</v>
          </cell>
        </row>
        <row r="15">
          <cell r="B15" t="str">
            <v>Tête + roulette Capteur de fin de course Telemecanique ZCKD21</v>
          </cell>
          <cell r="G15">
            <v>-1</v>
          </cell>
        </row>
        <row r="16">
          <cell r="B16" t="str">
            <v xml:space="preserve">LEVIER EASY-LOCK PRISE HARTING </v>
          </cell>
          <cell r="G16">
            <v>-1</v>
          </cell>
        </row>
        <row r="17">
          <cell r="B17" t="str">
            <v>Thermostat de sécurité</v>
          </cell>
          <cell r="G17">
            <v>1</v>
          </cell>
        </row>
        <row r="18">
          <cell r="B18" t="str">
            <v>Chariot Alu support des roulettes pour cuve 150 L</v>
          </cell>
          <cell r="G18">
            <v>-2</v>
          </cell>
        </row>
        <row r="19">
          <cell r="B19" t="str">
            <v xml:space="preserve">Insert Han E male 16 Contacts sur 2 Rangées,500 V 16A </v>
          </cell>
          <cell r="G19">
            <v>8</v>
          </cell>
        </row>
        <row r="20">
          <cell r="B20" t="str">
            <v>Thermostat de sécurité</v>
          </cell>
          <cell r="G20">
            <v>-1</v>
          </cell>
        </row>
        <row r="21">
          <cell r="B21" t="str">
            <v>embase connecteur 16pts</v>
          </cell>
          <cell r="G21">
            <v>-1</v>
          </cell>
        </row>
        <row r="22">
          <cell r="B22" t="str">
            <v>embase connecteur 16pts</v>
          </cell>
          <cell r="G22">
            <v>-1</v>
          </cell>
        </row>
        <row r="23">
          <cell r="B23" t="str">
            <v xml:space="preserve">Insert Han E Femelle 16 Contacts sur 2 Rangées,500 V 16A </v>
          </cell>
          <cell r="G23">
            <v>-1</v>
          </cell>
        </row>
        <row r="24">
          <cell r="B24" t="str">
            <v xml:space="preserve">LEVIER EASY-LOCK PRISE HARTING </v>
          </cell>
          <cell r="G24">
            <v>-1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37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38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CAPTEUR secu fca 3442</v>
          </cell>
          <cell r="G7">
            <v>-2</v>
          </cell>
        </row>
        <row r="8">
          <cell r="B8" t="str">
            <v>manomètre 0-6 bar G1/2 100mm</v>
          </cell>
          <cell r="G8">
            <v>-10</v>
          </cell>
        </row>
        <row r="9">
          <cell r="B9" t="str">
            <v>NB joint de corps pompe 11Kw</v>
          </cell>
          <cell r="G9">
            <v>-2</v>
          </cell>
        </row>
        <row r="10">
          <cell r="B10" t="str">
            <v>lampe 24v(ampoules)</v>
          </cell>
        </row>
        <row r="11">
          <cell r="B11" t="str">
            <v>capteur de proximité</v>
          </cell>
        </row>
        <row r="12">
          <cell r="B12" t="str">
            <v>capteur magnétique</v>
          </cell>
          <cell r="G12">
            <v>-2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</sheetData>
      <sheetData sheetId="39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COURROIE ref: STD 800 S8M CXA marque Continental</v>
          </cell>
          <cell r="G7">
            <v>5</v>
          </cell>
        </row>
        <row r="8">
          <cell r="B8" t="str">
            <v>chaîne intermédiaire</v>
          </cell>
          <cell r="G8">
            <v>5</v>
          </cell>
        </row>
        <row r="9">
          <cell r="B9" t="str">
            <v>CAPTEUR secu fca 3442</v>
          </cell>
          <cell r="G9">
            <v>5</v>
          </cell>
        </row>
        <row r="10">
          <cell r="B10" t="str">
            <v>CAPTEUR secu fca 3442</v>
          </cell>
          <cell r="G10">
            <v>5</v>
          </cell>
        </row>
        <row r="11">
          <cell r="B11" t="str">
            <v>galet d=26</v>
          </cell>
          <cell r="G11">
            <v>-250</v>
          </cell>
        </row>
        <row r="12">
          <cell r="B12" t="str">
            <v>chaîne intermédiaire</v>
          </cell>
          <cell r="G12">
            <v>-3</v>
          </cell>
        </row>
        <row r="13">
          <cell r="B13" t="str">
            <v>RESSORT couteaux boyaux</v>
          </cell>
          <cell r="G13">
            <v>-1</v>
          </cell>
        </row>
        <row r="14">
          <cell r="B14" t="str">
            <v>galet d=35</v>
          </cell>
        </row>
        <row r="15">
          <cell r="B15" t="str">
            <v>galet d=35</v>
          </cell>
          <cell r="G15">
            <v>-1</v>
          </cell>
        </row>
        <row r="16">
          <cell r="B16" t="str">
            <v>galet d=35</v>
          </cell>
          <cell r="G16">
            <v>-1</v>
          </cell>
        </row>
        <row r="17">
          <cell r="B17" t="str">
            <v>galet d=26</v>
          </cell>
          <cell r="G17">
            <v>-1</v>
          </cell>
        </row>
        <row r="18">
          <cell r="B18" t="str">
            <v>galet d=26</v>
          </cell>
          <cell r="G18">
            <v>-1</v>
          </cell>
        </row>
        <row r="19">
          <cell r="B19" t="str">
            <v>galet d=26</v>
          </cell>
          <cell r="G19">
            <v>-1</v>
          </cell>
        </row>
        <row r="20">
          <cell r="B20" t="str">
            <v>galet d=26</v>
          </cell>
          <cell r="G20">
            <v>-1</v>
          </cell>
        </row>
        <row r="21">
          <cell r="B21" t="str">
            <v>COUTEAU fca 3442</v>
          </cell>
          <cell r="G21">
            <v>0</v>
          </cell>
        </row>
        <row r="22">
          <cell r="B22" t="str">
            <v>CHAINES AVANCES AGRAFEE</v>
          </cell>
          <cell r="G22">
            <v>-2</v>
          </cell>
        </row>
        <row r="23">
          <cell r="B23" t="str">
            <v>CAPTEUR secu fca 3442</v>
          </cell>
          <cell r="G23">
            <v>-1</v>
          </cell>
        </row>
        <row r="24">
          <cell r="G24">
            <v>0</v>
          </cell>
        </row>
        <row r="25">
          <cell r="G25">
            <v>0</v>
          </cell>
        </row>
        <row r="26">
          <cell r="B26" t="str">
            <v>clippeuse</v>
          </cell>
          <cell r="G26">
            <v>0</v>
          </cell>
        </row>
        <row r="27">
          <cell r="B27" t="str">
            <v>COURROIE ref: STD 800 S8M CXA marque Continental</v>
          </cell>
          <cell r="G27">
            <v>-1</v>
          </cell>
        </row>
        <row r="28">
          <cell r="G28">
            <v>-1</v>
          </cell>
        </row>
        <row r="29">
          <cell r="B29" t="str">
            <v>rotule de gauche</v>
          </cell>
          <cell r="G29">
            <v>-2</v>
          </cell>
        </row>
        <row r="30">
          <cell r="G30">
            <v>-1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9">
          <cell r="G59">
            <v>0</v>
          </cell>
        </row>
        <row r="60">
          <cell r="G60">
            <v>0</v>
          </cell>
        </row>
        <row r="65">
          <cell r="G65">
            <v>0</v>
          </cell>
        </row>
      </sheetData>
      <sheetData sheetId="40"/>
      <sheetData sheetId="41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42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COUROIE TEXROPE 13x1700 LI170 PP (A67/13 01730/)</v>
          </cell>
          <cell r="G7">
            <v>2</v>
          </cell>
        </row>
        <row r="8">
          <cell r="B8" t="str">
            <v>motoreducteur à vis sans fin</v>
          </cell>
          <cell r="G8">
            <v>1</v>
          </cell>
        </row>
        <row r="9">
          <cell r="B9" t="str">
            <v>poulie a moyeu amovible</v>
          </cell>
          <cell r="G9">
            <v>1</v>
          </cell>
        </row>
        <row r="10">
          <cell r="B10" t="str">
            <v>moyeu amovible</v>
          </cell>
          <cell r="G10">
            <v>1</v>
          </cell>
        </row>
        <row r="11">
          <cell r="B11" t="str">
            <v xml:space="preserve"> BANDE COTON POUR GRAISSEURS</v>
          </cell>
          <cell r="G11">
            <v>-27</v>
          </cell>
        </row>
        <row r="12">
          <cell r="B12" t="str">
            <v xml:space="preserve"> BANDE COTON POUR GRAISSEURS</v>
          </cell>
          <cell r="G12">
            <v>63</v>
          </cell>
        </row>
        <row r="13">
          <cell r="B13" t="str">
            <v>VERIN SMC 20-25-B</v>
          </cell>
          <cell r="G13">
            <v>1</v>
          </cell>
        </row>
        <row r="14">
          <cell r="B14" t="str">
            <v>VERIN SMC 20-250-B</v>
          </cell>
          <cell r="G14">
            <v>1</v>
          </cell>
        </row>
        <row r="15">
          <cell r="B15" t="str">
            <v xml:space="preserve"> BANDE COTON POUR GRAISSEURS</v>
          </cell>
          <cell r="G15">
            <v>-21</v>
          </cell>
        </row>
        <row r="16">
          <cell r="B16" t="str">
            <v>FRL asco numatics</v>
          </cell>
          <cell r="G16">
            <v>1</v>
          </cell>
        </row>
        <row r="17">
          <cell r="B17" t="str">
            <v>joints de pistons</v>
          </cell>
          <cell r="G17">
            <v>-6</v>
          </cell>
        </row>
        <row r="18">
          <cell r="B18" t="str">
            <v>FRL asco numatics</v>
          </cell>
          <cell r="G18">
            <v>-1</v>
          </cell>
        </row>
        <row r="19">
          <cell r="B19" t="str">
            <v>joints de pistons</v>
          </cell>
          <cell r="G19">
            <v>-4</v>
          </cell>
        </row>
        <row r="20">
          <cell r="B20" t="str">
            <v>Joint</v>
          </cell>
          <cell r="G20">
            <v>-4</v>
          </cell>
        </row>
        <row r="21">
          <cell r="B21" t="str">
            <v>carte elec pompe graisseur</v>
          </cell>
          <cell r="G21">
            <v>-1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</sheetData>
      <sheetData sheetId="43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filtres G4 598x498x48 CTA</v>
          </cell>
          <cell r="G7">
            <v>-8</v>
          </cell>
        </row>
        <row r="8">
          <cell r="B8" t="str">
            <v>filtres G4 592x592x48 WOLF/ROOFTOP</v>
          </cell>
          <cell r="G8">
            <v>-7</v>
          </cell>
        </row>
        <row r="9">
          <cell r="B9" t="str">
            <v>filtres F7 287x592x48 CTA</v>
          </cell>
          <cell r="G9">
            <v>-4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44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45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46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47">
        <row r="6">
          <cell r="B6" t="str">
            <v>désignation</v>
          </cell>
          <cell r="G6" t="str">
            <v>décompte</v>
          </cell>
        </row>
        <row r="7">
          <cell r="G7">
            <v>0</v>
          </cell>
        </row>
        <row r="8">
          <cell r="B8" t="str">
            <v>joint de type quad ring diam 28,17 x 3,53 mm (cylindre de dosage à piston)</v>
          </cell>
          <cell r="G8">
            <v>8</v>
          </cell>
        </row>
        <row r="9">
          <cell r="B9" t="str">
            <v>joint torique dim 62 x 3 mm (tubes de dosage)</v>
          </cell>
          <cell r="G9">
            <v>8</v>
          </cell>
        </row>
        <row r="10">
          <cell r="B10" t="str">
            <v>joint torique Dim 49,5 x 3 mm (bloc de dosage à piston)</v>
          </cell>
          <cell r="G10">
            <v>8</v>
          </cell>
        </row>
        <row r="11">
          <cell r="B11" t="str">
            <v>joint torique Dim 18 x 2,5 mm (vérin pneumatique tête de dressage)</v>
          </cell>
          <cell r="G11">
            <v>8</v>
          </cell>
        </row>
        <row r="12">
          <cell r="B12" t="str">
            <v>Joint 4</v>
          </cell>
          <cell r="G12">
            <v>4</v>
          </cell>
        </row>
        <row r="13">
          <cell r="B13" t="str">
            <v>joint spi (roulement axe melangeur trémie)</v>
          </cell>
          <cell r="G13">
            <v>3</v>
          </cell>
        </row>
        <row r="14">
          <cell r="B14" t="str">
            <v>joint torique Dim 49,5 x 3 mm (bloc de dosage à piston)</v>
          </cell>
          <cell r="G14">
            <v>-1</v>
          </cell>
        </row>
        <row r="15">
          <cell r="B15" t="str">
            <v>joint torique Dim 35 x 2,5 mm (tubes de distribution sauce)</v>
          </cell>
          <cell r="G15">
            <v>-2</v>
          </cell>
        </row>
        <row r="16">
          <cell r="B16" t="str">
            <v>Joint 4</v>
          </cell>
          <cell r="G16">
            <v>-1</v>
          </cell>
        </row>
        <row r="17">
          <cell r="B17" t="str">
            <v>Valve rotative</v>
          </cell>
          <cell r="G17">
            <v>-1</v>
          </cell>
        </row>
        <row r="18">
          <cell r="B18" t="str">
            <v>joint de type quad ring diam 28,17 x 3,53 mm (cylindre de dosage à piston)</v>
          </cell>
          <cell r="G18">
            <v>-4</v>
          </cell>
        </row>
        <row r="19">
          <cell r="B19" t="str">
            <v>joint torique dim 62 x 3 mm (tubes de dosage)</v>
          </cell>
          <cell r="G19">
            <v>-1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8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49"/>
      <sheetData sheetId="50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51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join de porte 800x1815</v>
          </cell>
          <cell r="G7">
            <v>-2</v>
          </cell>
        </row>
        <row r="8">
          <cell r="B8" t="str">
            <v>sonde PT 100</v>
          </cell>
          <cell r="G8">
            <v>1</v>
          </cell>
        </row>
        <row r="9">
          <cell r="B9" t="str">
            <v>fin de course XCKN2118P20</v>
          </cell>
          <cell r="G9">
            <v>-1</v>
          </cell>
        </row>
        <row r="10">
          <cell r="B10" t="str">
            <v>DETECTEUR A GALET porte four 8.62</v>
          </cell>
          <cell r="G10">
            <v>2</v>
          </cell>
        </row>
        <row r="11">
          <cell r="B11" t="str">
            <v>sonde PT 100</v>
          </cell>
          <cell r="G11">
            <v>-2</v>
          </cell>
        </row>
        <row r="12">
          <cell r="B12" t="str">
            <v>thermostat sécu 2</v>
          </cell>
          <cell r="G12">
            <v>-1</v>
          </cell>
        </row>
        <row r="13">
          <cell r="B13" t="str">
            <v>ensemble rotule 8,63 120x32 fem</v>
          </cell>
          <cell r="G13">
            <v>4</v>
          </cell>
        </row>
        <row r="14">
          <cell r="B14" t="str">
            <v>ensemble rotule 8,63 120x32 fem</v>
          </cell>
          <cell r="G14">
            <v>-4</v>
          </cell>
        </row>
        <row r="15">
          <cell r="B15" t="str">
            <v>sillicon HT°</v>
          </cell>
          <cell r="G15">
            <v>2</v>
          </cell>
        </row>
        <row r="16">
          <cell r="B16" t="str">
            <v>sillicon HT°</v>
          </cell>
          <cell r="G16">
            <v>-2</v>
          </cell>
        </row>
        <row r="17">
          <cell r="B17" t="str">
            <v>CABLE TRESSE ht</v>
          </cell>
          <cell r="G17">
            <v>-1</v>
          </cell>
        </row>
        <row r="18">
          <cell r="B18" t="str">
            <v>join de porte 800x1815</v>
          </cell>
          <cell r="G18">
            <v>-1</v>
          </cell>
        </row>
        <row r="19">
          <cell r="B19" t="str">
            <v>Mini moteur de volets</v>
          </cell>
          <cell r="G19">
            <v>-2</v>
          </cell>
        </row>
        <row r="20">
          <cell r="B20" t="str">
            <v>join de porte 800x1815</v>
          </cell>
          <cell r="G20">
            <v>-2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52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53"/>
      <sheetData sheetId="54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55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56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57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58"/>
      <sheetData sheetId="59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60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</sheetData>
      <sheetData sheetId="61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62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63"/>
      <sheetData sheetId="64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65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Module Logique OU capteur de vide</v>
          </cell>
          <cell r="G7">
            <v>1</v>
          </cell>
        </row>
        <row r="8">
          <cell r="B8" t="str">
            <v xml:space="preserve">distrib 3/2  frein de film </v>
          </cell>
          <cell r="G8">
            <v>1</v>
          </cell>
        </row>
        <row r="9">
          <cell r="B9" t="str">
            <v>Contacteur 11Kw 1NO+1NF AC230V</v>
          </cell>
          <cell r="G9">
            <v>2</v>
          </cell>
        </row>
        <row r="10">
          <cell r="B10" t="str">
            <v>Joint de soudure 2 voies 1 rangée R230</v>
          </cell>
          <cell r="G10">
            <v>-1</v>
          </cell>
        </row>
        <row r="11">
          <cell r="B11" t="str">
            <v>Joint de soudure 2 voies 2 rangées R240</v>
          </cell>
          <cell r="G11">
            <v>-1</v>
          </cell>
        </row>
        <row r="12">
          <cell r="B12" t="str">
            <v>clapet antiretour Gaz R230</v>
          </cell>
          <cell r="G12">
            <v>2</v>
          </cell>
        </row>
        <row r="13">
          <cell r="B13" t="str">
            <v>clapet antiretour Gaz R230</v>
          </cell>
          <cell r="G13">
            <v>-2</v>
          </cell>
        </row>
        <row r="14">
          <cell r="B14" t="str">
            <v>clapet antiretour Gaz R230</v>
          </cell>
          <cell r="G14">
            <v>5</v>
          </cell>
        </row>
        <row r="15">
          <cell r="B15" t="str">
            <v>clapet antiretour Gaz R230</v>
          </cell>
          <cell r="G15">
            <v>-5</v>
          </cell>
        </row>
        <row r="16">
          <cell r="B16" t="str">
            <v xml:space="preserve">distrib 3/2  frein de film </v>
          </cell>
          <cell r="G16">
            <v>-1</v>
          </cell>
        </row>
        <row r="17">
          <cell r="B17" t="str">
            <v>capuchon plastique prot.</v>
          </cell>
          <cell r="G17">
            <v>-8</v>
          </cell>
        </row>
        <row r="18">
          <cell r="B18" t="str">
            <v>Joint de soudure 2 voies 1 rangée R230</v>
          </cell>
          <cell r="G18">
            <v>-1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</sheetData>
      <sheetData sheetId="66">
        <row r="5">
          <cell r="B5" t="str">
            <v>désignation</v>
          </cell>
          <cell r="G5" t="str">
            <v>décompte</v>
          </cell>
        </row>
        <row r="6">
          <cell r="G6">
            <v>0</v>
          </cell>
        </row>
        <row r="7">
          <cell r="B7" t="str">
            <v>Couteau perforation rond</v>
          </cell>
          <cell r="G7">
            <v>32</v>
          </cell>
        </row>
        <row r="8">
          <cell r="B8" t="str">
            <v>Joint d'arbre (decoupe longitudinale)</v>
          </cell>
          <cell r="G8">
            <v>1</v>
          </cell>
        </row>
        <row r="9">
          <cell r="B9" t="str">
            <v>cicrclips  (decoupe longitudinale)</v>
          </cell>
          <cell r="G9">
            <v>1</v>
          </cell>
        </row>
        <row r="10">
          <cell r="B10" t="str">
            <v>Lame de coupe R240 (stone cut)</v>
          </cell>
          <cell r="G10">
            <v>3</v>
          </cell>
        </row>
        <row r="11">
          <cell r="B11" t="str">
            <v>Bague intérieur D1=50  D2=45 (decoupe longitudinale)</v>
          </cell>
          <cell r="G11">
            <v>1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menu principale"/>
      <sheetName val="Menu Prod"/>
      <sheetName val="menu demande prod"/>
      <sheetName val="création demande"/>
      <sheetName val="menu MAT"/>
      <sheetName val="menu EPN"/>
      <sheetName val="conditionnement"/>
      <sheetName val="generale"/>
      <sheetName val="salle de pre-cuisson"/>
      <sheetName val="salle de cuisson"/>
      <sheetName val="gestion astreinte"/>
      <sheetName val="liste demande"/>
      <sheetName val="demande prod KM"/>
      <sheetName val="DP CB"/>
      <sheetName val="DP TM"/>
      <sheetName val="control CDL"/>
      <sheetName val="menu mouvement stock"/>
      <sheetName val="stock total systeme"/>
      <sheetName val="total stock autres"/>
      <sheetName val="stock"/>
      <sheetName val="systeme"/>
      <sheetName val="menu main courante"/>
      <sheetName val="main courante"/>
      <sheetName val="menu commande"/>
      <sheetName val="commande"/>
      <sheetName val="récurence"/>
      <sheetName val="préventif"/>
      <sheetName val="notes pour reunions"/>
      <sheetName val="total stock"/>
      <sheetName val="mouvement es"/>
      <sheetName val="stock HGA"/>
      <sheetName val="mouvement HGA"/>
      <sheetName val="mouvement bâtiment"/>
      <sheetName val="roulements"/>
      <sheetName val="mouvement CV"/>
      <sheetName val="mouvement batteurs cuves"/>
      <sheetName val="mouvement CDL"/>
      <sheetName val="mouvement autoclave"/>
      <sheetName val="mouvement clippeuse"/>
      <sheetName val="mouvement convoyeur"/>
      <sheetName val="mouvement coupe légume"/>
      <sheetName val="mouvement crepiere"/>
      <sheetName val="mouvement CTA"/>
      <sheetName val="mouvement CEM"/>
      <sheetName val="mouvement DDM"/>
      <sheetName val="mouvement doseur d'eau"/>
      <sheetName val="mouvement bakon"/>
      <sheetName val="mouvement élévateur VMI"/>
      <sheetName val="mouvement espera"/>
      <sheetName val="mouvement etuyeuse"/>
      <sheetName val="mouvement fours"/>
      <sheetName val="mouvement toshiba"/>
      <sheetName val="mouvement LINDE"/>
      <sheetName val="mouvement lynx"/>
      <sheetName val="mouvement PAV"/>
      <sheetName val="mouvement pediluve"/>
      <sheetName val="mouvement scotcheuse"/>
      <sheetName val="mouvement adoucisseurs"/>
      <sheetName val="mouvement autolaveuse"/>
      <sheetName val="mouvement casier chaussure"/>
      <sheetName val="mouvement desinsectiseur"/>
      <sheetName val="mouvement égoutoir autoclave"/>
      <sheetName val="mouvement éléctrique"/>
      <sheetName val="mouvement MRR240"/>
      <sheetName val="mouv MULTIVAC R230 et R240"/>
      <sheetName val="mouv MULTIVAC DECOUPE"/>
      <sheetName val="mouv REF RS"/>
      <sheetName val="implantation salle verte"/>
      <sheetName val="implantation salle jaune"/>
      <sheetName val="Feuil4"/>
      <sheetName val="Feuil2"/>
      <sheetName val="nouveau systeme"/>
      <sheetName val="mouvement nouveau systeme"/>
      <sheetName val="Feuil3"/>
      <sheetName val="liste pieces"/>
      <sheetName val="pieces a classer"/>
      <sheetName val="menu test periodique"/>
      <sheetName val="TEST froid"/>
      <sheetName val="TEST eclairage secu"/>
      <sheetName val="Feuil8"/>
      <sheetName val="Gestion 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5">
          <cell r="C35" t="str">
            <v>joint torique dim 55 x  5 mm, emplacement sous trémie bleu</v>
          </cell>
        </row>
        <row r="36">
          <cell r="C36" t="str">
            <v>joint de type quad ring diam 28,17 x 3,53 mm (cylindre de dosage à piston)</v>
          </cell>
        </row>
        <row r="37">
          <cell r="C37" t="str">
            <v>joint torique dim 62 x 3 mm (tubes de dosage)</v>
          </cell>
        </row>
        <row r="38">
          <cell r="C38" t="str">
            <v>joint torique Dim 49,5 x 3 mm (bloc de dosage à piston)</v>
          </cell>
        </row>
        <row r="39">
          <cell r="C39" t="str">
            <v>joint torique Dim 35 x 2,5 mm (tubes de distribution sauce)</v>
          </cell>
        </row>
        <row r="40">
          <cell r="C40" t="str">
            <v>joint torique Dim 18 x 2,5 mm (vérin pneumatique tête de dressage)</v>
          </cell>
        </row>
        <row r="41">
          <cell r="C41" t="str">
            <v>roulement axe trémie</v>
          </cell>
        </row>
        <row r="42">
          <cell r="C42" t="str">
            <v>Roulement support Trémie</v>
          </cell>
        </row>
        <row r="43">
          <cell r="C43" t="str">
            <v>joint spi (roulement axe melangeur trémie)</v>
          </cell>
        </row>
        <row r="44">
          <cell r="C44" t="str">
            <v>vérin iso double effet (tête de dosage)</v>
          </cell>
        </row>
        <row r="45">
          <cell r="C45" t="str">
            <v>vérin iso double effet (tête de dosage)</v>
          </cell>
        </row>
        <row r="46">
          <cell r="C46" t="str">
            <v>capot harting 16 poles</v>
          </cell>
        </row>
        <row r="47">
          <cell r="C47" t="str">
            <v>pince solidarisant les connecteurs</v>
          </cell>
        </row>
        <row r="48">
          <cell r="C48" t="str">
            <v>connecteurs 9 broches prise harting f</v>
          </cell>
        </row>
        <row r="49">
          <cell r="C49" t="str">
            <v>connecteurs 9 broches prise harting m</v>
          </cell>
        </row>
        <row r="50">
          <cell r="C50" t="str">
            <v>connecteur F HARTING HAN8 16A</v>
          </cell>
        </row>
        <row r="51">
          <cell r="C51" t="str">
            <v xml:space="preserve">connecteur M HARTING HAN8 16A </v>
          </cell>
        </row>
        <row r="52">
          <cell r="C52" t="str">
            <v xml:space="preserve">connecteur F HARTING HAN8 10A </v>
          </cell>
        </row>
        <row r="53">
          <cell r="C53" t="str">
            <v xml:space="preserve"> 'za&lt;W</v>
          </cell>
        </row>
        <row r="54">
          <cell r="C54" t="str">
            <v>équerre mal 1/8 T6</v>
          </cell>
        </row>
        <row r="55">
          <cell r="C55" t="str">
            <v>Vérin N25</v>
          </cell>
        </row>
        <row r="56">
          <cell r="C56" t="str">
            <v>Vérin N20</v>
          </cell>
        </row>
        <row r="57">
          <cell r="C57" t="str">
            <v>joint 30*52*7 RVS</v>
          </cell>
        </row>
        <row r="58">
          <cell r="C58" t="str">
            <v>vérin compact</v>
          </cell>
        </row>
        <row r="59">
          <cell r="C59" t="str">
            <v>Valve rotative</v>
          </cell>
        </row>
        <row r="60">
          <cell r="C60" t="str">
            <v>capteur ILS</v>
          </cell>
        </row>
        <row r="61">
          <cell r="C61" t="str">
            <v>Joint 1</v>
          </cell>
        </row>
        <row r="62">
          <cell r="C62" t="str">
            <v>Joint 2</v>
          </cell>
        </row>
        <row r="63">
          <cell r="C63" t="str">
            <v>joint 3</v>
          </cell>
        </row>
        <row r="64">
          <cell r="C64" t="str">
            <v>Joint 4</v>
          </cell>
        </row>
        <row r="65">
          <cell r="C65" t="str">
            <v>Distributeur 5/3</v>
          </cell>
        </row>
        <row r="66">
          <cell r="C66" t="str">
            <v>Distributeur 5/2</v>
          </cell>
        </row>
        <row r="67">
          <cell r="C67" t="str">
            <v>coupleur (Ø6mm) style staublî</v>
          </cell>
        </row>
        <row r="68">
          <cell r="C68" t="str">
            <v>Molette filetée plastique</v>
          </cell>
        </row>
        <row r="69">
          <cell r="C69" t="str">
            <v>LEVIER EASY-LOCK PRISE HARTING</v>
          </cell>
        </row>
        <row r="70">
          <cell r="C70" t="str">
            <v>afficheur rotation fouet WEST 6100+</v>
          </cell>
        </row>
        <row r="71">
          <cell r="C71" t="str">
            <v>Axe acier pour verin</v>
          </cell>
        </row>
        <row r="72">
          <cell r="C72" t="str">
            <v>Bague retenue 150L</v>
          </cell>
        </row>
        <row r="73">
          <cell r="C73" t="str">
            <v>bande de raclage 150 L</v>
          </cell>
        </row>
        <row r="74">
          <cell r="C74" t="str">
            <v xml:space="preserve">bande de raclage 80 L </v>
          </cell>
        </row>
        <row r="75">
          <cell r="C75" t="str">
            <v xml:space="preserve">Butée Arriere Batteur </v>
          </cell>
        </row>
        <row r="76">
          <cell r="C76" t="str">
            <v>Butée FDC presence cuve</v>
          </cell>
        </row>
        <row r="77">
          <cell r="C77" t="str">
            <v>Capot Prise Harting sortie coudée</v>
          </cell>
        </row>
        <row r="78">
          <cell r="C78" t="str">
            <v>Capteur de fin de course Telemecanique, NO/NF, 10 A, 240V, IP66</v>
          </cell>
        </row>
        <row r="79">
          <cell r="C79" t="str">
            <v>chariot alu + sous postes cuves 150L</v>
          </cell>
        </row>
        <row r="80">
          <cell r="C80" t="str">
            <v>Chariot Alu support des roulettes pour cuve 150 L</v>
          </cell>
        </row>
        <row r="81">
          <cell r="C81" t="str">
            <v>cicrclip Axe verin</v>
          </cell>
        </row>
        <row r="82">
          <cell r="C82" t="str">
            <v>Clapet anti-retour HR012 pompe hydraulique</v>
          </cell>
        </row>
        <row r="83">
          <cell r="C83" t="str">
            <v>Connecteur d'alimentation, Han A Series</v>
          </cell>
        </row>
        <row r="84">
          <cell r="C84" t="str">
            <v>Connecteur d'alimentation, Han B Series Entrée latérale,</v>
          </cell>
        </row>
        <row r="85">
          <cell r="C85" t="str">
            <v>Courroie d'entrainement</v>
          </cell>
        </row>
        <row r="86">
          <cell r="C86" t="str">
            <v>Electrodistributeur Hydraulique pour verins leve cuve</v>
          </cell>
        </row>
        <row r="87">
          <cell r="C87" t="str">
            <v>Fin de course Cablé (levée cuve)</v>
          </cell>
        </row>
        <row r="88">
          <cell r="C88" t="str">
            <v>fond de boitier en fonte d'aluminium</v>
          </cell>
        </row>
        <row r="89">
          <cell r="C89" t="str">
            <v>fouet pour cuve 150 l</v>
          </cell>
        </row>
        <row r="90">
          <cell r="C90" t="str">
            <v>fouet pour cuve 80 L</v>
          </cell>
        </row>
        <row r="91">
          <cell r="C91" t="str">
            <v>Glissiere de support (Queue d'arronde)</v>
          </cell>
        </row>
        <row r="92">
          <cell r="C92" t="str">
            <v>Grille tournante</v>
          </cell>
        </row>
        <row r="93">
          <cell r="C93" t="str">
            <v>huile fluide caloporteur</v>
          </cell>
        </row>
        <row r="94">
          <cell r="C94" t="str">
            <v>Huile Hydraulique Alimentaire Verins Batteurs</v>
          </cell>
        </row>
        <row r="95">
          <cell r="C95" t="str">
            <v xml:space="preserve">Insert Han E male 16 Contacts sur 2 Rangées,500 V 16A </v>
          </cell>
        </row>
        <row r="96">
          <cell r="C96" t="str">
            <v xml:space="preserve">Insert Han E Femelle 16 Contacts sur 2 Rangées,500 V 16A </v>
          </cell>
        </row>
        <row r="97">
          <cell r="C97" t="str">
            <v>Joint spi bras satelitte DIM: 50x80x10</v>
          </cell>
        </row>
        <row r="98">
          <cell r="C98" t="str">
            <v>joint suiffé (tresse 100% PTFE 12x12)</v>
          </cell>
        </row>
        <row r="99">
          <cell r="C99" t="str">
            <v xml:space="preserve">LEVIER EASY-LOCK PRISE HARTING </v>
          </cell>
        </row>
        <row r="100">
          <cell r="C100" t="str">
            <v>MODULE SECURITE ACOTOM COM3C 24V batteur 2</v>
          </cell>
        </row>
        <row r="101">
          <cell r="C101" t="str">
            <v>Potentiometre vitesse rotation BAT3</v>
          </cell>
        </row>
        <row r="102">
          <cell r="C102" t="str">
            <v>poussoir de FDC presence cuve</v>
          </cell>
        </row>
        <row r="103">
          <cell r="C103" t="str">
            <v>protection thermoplongeur modele 2077-99 (plastique/verre)</v>
          </cell>
        </row>
        <row r="104">
          <cell r="C104" t="str">
            <v>protection thermoplongeur modele 9622-01 (alu)</v>
          </cell>
        </row>
        <row r="105">
          <cell r="C105" t="str">
            <v>RELAIS STATIQUE chauffage de cuves batteur 1</v>
          </cell>
        </row>
        <row r="106">
          <cell r="C106" t="str">
            <v>Roulement à billes SKF 6207-2RS1, Rainure profonde, 35mmx72mm</v>
          </cell>
        </row>
        <row r="107">
          <cell r="C107" t="str">
            <v>Roulement à billes SKF 6208-2RS1, Rainure profonde, 40mmx80mm</v>
          </cell>
        </row>
        <row r="108">
          <cell r="C108" t="str">
            <v>Roulement capot grille</v>
          </cell>
        </row>
        <row r="109">
          <cell r="C109" t="str">
            <v>Roulettes pour cuves 80/100/150L</v>
          </cell>
        </row>
        <row r="110">
          <cell r="C110" t="str">
            <v>soupapes, 2882/d10c/s-ptfe</v>
          </cell>
        </row>
        <row r="111">
          <cell r="C111" t="str">
            <v>Tête + roulette Capteur de fin de course Telemecanique ZCKD21</v>
          </cell>
        </row>
        <row r="112">
          <cell r="C112" t="str">
            <v>tête de fouet</v>
          </cell>
        </row>
        <row r="113">
          <cell r="C113" t="str">
            <v>Verin hydraulique montée cuve L=735</v>
          </cell>
        </row>
        <row r="114">
          <cell r="C114" t="str">
            <v>protection facade pour afficheur rotation fouet WEST 6100+</v>
          </cell>
        </row>
        <row r="115">
          <cell r="C115" t="str">
            <v>Thermostat de sécurité</v>
          </cell>
        </row>
        <row r="116">
          <cell r="C116" t="str">
            <v>embase connecteur 16pts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5">
          <cell r="E5" t="str">
            <v>E/S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5">
          <cell r="E5" t="str">
            <v>E/S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</sheetDataSet>
  </externalBook>
</externalLink>
</file>

<file path=xl/tables/table1.xml><?xml version="1.0" encoding="utf-8"?>
<table xmlns="http://schemas.openxmlformats.org/spreadsheetml/2006/main" id="2" name="Tableau113" displayName="Tableau113" ref="B3:K546" totalsRowShown="0" headerRowDxfId="27" headerRowBorderDxfId="26" tableBorderDxfId="25">
  <autoFilter ref="B3:K546"/>
  <tableColumns count="10">
    <tableColumn id="1" name="système" dataDxfId="24"/>
    <tableColumn id="2" name="désignation" dataDxfId="23"/>
    <tableColumn id="3" name="référence" dataDxfId="22"/>
    <tableColumn id="4" name="fournisseur" dataDxfId="21"/>
    <tableColumn id="5" name="stock " dataDxfId="20"/>
    <tableColumn id="6" name="stock ini" dataDxfId="19"/>
    <tableColumn id="7" name="seuil " dataDxfId="18"/>
    <tableColumn id="8" name="alerte stock" dataDxfId="17">
      <calculatedColumnFormula>IF(F4&lt;H4,"/!\","-")</calculatedColumnFormula>
    </tableColumn>
    <tableColumn id="9" name="prix HT unité" dataDxfId="16"/>
    <tableColumn id="10" name="prix tot" dataDxfId="15">
      <calculatedColumnFormula>F4*J4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K23" totalsRowShown="0" headerRowDxfId="11" dataDxfId="10">
  <autoFilter ref="B5:K23"/>
  <tableColumns count="10">
    <tableColumn id="1" name="date" dataDxfId="9"/>
    <tableColumn id="2" name="tech" dataDxfId="8"/>
    <tableColumn id="3" name="système" dataDxfId="7"/>
    <tableColumn id="4" name="désignation " dataDxfId="6"/>
    <tableColumn id="5" name="ref" dataDxfId="5"/>
    <tableColumn id="6" name="qté" dataDxfId="4"/>
    <tableColumn id="7" name="commandé" dataDxfId="3"/>
    <tableColumn id="8" name="reçus" dataDxfId="2"/>
    <tableColumn id="9" name="Colonne1" dataDxfId="1"/>
    <tableColumn id="10" name="Colonne2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sav@espera.fr" TargetMode="External"/><Relationship Id="rId7" Type="http://schemas.openxmlformats.org/officeDocument/2006/relationships/hyperlink" Target="mailto:sav@espera.fr" TargetMode="External"/><Relationship Id="rId2" Type="http://schemas.openxmlformats.org/officeDocument/2006/relationships/hyperlink" Target="mailto:sav@espera.fr" TargetMode="External"/><Relationship Id="rId1" Type="http://schemas.openxmlformats.org/officeDocument/2006/relationships/hyperlink" Target="mailto:sav@espera.fr" TargetMode="External"/><Relationship Id="rId6" Type="http://schemas.openxmlformats.org/officeDocument/2006/relationships/hyperlink" Target="mailto:sav@espera.fr" TargetMode="External"/><Relationship Id="rId5" Type="http://schemas.openxmlformats.org/officeDocument/2006/relationships/hyperlink" Target="mailto:sav@espera.fr" TargetMode="External"/><Relationship Id="rId4" Type="http://schemas.openxmlformats.org/officeDocument/2006/relationships/hyperlink" Target="mailto:sav@espera.fr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46"/>
  <sheetViews>
    <sheetView zoomScale="80" zoomScaleNormal="80" workbookViewId="0">
      <selection activeCell="S548" sqref="S548"/>
    </sheetView>
  </sheetViews>
  <sheetFormatPr baseColWidth="10" defaultRowHeight="15" x14ac:dyDescent="0.25"/>
  <cols>
    <col min="2" max="2" width="25.42578125" customWidth="1"/>
    <col min="3" max="3" width="65.28515625" customWidth="1"/>
    <col min="4" max="4" width="44" customWidth="1"/>
    <col min="5" max="5" width="17.28515625" customWidth="1"/>
    <col min="6" max="6" width="25.140625" customWidth="1"/>
    <col min="7" max="7" width="36.28515625" customWidth="1"/>
    <col min="8" max="8" width="29.28515625" customWidth="1"/>
    <col min="9" max="9" width="30" customWidth="1"/>
    <col min="10" max="10" width="16.7109375" customWidth="1"/>
    <col min="11" max="11" width="20.28515625" customWidth="1"/>
  </cols>
  <sheetData>
    <row r="1" spans="1:44" ht="14.45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</row>
    <row r="2" spans="1:44" ht="14.45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</row>
    <row r="3" spans="1:44" ht="15.75" thickBot="1" x14ac:dyDescent="0.3">
      <c r="A3" s="30"/>
      <c r="B3" s="31" t="s">
        <v>14</v>
      </c>
      <c r="C3" s="31" t="s">
        <v>1</v>
      </c>
      <c r="D3" s="31" t="s">
        <v>2</v>
      </c>
      <c r="E3" s="31" t="s">
        <v>3</v>
      </c>
      <c r="F3" s="31" t="s">
        <v>15</v>
      </c>
      <c r="G3" s="31" t="s">
        <v>16</v>
      </c>
      <c r="H3" s="31" t="s">
        <v>17</v>
      </c>
      <c r="I3" s="31" t="s">
        <v>18</v>
      </c>
      <c r="J3" s="31" t="s">
        <v>19</v>
      </c>
      <c r="K3" s="32" t="s">
        <v>20</v>
      </c>
      <c r="L3" s="30"/>
      <c r="M3" s="3" t="s">
        <v>21</v>
      </c>
      <c r="N3" s="30"/>
      <c r="O3" s="30"/>
      <c r="P3" s="30"/>
      <c r="Q3" s="30"/>
      <c r="R3" s="30"/>
      <c r="S3" s="30" t="s">
        <v>51</v>
      </c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ht="15.75" x14ac:dyDescent="0.25">
      <c r="A4" s="30"/>
      <c r="B4" s="33" t="s">
        <v>25</v>
      </c>
      <c r="C4" s="4" t="s">
        <v>22</v>
      </c>
      <c r="D4" s="5" t="s">
        <v>23</v>
      </c>
      <c r="E4" s="6" t="s">
        <v>24</v>
      </c>
      <c r="F4" s="7">
        <f>G4+SUMIFS([1]commande!G:G,[1]commande!E:E,"=Kit joint venturi pour adoucisseur ECOWATER modèle R46 5.1",[1]commande!I:I,"=oui")+SUMIF('[1]mouvement autoclave'!B:B,"=Kit joint venturi pour adoucisseur ECOWATER modèle R46 5.1",'[1]mouvement autoclave'!G:G)</f>
        <v>0</v>
      </c>
      <c r="G4" s="8">
        <v>0</v>
      </c>
      <c r="H4" s="9">
        <v>1</v>
      </c>
      <c r="I4" s="1" t="str">
        <f>IF(F4&lt;H4,"/!\","-")</f>
        <v>/!\</v>
      </c>
      <c r="J4" s="11">
        <v>16.3</v>
      </c>
      <c r="K4" s="12">
        <f>F4*J4</f>
        <v>0</v>
      </c>
      <c r="L4" s="30"/>
      <c r="M4" s="3">
        <f>SUM(Tableau113[[#This Row],[prix tot]])</f>
        <v>0</v>
      </c>
      <c r="N4" s="30"/>
      <c r="O4" s="30"/>
      <c r="P4" s="30"/>
      <c r="Q4" s="30"/>
      <c r="R4" s="30"/>
      <c r="S4" s="30">
        <f>IF(Tableau113[[#This Row],[alerte stock]]="-",0,1)</f>
        <v>1</v>
      </c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ht="15.75" x14ac:dyDescent="0.25">
      <c r="A5" s="30"/>
      <c r="B5" s="13" t="s">
        <v>25</v>
      </c>
      <c r="C5" s="14" t="s">
        <v>26</v>
      </c>
      <c r="D5" s="5" t="s">
        <v>27</v>
      </c>
      <c r="E5" s="15" t="s">
        <v>28</v>
      </c>
      <c r="F5" s="7">
        <f>G5+SUMIFS([1]commande!G:G,[1]commande!E:E,"=capteur de proximité",[1]commande!I:I,"=oui")+SUMIF('[1]mouvement autoclave'!B:B,"=capteur de proximité",'[1]mouvement autoclave'!G:G)</f>
        <v>1</v>
      </c>
      <c r="G5" s="7">
        <v>1</v>
      </c>
      <c r="H5" s="6">
        <v>1</v>
      </c>
      <c r="I5" s="2" t="str">
        <f>IF(F5&lt;H5,"/!\","-")</f>
        <v>-</v>
      </c>
      <c r="J5" s="16">
        <v>36</v>
      </c>
      <c r="K5" s="17">
        <f>F5*J5</f>
        <v>36</v>
      </c>
      <c r="L5" s="30"/>
      <c r="M5" s="30"/>
      <c r="N5" s="30"/>
      <c r="O5" s="30"/>
      <c r="P5" s="30"/>
      <c r="Q5" s="30"/>
      <c r="R5" s="30"/>
      <c r="S5" s="30">
        <f>IF(Tableau113[[#This Row],[alerte stock]]="-",0,1)</f>
        <v>0</v>
      </c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</row>
    <row r="6" spans="1:44" ht="15.75" x14ac:dyDescent="0.25">
      <c r="A6" s="30"/>
      <c r="B6" s="13" t="s">
        <v>25</v>
      </c>
      <c r="C6" s="14" t="s">
        <v>29</v>
      </c>
      <c r="D6" s="5" t="s">
        <v>30</v>
      </c>
      <c r="E6" s="15" t="s">
        <v>28</v>
      </c>
      <c r="F6" s="7">
        <f>G6+SUMIFS([1]commande!G:G,[1]commande!E:E,"=capteur magnétique",[1]commande!I:I,"=oui")+SUMIF('[1]mouvement autoclave'!B:B,"=capteur magnétique",'[1]mouvement autoclave'!G:G)</f>
        <v>26</v>
      </c>
      <c r="G6" s="7">
        <v>1</v>
      </c>
      <c r="H6" s="6">
        <v>1</v>
      </c>
      <c r="I6" s="2" t="str">
        <f t="shared" ref="I6:I26" si="0">IF(F6&lt;H6,"/!\","-")</f>
        <v>-</v>
      </c>
      <c r="J6" s="16">
        <v>36</v>
      </c>
      <c r="K6" s="17">
        <f t="shared" ref="K6:K26" si="1">F6*J6</f>
        <v>936</v>
      </c>
      <c r="L6" s="30"/>
      <c r="M6" s="30"/>
      <c r="N6" s="30"/>
      <c r="O6" s="30"/>
      <c r="P6" s="30"/>
      <c r="Q6" s="30"/>
      <c r="R6" s="30"/>
      <c r="S6" s="30">
        <f>IF(Tableau113[[#This Row],[alerte stock]]="-",0,1)</f>
        <v>0</v>
      </c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</row>
    <row r="7" spans="1:44" ht="15.75" x14ac:dyDescent="0.25">
      <c r="A7" s="30"/>
      <c r="B7" s="13" t="s">
        <v>25</v>
      </c>
      <c r="C7" s="4" t="s">
        <v>31</v>
      </c>
      <c r="D7" s="5" t="s">
        <v>32</v>
      </c>
      <c r="E7" s="34" t="s">
        <v>33</v>
      </c>
      <c r="F7" s="7">
        <f>G7+SUMIFS([1]commande!G:G,[1]commande!E:E,"=corps d'electrovanne sécurité gaz",[1]commande!I:I,"=oui")+SUMIF('[1]mouvement autoclave'!B:B,"=corps d'electrovanne sécurité gaz")</f>
        <v>1</v>
      </c>
      <c r="G7" s="7">
        <v>1</v>
      </c>
      <c r="H7" s="6">
        <v>1</v>
      </c>
      <c r="I7" s="2" t="str">
        <f t="shared" si="0"/>
        <v>-</v>
      </c>
      <c r="J7" s="16">
        <v>170</v>
      </c>
      <c r="K7" s="17">
        <f t="shared" si="1"/>
        <v>170</v>
      </c>
      <c r="L7" s="30"/>
      <c r="M7" s="30"/>
      <c r="N7" s="30"/>
      <c r="O7" s="30"/>
      <c r="P7" s="30"/>
      <c r="Q7" s="30"/>
      <c r="R7" s="30"/>
      <c r="S7" s="30">
        <f>IF(Tableau113[[#This Row],[alerte stock]]="-",0,1)</f>
        <v>0</v>
      </c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</row>
    <row r="8" spans="1:44" ht="15.6" x14ac:dyDescent="0.3">
      <c r="A8" s="30"/>
      <c r="B8" s="13" t="s">
        <v>25</v>
      </c>
      <c r="C8" s="14" t="s">
        <v>34</v>
      </c>
      <c r="D8" s="5" t="s">
        <v>35</v>
      </c>
      <c r="E8" s="15" t="s">
        <v>28</v>
      </c>
      <c r="F8" s="7">
        <f>G8+SUMIFS([1]commande!G:G,[1]commande!E:E,"=disjoncteur 0,5",[1]commande!I:I,"=oui")+SUMIF('[1]mouvement autoclave'!B:B,"=disjoncteur 0,5",'[1]mouvement autoclave'!G:G)</f>
        <v>1</v>
      </c>
      <c r="G8" s="7">
        <v>1</v>
      </c>
      <c r="H8" s="6">
        <v>0</v>
      </c>
      <c r="I8" s="2" t="str">
        <f t="shared" si="0"/>
        <v>-</v>
      </c>
      <c r="J8" s="16">
        <v>18.53</v>
      </c>
      <c r="K8" s="17">
        <f t="shared" si="1"/>
        <v>18.53</v>
      </c>
      <c r="L8" s="30"/>
      <c r="M8" s="30"/>
      <c r="N8" s="30"/>
      <c r="O8" s="30"/>
      <c r="P8" s="30"/>
      <c r="Q8" s="30"/>
      <c r="R8" s="30"/>
      <c r="S8" s="30">
        <f>IF(Tableau113[[#This Row],[alerte stock]]="-",0,1)</f>
        <v>0</v>
      </c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</row>
    <row r="9" spans="1:44" ht="15.75" x14ac:dyDescent="0.25">
      <c r="A9" s="30"/>
      <c r="B9" s="13" t="s">
        <v>25</v>
      </c>
      <c r="C9" s="18" t="s">
        <v>36</v>
      </c>
      <c r="D9" s="5" t="s">
        <v>37</v>
      </c>
      <c r="E9" s="19" t="s">
        <v>37</v>
      </c>
      <c r="F9" s="7">
        <f>G9+SUMIFS([1]commande!G:G,[1]commande!E:E,"=filtres 100 microns cintropur",[1]commande!I:I,"=oui")+SUMIF('[1]mouvement autoclave'!B:B,"=filtres 100 microns cintropur",'[1]mouvement autoclave'!G:G)</f>
        <v>0</v>
      </c>
      <c r="G9" s="7">
        <v>0</v>
      </c>
      <c r="H9" s="20">
        <v>1</v>
      </c>
      <c r="I9" s="2" t="str">
        <f t="shared" si="0"/>
        <v>/!\</v>
      </c>
      <c r="J9" s="21">
        <v>5</v>
      </c>
      <c r="K9" s="17">
        <f t="shared" si="1"/>
        <v>0</v>
      </c>
      <c r="L9" s="30"/>
      <c r="M9" s="30"/>
      <c r="N9" s="30"/>
      <c r="O9" s="30"/>
      <c r="P9" s="30"/>
      <c r="Q9" s="30"/>
      <c r="R9" s="30"/>
      <c r="S9" s="30">
        <f>IF(Tableau113[[#This Row],[alerte stock]]="-",0,1)</f>
        <v>1</v>
      </c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</row>
    <row r="10" spans="1:44" ht="15.75" x14ac:dyDescent="0.25">
      <c r="A10" s="30"/>
      <c r="B10" s="13" t="s">
        <v>25</v>
      </c>
      <c r="C10" s="18" t="s">
        <v>38</v>
      </c>
      <c r="D10" s="5">
        <v>96488302</v>
      </c>
      <c r="E10" s="19" t="s">
        <v>39</v>
      </c>
      <c r="F10" s="7">
        <f>G10+SUMIFS([1]commande!G:G,[1]commande!E:E,"=garniture type BAQE pour pompe 11Kw",[1]commande!I:I,"=oui")+SUMIF('[1]mouvement autoclave'!B:B,"=garniture type BAQE pour pompe 11Kw",'[1]mouvement autoclave'!G:G)</f>
        <v>1</v>
      </c>
      <c r="G10" s="7">
        <v>1</v>
      </c>
      <c r="H10" s="20">
        <v>1</v>
      </c>
      <c r="I10" s="2" t="str">
        <f t="shared" si="0"/>
        <v>-</v>
      </c>
      <c r="J10" s="21">
        <v>161</v>
      </c>
      <c r="K10" s="17">
        <f t="shared" si="1"/>
        <v>161</v>
      </c>
      <c r="L10" s="30"/>
      <c r="M10" s="30"/>
      <c r="N10" s="30"/>
      <c r="O10" s="30"/>
      <c r="P10" s="30"/>
      <c r="Q10" s="30"/>
      <c r="R10" s="30"/>
      <c r="S10" s="30">
        <f>IF(Tableau113[[#This Row],[alerte stock]]="-",0,1)</f>
        <v>0</v>
      </c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ht="15.75" x14ac:dyDescent="0.25">
      <c r="A11" s="30"/>
      <c r="B11" s="13" t="s">
        <v>25</v>
      </c>
      <c r="C11" s="14" t="s">
        <v>40</v>
      </c>
      <c r="D11" s="5">
        <v>97757659</v>
      </c>
      <c r="E11" s="34" t="s">
        <v>41</v>
      </c>
      <c r="F11" s="7">
        <f>G11+SUMIFS([1]commande!G:G,[1]commande!E:E,"=NB joint de corps pompe 11Kw",[1]commande!I:I,"=oui")+SUMIF('[1]mouvement autoclave'!B:B,"=NB joint de corps pompe 11Kw",'[1]mouvement autoclave'!G:G)</f>
        <v>0</v>
      </c>
      <c r="G11" s="7">
        <v>2</v>
      </c>
      <c r="H11" s="6">
        <v>1</v>
      </c>
      <c r="I11" s="2" t="str">
        <f t="shared" si="0"/>
        <v>/!\</v>
      </c>
      <c r="J11" s="16">
        <v>75.459999999999994</v>
      </c>
      <c r="K11" s="17">
        <f t="shared" si="1"/>
        <v>0</v>
      </c>
      <c r="L11" s="30"/>
      <c r="M11" s="30"/>
      <c r="N11" s="30"/>
      <c r="O11" s="30"/>
      <c r="P11" s="30"/>
      <c r="Q11" s="30"/>
      <c r="R11" s="30"/>
      <c r="S11" s="30">
        <f>IF(Tableau113[[#This Row],[alerte stock]]="-",0,1)</f>
        <v>1</v>
      </c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</row>
    <row r="12" spans="1:44" ht="15.6" x14ac:dyDescent="0.3">
      <c r="A12" s="30"/>
      <c r="B12" s="13" t="s">
        <v>25</v>
      </c>
      <c r="C12" s="22" t="s">
        <v>42</v>
      </c>
      <c r="D12" s="23" t="s">
        <v>43</v>
      </c>
      <c r="E12" s="24" t="s">
        <v>44</v>
      </c>
      <c r="F12" s="7">
        <f>G12+SUMIFS([1]commande!G:G,[1]commande!E:E,"=I.H.M autoclave",[1]commande!I:I,"=oui")+SUMIF('[1]mouvement autoclave'!B:B,"=I.H.M autoclave",'[1]mouvement autoclave'!G:G)</f>
        <v>1</v>
      </c>
      <c r="G12" s="25">
        <v>1</v>
      </c>
      <c r="H12" s="25">
        <v>1</v>
      </c>
      <c r="I12" s="2" t="str">
        <f t="shared" si="0"/>
        <v>-</v>
      </c>
      <c r="J12" s="16">
        <v>1995</v>
      </c>
      <c r="K12" s="17">
        <f t="shared" si="1"/>
        <v>1995</v>
      </c>
      <c r="L12" s="30"/>
      <c r="M12" s="30"/>
      <c r="N12" s="30"/>
      <c r="O12" s="30"/>
      <c r="P12" s="30"/>
      <c r="Q12" s="30"/>
      <c r="R12" s="30"/>
      <c r="S12" s="30">
        <f>IF(Tableau113[[#This Row],[alerte stock]]="-",0,1)</f>
        <v>0</v>
      </c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4" ht="15.75" x14ac:dyDescent="0.25">
      <c r="A13" s="30"/>
      <c r="B13" s="13" t="s">
        <v>25</v>
      </c>
      <c r="C13" s="14" t="s">
        <v>45</v>
      </c>
      <c r="D13" s="5" t="s">
        <v>46</v>
      </c>
      <c r="E13" s="15" t="s">
        <v>28</v>
      </c>
      <c r="F13" s="7">
        <f>G13+SUMIFS([1]commande!G:G,[1]commande!E:E,"=interrupteur de sécurité",[1]commande!I:I,"=oui")+SUMIF('[1]mouvement autoclave'!B:B,"=interrupteur de sécurité",'[1]mouvement autoclave'!G:G)</f>
        <v>1</v>
      </c>
      <c r="G13" s="7">
        <v>1</v>
      </c>
      <c r="H13" s="6">
        <v>1</v>
      </c>
      <c r="I13" s="2" t="str">
        <f t="shared" si="0"/>
        <v>-</v>
      </c>
      <c r="J13" s="16">
        <v>192.91</v>
      </c>
      <c r="K13" s="17">
        <f t="shared" si="1"/>
        <v>192.91</v>
      </c>
      <c r="L13" s="30"/>
      <c r="M13" s="30"/>
      <c r="N13" s="30"/>
      <c r="O13" s="30"/>
      <c r="P13" s="30"/>
      <c r="Q13" s="30"/>
      <c r="R13" s="30"/>
      <c r="S13" s="30">
        <f>IF(Tableau113[[#This Row],[alerte stock]]="-",0,1)</f>
        <v>0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</row>
    <row r="14" spans="1:44" ht="14.45" customHeight="1" x14ac:dyDescent="0.3">
      <c r="A14" s="30"/>
      <c r="B14" s="13" t="s">
        <v>25</v>
      </c>
      <c r="C14" s="14" t="s">
        <v>47</v>
      </c>
      <c r="D14" s="5" t="s">
        <v>48</v>
      </c>
      <c r="E14" s="15" t="s">
        <v>44</v>
      </c>
      <c r="F14" s="7">
        <f>G14+SUMIFS([1]commande!G:G,[1]commande!E:E,"=joint de porte 1300 mm",[1]commande!I:I,"=oui")+SUMIF('[1]mouvement autoclave'!B:B,"=joint de porte 1300 mm",'[1]mouvement autoclave'!G:G)</f>
        <v>2</v>
      </c>
      <c r="G14" s="7">
        <v>2</v>
      </c>
      <c r="H14" s="6">
        <v>1</v>
      </c>
      <c r="I14" s="2" t="str">
        <f t="shared" si="0"/>
        <v>-</v>
      </c>
      <c r="J14" s="16">
        <v>159.6</v>
      </c>
      <c r="K14" s="17">
        <f t="shared" si="1"/>
        <v>319.2</v>
      </c>
      <c r="L14" s="30"/>
      <c r="M14" s="30"/>
      <c r="N14" s="30"/>
      <c r="O14" s="30"/>
      <c r="P14" s="30"/>
      <c r="Q14" s="30"/>
      <c r="R14" s="30"/>
      <c r="S14" s="30">
        <f>IF(Tableau113[[#This Row],[alerte stock]]="-",0,1)</f>
        <v>0</v>
      </c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</row>
    <row r="15" spans="1:44" ht="14.45" customHeight="1" x14ac:dyDescent="0.25">
      <c r="A15" s="30"/>
      <c r="B15" s="13" t="s">
        <v>25</v>
      </c>
      <c r="C15" s="14" t="s">
        <v>49</v>
      </c>
      <c r="D15" s="5" t="s">
        <v>50</v>
      </c>
      <c r="E15" s="15" t="s">
        <v>28</v>
      </c>
      <c r="F15" s="7">
        <f>G15+SUMIFS([1]commande!G:G,[1]commande!E:E,"=lampe 24v(ampoules)",[1]commande!I:I,"=oui")+SUMIF('[1]mouvement autoclave'!B:B,"=lampe 24v(ampoules)",'[1]mouvement autoclave'!G:G)</f>
        <v>0</v>
      </c>
      <c r="G15" s="7">
        <v>0</v>
      </c>
      <c r="H15" s="6">
        <v>2</v>
      </c>
      <c r="I15" s="2" t="str">
        <f t="shared" si="0"/>
        <v>/!\</v>
      </c>
      <c r="J15" s="16">
        <v>3.24</v>
      </c>
      <c r="K15" s="17">
        <f t="shared" si="1"/>
        <v>0</v>
      </c>
      <c r="L15" s="30"/>
      <c r="M15" s="30"/>
      <c r="N15" s="30"/>
      <c r="O15" s="30"/>
      <c r="P15" s="30"/>
      <c r="Q15" s="30"/>
      <c r="R15" s="30"/>
      <c r="S15" s="30">
        <f>IF(Tableau113[[#This Row],[alerte stock]]="-",0,1)</f>
        <v>1</v>
      </c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</row>
    <row r="16" spans="1:44" ht="15" customHeight="1" x14ac:dyDescent="0.25">
      <c r="A16" s="30"/>
      <c r="B16" s="13" t="s">
        <v>25</v>
      </c>
      <c r="C16" s="14" t="s">
        <v>52</v>
      </c>
      <c r="D16" s="5" t="s">
        <v>53</v>
      </c>
      <c r="E16" s="15" t="s">
        <v>28</v>
      </c>
      <c r="F16" s="7">
        <f>G16+SUMIFS([1]commande!G:G,[1]commande!E:E,"=manomètre 0-6 bar G1/2 100mm",[1]commande!I:I,"=oui")+SUMIF('[1]mouvement autoclave'!B:B,"=manomètre 0-6 bar G1/2 100mm",'[1]mouvement autoclave'!G:G)</f>
        <v>-9</v>
      </c>
      <c r="G16" s="7">
        <v>1</v>
      </c>
      <c r="H16" s="6">
        <v>1</v>
      </c>
      <c r="I16" s="2" t="str">
        <f t="shared" si="0"/>
        <v>/!\</v>
      </c>
      <c r="J16" s="16">
        <v>81.99</v>
      </c>
      <c r="K16" s="17">
        <f t="shared" si="1"/>
        <v>-737.91</v>
      </c>
      <c r="L16" s="30"/>
      <c r="M16" s="30"/>
      <c r="N16" s="30"/>
      <c r="O16" s="30"/>
      <c r="P16" s="30"/>
      <c r="Q16" s="30"/>
      <c r="R16" s="30"/>
      <c r="S16" s="30">
        <f>IF(Tableau113[[#This Row],[alerte stock]]="-",0,1)</f>
        <v>1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</row>
    <row r="17" spans="1:44" ht="14.45" customHeight="1" x14ac:dyDescent="0.25">
      <c r="A17" s="30"/>
      <c r="B17" s="13" t="s">
        <v>25</v>
      </c>
      <c r="C17" s="14" t="s">
        <v>54</v>
      </c>
      <c r="D17" s="5" t="s">
        <v>55</v>
      </c>
      <c r="E17" s="15" t="s">
        <v>41</v>
      </c>
      <c r="F17" s="7">
        <f>G17+SUMIFS([1]commande!G:G,[1]commande!E:E,"=module d'ouverture progressif",[1]commande!I:I,"=oui")+SUMIF('[1]mouvement autoclave'!B:B,"=module d'ouverture progressif",'[1]mouvement autoclave'!G:G)</f>
        <v>0</v>
      </c>
      <c r="G17" s="7">
        <v>0</v>
      </c>
      <c r="H17" s="6">
        <v>1</v>
      </c>
      <c r="I17" s="2" t="str">
        <f t="shared" si="0"/>
        <v>/!\</v>
      </c>
      <c r="J17" s="16">
        <v>320</v>
      </c>
      <c r="K17" s="17">
        <f t="shared" si="1"/>
        <v>0</v>
      </c>
      <c r="L17" s="30"/>
      <c r="M17" s="30"/>
      <c r="N17" s="30"/>
      <c r="O17" s="30"/>
      <c r="P17" s="30"/>
      <c r="Q17" s="30"/>
      <c r="R17" s="30"/>
      <c r="S17" s="30">
        <f>IF(Tableau113[[#This Row],[alerte stock]]="-",0,1)</f>
        <v>1</v>
      </c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</row>
    <row r="18" spans="1:44" ht="14.45" customHeight="1" x14ac:dyDescent="0.25">
      <c r="A18" s="30"/>
      <c r="B18" s="13" t="s">
        <v>25</v>
      </c>
      <c r="C18" s="14" t="s">
        <v>56</v>
      </c>
      <c r="D18" s="5" t="s">
        <v>57</v>
      </c>
      <c r="E18" s="15" t="s">
        <v>28</v>
      </c>
      <c r="F18" s="7">
        <f>G18+SUMIFS([1]commande!G:G,[1]commande!E:E,"=Pile chlorure de thionyle 3,6V 2400mAh",[1]commande!I:I,"=oui")+SUMIF('[1]mouvement autoclave'!B:B,"=Pile chlorure de thionyle 3,6V 2400mAh",'[1]mouvement autoclave'!G:G)</f>
        <v>0</v>
      </c>
      <c r="G18" s="7">
        <v>0</v>
      </c>
      <c r="H18" s="6">
        <v>2</v>
      </c>
      <c r="I18" s="2" t="str">
        <f t="shared" si="0"/>
        <v>/!\</v>
      </c>
      <c r="J18" s="16">
        <v>7.32</v>
      </c>
      <c r="K18" s="17">
        <f t="shared" si="1"/>
        <v>0</v>
      </c>
      <c r="L18" s="30"/>
      <c r="M18" s="30"/>
      <c r="N18" s="30"/>
      <c r="O18" s="30"/>
      <c r="P18" s="30"/>
      <c r="Q18" s="30"/>
      <c r="R18" s="30"/>
      <c r="S18" s="30">
        <f>IF(Tableau113[[#This Row],[alerte stock]]="-",0,1)</f>
        <v>1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</row>
    <row r="19" spans="1:44" ht="14.45" customHeight="1" x14ac:dyDescent="0.3">
      <c r="A19" s="30"/>
      <c r="B19" s="13" t="s">
        <v>25</v>
      </c>
      <c r="C19" s="14" t="s">
        <v>58</v>
      </c>
      <c r="D19" s="6" t="s">
        <v>59</v>
      </c>
      <c r="E19" s="15" t="s">
        <v>41</v>
      </c>
      <c r="F19" s="7">
        <f>G19+SUMIFS([1]commande!G:G,[1]commande!E:E,"=vanne de proces dn 32 pn 25",[1]commande!I:I,"=oui")+SUMIF('[1]mouvement autoclave'!B:B,"=vanne de proces dn 32 pn 25",'[1]mouvement autoclave'!G:G)</f>
        <v>1</v>
      </c>
      <c r="G19" s="7">
        <v>1</v>
      </c>
      <c r="H19" s="6">
        <v>1</v>
      </c>
      <c r="I19" s="2" t="str">
        <f t="shared" si="0"/>
        <v>-</v>
      </c>
      <c r="J19" s="16">
        <v>550</v>
      </c>
      <c r="K19" s="17">
        <f t="shared" si="1"/>
        <v>550</v>
      </c>
      <c r="L19" s="30"/>
      <c r="M19" s="30"/>
      <c r="N19" s="30"/>
      <c r="O19" s="30"/>
      <c r="P19" s="30"/>
      <c r="Q19" s="30"/>
      <c r="R19" s="30"/>
      <c r="S19" s="30">
        <f>IF(Tableau113[[#This Row],[alerte stock]]="-",0,1)</f>
        <v>0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</row>
    <row r="20" spans="1:44" ht="14.45" customHeight="1" x14ac:dyDescent="0.3">
      <c r="A20" s="30"/>
      <c r="B20" s="13" t="s">
        <v>25</v>
      </c>
      <c r="C20" s="14" t="s">
        <v>60</v>
      </c>
      <c r="D20" s="5" t="s">
        <v>61</v>
      </c>
      <c r="E20" s="15" t="s">
        <v>41</v>
      </c>
      <c r="F20" s="7">
        <f>G20+SUMIFS([1]commande!G:G,[1]commande!E:E,"=vanne de process dn 100 pn 25",[1]commande!I:I,"=oui")+SUMIF('[1]mouvement autoclave'!B:B,"=vanne de process dn 100 pn 25",'[1]mouvement autoclave'!G:G)</f>
        <v>1</v>
      </c>
      <c r="G20" s="7">
        <v>1</v>
      </c>
      <c r="H20" s="6">
        <v>1</v>
      </c>
      <c r="I20" s="2" t="str">
        <f t="shared" si="0"/>
        <v>-</v>
      </c>
      <c r="J20" s="16">
        <v>2014</v>
      </c>
      <c r="K20" s="17">
        <f t="shared" si="1"/>
        <v>2014</v>
      </c>
      <c r="L20" s="30"/>
      <c r="M20" s="30"/>
      <c r="N20" s="30"/>
      <c r="O20" s="30"/>
      <c r="P20" s="30"/>
      <c r="Q20" s="30"/>
      <c r="R20" s="30"/>
      <c r="S20" s="30">
        <f>IF(Tableau113[[#This Row],[alerte stock]]="-",0,1)</f>
        <v>0</v>
      </c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</row>
    <row r="21" spans="1:44" ht="14.45" customHeight="1" x14ac:dyDescent="0.3">
      <c r="A21" s="30"/>
      <c r="B21" s="13" t="s">
        <v>25</v>
      </c>
      <c r="C21" s="14" t="s">
        <v>62</v>
      </c>
      <c r="D21" s="5" t="s">
        <v>63</v>
      </c>
      <c r="E21" s="15" t="s">
        <v>41</v>
      </c>
      <c r="F21" s="7">
        <f>G21+SUMIFS([1]commande!G:G,[1]commande!E:E,"=vanne de process dn 20 pn 25",[1]commande!I:I,"=oui")+SUMIF('[1]mouvement autoclave'!B:B,"=vanne de process dn 20 pn 25",'[1]mouvement autoclave'!G:G)</f>
        <v>1</v>
      </c>
      <c r="G21" s="7">
        <v>1</v>
      </c>
      <c r="H21" s="6">
        <v>1</v>
      </c>
      <c r="I21" s="2" t="str">
        <f t="shared" si="0"/>
        <v>-</v>
      </c>
      <c r="J21" s="16">
        <v>360</v>
      </c>
      <c r="K21" s="17">
        <f t="shared" si="1"/>
        <v>360</v>
      </c>
      <c r="L21" s="30"/>
      <c r="M21" s="30"/>
      <c r="N21" s="30"/>
      <c r="O21" s="30"/>
      <c r="P21" s="30"/>
      <c r="Q21" s="30"/>
      <c r="R21" s="30"/>
      <c r="S21" s="30">
        <f>IF(Tableau113[[#This Row],[alerte stock]]="-",0,1)</f>
        <v>0</v>
      </c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</row>
    <row r="22" spans="1:44" ht="14.45" customHeight="1" x14ac:dyDescent="0.3">
      <c r="A22" s="30"/>
      <c r="B22" s="13" t="s">
        <v>25</v>
      </c>
      <c r="C22" s="14" t="s">
        <v>64</v>
      </c>
      <c r="D22" s="5" t="s">
        <v>65</v>
      </c>
      <c r="E22" s="15" t="s">
        <v>41</v>
      </c>
      <c r="F22" s="7">
        <f>G22+SUMIF('[1]mouvement autoclave'!B:B,"=vanne de process dn 40",'[1]mouvement autoclave'!G:G)</f>
        <v>1</v>
      </c>
      <c r="G22" s="7">
        <v>1</v>
      </c>
      <c r="H22" s="6">
        <v>1</v>
      </c>
      <c r="I22" s="2" t="str">
        <f t="shared" si="0"/>
        <v>-</v>
      </c>
      <c r="J22" s="16">
        <v>651</v>
      </c>
      <c r="K22" s="17">
        <f t="shared" si="1"/>
        <v>651</v>
      </c>
      <c r="L22" s="30"/>
      <c r="M22" s="30"/>
      <c r="N22" s="30"/>
      <c r="O22" s="30"/>
      <c r="P22" s="30"/>
      <c r="Q22" s="30"/>
      <c r="R22" s="30"/>
      <c r="S22" s="30">
        <f>IF(Tableau113[[#This Row],[alerte stock]]="-",0,1)</f>
        <v>0</v>
      </c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</row>
    <row r="23" spans="1:44" ht="14.45" customHeight="1" x14ac:dyDescent="0.3">
      <c r="A23" s="30"/>
      <c r="B23" s="13" t="s">
        <v>25</v>
      </c>
      <c r="C23" s="14" t="s">
        <v>66</v>
      </c>
      <c r="D23" s="5" t="s">
        <v>67</v>
      </c>
      <c r="E23" s="15" t="s">
        <v>41</v>
      </c>
      <c r="F23" s="7">
        <f>G23+SUMIF('[1]mouvement autoclave'!B:B,"=vanne de process dn 40 pn 25 316L",'[1]mouvement autoclave'!G:G)</f>
        <v>1</v>
      </c>
      <c r="G23" s="7">
        <v>1</v>
      </c>
      <c r="H23" s="6">
        <v>1</v>
      </c>
      <c r="I23" s="2" t="str">
        <f t="shared" si="0"/>
        <v>-</v>
      </c>
      <c r="J23" s="16">
        <v>355</v>
      </c>
      <c r="K23" s="17">
        <f t="shared" si="1"/>
        <v>355</v>
      </c>
      <c r="L23" s="30"/>
      <c r="M23" s="30"/>
      <c r="N23" s="30"/>
      <c r="O23" s="30"/>
      <c r="P23" s="30"/>
      <c r="Q23" s="30"/>
      <c r="R23" s="30"/>
      <c r="S23" s="30">
        <f>IF(Tableau113[[#This Row],[alerte stock]]="-",0,1)</f>
        <v>0</v>
      </c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</row>
    <row r="24" spans="1:44" ht="14.45" customHeight="1" x14ac:dyDescent="0.3">
      <c r="A24" s="30"/>
      <c r="B24" s="13" t="s">
        <v>25</v>
      </c>
      <c r="C24" s="14" t="s">
        <v>68</v>
      </c>
      <c r="D24" s="5" t="s">
        <v>69</v>
      </c>
      <c r="E24" s="15" t="s">
        <v>41</v>
      </c>
      <c r="F24" s="7">
        <f>G24+SUMIF('[1]mouvement autoclave'!B:B,"=vanne de process dn 50 pn 25",'[1]mouvement autoclave'!G:G)</f>
        <v>1</v>
      </c>
      <c r="G24" s="7">
        <v>1</v>
      </c>
      <c r="H24" s="6">
        <v>1</v>
      </c>
      <c r="I24" s="2" t="str">
        <f t="shared" si="0"/>
        <v>-</v>
      </c>
      <c r="J24" s="16">
        <v>760</v>
      </c>
      <c r="K24" s="17">
        <f t="shared" si="1"/>
        <v>760</v>
      </c>
      <c r="L24" s="30"/>
      <c r="M24" s="30"/>
      <c r="N24" s="30"/>
      <c r="O24" s="30"/>
      <c r="P24" s="30"/>
      <c r="Q24" s="30"/>
      <c r="R24" s="30"/>
      <c r="S24" s="30">
        <f>IF(Tableau113[[#This Row],[alerte stock]]="-",0,1)</f>
        <v>0</v>
      </c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</row>
    <row r="25" spans="1:44" ht="14.45" customHeight="1" x14ac:dyDescent="0.3">
      <c r="A25" s="30"/>
      <c r="B25" s="13" t="s">
        <v>25</v>
      </c>
      <c r="C25" s="14" t="s">
        <v>70</v>
      </c>
      <c r="D25" s="5" t="s">
        <v>71</v>
      </c>
      <c r="E25" s="15" t="s">
        <v>28</v>
      </c>
      <c r="F25" s="7">
        <f>G25+SUMIF('[1]mouvement autoclave'!B:B,"=ventillateur 24v 42mA5( pour le pc)",'[1]mouvement autoclave'!G:G)</f>
        <v>1</v>
      </c>
      <c r="G25" s="7">
        <v>1</v>
      </c>
      <c r="H25" s="6">
        <v>1</v>
      </c>
      <c r="I25" s="2" t="str">
        <f t="shared" si="0"/>
        <v>-</v>
      </c>
      <c r="J25" s="16">
        <v>20.56</v>
      </c>
      <c r="K25" s="17">
        <f t="shared" si="1"/>
        <v>20.56</v>
      </c>
      <c r="L25" s="30"/>
      <c r="M25" s="3" t="s">
        <v>25</v>
      </c>
      <c r="N25" s="30"/>
      <c r="O25" s="30"/>
      <c r="P25" s="30"/>
      <c r="Q25" s="30"/>
      <c r="R25" s="30"/>
      <c r="S25" s="30">
        <f>IF(Tableau113[[#This Row],[alerte stock]]="-",0,1)</f>
        <v>0</v>
      </c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</row>
    <row r="26" spans="1:44" ht="15.75" x14ac:dyDescent="0.25">
      <c r="A26" s="30"/>
      <c r="B26" s="13" t="s">
        <v>25</v>
      </c>
      <c r="C26" s="14" t="s">
        <v>72</v>
      </c>
      <c r="D26" s="5">
        <v>601140</v>
      </c>
      <c r="E26" s="11" t="s">
        <v>24</v>
      </c>
      <c r="F26" s="7">
        <f>G26+SUMIF('[1]mouvement autoclave'!B:B,"=Capteur proximité 440NGO2123",'[1]mouvement autoclave'!G:G)</f>
        <v>1</v>
      </c>
      <c r="G26" s="7">
        <v>1</v>
      </c>
      <c r="H26" s="6">
        <v>1</v>
      </c>
      <c r="I26" s="2" t="str">
        <f t="shared" si="0"/>
        <v>-</v>
      </c>
      <c r="J26" s="16">
        <v>0</v>
      </c>
      <c r="K26" s="17">
        <f t="shared" si="1"/>
        <v>0</v>
      </c>
      <c r="L26" s="30"/>
      <c r="M26" s="35">
        <f>SUM(K5:K26)</f>
        <v>7801.29</v>
      </c>
      <c r="N26" s="30"/>
      <c r="O26" s="30"/>
      <c r="P26" s="30"/>
      <c r="Q26" s="30"/>
      <c r="R26" s="30"/>
      <c r="S26" s="30">
        <f>IF(Tableau113[[#This Row],[alerte stock]]="-",0,1)</f>
        <v>0</v>
      </c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</row>
    <row r="27" spans="1:44" ht="15.75" x14ac:dyDescent="0.25">
      <c r="A27" s="30"/>
      <c r="B27" s="13" t="s">
        <v>73</v>
      </c>
      <c r="C27" s="36" t="s">
        <v>74</v>
      </c>
      <c r="D27" s="37" t="s">
        <v>75</v>
      </c>
      <c r="E27" s="6" t="s">
        <v>76</v>
      </c>
      <c r="F27" s="7">
        <f>G27+SUMIF('[1]mouvement autolaveuse'!B:B,"=COURROIE DENTEE AUTOLAVEUSE BR40",'[1]mouvement autolaveuse'!G:G)</f>
        <v>2</v>
      </c>
      <c r="G27" s="7">
        <v>2</v>
      </c>
      <c r="H27" s="7">
        <v>2</v>
      </c>
      <c r="I27" s="10" t="str">
        <f>IF(F27&lt;H27,"/!\","-")</f>
        <v>-</v>
      </c>
      <c r="J27" s="11">
        <v>15.34</v>
      </c>
      <c r="K27" s="12">
        <f>F27*J27</f>
        <v>30.68</v>
      </c>
      <c r="L27" s="30"/>
      <c r="M27" s="3" t="s">
        <v>73</v>
      </c>
      <c r="N27" s="30"/>
      <c r="O27" s="30"/>
      <c r="P27" s="30"/>
      <c r="Q27" s="30"/>
      <c r="R27" s="30"/>
      <c r="S27" s="30">
        <f>IF(Tableau113[[#This Row],[alerte stock]]="-",0,1)</f>
        <v>0</v>
      </c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</row>
    <row r="28" spans="1:44" ht="14.45" customHeight="1" x14ac:dyDescent="0.3">
      <c r="A28" s="30"/>
      <c r="B28" s="13" t="s">
        <v>73</v>
      </c>
      <c r="C28" s="36" t="s">
        <v>77</v>
      </c>
      <c r="D28" s="38" t="s">
        <v>78</v>
      </c>
      <c r="E28" s="6" t="s">
        <v>76</v>
      </c>
      <c r="F28" s="7">
        <f>G28+SUMIF('[1]mouvement autolaveuse'!B:B,"=Courroie dentee",'[1]mouvement autolaveuse'!G:G)</f>
        <v>2</v>
      </c>
      <c r="G28" s="7">
        <v>2</v>
      </c>
      <c r="H28" s="7">
        <v>2</v>
      </c>
      <c r="I28" s="10" t="str">
        <f>IF(F28&lt;H28,"/!\","-")</f>
        <v>-</v>
      </c>
      <c r="J28" s="11">
        <v>12.74</v>
      </c>
      <c r="K28" s="12">
        <f>F28*J28</f>
        <v>25.48</v>
      </c>
      <c r="L28" s="30"/>
      <c r="M28" s="35">
        <f>SUM(K27:K28)</f>
        <v>56.16</v>
      </c>
      <c r="N28" s="30"/>
      <c r="O28" s="30"/>
      <c r="P28" s="30"/>
      <c r="Q28" s="30"/>
      <c r="R28" s="30"/>
      <c r="S28" s="30">
        <f>IF(Tableau113[[#This Row],[alerte stock]]="-",0,1)</f>
        <v>0</v>
      </c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</row>
    <row r="29" spans="1:44" ht="14.45" customHeight="1" x14ac:dyDescent="0.25">
      <c r="A29" s="30"/>
      <c r="B29" s="39" t="s">
        <v>79</v>
      </c>
      <c r="C29" s="40" t="s">
        <v>80</v>
      </c>
      <c r="D29" s="41" t="s">
        <v>81</v>
      </c>
      <c r="E29" s="42" t="s">
        <v>24</v>
      </c>
      <c r="F29" s="43">
        <f>G29+SUMIF('[1]mouvement bakon'!B:B,"=joint torique dim 55 x  5 mm, emplacement sous trémie bleu",'[1]mouvement bakon'!G:G)</f>
        <v>11</v>
      </c>
      <c r="G29" s="43">
        <v>11</v>
      </c>
      <c r="H29" s="44">
        <v>16</v>
      </c>
      <c r="I29" s="2" t="str">
        <f>IF(F29&lt;H29,"/!\","-")</f>
        <v>/!\</v>
      </c>
      <c r="J29" s="16">
        <v>11.1</v>
      </c>
      <c r="K29" s="17">
        <f>F29*J29</f>
        <v>122.1</v>
      </c>
      <c r="L29" s="30"/>
      <c r="M29" s="30"/>
      <c r="N29" s="30"/>
      <c r="O29" s="30"/>
      <c r="P29" s="30"/>
      <c r="Q29" s="30"/>
      <c r="R29" s="30"/>
      <c r="S29" s="30">
        <f>IF(Tableau113[[#This Row],[alerte stock]]="-",0,1)</f>
        <v>1</v>
      </c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</row>
    <row r="30" spans="1:44" ht="15" customHeight="1" x14ac:dyDescent="0.25">
      <c r="A30" s="30"/>
      <c r="B30" s="39" t="s">
        <v>79</v>
      </c>
      <c r="C30" s="45" t="s">
        <v>82</v>
      </c>
      <c r="D30" s="41" t="s">
        <v>83</v>
      </c>
      <c r="E30" s="46" t="s">
        <v>24</v>
      </c>
      <c r="F30" s="43">
        <f>G30+SUMIF('[1]mouvement bakon'!B:B,"=joint de type quad ring diam 28,17 x 3,53 mm (cylindre de dosage à piston)",'[1]mouvement bakon'!G:G)</f>
        <v>40</v>
      </c>
      <c r="G30" s="43">
        <v>36</v>
      </c>
      <c r="H30" s="44">
        <v>16</v>
      </c>
      <c r="I30" s="2" t="str">
        <f t="shared" ref="I30:I93" si="2">IF(F30&lt;H30,"/!\","-")</f>
        <v>-</v>
      </c>
      <c r="J30" s="16">
        <v>23.5</v>
      </c>
      <c r="K30" s="17">
        <f t="shared" ref="K30:K93" si="3">F30*J30</f>
        <v>940</v>
      </c>
      <c r="L30" s="30"/>
      <c r="M30" s="30"/>
      <c r="N30" s="30"/>
      <c r="O30" s="30"/>
      <c r="P30" s="30"/>
      <c r="Q30" s="30"/>
      <c r="R30" s="30"/>
      <c r="S30" s="30">
        <f>IF(Tableau113[[#This Row],[alerte stock]]="-",0,1)</f>
        <v>0</v>
      </c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</row>
    <row r="31" spans="1:44" ht="15.6" x14ac:dyDescent="0.3">
      <c r="A31" s="30"/>
      <c r="B31" s="39" t="s">
        <v>79</v>
      </c>
      <c r="C31" s="40" t="s">
        <v>84</v>
      </c>
      <c r="D31" s="41" t="s">
        <v>85</v>
      </c>
      <c r="E31" s="46" t="s">
        <v>24</v>
      </c>
      <c r="F31" s="43">
        <f>G31+SUMIF('[1]mouvement bakon'!B:B,"=joint torique dim 62 x 3 mm (tubes de dosage)",'[1]mouvement bakon'!G:G)</f>
        <v>47</v>
      </c>
      <c r="G31" s="43">
        <v>40</v>
      </c>
      <c r="H31" s="44">
        <v>16</v>
      </c>
      <c r="I31" s="2" t="str">
        <f t="shared" si="2"/>
        <v>-</v>
      </c>
      <c r="J31" s="16">
        <v>5.82</v>
      </c>
      <c r="K31" s="17">
        <f t="shared" si="3"/>
        <v>273.54000000000002</v>
      </c>
      <c r="L31" s="30"/>
      <c r="M31" s="30"/>
      <c r="N31" s="30"/>
      <c r="O31" s="30"/>
      <c r="P31" s="30"/>
      <c r="Q31" s="30"/>
      <c r="R31" s="30"/>
      <c r="S31" s="30">
        <f>IF(Tableau113[[#This Row],[alerte stock]]="-",0,1)</f>
        <v>0</v>
      </c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</row>
    <row r="32" spans="1:44" ht="15.75" x14ac:dyDescent="0.25">
      <c r="A32" s="30"/>
      <c r="B32" s="39" t="s">
        <v>79</v>
      </c>
      <c r="C32" s="40" t="s">
        <v>86</v>
      </c>
      <c r="D32" s="41" t="s">
        <v>87</v>
      </c>
      <c r="E32" s="46" t="s">
        <v>24</v>
      </c>
      <c r="F32" s="43">
        <f>G32+SUMIF('[1]mouvement bakon'!B:B,"=joint torique Dim 49,5 x 3 mm (bloc de dosage à piston)",'[1]mouvement bakon'!G:G)</f>
        <v>10</v>
      </c>
      <c r="G32" s="43">
        <v>3</v>
      </c>
      <c r="H32" s="44">
        <v>16</v>
      </c>
      <c r="I32" s="2" t="str">
        <f t="shared" si="2"/>
        <v>/!\</v>
      </c>
      <c r="J32" s="16">
        <v>14.8</v>
      </c>
      <c r="K32" s="17">
        <f t="shared" si="3"/>
        <v>148</v>
      </c>
      <c r="L32" s="30"/>
      <c r="M32" s="30"/>
      <c r="N32" s="30"/>
      <c r="O32" s="30"/>
      <c r="P32" s="30"/>
      <c r="Q32" s="30"/>
      <c r="R32" s="30"/>
      <c r="S32" s="30">
        <f>IF(Tableau113[[#This Row],[alerte stock]]="-",0,1)</f>
        <v>1</v>
      </c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</row>
    <row r="33" spans="1:44" ht="15.6" x14ac:dyDescent="0.3">
      <c r="A33" s="30"/>
      <c r="B33" s="39" t="s">
        <v>79</v>
      </c>
      <c r="C33" s="40" t="s">
        <v>88</v>
      </c>
      <c r="D33" s="41" t="s">
        <v>89</v>
      </c>
      <c r="E33" s="46" t="s">
        <v>24</v>
      </c>
      <c r="F33" s="43">
        <f>G33+SUMIF('[1]mouvement bakon'!B:B,"=joint torique Dim 35 x 2,5 mm (tubes de distribution sauce)",'[1]mouvement bakon'!G:G)</f>
        <v>5</v>
      </c>
      <c r="G33" s="43">
        <v>7</v>
      </c>
      <c r="H33" s="44">
        <v>16</v>
      </c>
      <c r="I33" s="2" t="str">
        <f t="shared" si="2"/>
        <v>/!\</v>
      </c>
      <c r="J33" s="16">
        <v>7.7</v>
      </c>
      <c r="K33" s="17">
        <f t="shared" si="3"/>
        <v>38.5</v>
      </c>
      <c r="L33" s="30"/>
      <c r="M33" s="30"/>
      <c r="N33" s="30"/>
      <c r="O33" s="30"/>
      <c r="P33" s="30"/>
      <c r="Q33" s="30"/>
      <c r="R33" s="30"/>
      <c r="S33" s="30">
        <f>IF(Tableau113[[#This Row],[alerte stock]]="-",0,1)</f>
        <v>1</v>
      </c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</row>
    <row r="34" spans="1:44" ht="15.75" x14ac:dyDescent="0.25">
      <c r="A34" s="30"/>
      <c r="B34" s="39" t="s">
        <v>79</v>
      </c>
      <c r="C34" s="45" t="s">
        <v>90</v>
      </c>
      <c r="D34" s="41"/>
      <c r="E34" s="44" t="s">
        <v>24</v>
      </c>
      <c r="F34" s="43">
        <f>G34+SUMIF('[1]mouvement bakon'!B:B,"=joint torique Dim 18 x 2,5 mm (vérin pneumatique tête de dressage)",'[1]mouvement bakon'!G:G)</f>
        <v>1</v>
      </c>
      <c r="G34" s="43">
        <v>-7</v>
      </c>
      <c r="H34" s="44">
        <v>16</v>
      </c>
      <c r="I34" s="2" t="str">
        <f t="shared" si="2"/>
        <v>/!\</v>
      </c>
      <c r="J34" s="11">
        <v>0</v>
      </c>
      <c r="K34" s="17">
        <f t="shared" si="3"/>
        <v>0</v>
      </c>
      <c r="L34" s="30"/>
      <c r="M34" s="30"/>
      <c r="N34" s="30"/>
      <c r="O34" s="30"/>
      <c r="P34" s="30"/>
      <c r="Q34" s="30"/>
      <c r="R34" s="30"/>
      <c r="S34" s="30">
        <f>IF(Tableau113[[#This Row],[alerte stock]]="-",0,1)</f>
        <v>1</v>
      </c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</row>
    <row r="35" spans="1:44" ht="15.75" x14ac:dyDescent="0.25">
      <c r="A35" s="30"/>
      <c r="B35" s="39" t="s">
        <v>79</v>
      </c>
      <c r="C35" s="40" t="s">
        <v>91</v>
      </c>
      <c r="D35" s="41" t="s">
        <v>92</v>
      </c>
      <c r="E35" s="44" t="s">
        <v>24</v>
      </c>
      <c r="F35" s="43">
        <f>G35+SUMIF('[1]mouvement bakon'!B:B,"=roulement axe trémie",'[1]mouvement bakon'!G:G)</f>
        <v>7</v>
      </c>
      <c r="G35" s="43">
        <v>7</v>
      </c>
      <c r="H35" s="44">
        <v>2</v>
      </c>
      <c r="I35" s="2" t="str">
        <f t="shared" si="2"/>
        <v>-</v>
      </c>
      <c r="J35" s="11">
        <v>0</v>
      </c>
      <c r="K35" s="17">
        <f t="shared" si="3"/>
        <v>0</v>
      </c>
      <c r="L35" s="30"/>
      <c r="M35" s="30"/>
      <c r="N35" s="30"/>
      <c r="O35" s="30"/>
      <c r="P35" s="30"/>
      <c r="Q35" s="30"/>
      <c r="R35" s="30"/>
      <c r="S35" s="30">
        <f>IF(Tableau113[[#This Row],[alerte stock]]="-",0,1)</f>
        <v>0</v>
      </c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</row>
    <row r="36" spans="1:44" ht="15.75" x14ac:dyDescent="0.25">
      <c r="A36" s="30"/>
      <c r="B36" s="47" t="s">
        <v>79</v>
      </c>
      <c r="C36" s="48" t="s">
        <v>93</v>
      </c>
      <c r="D36" s="49">
        <v>6201</v>
      </c>
      <c r="E36" s="50" t="s">
        <v>24</v>
      </c>
      <c r="F36" s="51">
        <f>G36+SUMIF('[1]mouvement bakon'!B:B,"=Roulement support Trémie",'[1]mouvement bakon'!G:G)</f>
        <v>0</v>
      </c>
      <c r="G36" s="51">
        <v>0</v>
      </c>
      <c r="H36" s="50">
        <v>2</v>
      </c>
      <c r="I36" s="2" t="str">
        <f t="shared" si="2"/>
        <v>/!\</v>
      </c>
      <c r="J36" s="11">
        <v>0</v>
      </c>
      <c r="K36" s="17">
        <f t="shared" si="3"/>
        <v>0</v>
      </c>
      <c r="L36" s="30"/>
      <c r="M36" s="30"/>
      <c r="N36" s="30"/>
      <c r="O36" s="30"/>
      <c r="P36" s="30"/>
      <c r="Q36" s="30"/>
      <c r="R36" s="30"/>
      <c r="S36" s="30">
        <f>IF(Tableau113[[#This Row],[alerte stock]]="-",0,1)</f>
        <v>1</v>
      </c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</row>
    <row r="37" spans="1:44" ht="14.45" customHeight="1" x14ac:dyDescent="0.25">
      <c r="A37" s="30"/>
      <c r="B37" s="39" t="s">
        <v>79</v>
      </c>
      <c r="C37" s="40" t="s">
        <v>94</v>
      </c>
      <c r="D37" s="41" t="s">
        <v>95</v>
      </c>
      <c r="E37" s="44" t="s">
        <v>24</v>
      </c>
      <c r="F37" s="43">
        <f>G37+SUMIF('[1]mouvement bakon'!B:B,"=joint spi (roulement axe melangeur trémie)",'[1]mouvement bakon'!G:G)</f>
        <v>16</v>
      </c>
      <c r="G37" s="43">
        <v>13</v>
      </c>
      <c r="H37" s="44">
        <v>2</v>
      </c>
      <c r="I37" s="2" t="str">
        <f t="shared" si="2"/>
        <v>-</v>
      </c>
      <c r="J37" s="11">
        <v>24.4</v>
      </c>
      <c r="K37" s="17">
        <f t="shared" si="3"/>
        <v>390.4</v>
      </c>
      <c r="L37" s="30"/>
      <c r="M37" s="30"/>
      <c r="N37" s="30"/>
      <c r="O37" s="30"/>
      <c r="P37" s="30"/>
      <c r="Q37" s="30"/>
      <c r="R37" s="30"/>
      <c r="S37" s="30">
        <f>IF(Tableau113[[#This Row],[alerte stock]]="-",0,1)</f>
        <v>0</v>
      </c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</row>
    <row r="38" spans="1:44" ht="14.45" customHeight="1" x14ac:dyDescent="0.25">
      <c r="A38" s="30"/>
      <c r="B38" s="39" t="s">
        <v>79</v>
      </c>
      <c r="C38" s="40" t="s">
        <v>96</v>
      </c>
      <c r="D38" s="44" t="s">
        <v>97</v>
      </c>
      <c r="E38" s="44" t="s">
        <v>98</v>
      </c>
      <c r="F38" s="43">
        <f>G38+SUMIF('[1]mouvement bakon'!B:B,"=vérin iso double effet (tête de dosage)",'[1]mouvement bakon'!G:G)</f>
        <v>4</v>
      </c>
      <c r="G38" s="43">
        <v>4</v>
      </c>
      <c r="H38" s="44">
        <v>6</v>
      </c>
      <c r="I38" s="2" t="str">
        <f t="shared" si="2"/>
        <v>/!\</v>
      </c>
      <c r="J38" s="11">
        <v>92.98</v>
      </c>
      <c r="K38" s="17">
        <f t="shared" si="3"/>
        <v>371.92</v>
      </c>
      <c r="L38" s="30"/>
      <c r="M38" s="30"/>
      <c r="N38" s="30"/>
      <c r="O38" s="30"/>
      <c r="P38" s="30"/>
      <c r="Q38" s="30"/>
      <c r="R38" s="30"/>
      <c r="S38" s="30">
        <f>IF(Tableau113[[#This Row],[alerte stock]]="-",0,1)</f>
        <v>1</v>
      </c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</row>
    <row r="39" spans="1:44" ht="14.45" customHeight="1" x14ac:dyDescent="0.25">
      <c r="A39" s="30"/>
      <c r="B39" s="52" t="s">
        <v>79</v>
      </c>
      <c r="C39" s="53" t="s">
        <v>96</v>
      </c>
      <c r="D39" s="54" t="s">
        <v>99</v>
      </c>
      <c r="E39" s="54" t="s">
        <v>24</v>
      </c>
      <c r="F39" s="55">
        <f>G39+SUMIF('[1]mouvement bakon'!B:B,"=vérin iso double effet (tête de dosage)",'[1]mouvement bakon'!G:G)</f>
        <v>0</v>
      </c>
      <c r="G39" s="55">
        <v>0</v>
      </c>
      <c r="H39" s="54">
        <v>0</v>
      </c>
      <c r="I39" s="2" t="str">
        <f t="shared" si="2"/>
        <v>-</v>
      </c>
      <c r="J39" s="11">
        <v>31.67</v>
      </c>
      <c r="K39" s="17">
        <f t="shared" si="3"/>
        <v>0</v>
      </c>
      <c r="L39" s="30"/>
      <c r="M39" s="30"/>
      <c r="N39" s="30"/>
      <c r="O39" s="30"/>
      <c r="P39" s="30"/>
      <c r="Q39" s="30"/>
      <c r="R39" s="30"/>
      <c r="S39" s="30">
        <f>IF(Tableau113[[#This Row],[alerte stock]]="-",0,1)</f>
        <v>0</v>
      </c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</row>
    <row r="40" spans="1:44" ht="15.75" x14ac:dyDescent="0.25">
      <c r="A40" s="30"/>
      <c r="B40" s="56" t="s">
        <v>79</v>
      </c>
      <c r="C40" s="57" t="s">
        <v>100</v>
      </c>
      <c r="D40" s="58" t="s">
        <v>101</v>
      </c>
      <c r="E40" s="59" t="s">
        <v>24</v>
      </c>
      <c r="F40" s="60">
        <f>G40+SUMIF('[1]mouvement bakon'!B:B,"=capot harting 16 poles",'[1]mouvement bakon'!G:G)</f>
        <v>0</v>
      </c>
      <c r="G40" s="60">
        <v>0</v>
      </c>
      <c r="H40" s="59">
        <v>2</v>
      </c>
      <c r="I40" s="2" t="str">
        <f t="shared" si="2"/>
        <v>/!\</v>
      </c>
      <c r="J40" s="11">
        <v>7.3049999999999997</v>
      </c>
      <c r="K40" s="17">
        <f t="shared" si="3"/>
        <v>0</v>
      </c>
      <c r="L40" s="30"/>
      <c r="M40" s="30"/>
      <c r="N40" s="30"/>
      <c r="O40" s="30"/>
      <c r="P40" s="30"/>
      <c r="Q40" s="30"/>
      <c r="R40" s="30"/>
      <c r="S40" s="30">
        <f>IF(Tableau113[[#This Row],[alerte stock]]="-",0,1)</f>
        <v>1</v>
      </c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</row>
    <row r="41" spans="1:44" ht="15.75" x14ac:dyDescent="0.25">
      <c r="A41" s="30"/>
      <c r="B41" s="56" t="s">
        <v>79</v>
      </c>
      <c r="C41" s="57" t="s">
        <v>102</v>
      </c>
      <c r="D41" s="58" t="s">
        <v>103</v>
      </c>
      <c r="E41" s="59" t="s">
        <v>24</v>
      </c>
      <c r="F41" s="60">
        <f>G41+SUMIF('[1]mouvement bakon'!B:B,"=pince solidarisant les connecteurs",'[1]mouvement bakon'!G:G)</f>
        <v>0</v>
      </c>
      <c r="G41" s="60">
        <v>0</v>
      </c>
      <c r="H41" s="59">
        <v>1</v>
      </c>
      <c r="I41" s="2" t="str">
        <f t="shared" si="2"/>
        <v>/!\</v>
      </c>
      <c r="J41" s="11">
        <v>16.3</v>
      </c>
      <c r="K41" s="17">
        <f t="shared" si="3"/>
        <v>0</v>
      </c>
      <c r="L41" s="30"/>
      <c r="M41" s="30"/>
      <c r="N41" s="30"/>
      <c r="O41" s="30"/>
      <c r="P41" s="30"/>
      <c r="Q41" s="30"/>
      <c r="R41" s="30"/>
      <c r="S41" s="30">
        <f>IF(Tableau113[[#This Row],[alerte stock]]="-",0,1)</f>
        <v>1</v>
      </c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</row>
    <row r="42" spans="1:44" ht="15.75" x14ac:dyDescent="0.25">
      <c r="A42" s="30"/>
      <c r="B42" s="56" t="s">
        <v>79</v>
      </c>
      <c r="C42" s="57" t="s">
        <v>104</v>
      </c>
      <c r="D42" s="58" t="s">
        <v>105</v>
      </c>
      <c r="E42" s="59" t="s">
        <v>24</v>
      </c>
      <c r="F42" s="60">
        <f>G42+SUMIF('[1]mouvement bakon'!B:B,"=connecteurs 9 broches prise harting f",'[1]mouvement bakon'!G:G)</f>
        <v>0</v>
      </c>
      <c r="G42" s="60">
        <v>0</v>
      </c>
      <c r="H42" s="59">
        <v>1</v>
      </c>
      <c r="I42" s="2" t="str">
        <f t="shared" si="2"/>
        <v>/!\</v>
      </c>
      <c r="J42" s="11">
        <v>28.96</v>
      </c>
      <c r="K42" s="17">
        <f t="shared" si="3"/>
        <v>0</v>
      </c>
      <c r="L42" s="30"/>
      <c r="M42" s="30"/>
      <c r="N42" s="30"/>
      <c r="O42" s="30"/>
      <c r="P42" s="30"/>
      <c r="Q42" s="30"/>
      <c r="R42" s="30"/>
      <c r="S42" s="30">
        <f>IF(Tableau113[[#This Row],[alerte stock]]="-",0,1)</f>
        <v>1</v>
      </c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</row>
    <row r="43" spans="1:44" ht="15.75" x14ac:dyDescent="0.25">
      <c r="A43" s="30"/>
      <c r="B43" s="56" t="s">
        <v>79</v>
      </c>
      <c r="C43" s="57" t="s">
        <v>106</v>
      </c>
      <c r="D43" s="58" t="s">
        <v>107</v>
      </c>
      <c r="E43" s="59" t="s">
        <v>24</v>
      </c>
      <c r="F43" s="60">
        <f>G43+SUMIF('[1]mouvement bakon'!B:B,"=connecteurs 9 broches prise harting m",'[1]mouvement bakon'!G:G)</f>
        <v>0</v>
      </c>
      <c r="G43" s="60">
        <v>0</v>
      </c>
      <c r="H43" s="59">
        <v>1</v>
      </c>
      <c r="I43" s="2" t="str">
        <f t="shared" si="2"/>
        <v>/!\</v>
      </c>
      <c r="J43" s="11">
        <v>28.68</v>
      </c>
      <c r="K43" s="17">
        <f t="shared" si="3"/>
        <v>0</v>
      </c>
      <c r="L43" s="30"/>
      <c r="M43" s="30"/>
      <c r="N43" s="30"/>
      <c r="O43" s="30"/>
      <c r="P43" s="30"/>
      <c r="Q43" s="30"/>
      <c r="R43" s="30"/>
      <c r="S43" s="30">
        <f>IF(Tableau113[[#This Row],[alerte stock]]="-",0,1)</f>
        <v>1</v>
      </c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</row>
    <row r="44" spans="1:44" ht="15.75" x14ac:dyDescent="0.25">
      <c r="A44" s="30"/>
      <c r="B44" s="13" t="s">
        <v>79</v>
      </c>
      <c r="C44" s="14" t="s">
        <v>108</v>
      </c>
      <c r="D44" s="5" t="s">
        <v>109</v>
      </c>
      <c r="E44" s="6" t="s">
        <v>110</v>
      </c>
      <c r="F44" s="7">
        <f>G44+SUMIF('[1]mouvement bakon'!B:B,"=connecteur F HARTING HAN8 16A",'[1]mouvement bakon'!G:G)</f>
        <v>4</v>
      </c>
      <c r="G44" s="7">
        <v>4</v>
      </c>
      <c r="H44" s="6">
        <v>1</v>
      </c>
      <c r="I44" s="2" t="str">
        <f t="shared" si="2"/>
        <v>-</v>
      </c>
      <c r="J44" s="11">
        <v>13.667999999999999</v>
      </c>
      <c r="K44" s="17">
        <f t="shared" si="3"/>
        <v>54.671999999999997</v>
      </c>
      <c r="L44" s="30"/>
      <c r="M44" s="30"/>
      <c r="N44" s="30"/>
      <c r="O44" s="30"/>
      <c r="P44" s="30"/>
      <c r="Q44" s="30"/>
      <c r="R44" s="30"/>
      <c r="S44" s="30">
        <f>IF(Tableau113[[#This Row],[alerte stock]]="-",0,1)</f>
        <v>0</v>
      </c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</row>
    <row r="45" spans="1:44" ht="15.75" x14ac:dyDescent="0.25">
      <c r="A45" s="30"/>
      <c r="B45" s="13" t="s">
        <v>79</v>
      </c>
      <c r="C45" s="14" t="s">
        <v>111</v>
      </c>
      <c r="D45" s="5" t="s">
        <v>112</v>
      </c>
      <c r="E45" s="6" t="s">
        <v>110</v>
      </c>
      <c r="F45" s="7">
        <f>G45+SUMIF('[1]mouvement bakon'!B:B,"=connecteur M HARTING HAN8 16A ",'[1]mouvement bakon'!G:G)</f>
        <v>5</v>
      </c>
      <c r="G45" s="7">
        <v>5</v>
      </c>
      <c r="H45" s="6">
        <v>1</v>
      </c>
      <c r="I45" s="2" t="str">
        <f t="shared" si="2"/>
        <v>-</v>
      </c>
      <c r="J45" s="11">
        <v>13.294</v>
      </c>
      <c r="K45" s="17">
        <f t="shared" si="3"/>
        <v>66.47</v>
      </c>
      <c r="L45" s="30"/>
      <c r="M45" s="30"/>
      <c r="N45" s="30"/>
      <c r="O45" s="30"/>
      <c r="P45" s="30"/>
      <c r="Q45" s="30"/>
      <c r="R45" s="30"/>
      <c r="S45" s="30">
        <f>IF(Tableau113[[#This Row],[alerte stock]]="-",0,1)</f>
        <v>0</v>
      </c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</row>
    <row r="46" spans="1:44" ht="15.75" x14ac:dyDescent="0.25">
      <c r="A46" s="30"/>
      <c r="B46" s="13" t="s">
        <v>79</v>
      </c>
      <c r="C46" s="14" t="s">
        <v>113</v>
      </c>
      <c r="D46" s="5" t="s">
        <v>114</v>
      </c>
      <c r="E46" s="6" t="s">
        <v>110</v>
      </c>
      <c r="F46" s="7">
        <f>G46+SUMIF('[1]mouvement bakon'!B:B,"=connecteur F HARTING HAN8 10A ",'[1]mouvement bakon'!G:G)</f>
        <v>7</v>
      </c>
      <c r="G46" s="7">
        <v>7</v>
      </c>
      <c r="H46" s="6">
        <v>2</v>
      </c>
      <c r="I46" s="2" t="str">
        <f t="shared" si="2"/>
        <v>-</v>
      </c>
      <c r="J46" s="11">
        <v>18.6495</v>
      </c>
      <c r="K46" s="17">
        <f t="shared" si="3"/>
        <v>130.54650000000001</v>
      </c>
      <c r="L46" s="30"/>
      <c r="M46" s="30"/>
      <c r="N46" s="30"/>
      <c r="O46" s="30"/>
      <c r="P46" s="30"/>
      <c r="Q46" s="30"/>
      <c r="R46" s="30"/>
      <c r="S46" s="30">
        <f>IF(Tableau113[[#This Row],[alerte stock]]="-",0,1)</f>
        <v>0</v>
      </c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</row>
    <row r="47" spans="1:44" ht="15.75" x14ac:dyDescent="0.25">
      <c r="A47" s="30"/>
      <c r="B47" s="13" t="s">
        <v>79</v>
      </c>
      <c r="C47" s="14" t="s">
        <v>115</v>
      </c>
      <c r="D47" s="5" t="s">
        <v>116</v>
      </c>
      <c r="E47" s="6" t="s">
        <v>110</v>
      </c>
      <c r="F47" s="7">
        <f>G47+SUMIF('[1]mouvement bakon'!B:B,"=connecteur M HARTING HAN8 10A ",'[1]mouvement bakon'!G:G)</f>
        <v>9</v>
      </c>
      <c r="G47" s="7">
        <v>9</v>
      </c>
      <c r="H47" s="6">
        <v>2</v>
      </c>
      <c r="I47" s="2" t="str">
        <f t="shared" si="2"/>
        <v>-</v>
      </c>
      <c r="J47" s="11">
        <v>16.178999999999998</v>
      </c>
      <c r="K47" s="17">
        <f t="shared" si="3"/>
        <v>145.61099999999999</v>
      </c>
      <c r="L47" s="30"/>
      <c r="M47" s="30"/>
      <c r="N47" s="30"/>
      <c r="O47" s="30"/>
      <c r="P47" s="30"/>
      <c r="Q47" s="30"/>
      <c r="R47" s="30"/>
      <c r="S47" s="30">
        <f>IF(Tableau113[[#This Row],[alerte stock]]="-",0,1)</f>
        <v>0</v>
      </c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</row>
    <row r="48" spans="1:44" ht="15.75" x14ac:dyDescent="0.25">
      <c r="A48" s="30"/>
      <c r="B48" s="13" t="s">
        <v>79</v>
      </c>
      <c r="C48" s="14" t="s">
        <v>117</v>
      </c>
      <c r="D48" s="5" t="s">
        <v>118</v>
      </c>
      <c r="E48" s="6" t="s">
        <v>98</v>
      </c>
      <c r="F48" s="7">
        <f>G48+SUMIF('[1]mouvement bakon'!B:B,"=équerre mal 1/8 T6",'[1]mouvement bakon'!G:G)</f>
        <v>4</v>
      </c>
      <c r="G48" s="7">
        <v>4</v>
      </c>
      <c r="H48" s="6">
        <v>2</v>
      </c>
      <c r="I48" s="2" t="str">
        <f t="shared" si="2"/>
        <v>-</v>
      </c>
      <c r="J48" s="11">
        <v>2.91</v>
      </c>
      <c r="K48" s="17">
        <f t="shared" si="3"/>
        <v>11.64</v>
      </c>
      <c r="L48" s="30"/>
      <c r="M48" s="30"/>
      <c r="N48" s="30"/>
      <c r="O48" s="30"/>
      <c r="P48" s="30"/>
      <c r="Q48" s="30"/>
      <c r="R48" s="30"/>
      <c r="S48" s="30">
        <f>IF(Tableau113[[#This Row],[alerte stock]]="-",0,1)</f>
        <v>0</v>
      </c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44" ht="15.75" x14ac:dyDescent="0.25">
      <c r="A49" s="30"/>
      <c r="B49" s="13" t="s">
        <v>79</v>
      </c>
      <c r="C49" s="14" t="s">
        <v>119</v>
      </c>
      <c r="D49" s="5" t="s">
        <v>120</v>
      </c>
      <c r="E49" s="6" t="s">
        <v>28</v>
      </c>
      <c r="F49" s="7">
        <f>G49+SUMIF('[1]mouvement bakon'!B:B,"=Vérin N25",'[1]mouvement bakon'!G:G)</f>
        <v>1</v>
      </c>
      <c r="G49" s="7">
        <v>1</v>
      </c>
      <c r="H49" s="6">
        <v>1</v>
      </c>
      <c r="I49" s="2" t="str">
        <f t="shared" si="2"/>
        <v>-</v>
      </c>
      <c r="J49" s="11">
        <v>65.25</v>
      </c>
      <c r="K49" s="17">
        <f t="shared" si="3"/>
        <v>65.25</v>
      </c>
      <c r="L49" s="30"/>
      <c r="M49" s="30"/>
      <c r="N49" s="30"/>
      <c r="O49" s="30"/>
      <c r="P49" s="30"/>
      <c r="Q49" s="30"/>
      <c r="R49" s="30"/>
      <c r="S49" s="30">
        <f>IF(Tableau113[[#This Row],[alerte stock]]="-",0,1)</f>
        <v>0</v>
      </c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</row>
    <row r="50" spans="1:44" ht="15.75" x14ac:dyDescent="0.25">
      <c r="A50" s="30"/>
      <c r="B50" s="13" t="s">
        <v>79</v>
      </c>
      <c r="C50" s="14" t="s">
        <v>121</v>
      </c>
      <c r="D50" s="5" t="s">
        <v>122</v>
      </c>
      <c r="E50" s="6" t="s">
        <v>28</v>
      </c>
      <c r="F50" s="7">
        <f>G50+SUMIF('[1]mouvement bakon'!B:B,"=Vérin N20",'[1]mouvement bakon'!G:G)</f>
        <v>2</v>
      </c>
      <c r="G50" s="7">
        <v>2</v>
      </c>
      <c r="H50" s="6">
        <v>2</v>
      </c>
      <c r="I50" s="2" t="str">
        <f t="shared" si="2"/>
        <v>-</v>
      </c>
      <c r="J50" s="11">
        <v>44.54</v>
      </c>
      <c r="K50" s="17">
        <f t="shared" si="3"/>
        <v>89.08</v>
      </c>
      <c r="L50" s="30"/>
      <c r="M50" s="30"/>
      <c r="N50" s="30"/>
      <c r="O50" s="30"/>
      <c r="P50" s="30"/>
      <c r="Q50" s="30"/>
      <c r="R50" s="30"/>
      <c r="S50" s="30">
        <f>IF(Tableau113[[#This Row],[alerte stock]]="-",0,1)</f>
        <v>0</v>
      </c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</row>
    <row r="51" spans="1:44" ht="15.75" x14ac:dyDescent="0.25">
      <c r="A51" s="30"/>
      <c r="B51" s="13" t="s">
        <v>79</v>
      </c>
      <c r="C51" s="14" t="s">
        <v>123</v>
      </c>
      <c r="D51" s="5" t="s">
        <v>124</v>
      </c>
      <c r="E51" s="6" t="s">
        <v>24</v>
      </c>
      <c r="F51" s="7">
        <f>G51+SUMIF('[1]mouvement bakon'!B:B,"=joint 30*52*7 RVS",'[1]mouvement bakon'!G:G)</f>
        <v>2</v>
      </c>
      <c r="G51" s="7">
        <v>2</v>
      </c>
      <c r="H51" s="6">
        <v>4</v>
      </c>
      <c r="I51" s="2" t="str">
        <f t="shared" si="2"/>
        <v>/!\</v>
      </c>
      <c r="J51" s="11">
        <v>9.3800000000000008</v>
      </c>
      <c r="K51" s="17">
        <f t="shared" si="3"/>
        <v>18.760000000000002</v>
      </c>
      <c r="L51" s="30"/>
      <c r="M51" s="30"/>
      <c r="N51" s="30"/>
      <c r="O51" s="30"/>
      <c r="P51" s="30"/>
      <c r="Q51" s="30"/>
      <c r="R51" s="30"/>
      <c r="S51" s="30">
        <f>IF(Tableau113[[#This Row],[alerte stock]]="-",0,1)</f>
        <v>1</v>
      </c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</row>
    <row r="52" spans="1:44" ht="15.75" x14ac:dyDescent="0.25">
      <c r="A52" s="30"/>
      <c r="B52" s="13" t="s">
        <v>79</v>
      </c>
      <c r="C52" s="14" t="s">
        <v>125</v>
      </c>
      <c r="D52" s="5" t="s">
        <v>126</v>
      </c>
      <c r="E52" s="6" t="s">
        <v>24</v>
      </c>
      <c r="F52" s="7">
        <f>G52+SUMIF('[1]mouvement bakon'!B:B,"=vérin compact",'[1]mouvement bakon'!G:G)</f>
        <v>1</v>
      </c>
      <c r="G52" s="7">
        <v>1</v>
      </c>
      <c r="H52" s="6">
        <v>1</v>
      </c>
      <c r="I52" s="2" t="str">
        <f t="shared" si="2"/>
        <v>-</v>
      </c>
      <c r="J52" s="11">
        <v>66.7</v>
      </c>
      <c r="K52" s="17">
        <f t="shared" si="3"/>
        <v>66.7</v>
      </c>
      <c r="L52" s="30"/>
      <c r="M52" s="30"/>
      <c r="N52" s="30"/>
      <c r="O52" s="30"/>
      <c r="P52" s="30"/>
      <c r="Q52" s="30"/>
      <c r="R52" s="30"/>
      <c r="S52" s="30">
        <f>IF(Tableau113[[#This Row],[alerte stock]]="-",0,1)</f>
        <v>0</v>
      </c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</row>
    <row r="53" spans="1:44" ht="15.75" x14ac:dyDescent="0.25">
      <c r="A53" s="30"/>
      <c r="B53" s="13" t="s">
        <v>79</v>
      </c>
      <c r="C53" s="14" t="s">
        <v>127</v>
      </c>
      <c r="D53" s="5">
        <v>3052</v>
      </c>
      <c r="E53" s="6" t="s">
        <v>24</v>
      </c>
      <c r="F53" s="7">
        <f>G53+SUMIF('[1]mouvement bakon'!B:B,"=Valve rotative",'[1]mouvement bakon'!G:G)</f>
        <v>3</v>
      </c>
      <c r="G53" s="7">
        <v>4</v>
      </c>
      <c r="H53" s="6">
        <v>2</v>
      </c>
      <c r="I53" s="2" t="str">
        <f t="shared" si="2"/>
        <v>-</v>
      </c>
      <c r="J53" s="11">
        <v>249.43</v>
      </c>
      <c r="K53" s="17">
        <f t="shared" si="3"/>
        <v>748.29</v>
      </c>
      <c r="L53" s="30"/>
      <c r="M53" s="30"/>
      <c r="N53" s="30"/>
      <c r="O53" s="30"/>
      <c r="P53" s="30"/>
      <c r="Q53" s="30"/>
      <c r="R53" s="30"/>
      <c r="S53" s="30">
        <f>IF(Tableau113[[#This Row],[alerte stock]]="-",0,1)</f>
        <v>0</v>
      </c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</row>
    <row r="54" spans="1:44" ht="15.75" x14ac:dyDescent="0.25">
      <c r="A54" s="30"/>
      <c r="B54" s="13" t="s">
        <v>79</v>
      </c>
      <c r="C54" s="14" t="s">
        <v>128</v>
      </c>
      <c r="D54" s="5" t="s">
        <v>129</v>
      </c>
      <c r="E54" s="6" t="s">
        <v>24</v>
      </c>
      <c r="F54" s="7">
        <f>G54+SUMIF('[1]mouvement bakon'!B:B,"=capteur ILS",'[1]mouvement bakon'!G:G)</f>
        <v>2</v>
      </c>
      <c r="G54" s="7">
        <v>2</v>
      </c>
      <c r="H54" s="6">
        <v>1</v>
      </c>
      <c r="I54" s="2" t="str">
        <f t="shared" si="2"/>
        <v>-</v>
      </c>
      <c r="J54" s="11">
        <v>39.69</v>
      </c>
      <c r="K54" s="17">
        <f t="shared" si="3"/>
        <v>79.38</v>
      </c>
      <c r="L54" s="30"/>
      <c r="M54" s="30"/>
      <c r="N54" s="30"/>
      <c r="O54" s="30"/>
      <c r="P54" s="30"/>
      <c r="Q54" s="30"/>
      <c r="R54" s="30"/>
      <c r="S54" s="30">
        <f>IF(Tableau113[[#This Row],[alerte stock]]="-",0,1)</f>
        <v>0</v>
      </c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</row>
    <row r="55" spans="1:44" ht="15.75" x14ac:dyDescent="0.25">
      <c r="A55" s="30"/>
      <c r="B55" s="13" t="s">
        <v>79</v>
      </c>
      <c r="C55" s="14" t="s">
        <v>130</v>
      </c>
      <c r="D55" s="5" t="s">
        <v>131</v>
      </c>
      <c r="E55" s="6" t="s">
        <v>24</v>
      </c>
      <c r="F55" s="7">
        <f>G55+SUMIF('[1]mouvement bakon'!B:B,"=Joint 1",'[1]mouvement bakon'!G:G)</f>
        <v>8</v>
      </c>
      <c r="G55" s="7">
        <v>8</v>
      </c>
      <c r="H55" s="6">
        <v>8</v>
      </c>
      <c r="I55" s="2" t="str">
        <f t="shared" si="2"/>
        <v>-</v>
      </c>
      <c r="J55" s="11">
        <v>1.68</v>
      </c>
      <c r="K55" s="17">
        <f t="shared" si="3"/>
        <v>13.44</v>
      </c>
      <c r="L55" s="30"/>
      <c r="M55" s="30"/>
      <c r="N55" s="30"/>
      <c r="O55" s="30"/>
      <c r="P55" s="30"/>
      <c r="Q55" s="30"/>
      <c r="R55" s="30"/>
      <c r="S55" s="30">
        <f>IF(Tableau113[[#This Row],[alerte stock]]="-",0,1)</f>
        <v>0</v>
      </c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</row>
    <row r="56" spans="1:44" ht="15.75" x14ac:dyDescent="0.25">
      <c r="A56" s="30"/>
      <c r="B56" s="13" t="s">
        <v>79</v>
      </c>
      <c r="C56" s="14" t="s">
        <v>132</v>
      </c>
      <c r="D56" s="5" t="s">
        <v>133</v>
      </c>
      <c r="E56" s="6" t="s">
        <v>24</v>
      </c>
      <c r="F56" s="7">
        <f>G56+SUMIF('[1]mouvement bakon'!B:B,"=Joint 2",'[1]mouvement bakon'!G:G)</f>
        <v>8</v>
      </c>
      <c r="G56" s="7">
        <v>8</v>
      </c>
      <c r="H56" s="6">
        <v>8</v>
      </c>
      <c r="I56" s="2" t="str">
        <f t="shared" si="2"/>
        <v>-</v>
      </c>
      <c r="J56" s="11">
        <v>1.85</v>
      </c>
      <c r="K56" s="17">
        <f t="shared" si="3"/>
        <v>14.8</v>
      </c>
      <c r="L56" s="30"/>
      <c r="M56" s="30"/>
      <c r="N56" s="30"/>
      <c r="O56" s="30"/>
      <c r="P56" s="30"/>
      <c r="Q56" s="30"/>
      <c r="R56" s="30"/>
      <c r="S56" s="30">
        <f>IF(Tableau113[[#This Row],[alerte stock]]="-",0,1)</f>
        <v>0</v>
      </c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</row>
    <row r="57" spans="1:44" ht="15.75" x14ac:dyDescent="0.25">
      <c r="A57" s="30"/>
      <c r="B57" s="13" t="s">
        <v>79</v>
      </c>
      <c r="C57" s="14" t="s">
        <v>134</v>
      </c>
      <c r="D57" s="5" t="s">
        <v>135</v>
      </c>
      <c r="E57" s="6" t="s">
        <v>24</v>
      </c>
      <c r="F57" s="7">
        <f>G57+SUMIF('[1]mouvement bakon'!B:B,"=joint 3",'[1]mouvement bakon'!G:G)</f>
        <v>12</v>
      </c>
      <c r="G57" s="7">
        <v>12</v>
      </c>
      <c r="H57" s="6">
        <v>8</v>
      </c>
      <c r="I57" s="2" t="str">
        <f t="shared" si="2"/>
        <v>-</v>
      </c>
      <c r="J57" s="11">
        <v>8.3800000000000008</v>
      </c>
      <c r="K57" s="17">
        <f t="shared" si="3"/>
        <v>100.56</v>
      </c>
      <c r="L57" s="30"/>
      <c r="M57" s="30"/>
      <c r="N57" s="30"/>
      <c r="O57" s="30"/>
      <c r="P57" s="30"/>
      <c r="Q57" s="30"/>
      <c r="R57" s="30"/>
      <c r="S57" s="30">
        <f>IF(Tableau113[[#This Row],[alerte stock]]="-",0,1)</f>
        <v>0</v>
      </c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</row>
    <row r="58" spans="1:44" ht="15.75" x14ac:dyDescent="0.25">
      <c r="A58" s="30"/>
      <c r="B58" s="13" t="s">
        <v>79</v>
      </c>
      <c r="C58" s="14" t="s">
        <v>136</v>
      </c>
      <c r="D58" s="5" t="s">
        <v>137</v>
      </c>
      <c r="E58" s="6" t="s">
        <v>24</v>
      </c>
      <c r="F58" s="7">
        <f>G58+SUMIF('[1]mouvement bakon'!B:B,"=Joint 4",'[1]mouvement bakon'!G:G)</f>
        <v>7</v>
      </c>
      <c r="G58" s="7">
        <v>4</v>
      </c>
      <c r="H58" s="6">
        <v>4</v>
      </c>
      <c r="I58" s="2" t="str">
        <f t="shared" si="2"/>
        <v>-</v>
      </c>
      <c r="J58" s="11">
        <v>5.38</v>
      </c>
      <c r="K58" s="17">
        <f t="shared" si="3"/>
        <v>37.659999999999997</v>
      </c>
      <c r="L58" s="30"/>
      <c r="M58" s="30"/>
      <c r="N58" s="30"/>
      <c r="O58" s="30"/>
      <c r="P58" s="30"/>
      <c r="Q58" s="30"/>
      <c r="R58" s="30"/>
      <c r="S58" s="30">
        <f>IF(Tableau113[[#This Row],[alerte stock]]="-",0,1)</f>
        <v>0</v>
      </c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</row>
    <row r="59" spans="1:44" ht="15.75" x14ac:dyDescent="0.25">
      <c r="A59" s="30"/>
      <c r="B59" s="13" t="s">
        <v>79</v>
      </c>
      <c r="C59" s="14" t="s">
        <v>138</v>
      </c>
      <c r="D59" s="5" t="s">
        <v>139</v>
      </c>
      <c r="E59" s="6" t="s">
        <v>24</v>
      </c>
      <c r="F59" s="7">
        <f>G59+SUMIF('[1]mouvement bakon'!B:B,"=Distributeur 5/3",'[1]mouvement bakon'!G:G)</f>
        <v>1</v>
      </c>
      <c r="G59" s="7">
        <v>1</v>
      </c>
      <c r="H59" s="6">
        <v>1</v>
      </c>
      <c r="I59" s="2" t="str">
        <f t="shared" si="2"/>
        <v>-</v>
      </c>
      <c r="J59" s="11">
        <v>133.85</v>
      </c>
      <c r="K59" s="17">
        <f t="shared" si="3"/>
        <v>133.85</v>
      </c>
      <c r="L59" s="30"/>
      <c r="M59" s="30"/>
      <c r="N59" s="30"/>
      <c r="O59" s="30"/>
      <c r="P59" s="30"/>
      <c r="Q59" s="30"/>
      <c r="R59" s="30"/>
      <c r="S59" s="30">
        <f>IF(Tableau113[[#This Row],[alerte stock]]="-",0,1)</f>
        <v>0</v>
      </c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</row>
    <row r="60" spans="1:44" ht="15.75" x14ac:dyDescent="0.25">
      <c r="A60" s="30"/>
      <c r="B60" s="13" t="s">
        <v>79</v>
      </c>
      <c r="C60" s="14" t="s">
        <v>140</v>
      </c>
      <c r="D60" s="5" t="s">
        <v>141</v>
      </c>
      <c r="E60" s="6" t="s">
        <v>24</v>
      </c>
      <c r="F60" s="7">
        <f>G60+SUMIF('[1]mouvement bakon'!B:B,"=Distributeur 5/2",'[1]mouvement bakon'!G:G)</f>
        <v>2</v>
      </c>
      <c r="G60" s="7">
        <v>2</v>
      </c>
      <c r="H60" s="6">
        <v>1</v>
      </c>
      <c r="I60" s="2" t="str">
        <f t="shared" si="2"/>
        <v>-</v>
      </c>
      <c r="J60" s="11">
        <v>84.11</v>
      </c>
      <c r="K60" s="17">
        <f t="shared" si="3"/>
        <v>168.22</v>
      </c>
      <c r="L60" s="30"/>
      <c r="M60" s="30"/>
      <c r="N60" s="30"/>
      <c r="O60" s="30"/>
      <c r="P60" s="30"/>
      <c r="Q60" s="30"/>
      <c r="R60" s="30"/>
      <c r="S60" s="30">
        <f>IF(Tableau113[[#This Row],[alerte stock]]="-",0,1)</f>
        <v>0</v>
      </c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</row>
    <row r="61" spans="1:44" ht="15.75" x14ac:dyDescent="0.25">
      <c r="A61" s="30"/>
      <c r="B61" s="13" t="s">
        <v>79</v>
      </c>
      <c r="C61" s="14" t="s">
        <v>142</v>
      </c>
      <c r="D61" s="5" t="s">
        <v>143</v>
      </c>
      <c r="E61" s="6" t="s">
        <v>98</v>
      </c>
      <c r="F61" s="7">
        <f>G61+SUMIF('[1]mouvement bakon'!B:B,"=coupleur (Ø6mm) style staublî",'[1]mouvement bakon'!G:G)</f>
        <v>24</v>
      </c>
      <c r="G61" s="7">
        <v>24</v>
      </c>
      <c r="H61" s="6">
        <v>2</v>
      </c>
      <c r="I61" s="2" t="str">
        <f t="shared" si="2"/>
        <v>-</v>
      </c>
      <c r="J61" s="11">
        <v>2.27</v>
      </c>
      <c r="K61" s="17">
        <f t="shared" si="3"/>
        <v>54.480000000000004</v>
      </c>
      <c r="L61" s="30"/>
      <c r="M61" s="30"/>
      <c r="N61" s="30"/>
      <c r="O61" s="30"/>
      <c r="P61" s="30"/>
      <c r="Q61" s="30"/>
      <c r="R61" s="30"/>
      <c r="S61" s="30">
        <f>IF(Tableau113[[#This Row],[alerte stock]]="-",0,1)</f>
        <v>0</v>
      </c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</row>
    <row r="62" spans="1:44" ht="15.75" x14ac:dyDescent="0.25">
      <c r="A62" s="30"/>
      <c r="B62" s="13" t="s">
        <v>79</v>
      </c>
      <c r="C62" s="14" t="s">
        <v>144</v>
      </c>
      <c r="D62" s="5" t="s">
        <v>145</v>
      </c>
      <c r="E62" s="6" t="s">
        <v>24</v>
      </c>
      <c r="F62" s="7">
        <f>G62+SUMIF('[1]mouvement bakon'!B:B,"=Molette filetée plastique",'[1]mouvement bakon'!G:G)</f>
        <v>1</v>
      </c>
      <c r="G62" s="7">
        <v>1</v>
      </c>
      <c r="H62" s="6">
        <v>1</v>
      </c>
      <c r="I62" s="2" t="str">
        <f t="shared" si="2"/>
        <v>-</v>
      </c>
      <c r="J62" s="11">
        <v>14.03</v>
      </c>
      <c r="K62" s="17">
        <f t="shared" si="3"/>
        <v>14.03</v>
      </c>
      <c r="L62" s="30"/>
      <c r="M62" s="3" t="s">
        <v>79</v>
      </c>
      <c r="N62" s="30"/>
      <c r="O62" s="30"/>
      <c r="P62" s="30"/>
      <c r="Q62" s="30"/>
      <c r="R62" s="30"/>
      <c r="S62" s="30">
        <f>IF(Tableau113[[#This Row],[alerte stock]]="-",0,1)</f>
        <v>0</v>
      </c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</row>
    <row r="63" spans="1:44" ht="15.75" x14ac:dyDescent="0.25">
      <c r="A63" s="30"/>
      <c r="B63" s="61" t="s">
        <v>79</v>
      </c>
      <c r="C63" s="62" t="s">
        <v>146</v>
      </c>
      <c r="D63" s="63" t="s">
        <v>147</v>
      </c>
      <c r="E63" s="25" t="s">
        <v>24</v>
      </c>
      <c r="F63" s="7">
        <f>G63+SUMIF('[1]mouvement bakon'!B:B,"=LEVIER EASY-LOCK PRISE HARTING",'[1]mouvement bakon'!G:G)</f>
        <v>10</v>
      </c>
      <c r="G63" s="6">
        <v>10</v>
      </c>
      <c r="H63" s="63">
        <v>2</v>
      </c>
      <c r="I63" s="2" t="str">
        <f t="shared" si="2"/>
        <v>-</v>
      </c>
      <c r="J63" s="11">
        <v>5.29</v>
      </c>
      <c r="K63" s="17">
        <f t="shared" si="3"/>
        <v>52.9</v>
      </c>
      <c r="L63" s="30"/>
      <c r="M63" s="35">
        <f>SUM(K29:K63)</f>
        <v>4350.7994999999983</v>
      </c>
      <c r="N63" s="30"/>
      <c r="O63" s="30"/>
      <c r="P63" s="30"/>
      <c r="Q63" s="30"/>
      <c r="R63" s="30"/>
      <c r="S63" s="30">
        <f>IF(Tableau113[[#This Row],[alerte stock]]="-",0,1)</f>
        <v>0</v>
      </c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</row>
    <row r="64" spans="1:44" ht="24" x14ac:dyDescent="0.25">
      <c r="A64" s="30"/>
      <c r="B64" s="13" t="s">
        <v>148</v>
      </c>
      <c r="C64" s="62" t="s">
        <v>4</v>
      </c>
      <c r="D64" s="63" t="s">
        <v>149</v>
      </c>
      <c r="E64" s="63" t="s">
        <v>24</v>
      </c>
      <c r="F64" s="64">
        <f>G64+SUMIF('[1]mouvement batteurs cuves'!B:B,"=afficheur rotation fouet WEST 6100+",'[1]mouvement batteurs cuves'!G:G)</f>
        <v>4</v>
      </c>
      <c r="G64" s="63">
        <v>2</v>
      </c>
      <c r="H64" s="63">
        <v>1</v>
      </c>
      <c r="I64" s="65" t="str">
        <f t="shared" si="2"/>
        <v>-</v>
      </c>
      <c r="J64" s="66">
        <v>295.58999999999997</v>
      </c>
      <c r="K64" s="67">
        <f t="shared" si="3"/>
        <v>1182.3599999999999</v>
      </c>
      <c r="L64" s="30"/>
      <c r="M64" s="30"/>
      <c r="N64" s="30"/>
      <c r="O64" s="30"/>
      <c r="P64" s="30"/>
      <c r="Q64" s="30"/>
      <c r="R64" s="30"/>
      <c r="S64" s="30">
        <f>IF(Tableau113[[#This Row],[alerte stock]]="-",0,1)</f>
        <v>0</v>
      </c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</row>
    <row r="65" spans="1:44" ht="15.75" x14ac:dyDescent="0.25">
      <c r="A65" s="30"/>
      <c r="B65" s="13" t="s">
        <v>148</v>
      </c>
      <c r="C65" s="4" t="s">
        <v>150</v>
      </c>
      <c r="D65" s="20" t="s">
        <v>151</v>
      </c>
      <c r="E65" s="20" t="s">
        <v>24</v>
      </c>
      <c r="F65" s="7">
        <f>G65+SUMIF('[1]mouvement batteurs cuves'!B:B,"=Axe acier pour verin",'[1]mouvement batteurs cuves'!G:G)</f>
        <v>2</v>
      </c>
      <c r="G65" s="63">
        <v>2</v>
      </c>
      <c r="H65" s="20">
        <v>2</v>
      </c>
      <c r="I65" s="68" t="str">
        <f t="shared" si="2"/>
        <v>-</v>
      </c>
      <c r="J65" s="69">
        <v>40.799999999999997</v>
      </c>
      <c r="K65" s="17">
        <f t="shared" si="3"/>
        <v>81.599999999999994</v>
      </c>
      <c r="L65" s="30"/>
      <c r="M65" s="30"/>
      <c r="N65" s="30"/>
      <c r="O65" s="30"/>
      <c r="P65" s="30"/>
      <c r="Q65" s="30"/>
      <c r="R65" s="30"/>
      <c r="S65" s="30">
        <f>IF(Tableau113[[#This Row],[alerte stock]]="-",0,1)</f>
        <v>0</v>
      </c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</row>
    <row r="66" spans="1:44" ht="15.75" x14ac:dyDescent="0.25">
      <c r="A66" s="30"/>
      <c r="B66" s="13" t="s">
        <v>148</v>
      </c>
      <c r="C66" s="70" t="s">
        <v>152</v>
      </c>
      <c r="D66" s="71" t="s">
        <v>153</v>
      </c>
      <c r="E66" s="71" t="s">
        <v>24</v>
      </c>
      <c r="F66" s="64">
        <f>G66+SUMIF('[1]mouvement batteurs cuves'!B:B,"=Bague retenue 150L",'[1]mouvement batteurs cuves'!G:G)</f>
        <v>5</v>
      </c>
      <c r="G66" s="63">
        <v>5</v>
      </c>
      <c r="H66" s="71">
        <v>2</v>
      </c>
      <c r="I66" s="65" t="str">
        <f t="shared" si="2"/>
        <v>-</v>
      </c>
      <c r="J66" s="72">
        <v>0</v>
      </c>
      <c r="K66" s="67">
        <f t="shared" si="3"/>
        <v>0</v>
      </c>
      <c r="L66" s="30"/>
      <c r="M66" s="30"/>
      <c r="N66" s="30"/>
      <c r="O66" s="30"/>
      <c r="P66" s="30"/>
      <c r="Q66" s="30"/>
      <c r="R66" s="30"/>
      <c r="S66" s="30">
        <f>IF(Tableau113[[#This Row],[alerte stock]]="-",0,1)</f>
        <v>0</v>
      </c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</row>
    <row r="67" spans="1:44" ht="15.75" x14ac:dyDescent="0.25">
      <c r="A67" s="30"/>
      <c r="B67" s="13" t="s">
        <v>148</v>
      </c>
      <c r="C67" s="62" t="s">
        <v>154</v>
      </c>
      <c r="D67" s="63" t="s">
        <v>155</v>
      </c>
      <c r="E67" s="63" t="s">
        <v>156</v>
      </c>
      <c r="F67" s="7">
        <f>G67+SUMIF('[1]mouvement batteurs cuves'!B:B,"=fond de boitier en fonte d'aluminium",'[1]mouvement batteurs cuves'!G:G)</f>
        <v>8</v>
      </c>
      <c r="G67" s="63">
        <v>8</v>
      </c>
      <c r="H67" s="63">
        <v>1</v>
      </c>
      <c r="I67" s="68" t="str">
        <f t="shared" si="2"/>
        <v>-</v>
      </c>
      <c r="J67" s="66">
        <v>201.62</v>
      </c>
      <c r="K67" s="17">
        <f t="shared" si="3"/>
        <v>1612.96</v>
      </c>
      <c r="L67" s="30"/>
      <c r="M67" s="30"/>
      <c r="N67" s="30"/>
      <c r="O67" s="30"/>
      <c r="P67" s="30"/>
      <c r="Q67" s="30"/>
      <c r="R67" s="30"/>
      <c r="S67" s="30">
        <f>IF(Tableau113[[#This Row],[alerte stock]]="-",0,1)</f>
        <v>0</v>
      </c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</row>
    <row r="68" spans="1:44" ht="15.75" x14ac:dyDescent="0.25">
      <c r="A68" s="30"/>
      <c r="B68" s="13" t="s">
        <v>148</v>
      </c>
      <c r="C68" s="62" t="s">
        <v>157</v>
      </c>
      <c r="D68" s="63" t="s">
        <v>158</v>
      </c>
      <c r="E68" s="63" t="s">
        <v>156</v>
      </c>
      <c r="F68" s="64">
        <f>G68+SUMIF('[1]mouvement batteurs cuves'!B:B,"=bande de raclage 80 L ",'[1]mouvement batteurs cuves'!G:G)</f>
        <v>7</v>
      </c>
      <c r="G68" s="63">
        <v>7</v>
      </c>
      <c r="H68" s="63">
        <v>1</v>
      </c>
      <c r="I68" s="65" t="str">
        <f t="shared" si="2"/>
        <v>-</v>
      </c>
      <c r="J68" s="66">
        <v>43.8</v>
      </c>
      <c r="K68" s="67">
        <f t="shared" si="3"/>
        <v>306.59999999999997</v>
      </c>
      <c r="L68" s="30"/>
      <c r="M68" s="30"/>
      <c r="N68" s="30"/>
      <c r="O68" s="30"/>
      <c r="P68" s="30"/>
      <c r="Q68" s="30"/>
      <c r="R68" s="30"/>
      <c r="S68" s="30">
        <f>IF(Tableau113[[#This Row],[alerte stock]]="-",0,1)</f>
        <v>0</v>
      </c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</row>
    <row r="69" spans="1:44" ht="15.75" x14ac:dyDescent="0.25">
      <c r="A69" s="30"/>
      <c r="B69" s="13" t="s">
        <v>148</v>
      </c>
      <c r="C69" s="4" t="s">
        <v>159</v>
      </c>
      <c r="D69" s="20" t="s">
        <v>160</v>
      </c>
      <c r="E69" s="20" t="s">
        <v>24</v>
      </c>
      <c r="F69" s="7">
        <f>G69+SUMIF('[1]mouvement batteurs cuves'!B:B,"=Butée Arriere Batteur ",'[1]mouvement batteurs cuves'!G:G)</f>
        <v>4</v>
      </c>
      <c r="G69" s="63">
        <v>4</v>
      </c>
      <c r="H69" s="20">
        <v>1</v>
      </c>
      <c r="I69" s="68" t="str">
        <f t="shared" si="2"/>
        <v>-</v>
      </c>
      <c r="J69" s="69">
        <v>14.1</v>
      </c>
      <c r="K69" s="17">
        <f t="shared" si="3"/>
        <v>56.4</v>
      </c>
      <c r="L69" s="30"/>
      <c r="M69" s="30"/>
      <c r="N69" s="30"/>
      <c r="O69" s="30"/>
      <c r="P69" s="30"/>
      <c r="Q69" s="30"/>
      <c r="R69" s="30"/>
      <c r="S69" s="30">
        <f>IF(Tableau113[[#This Row],[alerte stock]]="-",0,1)</f>
        <v>0</v>
      </c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</row>
    <row r="70" spans="1:44" ht="15.75" x14ac:dyDescent="0.25">
      <c r="A70" s="30"/>
      <c r="B70" s="13" t="s">
        <v>148</v>
      </c>
      <c r="C70" s="70" t="s">
        <v>161</v>
      </c>
      <c r="D70" s="71" t="s">
        <v>162</v>
      </c>
      <c r="E70" s="71" t="s">
        <v>24</v>
      </c>
      <c r="F70" s="64">
        <f>G70+SUMIF('[1]mouvement batteurs cuves'!B:B,"=Butée FDC presence cuve",'[1]mouvement batteurs cuves'!G:G)</f>
        <v>3</v>
      </c>
      <c r="G70" s="63">
        <v>3</v>
      </c>
      <c r="H70" s="71">
        <v>1</v>
      </c>
      <c r="I70" s="65" t="str">
        <f t="shared" si="2"/>
        <v>-</v>
      </c>
      <c r="J70" s="72">
        <v>12.51</v>
      </c>
      <c r="K70" s="67">
        <f t="shared" si="3"/>
        <v>37.53</v>
      </c>
      <c r="L70" s="30"/>
      <c r="M70" s="30"/>
      <c r="N70" s="30"/>
      <c r="O70" s="30"/>
      <c r="P70" s="30"/>
      <c r="Q70" s="30"/>
      <c r="R70" s="30"/>
      <c r="S70" s="30">
        <f>IF(Tableau113[[#This Row],[alerte stock]]="-",0,1)</f>
        <v>0</v>
      </c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</row>
    <row r="71" spans="1:44" ht="15.75" x14ac:dyDescent="0.25">
      <c r="A71" s="30"/>
      <c r="B71" s="13" t="s">
        <v>148</v>
      </c>
      <c r="C71" s="4" t="s">
        <v>163</v>
      </c>
      <c r="D71" s="20" t="s">
        <v>164</v>
      </c>
      <c r="E71" s="20" t="s">
        <v>24</v>
      </c>
      <c r="F71" s="7">
        <f>G71+SUMIF('[1]mouvement batteurs cuves'!B:B,"=Capot Prise Harting sortie coudée",'[1]mouvement batteurs cuves'!G:G)</f>
        <v>5</v>
      </c>
      <c r="G71" s="63">
        <v>5</v>
      </c>
      <c r="H71" s="20">
        <v>2</v>
      </c>
      <c r="I71" s="68" t="str">
        <f t="shared" si="2"/>
        <v>-</v>
      </c>
      <c r="J71" s="69">
        <v>13.86</v>
      </c>
      <c r="K71" s="17">
        <f t="shared" si="3"/>
        <v>69.3</v>
      </c>
      <c r="L71" s="30"/>
      <c r="M71" s="30"/>
      <c r="N71" s="30"/>
      <c r="O71" s="30"/>
      <c r="P71" s="30"/>
      <c r="Q71" s="30"/>
      <c r="R71" s="30"/>
      <c r="S71" s="30">
        <f>IF(Tableau113[[#This Row],[alerte stock]]="-",0,1)</f>
        <v>0</v>
      </c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</row>
    <row r="72" spans="1:44" ht="15.75" x14ac:dyDescent="0.25">
      <c r="A72" s="30"/>
      <c r="B72" s="13" t="s">
        <v>148</v>
      </c>
      <c r="C72" s="70" t="s">
        <v>165</v>
      </c>
      <c r="D72" s="71" t="s">
        <v>166</v>
      </c>
      <c r="E72" s="71" t="s">
        <v>24</v>
      </c>
      <c r="F72" s="64">
        <f>G72+SUMIF('[1]mouvement batteurs cuves'!B:B,"=Capteur de fin de course Telemecanique, NO/NF, 10 A, 240V, IP66",'[1]mouvement batteurs cuves'!G:G)</f>
        <v>1</v>
      </c>
      <c r="G72" s="63">
        <v>1</v>
      </c>
      <c r="H72" s="71">
        <v>1</v>
      </c>
      <c r="I72" s="65" t="str">
        <f t="shared" si="2"/>
        <v>-</v>
      </c>
      <c r="J72" s="72">
        <v>45.5</v>
      </c>
      <c r="K72" s="67">
        <f t="shared" si="3"/>
        <v>45.5</v>
      </c>
      <c r="L72" s="30"/>
      <c r="M72" s="30"/>
      <c r="N72" s="30"/>
      <c r="O72" s="30"/>
      <c r="P72" s="30"/>
      <c r="Q72" s="30"/>
      <c r="R72" s="30"/>
      <c r="S72" s="30">
        <f>IF(Tableau113[[#This Row],[alerte stock]]="-",0,1)</f>
        <v>0</v>
      </c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</row>
    <row r="73" spans="1:44" ht="15.75" x14ac:dyDescent="0.25">
      <c r="A73" s="30"/>
      <c r="B73" s="13" t="s">
        <v>148</v>
      </c>
      <c r="C73" s="73" t="s">
        <v>167</v>
      </c>
      <c r="D73" s="74" t="s">
        <v>168</v>
      </c>
      <c r="E73" s="63" t="s">
        <v>24</v>
      </c>
      <c r="F73" s="7">
        <f>G73+SUMIF('[1]mouvement batteurs cuves'!B:B,"=chariot alu + sous postes cuves 150L",'[1]mouvement batteurs cuves'!G:G)</f>
        <v>1</v>
      </c>
      <c r="G73" s="63">
        <v>1</v>
      </c>
      <c r="H73" s="63">
        <v>1</v>
      </c>
      <c r="I73" s="68" t="str">
        <f t="shared" si="2"/>
        <v>-</v>
      </c>
      <c r="J73" s="66">
        <v>246</v>
      </c>
      <c r="K73" s="17">
        <f t="shared" si="3"/>
        <v>246</v>
      </c>
      <c r="L73" s="30"/>
      <c r="M73" s="30"/>
      <c r="N73" s="30"/>
      <c r="O73" s="30"/>
      <c r="P73" s="30"/>
      <c r="Q73" s="30"/>
      <c r="R73" s="30"/>
      <c r="S73" s="30">
        <f>IF(Tableau113[[#This Row],[alerte stock]]="-",0,1)</f>
        <v>0</v>
      </c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</row>
    <row r="74" spans="1:44" ht="15.75" x14ac:dyDescent="0.25">
      <c r="A74" s="30"/>
      <c r="B74" s="13" t="s">
        <v>148</v>
      </c>
      <c r="C74" s="70" t="s">
        <v>12</v>
      </c>
      <c r="D74" s="71" t="s">
        <v>169</v>
      </c>
      <c r="E74" s="71" t="s">
        <v>156</v>
      </c>
      <c r="F74" s="64">
        <f>G74+SUMIF('[1]mouvement batteurs cuves'!B:B,"=Chariot Alu support des roulettes pour cuve 150 L",'[1]mouvement batteurs cuves'!G:G)</f>
        <v>1</v>
      </c>
      <c r="G74" s="63">
        <v>3</v>
      </c>
      <c r="H74" s="71">
        <v>1</v>
      </c>
      <c r="I74" s="65" t="str">
        <f t="shared" si="2"/>
        <v>-</v>
      </c>
      <c r="J74" s="72">
        <v>246</v>
      </c>
      <c r="K74" s="67">
        <f t="shared" si="3"/>
        <v>246</v>
      </c>
      <c r="L74" s="30"/>
      <c r="M74" s="30"/>
      <c r="N74" s="30"/>
      <c r="O74" s="30"/>
      <c r="P74" s="30"/>
      <c r="Q74" s="30"/>
      <c r="R74" s="30"/>
      <c r="S74" s="30">
        <f>IF(Tableau113[[#This Row],[alerte stock]]="-",0,1)</f>
        <v>0</v>
      </c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</row>
    <row r="75" spans="1:44" ht="15.75" x14ac:dyDescent="0.25">
      <c r="A75" s="30"/>
      <c r="B75" s="13" t="s">
        <v>148</v>
      </c>
      <c r="C75" s="4" t="s">
        <v>170</v>
      </c>
      <c r="D75" s="20" t="s">
        <v>171</v>
      </c>
      <c r="E75" s="20" t="s">
        <v>24</v>
      </c>
      <c r="F75" s="7">
        <f>G75+SUMIF('[1]mouvement batteurs cuves'!B:B,"=cicrclip Axe verin",'[1]mouvement batteurs cuves'!G:G)</f>
        <v>2</v>
      </c>
      <c r="G75" s="63">
        <v>2</v>
      </c>
      <c r="H75" s="20">
        <v>2</v>
      </c>
      <c r="I75" s="68" t="str">
        <f t="shared" si="2"/>
        <v>-</v>
      </c>
      <c r="J75" s="69">
        <v>0.3</v>
      </c>
      <c r="K75" s="17">
        <f t="shared" si="3"/>
        <v>0.6</v>
      </c>
      <c r="L75" s="30"/>
      <c r="M75" s="30"/>
      <c r="N75" s="30"/>
      <c r="O75" s="30"/>
      <c r="P75" s="30"/>
      <c r="Q75" s="30"/>
      <c r="R75" s="30"/>
      <c r="S75" s="30">
        <f>IF(Tableau113[[#This Row],[alerte stock]]="-",0,1)</f>
        <v>0</v>
      </c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</row>
    <row r="76" spans="1:44" ht="15.75" x14ac:dyDescent="0.25">
      <c r="A76" s="30"/>
      <c r="B76" s="13" t="s">
        <v>148</v>
      </c>
      <c r="C76" s="70" t="s">
        <v>172</v>
      </c>
      <c r="D76" s="71" t="s">
        <v>173</v>
      </c>
      <c r="E76" s="75" t="s">
        <v>24</v>
      </c>
      <c r="F76" s="64">
        <f>G76+SUMIF('[1]mouvement batteurs cuves'!B:B,"=Clapet anti-retour HR012 pompe hydraulique",'[1]mouvement batteurs cuves'!G:G)</f>
        <v>0</v>
      </c>
      <c r="G76" s="63">
        <v>0</v>
      </c>
      <c r="H76" s="71">
        <v>1</v>
      </c>
      <c r="I76" s="65" t="str">
        <f t="shared" si="2"/>
        <v>/!\</v>
      </c>
      <c r="J76" s="72">
        <v>0</v>
      </c>
      <c r="K76" s="67">
        <f t="shared" si="3"/>
        <v>0</v>
      </c>
      <c r="L76" s="30"/>
      <c r="M76" s="30"/>
      <c r="N76" s="30"/>
      <c r="O76" s="30"/>
      <c r="P76" s="30"/>
      <c r="Q76" s="30"/>
      <c r="R76" s="30"/>
      <c r="S76" s="30">
        <f>IF(Tableau113[[#This Row],[alerte stock]]="-",0,1)</f>
        <v>1</v>
      </c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</row>
    <row r="77" spans="1:44" ht="15.75" x14ac:dyDescent="0.25">
      <c r="A77" s="30"/>
      <c r="B77" s="13" t="s">
        <v>148</v>
      </c>
      <c r="C77" s="4" t="s">
        <v>174</v>
      </c>
      <c r="D77" s="20" t="s">
        <v>175</v>
      </c>
      <c r="E77" s="20" t="s">
        <v>24</v>
      </c>
      <c r="F77" s="7">
        <f>G77+SUMIF('[1]mouvement batteurs cuves'!B:B,"=Connecteur d'alimentation, Han A Series",'[1]mouvement batteurs cuves'!G:G)</f>
        <v>2</v>
      </c>
      <c r="G77" s="63">
        <v>2</v>
      </c>
      <c r="H77" s="20">
        <v>1</v>
      </c>
      <c r="I77" s="68" t="str">
        <f t="shared" si="2"/>
        <v>-</v>
      </c>
      <c r="J77" s="69">
        <v>18.989999999999998</v>
      </c>
      <c r="K77" s="17">
        <f t="shared" si="3"/>
        <v>37.979999999999997</v>
      </c>
      <c r="L77" s="30"/>
      <c r="M77" s="30"/>
      <c r="N77" s="30"/>
      <c r="O77" s="30"/>
      <c r="P77" s="30"/>
      <c r="Q77" s="30"/>
      <c r="R77" s="30"/>
      <c r="S77" s="30">
        <f>IF(Tableau113[[#This Row],[alerte stock]]="-",0,1)</f>
        <v>0</v>
      </c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</row>
    <row r="78" spans="1:44" ht="15.75" x14ac:dyDescent="0.25">
      <c r="A78" s="30"/>
      <c r="B78" s="13" t="s">
        <v>148</v>
      </c>
      <c r="C78" s="70" t="s">
        <v>176</v>
      </c>
      <c r="D78" s="71" t="s">
        <v>177</v>
      </c>
      <c r="E78" s="71" t="s">
        <v>24</v>
      </c>
      <c r="F78" s="64">
        <f>G78+SUMIF('[1]mouvement batteurs cuves'!B:B,"=Connecteur d'alimentation, Han B Series Entrée latérale,",'[1]mouvement batteurs cuves'!G:G)</f>
        <v>2</v>
      </c>
      <c r="G78" s="63">
        <v>2</v>
      </c>
      <c r="H78" s="71">
        <v>1</v>
      </c>
      <c r="I78" s="65" t="str">
        <f t="shared" si="2"/>
        <v>-</v>
      </c>
      <c r="J78" s="72">
        <v>11.17</v>
      </c>
      <c r="K78" s="67">
        <f t="shared" si="3"/>
        <v>22.34</v>
      </c>
      <c r="L78" s="30"/>
      <c r="M78" s="30"/>
      <c r="N78" s="30"/>
      <c r="O78" s="30"/>
      <c r="P78" s="30"/>
      <c r="Q78" s="30"/>
      <c r="R78" s="30"/>
      <c r="S78" s="30">
        <f>IF(Tableau113[[#This Row],[alerte stock]]="-",0,1)</f>
        <v>0</v>
      </c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</row>
    <row r="79" spans="1:44" ht="15.75" x14ac:dyDescent="0.25">
      <c r="A79" s="30"/>
      <c r="B79" s="13" t="s">
        <v>148</v>
      </c>
      <c r="C79" s="4" t="s">
        <v>178</v>
      </c>
      <c r="D79" s="20" t="s">
        <v>24</v>
      </c>
      <c r="E79" s="6" t="s">
        <v>24</v>
      </c>
      <c r="F79" s="7">
        <f>G79+SUMIF('[1]mouvement batteurs cuves'!B:B,"=Courroie d'entrainement",'[1]mouvement batteurs cuves'!G:G)</f>
        <v>0</v>
      </c>
      <c r="G79" s="63">
        <v>0</v>
      </c>
      <c r="H79" s="20">
        <v>1</v>
      </c>
      <c r="I79" s="68" t="str">
        <f t="shared" si="2"/>
        <v>/!\</v>
      </c>
      <c r="J79" s="69">
        <v>0</v>
      </c>
      <c r="K79" s="17">
        <f t="shared" si="3"/>
        <v>0</v>
      </c>
      <c r="L79" s="30"/>
      <c r="M79" s="30"/>
      <c r="N79" s="30"/>
      <c r="O79" s="30"/>
      <c r="P79" s="30"/>
      <c r="Q79" s="30"/>
      <c r="R79" s="30"/>
      <c r="S79" s="30">
        <f>IF(Tableau113[[#This Row],[alerte stock]]="-",0,1)</f>
        <v>1</v>
      </c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</row>
    <row r="80" spans="1:44" ht="15.75" x14ac:dyDescent="0.25">
      <c r="A80" s="30"/>
      <c r="B80" s="13" t="s">
        <v>148</v>
      </c>
      <c r="C80" s="62" t="s">
        <v>179</v>
      </c>
      <c r="D80" s="63" t="s">
        <v>180</v>
      </c>
      <c r="E80" s="63" t="s">
        <v>24</v>
      </c>
      <c r="F80" s="64">
        <f>G80+SUMIF('[1]mouvement batteurs cuves'!B:B,"=Electrodistributeur Hydraulique pour verins leve cuve",'[1]mouvement batteurs cuves'!G:G)</f>
        <v>1</v>
      </c>
      <c r="G80" s="63">
        <v>1</v>
      </c>
      <c r="H80" s="63">
        <v>1</v>
      </c>
      <c r="I80" s="65" t="str">
        <f t="shared" si="2"/>
        <v>-</v>
      </c>
      <c r="J80" s="66">
        <v>355.1</v>
      </c>
      <c r="K80" s="67">
        <f t="shared" si="3"/>
        <v>355.1</v>
      </c>
      <c r="L80" s="30"/>
      <c r="M80" s="30"/>
      <c r="N80" s="30"/>
      <c r="O80" s="30"/>
      <c r="P80" s="30"/>
      <c r="Q80" s="30"/>
      <c r="R80" s="30"/>
      <c r="S80" s="30">
        <f>IF(Tableau113[[#This Row],[alerte stock]]="-",0,1)</f>
        <v>0</v>
      </c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</row>
    <row r="81" spans="1:44" ht="15.75" x14ac:dyDescent="0.25">
      <c r="A81" s="30"/>
      <c r="B81" s="13" t="s">
        <v>148</v>
      </c>
      <c r="C81" s="4" t="s">
        <v>7</v>
      </c>
      <c r="D81" s="20" t="s">
        <v>181</v>
      </c>
      <c r="E81" s="20" t="s">
        <v>24</v>
      </c>
      <c r="F81" s="7">
        <f>G81+SUMIF('[1]mouvement batteurs cuves'!B:B,"=Fin de course Cablé (levée cuve)",'[1]mouvement batteurs cuves'!G:G)</f>
        <v>1</v>
      </c>
      <c r="G81" s="63">
        <v>3</v>
      </c>
      <c r="H81" s="20">
        <v>1</v>
      </c>
      <c r="I81" s="68" t="str">
        <f t="shared" si="2"/>
        <v>-</v>
      </c>
      <c r="J81" s="69">
        <v>151.5</v>
      </c>
      <c r="K81" s="17">
        <f t="shared" si="3"/>
        <v>151.5</v>
      </c>
      <c r="L81" s="30"/>
      <c r="M81" s="30"/>
      <c r="N81" s="30"/>
      <c r="O81" s="30"/>
      <c r="P81" s="30"/>
      <c r="Q81" s="30"/>
      <c r="R81" s="30"/>
      <c r="S81" s="30">
        <f>IF(Tableau113[[#This Row],[alerte stock]]="-",0,1)</f>
        <v>0</v>
      </c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</row>
    <row r="82" spans="1:44" ht="15.75" x14ac:dyDescent="0.25">
      <c r="A82" s="30"/>
      <c r="B82" s="13" t="s">
        <v>148</v>
      </c>
      <c r="C82" s="62" t="s">
        <v>182</v>
      </c>
      <c r="D82" s="63">
        <v>98603041</v>
      </c>
      <c r="E82" s="63" t="s">
        <v>24</v>
      </c>
      <c r="F82" s="64">
        <f>G82+SUMIF('[1]mouvement batteurs cuves'!B:B,"=fond de boitier en fonte d'aluminium",'[1]mouvement batteurs cuves'!G:G)</f>
        <v>3</v>
      </c>
      <c r="G82" s="63">
        <v>3</v>
      </c>
      <c r="H82" s="63">
        <v>3</v>
      </c>
      <c r="I82" s="65" t="str">
        <f t="shared" si="2"/>
        <v>-</v>
      </c>
      <c r="J82" s="66">
        <v>15.6</v>
      </c>
      <c r="K82" s="67">
        <f t="shared" si="3"/>
        <v>46.8</v>
      </c>
      <c r="L82" s="30"/>
      <c r="M82" s="30"/>
      <c r="N82" s="30"/>
      <c r="O82" s="30"/>
      <c r="P82" s="30"/>
      <c r="Q82" s="30"/>
      <c r="R82" s="30"/>
      <c r="S82" s="30">
        <f>IF(Tableau113[[#This Row],[alerte stock]]="-",0,1)</f>
        <v>0</v>
      </c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</row>
    <row r="83" spans="1:44" ht="24" x14ac:dyDescent="0.25">
      <c r="A83" s="30"/>
      <c r="B83" s="13" t="s">
        <v>148</v>
      </c>
      <c r="C83" s="62" t="s">
        <v>183</v>
      </c>
      <c r="D83" s="63" t="s">
        <v>184</v>
      </c>
      <c r="E83" s="63" t="s">
        <v>185</v>
      </c>
      <c r="F83" s="7">
        <f>G83+SUMIF('[1]mouvement batteurs cuves'!B:B,"=fouet pour cuve 150 l",'[1]mouvement batteurs cuves'!G:G)</f>
        <v>0</v>
      </c>
      <c r="G83" s="63">
        <v>0</v>
      </c>
      <c r="H83" s="63">
        <v>1</v>
      </c>
      <c r="I83" s="68" t="str">
        <f t="shared" si="2"/>
        <v>/!\</v>
      </c>
      <c r="J83" s="66">
        <v>1188.8</v>
      </c>
      <c r="K83" s="17">
        <f t="shared" si="3"/>
        <v>0</v>
      </c>
      <c r="L83" s="30"/>
      <c r="M83" s="30"/>
      <c r="N83" s="30"/>
      <c r="O83" s="30"/>
      <c r="P83" s="30"/>
      <c r="Q83" s="30"/>
      <c r="R83" s="30"/>
      <c r="S83" s="30">
        <f>IF(Tableau113[[#This Row],[alerte stock]]="-",0,1)</f>
        <v>1</v>
      </c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</row>
    <row r="84" spans="1:44" ht="24" x14ac:dyDescent="0.25">
      <c r="A84" s="30"/>
      <c r="B84" s="13" t="s">
        <v>148</v>
      </c>
      <c r="C84" s="62" t="s">
        <v>186</v>
      </c>
      <c r="D84" s="63" t="s">
        <v>187</v>
      </c>
      <c r="E84" s="63" t="s">
        <v>185</v>
      </c>
      <c r="F84" s="64">
        <f>G84+SUMIF('[1]mouvement batteurs cuves'!B:B,"=fouet pour cuve 80 L",'[1]mouvement batteurs cuves'!G:G)</f>
        <v>0</v>
      </c>
      <c r="G84" s="63">
        <v>0</v>
      </c>
      <c r="H84" s="63">
        <v>1</v>
      </c>
      <c r="I84" s="65" t="str">
        <f t="shared" si="2"/>
        <v>/!\</v>
      </c>
      <c r="J84" s="66">
        <v>438.1</v>
      </c>
      <c r="K84" s="67">
        <f t="shared" si="3"/>
        <v>0</v>
      </c>
      <c r="L84" s="30"/>
      <c r="M84" s="30"/>
      <c r="N84" s="30"/>
      <c r="O84" s="30"/>
      <c r="P84" s="30"/>
      <c r="Q84" s="30"/>
      <c r="R84" s="30"/>
      <c r="S84" s="30">
        <f>IF(Tableau113[[#This Row],[alerte stock]]="-",0,1)</f>
        <v>1</v>
      </c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</row>
    <row r="85" spans="1:44" ht="15.75" x14ac:dyDescent="0.25">
      <c r="A85" s="30"/>
      <c r="B85" s="13" t="s">
        <v>148</v>
      </c>
      <c r="C85" s="4" t="s">
        <v>188</v>
      </c>
      <c r="D85" s="20" t="s">
        <v>189</v>
      </c>
      <c r="E85" s="20" t="s">
        <v>24</v>
      </c>
      <c r="F85" s="7">
        <f>G85+SUMIF('[1]mouvement batteurs cuves'!B:B,"=Glissiere de support (Queue d'arronde)",'[1]mouvement batteurs cuves'!G:G)</f>
        <v>1</v>
      </c>
      <c r="G85" s="63">
        <v>1</v>
      </c>
      <c r="H85" s="20">
        <v>1</v>
      </c>
      <c r="I85" s="68" t="str">
        <f t="shared" si="2"/>
        <v>-</v>
      </c>
      <c r="J85" s="69">
        <v>312.5</v>
      </c>
      <c r="K85" s="17">
        <f t="shared" si="3"/>
        <v>312.5</v>
      </c>
      <c r="L85" s="30"/>
      <c r="M85" s="30"/>
      <c r="N85" s="30"/>
      <c r="O85" s="30"/>
      <c r="P85" s="30"/>
      <c r="Q85" s="30"/>
      <c r="R85" s="30"/>
      <c r="S85" s="30">
        <f>IF(Tableau113[[#This Row],[alerte stock]]="-",0,1)</f>
        <v>0</v>
      </c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</row>
    <row r="86" spans="1:44" ht="15.75" x14ac:dyDescent="0.25">
      <c r="A86" s="30"/>
      <c r="B86" s="13" t="s">
        <v>148</v>
      </c>
      <c r="C86" s="62" t="s">
        <v>190</v>
      </c>
      <c r="D86" s="63" t="s">
        <v>191</v>
      </c>
      <c r="E86" s="63" t="s">
        <v>24</v>
      </c>
      <c r="F86" s="64">
        <f>G86+SUMIF('[1]mouvement batteurs cuves'!B:B,"=Grille tournante",'[1]mouvement batteurs cuves'!G:G)</f>
        <v>1</v>
      </c>
      <c r="G86" s="63">
        <v>1</v>
      </c>
      <c r="H86" s="63">
        <v>1</v>
      </c>
      <c r="I86" s="65" t="str">
        <f t="shared" si="2"/>
        <v>-</v>
      </c>
      <c r="J86" s="66">
        <v>669.53</v>
      </c>
      <c r="K86" s="67">
        <f t="shared" si="3"/>
        <v>669.53</v>
      </c>
      <c r="L86" s="30"/>
      <c r="M86" s="30"/>
      <c r="N86" s="30"/>
      <c r="O86" s="30"/>
      <c r="P86" s="30"/>
      <c r="Q86" s="30"/>
      <c r="R86" s="30"/>
      <c r="S86" s="30">
        <f>IF(Tableau113[[#This Row],[alerte stock]]="-",0,1)</f>
        <v>0</v>
      </c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</row>
    <row r="87" spans="1:44" ht="15.75" x14ac:dyDescent="0.25">
      <c r="A87" s="30"/>
      <c r="B87" s="13" t="s">
        <v>148</v>
      </c>
      <c r="C87" s="62" t="s">
        <v>192</v>
      </c>
      <c r="D87" s="63" t="s">
        <v>193</v>
      </c>
      <c r="E87" s="63" t="s">
        <v>24</v>
      </c>
      <c r="F87" s="55">
        <f>G87+SUMIF('[1]mouvement batteurs cuves'!B:B,"=huile fluide caloporteur",'[1]mouvement batteurs cuves'!G:G)</f>
        <v>40</v>
      </c>
      <c r="G87" s="76">
        <v>40</v>
      </c>
      <c r="H87" s="63">
        <v>25</v>
      </c>
      <c r="I87" s="68" t="str">
        <f t="shared" si="2"/>
        <v>-</v>
      </c>
      <c r="J87" s="66">
        <v>6.7801999999999998</v>
      </c>
      <c r="K87" s="17">
        <f t="shared" si="3"/>
        <v>271.20799999999997</v>
      </c>
      <c r="L87" s="30"/>
      <c r="M87" s="30"/>
      <c r="N87" s="30"/>
      <c r="O87" s="30"/>
      <c r="P87" s="30"/>
      <c r="Q87" s="30"/>
      <c r="R87" s="30"/>
      <c r="S87" s="30">
        <f>IF(Tableau113[[#This Row],[alerte stock]]="-",0,1)</f>
        <v>0</v>
      </c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</row>
    <row r="88" spans="1:44" ht="15.75" x14ac:dyDescent="0.25">
      <c r="A88" s="30"/>
      <c r="B88" s="13" t="s">
        <v>148</v>
      </c>
      <c r="C88" s="62" t="s">
        <v>194</v>
      </c>
      <c r="D88" s="63" t="s">
        <v>195</v>
      </c>
      <c r="E88" s="63" t="s">
        <v>24</v>
      </c>
      <c r="F88" s="55">
        <f>G88+SUMIF('[1]mouvement batteurs cuves'!B:B,"=Huile Hydraulique Alimentaire Verins Batteurs",'[1]mouvement batteurs cuves'!G:G)</f>
        <v>4</v>
      </c>
      <c r="G88" s="76">
        <v>4</v>
      </c>
      <c r="H88" s="63">
        <v>5</v>
      </c>
      <c r="I88" s="65" t="str">
        <f t="shared" si="2"/>
        <v>/!\</v>
      </c>
      <c r="J88" s="66">
        <v>4.5</v>
      </c>
      <c r="K88" s="67">
        <f t="shared" si="3"/>
        <v>18</v>
      </c>
      <c r="L88" s="30"/>
      <c r="M88" s="30"/>
      <c r="N88" s="30"/>
      <c r="O88" s="30"/>
      <c r="P88" s="30"/>
      <c r="Q88" s="30"/>
      <c r="R88" s="30"/>
      <c r="S88" s="30">
        <f>IF(Tableau113[[#This Row],[alerte stock]]="-",0,1)</f>
        <v>1</v>
      </c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</row>
    <row r="89" spans="1:44" ht="15.75" x14ac:dyDescent="0.25">
      <c r="A89" s="30"/>
      <c r="B89" s="13" t="s">
        <v>148</v>
      </c>
      <c r="C89" s="62" t="s">
        <v>5</v>
      </c>
      <c r="D89" s="63" t="s">
        <v>196</v>
      </c>
      <c r="E89" s="63" t="s">
        <v>24</v>
      </c>
      <c r="F89" s="7">
        <f>G89+SUMIF('[1]mouvement batteurs cuves'!B:B,"=Insert Han E male 16 Contacts sur 2 Rangées,500 V 16A ",'[1]mouvement batteurs cuves'!G:G)</f>
        <v>12</v>
      </c>
      <c r="G89" s="63">
        <v>0</v>
      </c>
      <c r="H89" s="63">
        <v>1</v>
      </c>
      <c r="I89" s="68" t="str">
        <f t="shared" si="2"/>
        <v>-</v>
      </c>
      <c r="J89" s="66">
        <v>11.63</v>
      </c>
      <c r="K89" s="17">
        <f t="shared" si="3"/>
        <v>139.56</v>
      </c>
      <c r="L89" s="30"/>
      <c r="M89" s="30"/>
      <c r="N89" s="30"/>
      <c r="O89" s="30"/>
      <c r="P89" s="30"/>
      <c r="Q89" s="30"/>
      <c r="R89" s="30"/>
      <c r="S89" s="30">
        <f>IF(Tableau113[[#This Row],[alerte stock]]="-",0,1)</f>
        <v>0</v>
      </c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</row>
    <row r="90" spans="1:44" ht="15.75" x14ac:dyDescent="0.25">
      <c r="A90" s="30"/>
      <c r="B90" s="13" t="s">
        <v>148</v>
      </c>
      <c r="C90" s="62" t="s">
        <v>8</v>
      </c>
      <c r="D90" s="63" t="s">
        <v>197</v>
      </c>
      <c r="E90" s="63" t="s">
        <v>24</v>
      </c>
      <c r="F90" s="64">
        <f>G90+SUMIF('[1]mouvement batteurs cuves'!B:B,"=Insert Han E Femelle 16 Contacts sur 2 Rangées,500 V 16A ",'[1]mouvement batteurs cuves'!G:G)</f>
        <v>5</v>
      </c>
      <c r="G90" s="63">
        <v>3</v>
      </c>
      <c r="H90" s="63">
        <v>1</v>
      </c>
      <c r="I90" s="65" t="str">
        <f t="shared" si="2"/>
        <v>-</v>
      </c>
      <c r="J90" s="66">
        <v>12.38</v>
      </c>
      <c r="K90" s="67">
        <f t="shared" si="3"/>
        <v>61.900000000000006</v>
      </c>
      <c r="L90" s="30"/>
      <c r="M90" s="30"/>
      <c r="N90" s="30"/>
      <c r="O90" s="30"/>
      <c r="P90" s="30"/>
      <c r="Q90" s="30"/>
      <c r="R90" s="30"/>
      <c r="S90" s="30">
        <f>IF(Tableau113[[#This Row],[alerte stock]]="-",0,1)</f>
        <v>0</v>
      </c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</row>
    <row r="91" spans="1:44" ht="15.75" x14ac:dyDescent="0.25">
      <c r="A91" s="30"/>
      <c r="B91" s="13" t="s">
        <v>148</v>
      </c>
      <c r="C91" s="4" t="s">
        <v>198</v>
      </c>
      <c r="D91" s="20" t="s">
        <v>24</v>
      </c>
      <c r="E91" s="20" t="s">
        <v>24</v>
      </c>
      <c r="F91" s="7">
        <f>G91+SUMIF('[1]mouvement batteurs cuves'!B:B,"=Joint spi bras satelitte DIM: 50x80x10",'[1]mouvement batteurs cuves'!G:G)</f>
        <v>5</v>
      </c>
      <c r="G91" s="63">
        <v>5</v>
      </c>
      <c r="H91" s="20">
        <v>1</v>
      </c>
      <c r="I91" s="68" t="str">
        <f t="shared" si="2"/>
        <v>-</v>
      </c>
      <c r="J91" s="69">
        <v>0</v>
      </c>
      <c r="K91" s="17">
        <f t="shared" si="3"/>
        <v>0</v>
      </c>
      <c r="L91" s="30"/>
      <c r="M91" s="30"/>
      <c r="N91" s="30"/>
      <c r="O91" s="30"/>
      <c r="P91" s="30"/>
      <c r="Q91" s="30"/>
      <c r="R91" s="30"/>
      <c r="S91" s="30">
        <f>IF(Tableau113[[#This Row],[alerte stock]]="-",0,1)</f>
        <v>0</v>
      </c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</row>
    <row r="92" spans="1:44" ht="15.75" x14ac:dyDescent="0.25">
      <c r="A92" s="30"/>
      <c r="B92" s="13" t="s">
        <v>148</v>
      </c>
      <c r="C92" s="70" t="s">
        <v>199</v>
      </c>
      <c r="D92" s="71" t="s">
        <v>24</v>
      </c>
      <c r="E92" s="71" t="s">
        <v>24</v>
      </c>
      <c r="F92" s="64">
        <f>G92+SUMIF('[1]mouvement batteurs cuves'!B:B,"=joint suiffé (tresse 100% PTFE 12x12)",'[1]mouvement batteurs cuves'!G:G)</f>
        <v>1</v>
      </c>
      <c r="G92" s="63">
        <v>1</v>
      </c>
      <c r="H92" s="71">
        <v>1</v>
      </c>
      <c r="I92" s="65" t="str">
        <f t="shared" si="2"/>
        <v>-</v>
      </c>
      <c r="J92" s="72">
        <v>0</v>
      </c>
      <c r="K92" s="67">
        <f t="shared" si="3"/>
        <v>0</v>
      </c>
      <c r="L92" s="30"/>
      <c r="M92" s="30"/>
      <c r="N92" s="30"/>
      <c r="O92" s="30"/>
      <c r="P92" s="30"/>
      <c r="Q92" s="30"/>
      <c r="R92" s="30"/>
      <c r="S92" s="30">
        <f>IF(Tableau113[[#This Row],[alerte stock]]="-",0,1)</f>
        <v>0</v>
      </c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</row>
    <row r="93" spans="1:44" ht="15.75" x14ac:dyDescent="0.25">
      <c r="A93" s="30"/>
      <c r="B93" s="13" t="s">
        <v>148</v>
      </c>
      <c r="C93" s="62" t="s">
        <v>9</v>
      </c>
      <c r="D93" s="63" t="s">
        <v>147</v>
      </c>
      <c r="E93" s="63" t="s">
        <v>24</v>
      </c>
      <c r="F93" s="7">
        <f>G93+SUMIF('[1]mouvement batteurs cuves'!B:B,"=LEVIER EASY-LOCK PRISE HARTING ",'[1]mouvement batteurs cuves'!G:G)</f>
        <v>10</v>
      </c>
      <c r="G93" s="63">
        <v>13</v>
      </c>
      <c r="H93" s="63">
        <v>2</v>
      </c>
      <c r="I93" s="68" t="str">
        <f t="shared" si="2"/>
        <v>-</v>
      </c>
      <c r="J93" s="66">
        <v>4.28</v>
      </c>
      <c r="K93" s="17">
        <f t="shared" si="3"/>
        <v>42.800000000000004</v>
      </c>
      <c r="L93" s="30"/>
      <c r="M93" s="30"/>
      <c r="N93" s="30"/>
      <c r="O93" s="30"/>
      <c r="P93" s="30"/>
      <c r="Q93" s="30"/>
      <c r="R93" s="30"/>
      <c r="S93" s="30">
        <f>IF(Tableau113[[#This Row],[alerte stock]]="-",0,1)</f>
        <v>0</v>
      </c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</row>
    <row r="94" spans="1:44" ht="15.75" x14ac:dyDescent="0.25">
      <c r="A94" s="30"/>
      <c r="B94" s="13" t="s">
        <v>148</v>
      </c>
      <c r="C94" s="62" t="s">
        <v>200</v>
      </c>
      <c r="D94" s="63" t="s">
        <v>201</v>
      </c>
      <c r="E94" s="63" t="s">
        <v>24</v>
      </c>
      <c r="F94" s="64">
        <f>G94+SUMIF('[1]mouvement batteurs cuves'!B:B,"=MODULE SECURITE ACOTOM COM3C 24V batteur 2",'[1]mouvement batteurs cuves'!G:G)</f>
        <v>0</v>
      </c>
      <c r="G94" s="63">
        <v>0</v>
      </c>
      <c r="H94" s="63">
        <v>1</v>
      </c>
      <c r="I94" s="65" t="str">
        <f t="shared" ref="I94:I107" si="4">IF(F94&lt;H94,"/!\","-")</f>
        <v>/!\</v>
      </c>
      <c r="J94" s="66">
        <v>196.86</v>
      </c>
      <c r="K94" s="67">
        <f t="shared" ref="K94:K107" si="5">F94*J94</f>
        <v>0</v>
      </c>
      <c r="L94" s="30"/>
      <c r="M94" s="30"/>
      <c r="N94" s="30"/>
      <c r="O94" s="30"/>
      <c r="P94" s="30"/>
      <c r="Q94" s="30"/>
      <c r="R94" s="30"/>
      <c r="S94" s="30">
        <f>IF(Tableau113[[#This Row],[alerte stock]]="-",0,1)</f>
        <v>1</v>
      </c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</row>
    <row r="95" spans="1:44" ht="15.75" x14ac:dyDescent="0.25">
      <c r="A95" s="30"/>
      <c r="B95" s="13" t="s">
        <v>148</v>
      </c>
      <c r="C95" s="4" t="s">
        <v>202</v>
      </c>
      <c r="D95" s="20" t="s">
        <v>203</v>
      </c>
      <c r="E95" s="20" t="s">
        <v>24</v>
      </c>
      <c r="F95" s="7">
        <f>G95+SUMIF('[1]mouvement batteurs cuves'!B:B,"=Potentiometre vitesse rotation BAT3",'[1]mouvement batteurs cuves'!G:G)</f>
        <v>1</v>
      </c>
      <c r="G95" s="63">
        <v>1</v>
      </c>
      <c r="H95" s="20">
        <v>1</v>
      </c>
      <c r="I95" s="68" t="str">
        <f t="shared" si="4"/>
        <v>-</v>
      </c>
      <c r="J95" s="69">
        <v>54.09</v>
      </c>
      <c r="K95" s="17">
        <f t="shared" si="5"/>
        <v>54.09</v>
      </c>
      <c r="L95" s="30"/>
      <c r="M95" s="30"/>
      <c r="N95" s="30"/>
      <c r="O95" s="30"/>
      <c r="P95" s="30"/>
      <c r="Q95" s="30"/>
      <c r="R95" s="30"/>
      <c r="S95" s="30">
        <f>IF(Tableau113[[#This Row],[alerte stock]]="-",0,1)</f>
        <v>0</v>
      </c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</row>
    <row r="96" spans="1:44" ht="15.75" x14ac:dyDescent="0.25">
      <c r="A96" s="30"/>
      <c r="B96" s="13" t="s">
        <v>148</v>
      </c>
      <c r="C96" s="70" t="s">
        <v>204</v>
      </c>
      <c r="D96" s="71" t="s">
        <v>205</v>
      </c>
      <c r="E96" s="71" t="s">
        <v>24</v>
      </c>
      <c r="F96" s="64">
        <f>G96+SUMIF('[1]mouvement batteurs cuves'!B:B,"=poussoir de FDC presence cuve",'[1]mouvement batteurs cuves'!G:G)</f>
        <v>3</v>
      </c>
      <c r="G96" s="63">
        <v>3</v>
      </c>
      <c r="H96" s="71">
        <v>1</v>
      </c>
      <c r="I96" s="65" t="str">
        <f t="shared" si="4"/>
        <v>-</v>
      </c>
      <c r="J96" s="72">
        <v>44.79</v>
      </c>
      <c r="K96" s="67">
        <f t="shared" si="5"/>
        <v>134.37</v>
      </c>
      <c r="L96" s="30"/>
      <c r="M96" s="30"/>
      <c r="N96" s="30"/>
      <c r="O96" s="30"/>
      <c r="P96" s="30"/>
      <c r="Q96" s="30"/>
      <c r="R96" s="30"/>
      <c r="S96" s="30">
        <f>IF(Tableau113[[#This Row],[alerte stock]]="-",0,1)</f>
        <v>0</v>
      </c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</row>
    <row r="97" spans="1:44" ht="15.75" x14ac:dyDescent="0.25">
      <c r="A97" s="30"/>
      <c r="B97" s="13" t="s">
        <v>148</v>
      </c>
      <c r="C97" s="62" t="s">
        <v>206</v>
      </c>
      <c r="D97" s="63" t="s">
        <v>207</v>
      </c>
      <c r="E97" s="63" t="s">
        <v>208</v>
      </c>
      <c r="F97" s="7">
        <f>G97+SUMIF('[1]mouvement batteurs cuves'!B:B,"=protection thermoplongeur modele 2077-99 (plastique/verre)",'[1]mouvement batteurs cuves'!G:G)</f>
        <v>0</v>
      </c>
      <c r="G97" s="63">
        <v>0</v>
      </c>
      <c r="H97" s="63">
        <v>0</v>
      </c>
      <c r="I97" s="68" t="str">
        <f t="shared" si="4"/>
        <v>-</v>
      </c>
      <c r="J97" s="66">
        <v>44.6</v>
      </c>
      <c r="K97" s="17">
        <f t="shared" si="5"/>
        <v>0</v>
      </c>
      <c r="L97" s="30"/>
      <c r="M97" s="30"/>
      <c r="N97" s="30"/>
      <c r="O97" s="30"/>
      <c r="P97" s="30"/>
      <c r="Q97" s="30"/>
      <c r="R97" s="30"/>
      <c r="S97" s="30">
        <f>IF(Tableau113[[#This Row],[alerte stock]]="-",0,1)</f>
        <v>0</v>
      </c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</row>
    <row r="98" spans="1:44" ht="15.75" x14ac:dyDescent="0.25">
      <c r="A98" s="30"/>
      <c r="B98" s="13" t="s">
        <v>148</v>
      </c>
      <c r="C98" s="62" t="s">
        <v>209</v>
      </c>
      <c r="D98" s="63" t="s">
        <v>210</v>
      </c>
      <c r="E98" s="63" t="s">
        <v>208</v>
      </c>
      <c r="F98" s="64">
        <f>G98+SUMIF('[1]mouvement batteurs cuves'!B:B,"=protection thermoplongeur modele 9622-01 (alu)",'[1]mouvement batteurs cuves'!G:G)</f>
        <v>8</v>
      </c>
      <c r="G98" s="63">
        <v>8</v>
      </c>
      <c r="H98" s="63">
        <v>2</v>
      </c>
      <c r="I98" s="65" t="str">
        <f t="shared" si="4"/>
        <v>-</v>
      </c>
      <c r="J98" s="66">
        <v>44.6</v>
      </c>
      <c r="K98" s="67">
        <f t="shared" si="5"/>
        <v>356.8</v>
      </c>
      <c r="L98" s="30"/>
      <c r="M98" s="30"/>
      <c r="N98" s="30"/>
      <c r="O98" s="30"/>
      <c r="P98" s="30"/>
      <c r="Q98" s="30"/>
      <c r="R98" s="30"/>
      <c r="S98" s="30">
        <f>IF(Tableau113[[#This Row],[alerte stock]]="-",0,1)</f>
        <v>0</v>
      </c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</row>
    <row r="99" spans="1:44" ht="15.75" x14ac:dyDescent="0.25">
      <c r="A99" s="30"/>
      <c r="B99" s="13" t="s">
        <v>148</v>
      </c>
      <c r="C99" s="62" t="s">
        <v>211</v>
      </c>
      <c r="D99" s="63" t="s">
        <v>212</v>
      </c>
      <c r="E99" s="63" t="s">
        <v>24</v>
      </c>
      <c r="F99" s="7">
        <f>G99+SUMIF('[1]mouvement batteurs cuves'!B:B,"=RELAIS STATIQUE chauffage de cuves batteur 1",'[1]mouvement batteurs cuves'!G:G)</f>
        <v>0</v>
      </c>
      <c r="G99" s="63">
        <v>1</v>
      </c>
      <c r="H99" s="63">
        <v>0</v>
      </c>
      <c r="I99" s="68" t="str">
        <f t="shared" si="4"/>
        <v>-</v>
      </c>
      <c r="J99" s="66">
        <v>181.14</v>
      </c>
      <c r="K99" s="17">
        <f t="shared" si="5"/>
        <v>0</v>
      </c>
      <c r="L99" s="30"/>
      <c r="M99" s="30"/>
      <c r="N99" s="30"/>
      <c r="O99" s="30"/>
      <c r="P99" s="30"/>
      <c r="Q99" s="30"/>
      <c r="R99" s="30"/>
      <c r="S99" s="30">
        <f>IF(Tableau113[[#This Row],[alerte stock]]="-",0,1)</f>
        <v>0</v>
      </c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</row>
    <row r="100" spans="1:44" ht="15.75" x14ac:dyDescent="0.25">
      <c r="A100" s="30"/>
      <c r="B100" s="13" t="s">
        <v>148</v>
      </c>
      <c r="C100" s="70" t="s">
        <v>213</v>
      </c>
      <c r="D100" s="71" t="s">
        <v>214</v>
      </c>
      <c r="E100" s="71" t="s">
        <v>24</v>
      </c>
      <c r="F100" s="64">
        <f>G100+SUMIF('[1]mouvement batteurs cuves'!B:B,"=Roulement à billes SKF 6207-2RS1, Rainure profonde, 35mmx72mm",'[1]mouvement batteurs cuves'!G:G)</f>
        <v>1</v>
      </c>
      <c r="G100" s="63">
        <v>1</v>
      </c>
      <c r="H100" s="71">
        <v>2</v>
      </c>
      <c r="I100" s="65" t="str">
        <f t="shared" si="4"/>
        <v>/!\</v>
      </c>
      <c r="J100" s="72">
        <v>12.93</v>
      </c>
      <c r="K100" s="67">
        <f t="shared" si="5"/>
        <v>12.93</v>
      </c>
      <c r="L100" s="30"/>
      <c r="M100" s="30"/>
      <c r="N100" s="30"/>
      <c r="O100" s="30"/>
      <c r="P100" s="30"/>
      <c r="Q100" s="30"/>
      <c r="R100" s="30"/>
      <c r="S100" s="30">
        <f>IF(Tableau113[[#This Row],[alerte stock]]="-",0,1)</f>
        <v>1</v>
      </c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</row>
    <row r="101" spans="1:44" ht="15.75" x14ac:dyDescent="0.25">
      <c r="A101" s="30"/>
      <c r="B101" s="13" t="s">
        <v>148</v>
      </c>
      <c r="C101" s="4" t="s">
        <v>215</v>
      </c>
      <c r="D101" s="20" t="s">
        <v>216</v>
      </c>
      <c r="E101" s="20" t="s">
        <v>24</v>
      </c>
      <c r="F101" s="7">
        <f>G101+SUMIF('[1]mouvement batteurs cuves'!B:B,"=Roulement à billes SKF 6208-2RS1, Rainure profonde, 40mmx80mm",'[1]mouvement batteurs cuves'!G:G)</f>
        <v>1</v>
      </c>
      <c r="G101" s="63">
        <v>1</v>
      </c>
      <c r="H101" s="20">
        <v>1</v>
      </c>
      <c r="I101" s="68" t="str">
        <f t="shared" si="4"/>
        <v>-</v>
      </c>
      <c r="J101" s="69">
        <v>16.920000000000002</v>
      </c>
      <c r="K101" s="17">
        <f t="shared" si="5"/>
        <v>16.920000000000002</v>
      </c>
      <c r="L101" s="30"/>
      <c r="M101" s="30"/>
      <c r="N101" s="30"/>
      <c r="O101" s="30"/>
      <c r="P101" s="30"/>
      <c r="Q101" s="30"/>
      <c r="R101" s="30"/>
      <c r="S101" s="30">
        <f>IF(Tableau113[[#This Row],[alerte stock]]="-",0,1)</f>
        <v>0</v>
      </c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</row>
    <row r="102" spans="1:44" ht="15.75" x14ac:dyDescent="0.25">
      <c r="A102" s="30"/>
      <c r="B102" s="13" t="s">
        <v>148</v>
      </c>
      <c r="C102" s="70" t="s">
        <v>217</v>
      </c>
      <c r="D102" s="71" t="s">
        <v>24</v>
      </c>
      <c r="E102" s="71" t="s">
        <v>24</v>
      </c>
      <c r="F102" s="64">
        <f>G102+SUMIF('[1]mouvement batteurs cuves'!B:B,"=Roulement capot grille",'[1]mouvement batteurs cuves'!G:G)</f>
        <v>3</v>
      </c>
      <c r="G102" s="63">
        <v>3</v>
      </c>
      <c r="H102" s="71">
        <v>3</v>
      </c>
      <c r="I102" s="65" t="str">
        <f t="shared" si="4"/>
        <v>-</v>
      </c>
      <c r="J102" s="72">
        <v>0</v>
      </c>
      <c r="K102" s="67">
        <f t="shared" si="5"/>
        <v>0</v>
      </c>
      <c r="L102" s="30"/>
      <c r="M102" s="30"/>
      <c r="N102" s="30"/>
      <c r="O102" s="30"/>
      <c r="P102" s="30"/>
      <c r="Q102" s="30"/>
      <c r="R102" s="30"/>
      <c r="S102" s="30">
        <f>IF(Tableau113[[#This Row],[alerte stock]]="-",0,1)</f>
        <v>0</v>
      </c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</row>
    <row r="103" spans="1:44" ht="15.75" x14ac:dyDescent="0.25">
      <c r="A103" s="30"/>
      <c r="B103" s="13" t="s">
        <v>148</v>
      </c>
      <c r="C103" s="4" t="s">
        <v>218</v>
      </c>
      <c r="D103" s="20" t="s">
        <v>219</v>
      </c>
      <c r="E103" s="20" t="s">
        <v>24</v>
      </c>
      <c r="F103" s="7">
        <f>G103+SUMIF('[1]mouvement batteurs cuves'!B:B,"=Roulettes pour cuves 80/100/150L",'[1]mouvement batteurs cuves'!G:G)</f>
        <v>7</v>
      </c>
      <c r="G103" s="63">
        <v>7</v>
      </c>
      <c r="H103" s="20">
        <v>4</v>
      </c>
      <c r="I103" s="68" t="str">
        <f t="shared" si="4"/>
        <v>-</v>
      </c>
      <c r="J103" s="69">
        <v>24.9</v>
      </c>
      <c r="K103" s="17">
        <f t="shared" si="5"/>
        <v>174.29999999999998</v>
      </c>
      <c r="L103" s="30"/>
      <c r="M103" s="30"/>
      <c r="N103" s="30"/>
      <c r="O103" s="30"/>
      <c r="P103" s="30"/>
      <c r="Q103" s="30"/>
      <c r="R103" s="30"/>
      <c r="S103" s="30">
        <f>IF(Tableau113[[#This Row],[alerte stock]]="-",0,1)</f>
        <v>0</v>
      </c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</row>
    <row r="104" spans="1:44" ht="15.75" x14ac:dyDescent="0.25">
      <c r="A104" s="30"/>
      <c r="B104" s="13" t="s">
        <v>148</v>
      </c>
      <c r="C104" s="62" t="s">
        <v>220</v>
      </c>
      <c r="D104" s="77" t="s">
        <v>24</v>
      </c>
      <c r="E104" s="63" t="s">
        <v>24</v>
      </c>
      <c r="F104" s="64">
        <f>G104+SUMIF('[1]mouvement batteurs cuves'!B:B,"=soupapes, 2882/d10c/s-ptfe",'[1]mouvement batteurs cuves'!G:G)</f>
        <v>4</v>
      </c>
      <c r="G104" s="63">
        <v>4</v>
      </c>
      <c r="H104" s="63">
        <v>1</v>
      </c>
      <c r="I104" s="65" t="str">
        <f t="shared" si="4"/>
        <v>-</v>
      </c>
      <c r="J104" s="66">
        <v>219.83</v>
      </c>
      <c r="K104" s="67">
        <f t="shared" si="5"/>
        <v>879.32</v>
      </c>
      <c r="L104" s="30"/>
      <c r="M104" s="30"/>
      <c r="N104" s="30"/>
      <c r="O104" s="30"/>
      <c r="P104" s="30"/>
      <c r="Q104" s="30"/>
      <c r="R104" s="30"/>
      <c r="S104" s="30">
        <f>IF(Tableau113[[#This Row],[alerte stock]]="-",0,1)</f>
        <v>0</v>
      </c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</row>
    <row r="105" spans="1:44" ht="15.75" x14ac:dyDescent="0.25">
      <c r="A105" s="30"/>
      <c r="B105" s="13" t="s">
        <v>148</v>
      </c>
      <c r="C105" s="4" t="s">
        <v>10</v>
      </c>
      <c r="D105" s="78" t="s">
        <v>221</v>
      </c>
      <c r="E105" s="79" t="s">
        <v>24</v>
      </c>
      <c r="F105" s="7">
        <f>G105+SUMIF('[1]mouvement batteurs cuves'!B:B,"=Tête + roulette Capteur de fin de course Telemecanique ZCKD21",'[1]mouvement batteurs cuves'!G:G)</f>
        <v>1</v>
      </c>
      <c r="G105" s="63">
        <v>2</v>
      </c>
      <c r="H105" s="20">
        <v>1</v>
      </c>
      <c r="I105" s="68" t="str">
        <f t="shared" si="4"/>
        <v>-</v>
      </c>
      <c r="J105" s="69">
        <v>22.34</v>
      </c>
      <c r="K105" s="17">
        <f t="shared" si="5"/>
        <v>22.34</v>
      </c>
      <c r="L105" s="30"/>
      <c r="M105" s="30"/>
      <c r="N105" s="30"/>
      <c r="O105" s="30"/>
      <c r="P105" s="30"/>
      <c r="Q105" s="30"/>
      <c r="R105" s="30"/>
      <c r="S105" s="30">
        <f>IF(Tableau113[[#This Row],[alerte stock]]="-",0,1)</f>
        <v>0</v>
      </c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</row>
    <row r="106" spans="1:44" ht="24" x14ac:dyDescent="0.25">
      <c r="A106" s="30"/>
      <c r="B106" s="13" t="s">
        <v>148</v>
      </c>
      <c r="C106" s="62" t="s">
        <v>222</v>
      </c>
      <c r="D106" s="77" t="s">
        <v>223</v>
      </c>
      <c r="E106" s="63" t="s">
        <v>185</v>
      </c>
      <c r="F106" s="64">
        <f>G106+SUMIF('[1]mouvement batteurs cuves'!B:B,"=tête de fouet",'[1]mouvement batteurs cuves'!G:G)</f>
        <v>0</v>
      </c>
      <c r="G106" s="63">
        <v>0</v>
      </c>
      <c r="H106" s="63">
        <v>1</v>
      </c>
      <c r="I106" s="65" t="str">
        <f t="shared" si="4"/>
        <v>/!\</v>
      </c>
      <c r="J106" s="66">
        <v>292.39999999999998</v>
      </c>
      <c r="K106" s="67">
        <f t="shared" si="5"/>
        <v>0</v>
      </c>
      <c r="L106" s="30"/>
      <c r="M106" s="30"/>
      <c r="N106" s="30"/>
      <c r="O106" s="30"/>
      <c r="P106" s="30"/>
      <c r="Q106" s="30"/>
      <c r="R106" s="30"/>
      <c r="S106" s="30">
        <f>IF(Tableau113[[#This Row],[alerte stock]]="-",0,1)</f>
        <v>1</v>
      </c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</row>
    <row r="107" spans="1:44" ht="15.75" x14ac:dyDescent="0.25">
      <c r="A107" s="30"/>
      <c r="B107" s="13" t="s">
        <v>148</v>
      </c>
      <c r="C107" s="80" t="s">
        <v>224</v>
      </c>
      <c r="D107" s="78" t="s">
        <v>225</v>
      </c>
      <c r="E107" s="78" t="s">
        <v>24</v>
      </c>
      <c r="F107" s="81">
        <f>G107+SUMIF('[1]mouvement batteurs cuves'!B:B,"=Verin hydraulique montée cuve L=735",'[1]mouvement batteurs cuves'!G:G)</f>
        <v>0</v>
      </c>
      <c r="G107" s="77">
        <v>0</v>
      </c>
      <c r="H107" s="78">
        <v>1</v>
      </c>
      <c r="I107" s="82" t="str">
        <f t="shared" si="4"/>
        <v>/!\</v>
      </c>
      <c r="J107" s="83">
        <v>1192.1500000000001</v>
      </c>
      <c r="K107" s="84">
        <f t="shared" si="5"/>
        <v>0</v>
      </c>
      <c r="L107" s="30"/>
      <c r="M107" s="30"/>
      <c r="N107" s="30"/>
      <c r="O107" s="30"/>
      <c r="P107" s="30"/>
      <c r="Q107" s="30"/>
      <c r="R107" s="30"/>
      <c r="S107" s="30">
        <f>IF(Tableau113[[#This Row],[alerte stock]]="-",0,1)</f>
        <v>1</v>
      </c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</row>
    <row r="108" spans="1:44" ht="15.75" x14ac:dyDescent="0.25">
      <c r="A108" s="30"/>
      <c r="B108" s="13" t="s">
        <v>148</v>
      </c>
      <c r="C108" s="85" t="s">
        <v>226</v>
      </c>
      <c r="D108" s="86" t="s">
        <v>227</v>
      </c>
      <c r="E108" s="86" t="s">
        <v>228</v>
      </c>
      <c r="F108" s="87">
        <f>G108+SUMIF('[1]mouvement batteurs cuves'!B:B,"=protection facade pour afficheur rotation fouet WEST 6100+",'[1]mouvement batteurs cuves'!G:G)</f>
        <v>4</v>
      </c>
      <c r="G108" s="77">
        <v>4</v>
      </c>
      <c r="H108" s="86">
        <v>1</v>
      </c>
      <c r="I108" s="88" t="str">
        <f>IF(F108&lt;H108,"/!\","-")</f>
        <v>-</v>
      </c>
      <c r="J108" s="89"/>
      <c r="K108" s="90">
        <f>F108*J108</f>
        <v>0</v>
      </c>
      <c r="L108" s="30"/>
      <c r="M108" s="30"/>
      <c r="N108" s="30"/>
      <c r="O108" s="30"/>
      <c r="P108" s="30"/>
      <c r="Q108" s="30"/>
      <c r="R108" s="30"/>
      <c r="S108" s="30">
        <f>IF(Tableau113[[#This Row],[alerte stock]]="-",0,1)</f>
        <v>0</v>
      </c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</row>
    <row r="109" spans="1:44" ht="15.75" x14ac:dyDescent="0.25">
      <c r="A109" s="30"/>
      <c r="B109" s="13" t="s">
        <v>148</v>
      </c>
      <c r="C109" s="80" t="s">
        <v>11</v>
      </c>
      <c r="D109" s="78" t="s">
        <v>229</v>
      </c>
      <c r="E109" s="78" t="s">
        <v>228</v>
      </c>
      <c r="F109" s="81">
        <f>G109+SUMIF('[1]mouvement batteurs cuves'!B:B,"=Thermostat de sécurité",'[1]mouvement batteurs cuves'!G:G)</f>
        <v>0</v>
      </c>
      <c r="G109" s="77">
        <v>0</v>
      </c>
      <c r="H109" s="78">
        <v>1</v>
      </c>
      <c r="I109" s="82" t="str">
        <f>IF(F109&lt;H109,"/!\","-")</f>
        <v>/!\</v>
      </c>
      <c r="J109" s="83"/>
      <c r="K109" s="84">
        <f>F109*J109</f>
        <v>0</v>
      </c>
      <c r="L109" s="30"/>
      <c r="M109" s="3" t="s">
        <v>230</v>
      </c>
      <c r="N109" s="30"/>
      <c r="O109" s="30"/>
      <c r="P109" s="30"/>
      <c r="Q109" s="30"/>
      <c r="R109" s="30"/>
      <c r="S109" s="30">
        <f>IF(Tableau113[[#This Row],[alerte stock]]="-",0,1)</f>
        <v>1</v>
      </c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</row>
    <row r="110" spans="1:44" ht="15.75" x14ac:dyDescent="0.25">
      <c r="A110" s="30"/>
      <c r="B110" s="13" t="s">
        <v>148</v>
      </c>
      <c r="C110" s="70" t="s">
        <v>13</v>
      </c>
      <c r="D110" s="71" t="s">
        <v>231</v>
      </c>
      <c r="E110" s="71"/>
      <c r="F110" s="64">
        <f>G110+SUMIF('[1]mouvement batteurs cuves'!B:B,"=embase connecteur 16pts",'[1]mouvement batteurs cuves'!G:G)</f>
        <v>2</v>
      </c>
      <c r="G110" s="63">
        <v>4</v>
      </c>
      <c r="H110" s="71">
        <v>1</v>
      </c>
      <c r="I110" s="65" t="str">
        <f>IF(F110&lt;H110,"/!\","-")</f>
        <v>-</v>
      </c>
      <c r="J110" s="72"/>
      <c r="K110" s="67">
        <f>F110*J110</f>
        <v>0</v>
      </c>
      <c r="L110" s="30"/>
      <c r="M110" s="35">
        <f>SUM(K64:K110)</f>
        <v>7665.1380000000008</v>
      </c>
      <c r="N110" s="30"/>
      <c r="O110" s="30"/>
      <c r="P110" s="30"/>
      <c r="Q110" s="30"/>
      <c r="R110" s="30"/>
      <c r="S110" s="30">
        <f>IF(Tableau113[[#This Row],[alerte stock]]="-",0,1)</f>
        <v>0</v>
      </c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</row>
    <row r="111" spans="1:44" ht="15.75" x14ac:dyDescent="0.25">
      <c r="A111" s="30"/>
      <c r="B111" s="13" t="s">
        <v>232</v>
      </c>
      <c r="C111" s="14" t="s">
        <v>233</v>
      </c>
      <c r="D111" s="5" t="s">
        <v>234</v>
      </c>
      <c r="E111" s="6" t="s">
        <v>76</v>
      </c>
      <c r="F111" s="7">
        <f>G111+SUMIF('[1]mouvement casier chaussure'!B:B,"=lampe uv",'[1]mouvement casier chaussure'!G:G)</f>
        <v>2</v>
      </c>
      <c r="G111" s="7">
        <v>2</v>
      </c>
      <c r="H111" s="6">
        <v>2</v>
      </c>
      <c r="I111" s="1" t="str">
        <f>IF(F111&lt;H111,"/!\","-")</f>
        <v>-</v>
      </c>
      <c r="J111" s="11">
        <v>195</v>
      </c>
      <c r="K111" s="12">
        <f>F111*J111</f>
        <v>390</v>
      </c>
      <c r="L111" s="30"/>
      <c r="M111" s="3" t="s">
        <v>235</v>
      </c>
      <c r="N111" s="30"/>
      <c r="O111" s="30"/>
      <c r="P111" s="30"/>
      <c r="Q111" s="30"/>
      <c r="R111" s="30"/>
      <c r="S111" s="30">
        <f>IF(Tableau113[[#This Row],[alerte stock]]="-",0,1)</f>
        <v>0</v>
      </c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</row>
    <row r="112" spans="1:44" ht="15.75" x14ac:dyDescent="0.25">
      <c r="A112" s="30"/>
      <c r="B112" s="61" t="s">
        <v>232</v>
      </c>
      <c r="C112" s="14" t="s">
        <v>236</v>
      </c>
      <c r="D112" s="5" t="s">
        <v>237</v>
      </c>
      <c r="E112" s="6" t="s">
        <v>76</v>
      </c>
      <c r="F112" s="7">
        <f>G112+SUMIF('[1]mouvement casier chaussure'!B:B,"=moteur tangentiel",'[1]mouvement casier chaussure'!G:G)</f>
        <v>2</v>
      </c>
      <c r="G112" s="7">
        <v>2</v>
      </c>
      <c r="H112" s="6">
        <v>1</v>
      </c>
      <c r="I112" s="1" t="str">
        <f>IF(F112&lt;H112,"/!\","-")</f>
        <v>-</v>
      </c>
      <c r="J112" s="11">
        <v>141.1</v>
      </c>
      <c r="K112" s="12">
        <f>F112*J112</f>
        <v>282.2</v>
      </c>
      <c r="L112" s="30"/>
      <c r="M112" s="35">
        <f>SUM(K111:K112)</f>
        <v>672.2</v>
      </c>
      <c r="N112" s="30"/>
      <c r="O112" s="30"/>
      <c r="P112" s="30"/>
      <c r="Q112" s="30"/>
      <c r="R112" s="30"/>
      <c r="S112" s="30">
        <f>IF(Tableau113[[#This Row],[alerte stock]]="-",0,1)</f>
        <v>0</v>
      </c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</row>
    <row r="113" spans="1:44" ht="15.75" x14ac:dyDescent="0.25">
      <c r="A113" s="30"/>
      <c r="B113" s="13" t="s">
        <v>238</v>
      </c>
      <c r="C113" s="91" t="s">
        <v>239</v>
      </c>
      <c r="D113" s="92" t="s">
        <v>24</v>
      </c>
      <c r="E113" s="93" t="s">
        <v>24</v>
      </c>
      <c r="F113" s="64">
        <f>G113+SUMIF('[1]mouvement CDL'!B:B,"=clapet anti-retour",'[1]mouvement CDL'!G:G)</f>
        <v>0</v>
      </c>
      <c r="G113" s="64">
        <v>0</v>
      </c>
      <c r="H113" s="94">
        <v>2</v>
      </c>
      <c r="I113" s="65" t="str">
        <f t="shared" ref="I113:I136" si="6">IF(F113&lt;H113,"/!\","-")</f>
        <v>/!\</v>
      </c>
      <c r="J113" s="95">
        <v>15.2</v>
      </c>
      <c r="K113" s="67">
        <f t="shared" ref="K113:K136" si="7">F113*J113</f>
        <v>0</v>
      </c>
      <c r="L113" s="30"/>
      <c r="M113" s="30"/>
      <c r="N113" s="30"/>
      <c r="O113" s="30"/>
      <c r="P113" s="30"/>
      <c r="Q113" s="30"/>
      <c r="R113" s="30"/>
      <c r="S113" s="30">
        <f>IF(Tableau113[[#This Row],[alerte stock]]="-",0,1)</f>
        <v>1</v>
      </c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</row>
    <row r="114" spans="1:44" ht="15.75" x14ac:dyDescent="0.25">
      <c r="A114" s="30"/>
      <c r="B114" s="13" t="s">
        <v>238</v>
      </c>
      <c r="C114" s="14" t="s">
        <v>240</v>
      </c>
      <c r="D114" s="25" t="s">
        <v>241</v>
      </c>
      <c r="E114" s="11" t="s">
        <v>24</v>
      </c>
      <c r="F114" s="7">
        <f>G114+SUMIF('[1]mouvement CDL'!B:B,"=Kit enrouleur double pour dévidoir inox",'[1]mouvement CDL'!G:G)</f>
        <v>1</v>
      </c>
      <c r="G114" s="7">
        <v>1</v>
      </c>
      <c r="H114" s="6">
        <v>1</v>
      </c>
      <c r="I114" s="68" t="str">
        <f t="shared" si="6"/>
        <v>-</v>
      </c>
      <c r="J114" s="16"/>
      <c r="K114" s="17">
        <f t="shared" si="7"/>
        <v>0</v>
      </c>
      <c r="L114" s="30"/>
      <c r="M114" s="30"/>
      <c r="N114" s="30"/>
      <c r="O114" s="30"/>
      <c r="P114" s="30"/>
      <c r="Q114" s="30"/>
      <c r="R114" s="30"/>
      <c r="S114" s="30">
        <f>IF(Tableau113[[#This Row],[alerte stock]]="-",0,1)</f>
        <v>0</v>
      </c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</row>
    <row r="115" spans="1:44" ht="15.75" x14ac:dyDescent="0.25">
      <c r="A115" s="30"/>
      <c r="B115" s="13" t="s">
        <v>238</v>
      </c>
      <c r="C115" s="91" t="s">
        <v>242</v>
      </c>
      <c r="D115" s="92" t="s">
        <v>243</v>
      </c>
      <c r="E115" s="93" t="s">
        <v>24</v>
      </c>
      <c r="F115" s="64">
        <f>G115+SUMIF('[1]mouvement CDL'!B:B,"=Pistolet corps plastique marque prevost",'[1]mouvement CDL'!G:G)</f>
        <v>1</v>
      </c>
      <c r="G115" s="64">
        <v>1</v>
      </c>
      <c r="H115" s="94">
        <v>1</v>
      </c>
      <c r="I115" s="65" t="str">
        <f t="shared" si="6"/>
        <v>-</v>
      </c>
      <c r="J115" s="95"/>
      <c r="K115" s="67">
        <f t="shared" si="7"/>
        <v>0</v>
      </c>
      <c r="L115" s="30"/>
      <c r="M115" s="30"/>
      <c r="N115" s="30"/>
      <c r="O115" s="30"/>
      <c r="P115" s="30"/>
      <c r="Q115" s="30"/>
      <c r="R115" s="30"/>
      <c r="S115" s="30">
        <f>IF(Tableau113[[#This Row],[alerte stock]]="-",0,1)</f>
        <v>0</v>
      </c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</row>
    <row r="116" spans="1:44" ht="15.75" x14ac:dyDescent="0.25">
      <c r="A116" s="30"/>
      <c r="B116" s="13" t="s">
        <v>238</v>
      </c>
      <c r="C116" s="14" t="s">
        <v>244</v>
      </c>
      <c r="D116" s="25" t="s">
        <v>245</v>
      </c>
      <c r="E116" s="11" t="s">
        <v>24</v>
      </c>
      <c r="F116" s="7">
        <f>G116+SUMIF('[1]mouvement CDL'!B:B,"=Pistolet eau corps acier/inox",'[1]mouvement CDL'!G:G)</f>
        <v>1</v>
      </c>
      <c r="G116" s="7">
        <v>1</v>
      </c>
      <c r="H116" s="6">
        <v>2</v>
      </c>
      <c r="I116" s="68" t="str">
        <f t="shared" si="6"/>
        <v>/!\</v>
      </c>
      <c r="J116" s="16"/>
      <c r="K116" s="17">
        <f t="shared" si="7"/>
        <v>0</v>
      </c>
      <c r="L116" s="30"/>
      <c r="M116" s="30"/>
      <c r="N116" s="30"/>
      <c r="O116" s="30"/>
      <c r="P116" s="30"/>
      <c r="Q116" s="30"/>
      <c r="R116" s="30"/>
      <c r="S116" s="30">
        <f>IF(Tableau113[[#This Row],[alerte stock]]="-",0,1)</f>
        <v>1</v>
      </c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</row>
    <row r="117" spans="1:44" ht="15.75" x14ac:dyDescent="0.25">
      <c r="A117" s="30"/>
      <c r="B117" s="13" t="s">
        <v>238</v>
      </c>
      <c r="C117" s="91" t="s">
        <v>246</v>
      </c>
      <c r="D117" s="92" t="s">
        <v>24</v>
      </c>
      <c r="E117" s="93" t="s">
        <v>24</v>
      </c>
      <c r="F117" s="64">
        <f>G117+SUMIF('[1]mouvement CDL'!B:B,"=Ressort cliquet centrale de lavage",'[1]mouvement CDL'!G:G)</f>
        <v>7</v>
      </c>
      <c r="G117" s="64">
        <v>7</v>
      </c>
      <c r="H117" s="94">
        <v>4</v>
      </c>
      <c r="I117" s="65" t="str">
        <f t="shared" si="6"/>
        <v>-</v>
      </c>
      <c r="J117" s="95">
        <v>8.8000000000000007</v>
      </c>
      <c r="K117" s="67">
        <f t="shared" si="7"/>
        <v>61.600000000000009</v>
      </c>
      <c r="L117" s="30"/>
      <c r="M117" s="30"/>
      <c r="N117" s="30"/>
      <c r="O117" s="30"/>
      <c r="P117" s="30"/>
      <c r="Q117" s="30"/>
      <c r="R117" s="30"/>
      <c r="S117" s="30">
        <f>IF(Tableau113[[#This Row],[alerte stock]]="-",0,1)</f>
        <v>0</v>
      </c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</row>
    <row r="118" spans="1:44" ht="15.75" x14ac:dyDescent="0.25">
      <c r="A118" s="30"/>
      <c r="B118" s="13" t="s">
        <v>238</v>
      </c>
      <c r="C118" s="14" t="s">
        <v>247</v>
      </c>
      <c r="D118" s="25" t="s">
        <v>24</v>
      </c>
      <c r="E118" s="11" t="s">
        <v>24</v>
      </c>
      <c r="F118" s="7">
        <f>G118+SUMIF('[1]mouvement CDL'!B:B,"=tuyau 12x20 /10 ML",'[1]mouvement CDL'!G:G)</f>
        <v>0</v>
      </c>
      <c r="G118" s="7">
        <v>0</v>
      </c>
      <c r="H118" s="6">
        <v>2</v>
      </c>
      <c r="I118" s="68" t="str">
        <f t="shared" si="6"/>
        <v>/!\</v>
      </c>
      <c r="J118" s="16">
        <v>39.33</v>
      </c>
      <c r="K118" s="17">
        <f t="shared" si="7"/>
        <v>0</v>
      </c>
      <c r="L118" s="30"/>
      <c r="M118" s="30"/>
      <c r="N118" s="30"/>
      <c r="O118" s="30"/>
      <c r="P118" s="30"/>
      <c r="Q118" s="30"/>
      <c r="R118" s="30"/>
      <c r="S118" s="30">
        <f>IF(Tableau113[[#This Row],[alerte stock]]="-",0,1)</f>
        <v>1</v>
      </c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</row>
    <row r="119" spans="1:44" ht="15.75" x14ac:dyDescent="0.25">
      <c r="A119" s="30"/>
      <c r="B119" s="13" t="s">
        <v>238</v>
      </c>
      <c r="C119" s="91" t="s">
        <v>248</v>
      </c>
      <c r="D119" s="92" t="s">
        <v>24</v>
      </c>
      <c r="E119" s="93" t="s">
        <v>24</v>
      </c>
      <c r="F119" s="64">
        <f>G119+SUMIF('[1]mouvement CDL'!B:B,"=tuyaux 12x20/ 15 ML",'[1]mouvement CDL'!G:G)</f>
        <v>0</v>
      </c>
      <c r="G119" s="64">
        <v>0</v>
      </c>
      <c r="H119" s="94">
        <v>2</v>
      </c>
      <c r="I119" s="65" t="str">
        <f t="shared" si="6"/>
        <v>/!\</v>
      </c>
      <c r="J119" s="95">
        <v>54.07</v>
      </c>
      <c r="K119" s="67">
        <f t="shared" si="7"/>
        <v>0</v>
      </c>
      <c r="L119" s="30"/>
      <c r="M119" s="3" t="s">
        <v>249</v>
      </c>
      <c r="N119" s="30"/>
      <c r="O119" s="30"/>
      <c r="P119" s="30"/>
      <c r="Q119" s="30"/>
      <c r="R119" s="30"/>
      <c r="S119" s="30">
        <f>IF(Tableau113[[#This Row],[alerte stock]]="-",0,1)</f>
        <v>1</v>
      </c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</row>
    <row r="120" spans="1:44" ht="15.75" x14ac:dyDescent="0.25">
      <c r="A120" s="30"/>
      <c r="B120" s="13" t="s">
        <v>238</v>
      </c>
      <c r="C120" s="14" t="s">
        <v>250</v>
      </c>
      <c r="D120" s="25" t="s">
        <v>24</v>
      </c>
      <c r="E120" s="11" t="s">
        <v>24</v>
      </c>
      <c r="F120" s="7">
        <f>G120+SUMIF('[1]mouvement CDL'!B:B,"=venturi centrale de lavage",'[1]mouvement CDL'!G:G)</f>
        <v>0</v>
      </c>
      <c r="G120" s="7">
        <v>0</v>
      </c>
      <c r="H120" s="6">
        <v>1</v>
      </c>
      <c r="I120" s="68" t="str">
        <f t="shared" si="6"/>
        <v>/!\</v>
      </c>
      <c r="J120" s="16">
        <v>7</v>
      </c>
      <c r="K120" s="17">
        <f t="shared" si="7"/>
        <v>0</v>
      </c>
      <c r="L120" s="30"/>
      <c r="M120" s="35">
        <f>SUM(K113:K120)</f>
        <v>61.600000000000009</v>
      </c>
      <c r="N120" s="30"/>
      <c r="O120" s="30"/>
      <c r="P120" s="30"/>
      <c r="Q120" s="30"/>
      <c r="R120" s="30"/>
      <c r="S120" s="30">
        <f>IF(Tableau113[[#This Row],[alerte stock]]="-",0,1)</f>
        <v>1</v>
      </c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</row>
    <row r="121" spans="1:44" ht="15.75" x14ac:dyDescent="0.25">
      <c r="A121" s="30"/>
      <c r="B121" s="13" t="s">
        <v>251</v>
      </c>
      <c r="C121" s="91" t="s">
        <v>252</v>
      </c>
      <c r="D121" s="96" t="s">
        <v>253</v>
      </c>
      <c r="E121" s="93" t="s">
        <v>254</v>
      </c>
      <c r="F121" s="64">
        <f>G121+SUMIF('[1]mouvement CV'!B:B,"=amortisseur valve pompe A",'[1]mouvement CV'!G:G)</f>
        <v>2</v>
      </c>
      <c r="G121" s="64">
        <v>2</v>
      </c>
      <c r="H121" s="94">
        <v>1</v>
      </c>
      <c r="I121" s="65" t="str">
        <f t="shared" si="6"/>
        <v>-</v>
      </c>
      <c r="J121" s="93">
        <v>187.18</v>
      </c>
      <c r="K121" s="67">
        <f t="shared" si="7"/>
        <v>374.36</v>
      </c>
      <c r="L121" s="30"/>
      <c r="M121" s="30"/>
      <c r="N121" s="30"/>
      <c r="O121" s="30"/>
      <c r="P121" s="30"/>
      <c r="Q121" s="30"/>
      <c r="R121" s="30"/>
      <c r="S121" s="30">
        <f>IF(Tableau113[[#This Row],[alerte stock]]="-",0,1)</f>
        <v>0</v>
      </c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</row>
    <row r="122" spans="1:44" ht="15.75" x14ac:dyDescent="0.25">
      <c r="A122" s="30"/>
      <c r="B122" s="13" t="s">
        <v>251</v>
      </c>
      <c r="C122" s="14" t="s">
        <v>255</v>
      </c>
      <c r="D122" s="5" t="s">
        <v>256</v>
      </c>
      <c r="E122" s="11" t="s">
        <v>254</v>
      </c>
      <c r="F122" s="7">
        <f>G122+SUMIF('[1]mouvement CV'!B:B,"=amortisseur valve pompe B",'[1]mouvement CV'!G:G)</f>
        <v>2</v>
      </c>
      <c r="G122" s="7">
        <v>2</v>
      </c>
      <c r="H122" s="6">
        <v>1</v>
      </c>
      <c r="I122" s="68" t="str">
        <f t="shared" si="6"/>
        <v>-</v>
      </c>
      <c r="J122" s="11">
        <v>124.78</v>
      </c>
      <c r="K122" s="17">
        <f t="shared" si="7"/>
        <v>249.56</v>
      </c>
      <c r="L122" s="30"/>
      <c r="M122" s="30"/>
      <c r="N122" s="30"/>
      <c r="O122" s="30"/>
      <c r="P122" s="30"/>
      <c r="Q122" s="30"/>
      <c r="R122" s="30"/>
      <c r="S122" s="30">
        <f>IF(Tableau113[[#This Row],[alerte stock]]="-",0,1)</f>
        <v>0</v>
      </c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</row>
    <row r="123" spans="1:44" ht="15.75" x14ac:dyDescent="0.25">
      <c r="A123" s="30"/>
      <c r="B123" s="13" t="s">
        <v>251</v>
      </c>
      <c r="C123" s="91" t="s">
        <v>257</v>
      </c>
      <c r="D123" s="96">
        <v>190185</v>
      </c>
      <c r="E123" s="93" t="s">
        <v>254</v>
      </c>
      <c r="F123" s="64">
        <f>G123+SUMIF('[1]mouvement CV'!B:B,"=cellule uvz 780 blue brûleur",'[1]mouvement CV'!G:G)</f>
        <v>2</v>
      </c>
      <c r="G123" s="64">
        <v>2</v>
      </c>
      <c r="H123" s="94">
        <v>1</v>
      </c>
      <c r="I123" s="65" t="str">
        <f t="shared" si="6"/>
        <v>-</v>
      </c>
      <c r="J123" s="93">
        <v>123.57</v>
      </c>
      <c r="K123" s="67">
        <f t="shared" si="7"/>
        <v>247.14</v>
      </c>
      <c r="L123" s="30"/>
      <c r="M123" s="30"/>
      <c r="N123" s="30"/>
      <c r="O123" s="30"/>
      <c r="P123" s="30"/>
      <c r="Q123" s="30"/>
      <c r="R123" s="30"/>
      <c r="S123" s="30">
        <f>IF(Tableau113[[#This Row],[alerte stock]]="-",0,1)</f>
        <v>0</v>
      </c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</row>
    <row r="124" spans="1:44" ht="15.75" x14ac:dyDescent="0.25">
      <c r="A124" s="30"/>
      <c r="B124" s="13" t="s">
        <v>251</v>
      </c>
      <c r="C124" s="14" t="s">
        <v>258</v>
      </c>
      <c r="D124" s="5" t="s">
        <v>259</v>
      </c>
      <c r="E124" s="11" t="s">
        <v>254</v>
      </c>
      <c r="F124" s="7">
        <f>G124+SUMIF('[1]mouvement CV'!B:B,"=clapet valve de contrôle(sièges inox)",'[1]mouvement CV'!G:G)</f>
        <v>2</v>
      </c>
      <c r="G124" s="7">
        <v>2</v>
      </c>
      <c r="H124" s="6">
        <v>2</v>
      </c>
      <c r="I124" s="68" t="str">
        <f t="shared" si="6"/>
        <v>-</v>
      </c>
      <c r="J124" s="11">
        <v>76.650000000000006</v>
      </c>
      <c r="K124" s="17">
        <f t="shared" si="7"/>
        <v>153.30000000000001</v>
      </c>
      <c r="L124" s="30"/>
      <c r="M124" s="30"/>
      <c r="N124" s="30"/>
      <c r="O124" s="30"/>
      <c r="P124" s="30"/>
      <c r="Q124" s="30"/>
      <c r="R124" s="30"/>
      <c r="S124" s="30">
        <f>IF(Tableau113[[#This Row],[alerte stock]]="-",0,1)</f>
        <v>0</v>
      </c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</row>
    <row r="125" spans="1:44" ht="15.75" x14ac:dyDescent="0.25">
      <c r="A125" s="30"/>
      <c r="B125" s="13" t="s">
        <v>251</v>
      </c>
      <c r="C125" s="91" t="s">
        <v>260</v>
      </c>
      <c r="D125" s="96" t="s">
        <v>261</v>
      </c>
      <c r="E125" s="93" t="s">
        <v>254</v>
      </c>
      <c r="F125" s="64">
        <f>G125+SUMIF('[1]mouvement CV'!B:B,"=diaphragme de pompe",'[1]mouvement CV'!G:G)</f>
        <v>2</v>
      </c>
      <c r="G125" s="64">
        <v>2</v>
      </c>
      <c r="H125" s="94">
        <v>1</v>
      </c>
      <c r="I125" s="65" t="str">
        <f t="shared" si="6"/>
        <v>-</v>
      </c>
      <c r="J125" s="93">
        <v>196.1</v>
      </c>
      <c r="K125" s="67">
        <f t="shared" si="7"/>
        <v>392.2</v>
      </c>
      <c r="L125" s="30"/>
      <c r="M125" s="30"/>
      <c r="N125" s="30"/>
      <c r="O125" s="30"/>
      <c r="P125" s="30"/>
      <c r="Q125" s="30"/>
      <c r="R125" s="30"/>
      <c r="S125" s="30">
        <f>IF(Tableau113[[#This Row],[alerte stock]]="-",0,1)</f>
        <v>0</v>
      </c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</row>
    <row r="126" spans="1:44" ht="15.75" x14ac:dyDescent="0.25">
      <c r="A126" s="30"/>
      <c r="B126" s="13" t="s">
        <v>251</v>
      </c>
      <c r="C126" s="14" t="s">
        <v>262</v>
      </c>
      <c r="D126" s="5" t="s">
        <v>263</v>
      </c>
      <c r="E126" s="11" t="s">
        <v>254</v>
      </c>
      <c r="F126" s="7">
        <f>G126+SUMIF('[1]mouvement CV'!B:B,"=disque de diaphragme",'[1]mouvement CV'!G:G)</f>
        <v>1</v>
      </c>
      <c r="G126" s="7">
        <v>1</v>
      </c>
      <c r="H126" s="6">
        <v>1</v>
      </c>
      <c r="I126" s="68" t="str">
        <f t="shared" si="6"/>
        <v>-</v>
      </c>
      <c r="J126" s="11">
        <v>15.48</v>
      </c>
      <c r="K126" s="17">
        <f t="shared" si="7"/>
        <v>15.48</v>
      </c>
      <c r="L126" s="30"/>
      <c r="M126" s="30"/>
      <c r="N126" s="30"/>
      <c r="O126" s="30"/>
      <c r="P126" s="30"/>
      <c r="Q126" s="30"/>
      <c r="R126" s="30"/>
      <c r="S126" s="30">
        <f>IF(Tableau113[[#This Row],[alerte stock]]="-",0,1)</f>
        <v>0</v>
      </c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</row>
    <row r="127" spans="1:44" ht="15.75" x14ac:dyDescent="0.25">
      <c r="A127" s="30"/>
      <c r="B127" s="13" t="s">
        <v>251</v>
      </c>
      <c r="C127" s="91" t="s">
        <v>264</v>
      </c>
      <c r="D127" s="96" t="s">
        <v>265</v>
      </c>
      <c r="E127" s="93" t="s">
        <v>254</v>
      </c>
      <c r="F127" s="64">
        <f>G127+SUMIF('[1]mouvement CV'!B:B,"=disques clapet valve de contrôle",'[1]mouvement CV'!G:G)</f>
        <v>2</v>
      </c>
      <c r="G127" s="64">
        <v>2</v>
      </c>
      <c r="H127" s="94">
        <v>2</v>
      </c>
      <c r="I127" s="65" t="str">
        <f t="shared" si="6"/>
        <v>-</v>
      </c>
      <c r="J127" s="93">
        <v>46.34</v>
      </c>
      <c r="K127" s="67">
        <f t="shared" si="7"/>
        <v>92.68</v>
      </c>
      <c r="L127" s="30"/>
      <c r="M127" s="30"/>
      <c r="N127" s="30"/>
      <c r="O127" s="30"/>
      <c r="P127" s="30"/>
      <c r="Q127" s="30"/>
      <c r="R127" s="30"/>
      <c r="S127" s="30">
        <f>IF(Tableau113[[#This Row],[alerte stock]]="-",0,1)</f>
        <v>0</v>
      </c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</row>
    <row r="128" spans="1:44" ht="15.75" x14ac:dyDescent="0.25">
      <c r="A128" s="30"/>
      <c r="B128" s="13" t="s">
        <v>251</v>
      </c>
      <c r="C128" s="14" t="s">
        <v>266</v>
      </c>
      <c r="D128" s="5">
        <v>16547</v>
      </c>
      <c r="E128" s="11" t="s">
        <v>254</v>
      </c>
      <c r="F128" s="7">
        <f>G128+SUMIF('[1]mouvement CV'!B:B,"=joint, rondelles cuivre clapet",'[1]mouvement CV'!G:G)</f>
        <v>2</v>
      </c>
      <c r="G128" s="7">
        <v>2</v>
      </c>
      <c r="H128" s="6">
        <v>2</v>
      </c>
      <c r="I128" s="68" t="str">
        <f t="shared" si="6"/>
        <v>-</v>
      </c>
      <c r="J128" s="11">
        <v>6.91</v>
      </c>
      <c r="K128" s="17">
        <f t="shared" si="7"/>
        <v>13.82</v>
      </c>
      <c r="L128" s="30"/>
      <c r="M128" s="30"/>
      <c r="N128" s="30"/>
      <c r="O128" s="30"/>
      <c r="P128" s="30"/>
      <c r="Q128" s="30"/>
      <c r="R128" s="30"/>
      <c r="S128" s="30">
        <f>IF(Tableau113[[#This Row],[alerte stock]]="-",0,1)</f>
        <v>0</v>
      </c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</row>
    <row r="129" spans="1:44" ht="15.75" x14ac:dyDescent="0.25">
      <c r="A129" s="30"/>
      <c r="B129" s="13" t="s">
        <v>251</v>
      </c>
      <c r="C129" s="91" t="s">
        <v>267</v>
      </c>
      <c r="D129" s="96" t="s">
        <v>268</v>
      </c>
      <c r="E129" s="93" t="s">
        <v>24</v>
      </c>
      <c r="F129" s="64">
        <f>G129+SUMIF('[1]mouvement CV'!B:B,"=PT100 6 connexions t° serpentin",'[1]mouvement CV'!G:G)</f>
        <v>1</v>
      </c>
      <c r="G129" s="64">
        <v>1</v>
      </c>
      <c r="H129" s="94">
        <v>1</v>
      </c>
      <c r="I129" s="65" t="str">
        <f t="shared" si="6"/>
        <v>-</v>
      </c>
      <c r="J129" s="93"/>
      <c r="K129" s="67">
        <f t="shared" si="7"/>
        <v>0</v>
      </c>
      <c r="L129" s="30"/>
      <c r="M129" s="30"/>
      <c r="N129" s="30"/>
      <c r="O129" s="30"/>
      <c r="P129" s="30"/>
      <c r="Q129" s="30"/>
      <c r="R129" s="30"/>
      <c r="S129" s="30">
        <f>IF(Tableau113[[#This Row],[alerte stock]]="-",0,1)</f>
        <v>0</v>
      </c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</row>
    <row r="130" spans="1:44" ht="15.75" x14ac:dyDescent="0.25">
      <c r="A130" s="30"/>
      <c r="B130" s="13" t="s">
        <v>251</v>
      </c>
      <c r="C130" s="14" t="s">
        <v>269</v>
      </c>
      <c r="D130" s="5">
        <v>25004200410008</v>
      </c>
      <c r="E130" s="11" t="s">
        <v>270</v>
      </c>
      <c r="F130" s="7">
        <f>G130+SUMIF('[1]mouvement CV'!B:B,"=purgeur Gestra pn 40",'[1]mouvement CV'!G:G)</f>
        <v>0</v>
      </c>
      <c r="G130" s="7">
        <v>0</v>
      </c>
      <c r="H130" s="6">
        <v>1</v>
      </c>
      <c r="I130" s="68" t="str">
        <f t="shared" si="6"/>
        <v>/!\</v>
      </c>
      <c r="J130" s="11">
        <v>258</v>
      </c>
      <c r="K130" s="17">
        <f t="shared" si="7"/>
        <v>0</v>
      </c>
      <c r="L130" s="30"/>
      <c r="M130" s="30"/>
      <c r="N130" s="30"/>
      <c r="O130" s="30"/>
      <c r="P130" s="30"/>
      <c r="Q130" s="30"/>
      <c r="R130" s="30"/>
      <c r="S130" s="30">
        <f>IF(Tableau113[[#This Row],[alerte stock]]="-",0,1)</f>
        <v>1</v>
      </c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</row>
    <row r="131" spans="1:44" ht="15.75" x14ac:dyDescent="0.25">
      <c r="A131" s="30"/>
      <c r="B131" s="13" t="s">
        <v>251</v>
      </c>
      <c r="C131" s="70" t="s">
        <v>271</v>
      </c>
      <c r="D131" s="96" t="s">
        <v>272</v>
      </c>
      <c r="E131" s="93" t="s">
        <v>270</v>
      </c>
      <c r="F131" s="64">
        <f>G131+SUMIF('[1]mouvement CV'!B:B,"=régulateur purgeur Gestra ",'[1]mouvement CV'!G:G)</f>
        <v>0</v>
      </c>
      <c r="G131" s="64">
        <v>0</v>
      </c>
      <c r="H131" s="94">
        <v>1</v>
      </c>
      <c r="I131" s="65" t="str">
        <f t="shared" si="6"/>
        <v>/!\</v>
      </c>
      <c r="J131" s="93">
        <v>190</v>
      </c>
      <c r="K131" s="67">
        <f t="shared" si="7"/>
        <v>0</v>
      </c>
      <c r="L131" s="30"/>
      <c r="M131" s="30"/>
      <c r="N131" s="30"/>
      <c r="O131" s="30"/>
      <c r="P131" s="30"/>
      <c r="Q131" s="30"/>
      <c r="R131" s="30"/>
      <c r="S131" s="30">
        <f>IF(Tableau113[[#This Row],[alerte stock]]="-",0,1)</f>
        <v>1</v>
      </c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</row>
    <row r="132" spans="1:44" ht="15.75" x14ac:dyDescent="0.25">
      <c r="A132" s="30"/>
      <c r="B132" s="13" t="s">
        <v>251</v>
      </c>
      <c r="C132" s="14" t="s">
        <v>273</v>
      </c>
      <c r="D132" s="5" t="s">
        <v>274</v>
      </c>
      <c r="E132" s="11" t="s">
        <v>254</v>
      </c>
      <c r="F132" s="7">
        <f>G132+SUMIF('[1]mouvement CV'!B:B,"=ressort clapet pompe aspiration",'[1]mouvement CV'!G:G)</f>
        <v>1</v>
      </c>
      <c r="G132" s="7">
        <v>1</v>
      </c>
      <c r="H132" s="6">
        <v>1</v>
      </c>
      <c r="I132" s="68" t="str">
        <f t="shared" si="6"/>
        <v>-</v>
      </c>
      <c r="J132" s="11">
        <v>3.84</v>
      </c>
      <c r="K132" s="17">
        <f t="shared" si="7"/>
        <v>3.84</v>
      </c>
      <c r="L132" s="30"/>
      <c r="M132" s="30"/>
      <c r="N132" s="30"/>
      <c r="O132" s="30"/>
      <c r="P132" s="30"/>
      <c r="Q132" s="30"/>
      <c r="R132" s="30"/>
      <c r="S132" s="30">
        <f>IF(Tableau113[[#This Row],[alerte stock]]="-",0,1)</f>
        <v>0</v>
      </c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</row>
    <row r="133" spans="1:44" ht="15.75" x14ac:dyDescent="0.25">
      <c r="A133" s="30"/>
      <c r="B133" s="13" t="s">
        <v>251</v>
      </c>
      <c r="C133" s="91" t="s">
        <v>275</v>
      </c>
      <c r="D133" s="96" t="s">
        <v>276</v>
      </c>
      <c r="E133" s="93" t="s">
        <v>254</v>
      </c>
      <c r="F133" s="64">
        <f>G133+SUMIF('[1]mouvement CV'!B:B,"=ressort clapet pompe refoulement",'[1]mouvement CV'!G:G)</f>
        <v>1</v>
      </c>
      <c r="G133" s="64">
        <v>1</v>
      </c>
      <c r="H133" s="94">
        <v>1</v>
      </c>
      <c r="I133" s="65" t="str">
        <f t="shared" si="6"/>
        <v>-</v>
      </c>
      <c r="J133" s="93">
        <v>3.84</v>
      </c>
      <c r="K133" s="67">
        <f t="shared" si="7"/>
        <v>3.84</v>
      </c>
      <c r="L133" s="30"/>
      <c r="M133" s="30"/>
      <c r="N133" s="30"/>
      <c r="O133" s="30"/>
      <c r="P133" s="30"/>
      <c r="Q133" s="30"/>
      <c r="R133" s="30"/>
      <c r="S133" s="30">
        <f>IF(Tableau113[[#This Row],[alerte stock]]="-",0,1)</f>
        <v>0</v>
      </c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</row>
    <row r="134" spans="1:44" ht="15.75" x14ac:dyDescent="0.25">
      <c r="A134" s="30"/>
      <c r="B134" s="13" t="s">
        <v>251</v>
      </c>
      <c r="C134" s="14" t="s">
        <v>277</v>
      </c>
      <c r="D134" s="5" t="s">
        <v>278</v>
      </c>
      <c r="E134" s="11" t="s">
        <v>254</v>
      </c>
      <c r="F134" s="7">
        <f>G134+SUMIF('[1]mouvement CV'!B:B,"=ressort de pression diaphragme",'[1]mouvement CV'!G:G)</f>
        <v>1</v>
      </c>
      <c r="G134" s="7">
        <v>1</v>
      </c>
      <c r="H134" s="6">
        <v>1</v>
      </c>
      <c r="I134" s="68" t="str">
        <f t="shared" si="6"/>
        <v>-</v>
      </c>
      <c r="J134" s="11">
        <v>101.61</v>
      </c>
      <c r="K134" s="17">
        <f t="shared" si="7"/>
        <v>101.61</v>
      </c>
      <c r="L134" s="30"/>
      <c r="M134" s="30"/>
      <c r="N134" s="30"/>
      <c r="O134" s="30"/>
      <c r="P134" s="30"/>
      <c r="Q134" s="30"/>
      <c r="R134" s="30"/>
      <c r="S134" s="30">
        <f>IF(Tableau113[[#This Row],[alerte stock]]="-",0,1)</f>
        <v>0</v>
      </c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</row>
    <row r="135" spans="1:44" ht="15.75" x14ac:dyDescent="0.25">
      <c r="A135" s="30"/>
      <c r="B135" s="13" t="s">
        <v>251</v>
      </c>
      <c r="C135" s="91" t="s">
        <v>279</v>
      </c>
      <c r="D135" s="96" t="s">
        <v>280</v>
      </c>
      <c r="E135" s="93" t="s">
        <v>24</v>
      </c>
      <c r="F135" s="64">
        <f>G135+SUMIF('[1]mouvement CV'!B:B,"=transfo d'allumage, marque BRAHMA type T13/M",'[1]mouvement CV'!G:G)</f>
        <v>2</v>
      </c>
      <c r="G135" s="64">
        <v>2</v>
      </c>
      <c r="H135" s="94">
        <v>1</v>
      </c>
      <c r="I135" s="65" t="str">
        <f t="shared" si="6"/>
        <v>-</v>
      </c>
      <c r="J135" s="93"/>
      <c r="K135" s="67">
        <f t="shared" si="7"/>
        <v>0</v>
      </c>
      <c r="L135" s="30"/>
      <c r="M135" s="3" t="s">
        <v>281</v>
      </c>
      <c r="N135" s="30"/>
      <c r="O135" s="30"/>
      <c r="P135" s="30"/>
      <c r="Q135" s="30"/>
      <c r="R135" s="30"/>
      <c r="S135" s="30">
        <f>IF(Tableau113[[#This Row],[alerte stock]]="-",0,1)</f>
        <v>0</v>
      </c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</row>
    <row r="136" spans="1:44" ht="15.75" x14ac:dyDescent="0.25">
      <c r="A136" s="30"/>
      <c r="B136" s="13" t="s">
        <v>251</v>
      </c>
      <c r="C136" s="14" t="s">
        <v>282</v>
      </c>
      <c r="D136" s="5" t="s">
        <v>283</v>
      </c>
      <c r="E136" s="11" t="s">
        <v>254</v>
      </c>
      <c r="F136" s="7">
        <f>G136+SUMIF('[1]mouvement CV'!B:B,"=tuyau raccord pompe/bache",'[1]mouvement CV'!G:G)</f>
        <v>0</v>
      </c>
      <c r="G136" s="7">
        <v>0</v>
      </c>
      <c r="H136" s="6">
        <v>1</v>
      </c>
      <c r="I136" s="68" t="str">
        <f t="shared" si="6"/>
        <v>/!\</v>
      </c>
      <c r="J136" s="11">
        <v>6.76</v>
      </c>
      <c r="K136" s="17">
        <f t="shared" si="7"/>
        <v>0</v>
      </c>
      <c r="L136" s="30"/>
      <c r="M136" s="35">
        <f>SUM(K121:K136)</f>
        <v>1647.83</v>
      </c>
      <c r="N136" s="30"/>
      <c r="O136" s="30"/>
      <c r="P136" s="30"/>
      <c r="Q136" s="30"/>
      <c r="R136" s="30"/>
      <c r="S136" s="30">
        <f>IF(Tableau113[[#This Row],[alerte stock]]="-",0,1)</f>
        <v>1</v>
      </c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</row>
    <row r="137" spans="1:44" ht="15.75" x14ac:dyDescent="0.25">
      <c r="A137" s="30"/>
      <c r="B137" s="13" t="s">
        <v>284</v>
      </c>
      <c r="C137" s="97" t="s">
        <v>285</v>
      </c>
      <c r="D137" s="5">
        <v>140938</v>
      </c>
      <c r="E137" s="6" t="s">
        <v>286</v>
      </c>
      <c r="F137" s="7">
        <f>G137+SUMIF('[1]mouvement clippeuse'!B:B,"=arbre",'[1]mouvement clippeuse'!G:G)</f>
        <v>0</v>
      </c>
      <c r="G137" s="7">
        <v>0</v>
      </c>
      <c r="H137" s="6">
        <v>1</v>
      </c>
      <c r="I137" s="2" t="str">
        <f>IF(F137&lt;H137,"/!\","-")</f>
        <v>/!\</v>
      </c>
      <c r="J137" s="11">
        <v>375.19</v>
      </c>
      <c r="K137" s="17">
        <f>F137*J137</f>
        <v>0</v>
      </c>
      <c r="L137" s="30"/>
      <c r="M137" s="30"/>
      <c r="N137" s="30"/>
      <c r="O137" s="30"/>
      <c r="P137" s="30"/>
      <c r="Q137" s="30"/>
      <c r="R137" s="30"/>
      <c r="S137" s="30">
        <f>IF(Tableau113[[#This Row],[alerte stock]]="-",0,1)</f>
        <v>1</v>
      </c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</row>
    <row r="138" spans="1:44" ht="15.75" x14ac:dyDescent="0.25">
      <c r="A138" s="30"/>
      <c r="B138" s="13" t="s">
        <v>284</v>
      </c>
      <c r="C138" s="14" t="s">
        <v>287</v>
      </c>
      <c r="D138" s="5">
        <v>104129</v>
      </c>
      <c r="E138" s="6" t="s">
        <v>286</v>
      </c>
      <c r="F138" s="7">
        <f>G138+SUMIF('[1]mouvement clippeuse'!B:B,"=CAPTEUR secu fca 3442",'[1]mouvement clippeuse'!G:G)</f>
        <v>10</v>
      </c>
      <c r="G138" s="7">
        <v>1</v>
      </c>
      <c r="H138" s="6">
        <v>1</v>
      </c>
      <c r="I138" s="2" t="str">
        <f t="shared" ref="I138:I166" si="8">IF(F138&lt;H138,"/!\","-")</f>
        <v>-</v>
      </c>
      <c r="J138" s="11">
        <v>104.06</v>
      </c>
      <c r="K138" s="17">
        <f t="shared" ref="K138:K166" si="9">F138*J138</f>
        <v>1040.5999999999999</v>
      </c>
      <c r="L138" s="30"/>
      <c r="M138" s="30"/>
      <c r="N138" s="30"/>
      <c r="O138" s="30"/>
      <c r="P138" s="30"/>
      <c r="Q138" s="30"/>
      <c r="R138" s="30"/>
      <c r="S138" s="30">
        <f>IF(Tableau113[[#This Row],[alerte stock]]="-",0,1)</f>
        <v>0</v>
      </c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</row>
    <row r="139" spans="1:44" ht="15.75" x14ac:dyDescent="0.25">
      <c r="A139" s="30"/>
      <c r="B139" s="13" t="s">
        <v>284</v>
      </c>
      <c r="C139" s="14" t="s">
        <v>288</v>
      </c>
      <c r="D139" s="5">
        <v>56206</v>
      </c>
      <c r="E139" s="6" t="s">
        <v>286</v>
      </c>
      <c r="F139" s="7">
        <f>G139+SUMIF('[1]mouvement clippeuse'!B:B,"=chaîne intermédiaire",'[1]mouvement clippeuse'!G:G)</f>
        <v>2</v>
      </c>
      <c r="G139" s="7">
        <v>0</v>
      </c>
      <c r="H139" s="6">
        <v>1</v>
      </c>
      <c r="I139" s="2" t="str">
        <f t="shared" si="8"/>
        <v>-</v>
      </c>
      <c r="J139" s="11">
        <v>62.01</v>
      </c>
      <c r="K139" s="17">
        <f t="shared" si="9"/>
        <v>124.02</v>
      </c>
      <c r="L139" s="30"/>
      <c r="M139" s="30"/>
      <c r="N139" s="30"/>
      <c r="O139" s="30"/>
      <c r="P139" s="30"/>
      <c r="Q139" s="30"/>
      <c r="R139" s="30"/>
      <c r="S139" s="30">
        <f>IF(Tableau113[[#This Row],[alerte stock]]="-",0,1)</f>
        <v>0</v>
      </c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</row>
    <row r="140" spans="1:44" ht="15.75" x14ac:dyDescent="0.25">
      <c r="A140" s="30"/>
      <c r="B140" s="13" t="s">
        <v>284</v>
      </c>
      <c r="C140" s="14" t="s">
        <v>289</v>
      </c>
      <c r="D140" s="5">
        <v>56209</v>
      </c>
      <c r="E140" s="6" t="s">
        <v>286</v>
      </c>
      <c r="F140" s="7">
        <f>G140+SUMIF('[1]mouvement clippeuse'!B:B,"=CHAINES AVANCES AGRAFEE",'[1]mouvement clippeuse'!G:G)</f>
        <v>-1</v>
      </c>
      <c r="G140" s="7">
        <v>1</v>
      </c>
      <c r="H140" s="6">
        <v>1</v>
      </c>
      <c r="I140" s="2" t="str">
        <f t="shared" si="8"/>
        <v>/!\</v>
      </c>
      <c r="J140" s="11">
        <v>63.3</v>
      </c>
      <c r="K140" s="17">
        <f t="shared" si="9"/>
        <v>-63.3</v>
      </c>
      <c r="L140" s="30"/>
      <c r="M140" s="30"/>
      <c r="N140" s="30"/>
      <c r="O140" s="30"/>
      <c r="P140" s="30"/>
      <c r="Q140" s="30"/>
      <c r="R140" s="30"/>
      <c r="S140" s="30">
        <f>IF(Tableau113[[#This Row],[alerte stock]]="-",0,1)</f>
        <v>1</v>
      </c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</row>
    <row r="141" spans="1:44" ht="15.75" x14ac:dyDescent="0.25">
      <c r="A141" s="30"/>
      <c r="B141" s="13" t="s">
        <v>284</v>
      </c>
      <c r="C141" s="4" t="s">
        <v>290</v>
      </c>
      <c r="D141" s="5">
        <v>146497</v>
      </c>
      <c r="E141" s="6" t="s">
        <v>286</v>
      </c>
      <c r="F141" s="7">
        <f>G141+SUMIF('[1]mouvement clippeuse'!B:B,"=COURROIE ref: STD 800 S8M CXA marque Continental",'[1]mouvement clippeuse'!G:G)</f>
        <v>6</v>
      </c>
      <c r="G141" s="7">
        <v>2</v>
      </c>
      <c r="H141" s="6">
        <v>1</v>
      </c>
      <c r="I141" s="2" t="str">
        <f t="shared" si="8"/>
        <v>-</v>
      </c>
      <c r="J141" s="11">
        <v>116.81</v>
      </c>
      <c r="K141" s="17">
        <f t="shared" si="9"/>
        <v>700.86</v>
      </c>
      <c r="L141" s="30"/>
      <c r="M141" s="30"/>
      <c r="N141" s="30"/>
      <c r="O141" s="30"/>
      <c r="P141" s="30"/>
      <c r="Q141" s="30"/>
      <c r="R141" s="30"/>
      <c r="S141" s="30">
        <f>IF(Tableau113[[#This Row],[alerte stock]]="-",0,1)</f>
        <v>0</v>
      </c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</row>
    <row r="142" spans="1:44" ht="15.75" x14ac:dyDescent="0.25">
      <c r="A142" s="30"/>
      <c r="B142" s="13" t="s">
        <v>284</v>
      </c>
      <c r="C142" s="14" t="s">
        <v>291</v>
      </c>
      <c r="D142" s="5">
        <v>143082</v>
      </c>
      <c r="E142" s="6" t="s">
        <v>286</v>
      </c>
      <c r="F142" s="7">
        <f>G142+SUMIF('[1]mouvement clippeuse'!B:B,"=COUTEAU fca 3442",'[1]mouvement clippeuse'!G:G)</f>
        <v>0</v>
      </c>
      <c r="G142" s="7">
        <v>0</v>
      </c>
      <c r="H142" s="6">
        <v>1</v>
      </c>
      <c r="I142" s="2" t="str">
        <f t="shared" si="8"/>
        <v>/!\</v>
      </c>
      <c r="J142" s="11">
        <v>57.61</v>
      </c>
      <c r="K142" s="17">
        <f t="shared" si="9"/>
        <v>0</v>
      </c>
      <c r="L142" s="30"/>
      <c r="M142" s="30"/>
      <c r="N142" s="30"/>
      <c r="O142" s="30"/>
      <c r="P142" s="30"/>
      <c r="Q142" s="30"/>
      <c r="R142" s="30"/>
      <c r="S142" s="30">
        <f>IF(Tableau113[[#This Row],[alerte stock]]="-",0,1)</f>
        <v>1</v>
      </c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</row>
    <row r="143" spans="1:44" ht="15.75" x14ac:dyDescent="0.25">
      <c r="A143" s="30"/>
      <c r="B143" s="13" t="s">
        <v>284</v>
      </c>
      <c r="C143" s="14" t="s">
        <v>292</v>
      </c>
      <c r="D143" s="5">
        <v>17997</v>
      </c>
      <c r="E143" s="6" t="s">
        <v>286</v>
      </c>
      <c r="F143" s="7">
        <f>G143+SUMIF('[1]mouvement clippeuse'!B:B,"=Embout caoutchouc frein dévidoir",'[1]mouvement clippeuse'!G:G)</f>
        <v>2</v>
      </c>
      <c r="G143" s="7">
        <v>2</v>
      </c>
      <c r="H143" s="6">
        <v>2</v>
      </c>
      <c r="I143" s="2" t="str">
        <f t="shared" si="8"/>
        <v>-</v>
      </c>
      <c r="J143" s="69"/>
      <c r="K143" s="17">
        <f t="shared" si="9"/>
        <v>0</v>
      </c>
      <c r="L143" s="30"/>
      <c r="M143" s="30"/>
      <c r="N143" s="30"/>
      <c r="O143" s="30"/>
      <c r="P143" s="30"/>
      <c r="Q143" s="30"/>
      <c r="R143" s="30"/>
      <c r="S143" s="30">
        <f>IF(Tableau113[[#This Row],[alerte stock]]="-",0,1)</f>
        <v>0</v>
      </c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</row>
    <row r="144" spans="1:44" ht="15.75" x14ac:dyDescent="0.25">
      <c r="A144" s="30"/>
      <c r="B144" s="13" t="s">
        <v>284</v>
      </c>
      <c r="C144" s="14" t="s">
        <v>293</v>
      </c>
      <c r="D144" s="5">
        <v>140947</v>
      </c>
      <c r="E144" s="6" t="s">
        <v>286</v>
      </c>
      <c r="F144" s="7">
        <f>G144+SUMIF('[1]mouvement clippeuse'!B:B,"=galet d=26",'[1]mouvement clippeuse'!G:G)</f>
        <v>-253</v>
      </c>
      <c r="G144" s="7">
        <v>1</v>
      </c>
      <c r="H144" s="6">
        <v>1</v>
      </c>
      <c r="I144" s="2" t="str">
        <f t="shared" si="8"/>
        <v>/!\</v>
      </c>
      <c r="J144" s="11">
        <v>140.77000000000001</v>
      </c>
      <c r="K144" s="17">
        <f t="shared" si="9"/>
        <v>-35614.810000000005</v>
      </c>
      <c r="L144" s="30"/>
      <c r="M144" s="30"/>
      <c r="N144" s="30"/>
      <c r="O144" s="30"/>
      <c r="P144" s="30"/>
      <c r="Q144" s="30"/>
      <c r="R144" s="30"/>
      <c r="S144" s="30">
        <f>IF(Tableau113[[#This Row],[alerte stock]]="-",0,1)</f>
        <v>1</v>
      </c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</row>
    <row r="145" spans="1:44" ht="15.75" x14ac:dyDescent="0.25">
      <c r="A145" s="30"/>
      <c r="B145" s="13" t="s">
        <v>284</v>
      </c>
      <c r="C145" s="14" t="s">
        <v>294</v>
      </c>
      <c r="D145" s="5">
        <v>73132</v>
      </c>
      <c r="E145" s="6" t="s">
        <v>286</v>
      </c>
      <c r="F145" s="7">
        <f>G145+SUMIF('[1]mouvement clippeuse'!B:B,"=galet d=35",'[1]mouvement clippeuse'!G:G)</f>
        <v>0</v>
      </c>
      <c r="G145" s="7">
        <v>2</v>
      </c>
      <c r="H145" s="6">
        <v>2</v>
      </c>
      <c r="I145" s="2" t="str">
        <f t="shared" si="8"/>
        <v>/!\</v>
      </c>
      <c r="J145" s="11">
        <v>247.11</v>
      </c>
      <c r="K145" s="17">
        <f t="shared" si="9"/>
        <v>0</v>
      </c>
      <c r="L145" s="30"/>
      <c r="M145" s="30"/>
      <c r="N145" s="30"/>
      <c r="O145" s="30"/>
      <c r="P145" s="30"/>
      <c r="Q145" s="30"/>
      <c r="R145" s="30"/>
      <c r="S145" s="30">
        <f>IF(Tableau113[[#This Row],[alerte stock]]="-",0,1)</f>
        <v>1</v>
      </c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</row>
    <row r="146" spans="1:44" ht="15.75" x14ac:dyDescent="0.25">
      <c r="A146" s="30"/>
      <c r="B146" s="13" t="s">
        <v>284</v>
      </c>
      <c r="C146" s="14" t="s">
        <v>295</v>
      </c>
      <c r="D146" s="5">
        <v>141261</v>
      </c>
      <c r="E146" s="6" t="s">
        <v>286</v>
      </c>
      <c r="F146" s="7">
        <f>G146+SUMIF('[1]mouvement clippeuse'!B:B,"=guide agrafe 30 mm cpl",'[1]mouvement clippeuse'!G:G)</f>
        <v>1</v>
      </c>
      <c r="G146" s="7">
        <v>1</v>
      </c>
      <c r="H146" s="6">
        <v>1</v>
      </c>
      <c r="I146" s="2" t="str">
        <f t="shared" si="8"/>
        <v>-</v>
      </c>
      <c r="J146" s="11">
        <v>472.05</v>
      </c>
      <c r="K146" s="17">
        <f t="shared" si="9"/>
        <v>472.05</v>
      </c>
      <c r="L146" s="30"/>
      <c r="M146" s="30"/>
      <c r="N146" s="30"/>
      <c r="O146" s="30"/>
      <c r="P146" s="30"/>
      <c r="Q146" s="30"/>
      <c r="R146" s="30"/>
      <c r="S146" s="30">
        <f>IF(Tableau113[[#This Row],[alerte stock]]="-",0,1)</f>
        <v>0</v>
      </c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</row>
    <row r="147" spans="1:44" ht="15.75" x14ac:dyDescent="0.25">
      <c r="A147" s="30"/>
      <c r="B147" s="13" t="s">
        <v>284</v>
      </c>
      <c r="C147" s="14" t="s">
        <v>296</v>
      </c>
      <c r="D147" s="5">
        <v>12346</v>
      </c>
      <c r="E147" s="6" t="s">
        <v>286</v>
      </c>
      <c r="F147" s="7">
        <f>G147+SUMIF('[1]mouvement clippeuse'!B:B,"=RESSORT couteaux boyaux",'[1]mouvement clippeuse'!G:G)</f>
        <v>1</v>
      </c>
      <c r="G147" s="7">
        <v>2</v>
      </c>
      <c r="H147" s="6">
        <v>1</v>
      </c>
      <c r="I147" s="2" t="str">
        <f t="shared" si="8"/>
        <v>-</v>
      </c>
      <c r="J147" s="11">
        <v>28.46</v>
      </c>
      <c r="K147" s="17">
        <f t="shared" si="9"/>
        <v>28.46</v>
      </c>
      <c r="L147" s="30"/>
      <c r="M147" s="30"/>
      <c r="N147" s="30"/>
      <c r="O147" s="30"/>
      <c r="P147" s="30"/>
      <c r="Q147" s="30"/>
      <c r="R147" s="30"/>
      <c r="S147" s="30">
        <f>IF(Tableau113[[#This Row],[alerte stock]]="-",0,1)</f>
        <v>0</v>
      </c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</row>
    <row r="148" spans="1:44" ht="15.75" x14ac:dyDescent="0.25">
      <c r="A148" s="30"/>
      <c r="B148" s="13" t="s">
        <v>284</v>
      </c>
      <c r="C148" s="14" t="s">
        <v>297</v>
      </c>
      <c r="D148" s="5">
        <v>23679</v>
      </c>
      <c r="E148" s="6" t="s">
        <v>286</v>
      </c>
      <c r="F148" s="7">
        <f>G148+SUMIF('[1]mouvement clippeuse'!B:B,"=rotule de droite",'[1]mouvement clippeuse'!G:G)</f>
        <v>0</v>
      </c>
      <c r="G148" s="7">
        <v>0</v>
      </c>
      <c r="H148" s="6">
        <v>1</v>
      </c>
      <c r="I148" s="2" t="str">
        <f t="shared" si="8"/>
        <v>/!\</v>
      </c>
      <c r="J148" s="11">
        <v>103.49</v>
      </c>
      <c r="K148" s="17">
        <f t="shared" si="9"/>
        <v>0</v>
      </c>
      <c r="L148" s="30"/>
      <c r="M148" s="30"/>
      <c r="N148" s="30"/>
      <c r="O148" s="30"/>
      <c r="P148" s="30"/>
      <c r="Q148" s="30"/>
      <c r="R148" s="30"/>
      <c r="S148" s="30">
        <f>IF(Tableau113[[#This Row],[alerte stock]]="-",0,1)</f>
        <v>1</v>
      </c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</row>
    <row r="149" spans="1:44" ht="15.75" x14ac:dyDescent="0.25">
      <c r="A149" s="30"/>
      <c r="B149" s="13" t="s">
        <v>284</v>
      </c>
      <c r="C149" s="14" t="s">
        <v>298</v>
      </c>
      <c r="D149" s="5">
        <v>12139</v>
      </c>
      <c r="E149" s="6" t="s">
        <v>286</v>
      </c>
      <c r="F149" s="7">
        <f>G149+SUMIF('[1]mouvement clippeuse'!B:B,"=rotule de gauche",'[1]mouvement clippeuse'!G:G)</f>
        <v>-2</v>
      </c>
      <c r="G149" s="7">
        <v>0</v>
      </c>
      <c r="H149" s="6">
        <v>2</v>
      </c>
      <c r="I149" s="2" t="str">
        <f t="shared" si="8"/>
        <v>/!\</v>
      </c>
      <c r="J149" s="11">
        <v>80.569999999999993</v>
      </c>
      <c r="K149" s="17">
        <f t="shared" si="9"/>
        <v>-161.13999999999999</v>
      </c>
      <c r="L149" s="30"/>
      <c r="M149" s="30"/>
      <c r="N149" s="30"/>
      <c r="O149" s="30"/>
      <c r="P149" s="30"/>
      <c r="Q149" s="30"/>
      <c r="R149" s="30"/>
      <c r="S149" s="30">
        <f>IF(Tableau113[[#This Row],[alerte stock]]="-",0,1)</f>
        <v>1</v>
      </c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</row>
    <row r="150" spans="1:44" ht="15.75" x14ac:dyDescent="0.25">
      <c r="A150" s="30"/>
      <c r="B150" s="13" t="s">
        <v>284</v>
      </c>
      <c r="C150" s="14" t="s">
        <v>299</v>
      </c>
      <c r="D150" s="5">
        <v>12319</v>
      </c>
      <c r="E150" s="6" t="s">
        <v>286</v>
      </c>
      <c r="F150" s="7">
        <f>G150+SUMIF('[1]mouvement clippeuse'!B:B,"=rotule droit",'[1]mouvement clippeuse'!G:G)</f>
        <v>0</v>
      </c>
      <c r="G150" s="7">
        <v>0</v>
      </c>
      <c r="H150" s="6">
        <v>1</v>
      </c>
      <c r="I150" s="2" t="str">
        <f t="shared" si="8"/>
        <v>/!\</v>
      </c>
      <c r="J150" s="11">
        <v>80.569999999999993</v>
      </c>
      <c r="K150" s="17">
        <f t="shared" si="9"/>
        <v>0</v>
      </c>
      <c r="L150" s="30"/>
      <c r="M150" s="30"/>
      <c r="N150" s="30"/>
      <c r="O150" s="30"/>
      <c r="P150" s="30"/>
      <c r="Q150" s="30"/>
      <c r="R150" s="30"/>
      <c r="S150" s="30">
        <f>IF(Tableau113[[#This Row],[alerte stock]]="-",0,1)</f>
        <v>1</v>
      </c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</row>
    <row r="151" spans="1:44" ht="15.75" x14ac:dyDescent="0.25">
      <c r="A151" s="30"/>
      <c r="B151" s="13" t="s">
        <v>284</v>
      </c>
      <c r="C151" s="14" t="s">
        <v>300</v>
      </c>
      <c r="D151" s="5">
        <v>146395</v>
      </c>
      <c r="E151" s="6" t="s">
        <v>286</v>
      </c>
      <c r="F151" s="7">
        <f>G151+SUMIF('[1]mouvement clippeuse'!B:B,"=roulement 6301/2 RS",'[1]mouvement clippeuse'!G:G)</f>
        <v>0</v>
      </c>
      <c r="G151" s="7">
        <v>0</v>
      </c>
      <c r="H151" s="6">
        <v>1</v>
      </c>
      <c r="I151" s="2" t="str">
        <f t="shared" si="8"/>
        <v>/!\</v>
      </c>
      <c r="J151" s="11">
        <v>62.45</v>
      </c>
      <c r="K151" s="17">
        <f t="shared" si="9"/>
        <v>0</v>
      </c>
      <c r="L151" s="30"/>
      <c r="M151" s="30"/>
      <c r="N151" s="30"/>
      <c r="O151" s="30"/>
      <c r="P151" s="30"/>
      <c r="Q151" s="30"/>
      <c r="R151" s="30"/>
      <c r="S151" s="30">
        <f>IF(Tableau113[[#This Row],[alerte stock]]="-",0,1)</f>
        <v>1</v>
      </c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</row>
    <row r="152" spans="1:44" ht="15.75" x14ac:dyDescent="0.25">
      <c r="A152" s="30"/>
      <c r="B152" s="13" t="s">
        <v>284</v>
      </c>
      <c r="C152" s="14" t="s">
        <v>301</v>
      </c>
      <c r="D152" s="5">
        <v>12304</v>
      </c>
      <c r="E152" s="6" t="s">
        <v>286</v>
      </c>
      <c r="F152" s="7">
        <f>G152+SUMIF('[1]mouvement clippeuse'!B:B,"=roulement à aiguille (04)",'[1]mouvement clippeuse'!G:G)</f>
        <v>0</v>
      </c>
      <c r="G152" s="7">
        <v>0</v>
      </c>
      <c r="H152" s="6">
        <v>2</v>
      </c>
      <c r="I152" s="2" t="str">
        <f t="shared" si="8"/>
        <v>/!\</v>
      </c>
      <c r="J152" s="11">
        <v>53.7</v>
      </c>
      <c r="K152" s="17">
        <f t="shared" si="9"/>
        <v>0</v>
      </c>
      <c r="L152" s="30"/>
      <c r="M152" s="30"/>
      <c r="N152" s="30"/>
      <c r="O152" s="30"/>
      <c r="P152" s="30"/>
      <c r="Q152" s="30"/>
      <c r="R152" s="30"/>
      <c r="S152" s="30">
        <f>IF(Tableau113[[#This Row],[alerte stock]]="-",0,1)</f>
        <v>1</v>
      </c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</row>
    <row r="153" spans="1:44" ht="15.75" x14ac:dyDescent="0.25">
      <c r="A153" s="30"/>
      <c r="B153" s="13" t="s">
        <v>284</v>
      </c>
      <c r="C153" s="14" t="s">
        <v>302</v>
      </c>
      <c r="D153" s="5">
        <v>12352</v>
      </c>
      <c r="E153" s="6" t="s">
        <v>286</v>
      </c>
      <c r="F153" s="7">
        <f>G153+SUMIF('[1]mouvement clippeuse'!B:B,"=roulement à aiguille (52)",'[1]mouvement clippeuse'!G:G)</f>
        <v>0</v>
      </c>
      <c r="G153" s="7">
        <v>0</v>
      </c>
      <c r="H153" s="6">
        <v>2</v>
      </c>
      <c r="I153" s="2" t="str">
        <f t="shared" si="8"/>
        <v>/!\</v>
      </c>
      <c r="J153" s="11">
        <v>45.01</v>
      </c>
      <c r="K153" s="17">
        <f t="shared" si="9"/>
        <v>0</v>
      </c>
      <c r="L153" s="30"/>
      <c r="M153" s="3" t="s">
        <v>284</v>
      </c>
      <c r="N153" s="30"/>
      <c r="O153" s="30"/>
      <c r="P153" s="30"/>
      <c r="Q153" s="30"/>
      <c r="R153" s="30"/>
      <c r="S153" s="30">
        <f>IF(Tableau113[[#This Row],[alerte stock]]="-",0,1)</f>
        <v>1</v>
      </c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</row>
    <row r="154" spans="1:44" ht="15.75" x14ac:dyDescent="0.25">
      <c r="A154" s="30"/>
      <c r="B154" s="13" t="s">
        <v>284</v>
      </c>
      <c r="C154" s="14" t="s">
        <v>303</v>
      </c>
      <c r="D154" s="5">
        <v>146536</v>
      </c>
      <c r="E154" s="6" t="s">
        <v>286</v>
      </c>
      <c r="F154" s="7">
        <f>G154+SUMIF('[1]mouvement clippeuse'!B:B,"=Cable VEMAG R500",'[1]mouvement clippeuse'!G:G)</f>
        <v>0</v>
      </c>
      <c r="G154" s="7">
        <v>0</v>
      </c>
      <c r="H154" s="6">
        <v>1</v>
      </c>
      <c r="I154" s="2" t="str">
        <f t="shared" si="8"/>
        <v>/!\</v>
      </c>
      <c r="J154" s="11">
        <v>438.11</v>
      </c>
      <c r="K154" s="17">
        <f t="shared" si="9"/>
        <v>0</v>
      </c>
      <c r="L154" s="30"/>
      <c r="M154" s="35">
        <f>SUM(K137:K154)</f>
        <v>-33473.26</v>
      </c>
      <c r="N154" s="30"/>
      <c r="O154" s="30"/>
      <c r="P154" s="30"/>
      <c r="Q154" s="30"/>
      <c r="R154" s="30"/>
      <c r="S154" s="30">
        <f>IF(Tableau113[[#This Row],[alerte stock]]="-",0,1)</f>
        <v>1</v>
      </c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</row>
    <row r="155" spans="1:44" ht="24" x14ac:dyDescent="0.25">
      <c r="A155" s="30"/>
      <c r="B155" s="13" t="s">
        <v>304</v>
      </c>
      <c r="C155" s="98" t="s">
        <v>305</v>
      </c>
      <c r="D155" s="5" t="s">
        <v>306</v>
      </c>
      <c r="E155" s="6" t="s">
        <v>307</v>
      </c>
      <c r="F155" s="7">
        <f>G155+SUMIF('[1]mouvement CEM'!B:B,"=Capteur photoélectrique, Cylindrique, Lumière rouge, LED, 0,05 → 7 m, NPN, 100 mA, Câble, IP67",'[1]mouvement CEM'!G:G)</f>
        <v>1</v>
      </c>
      <c r="G155" s="7">
        <v>1</v>
      </c>
      <c r="H155" s="6">
        <v>1</v>
      </c>
      <c r="I155" s="2" t="str">
        <f t="shared" si="8"/>
        <v>-</v>
      </c>
      <c r="J155" s="16">
        <v>61.24</v>
      </c>
      <c r="K155" s="17">
        <f t="shared" si="9"/>
        <v>61.24</v>
      </c>
      <c r="L155" s="30"/>
      <c r="M155" s="30"/>
      <c r="N155" s="30"/>
      <c r="O155" s="30"/>
      <c r="P155" s="30"/>
      <c r="Q155" s="30"/>
      <c r="R155" s="30"/>
      <c r="S155" s="30">
        <f>IF(Tableau113[[#This Row],[alerte stock]]="-",0,1)</f>
        <v>0</v>
      </c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</row>
    <row r="156" spans="1:44" ht="15.75" x14ac:dyDescent="0.25">
      <c r="A156" s="30"/>
      <c r="B156" s="13" t="s">
        <v>304</v>
      </c>
      <c r="C156" s="14" t="s">
        <v>308</v>
      </c>
      <c r="D156" s="5" t="s">
        <v>309</v>
      </c>
      <c r="E156" s="6" t="s">
        <v>307</v>
      </c>
      <c r="F156" s="7">
        <f>G156+SUMIF('[1]mouvement CEM'!B:B,"=courroie d'entrainement enrouleur glassine",'[1]mouvement CEM'!G:G)</f>
        <v>1</v>
      </c>
      <c r="G156" s="7">
        <v>1</v>
      </c>
      <c r="H156" s="6">
        <v>1</v>
      </c>
      <c r="I156" s="2" t="str">
        <f t="shared" si="8"/>
        <v>-</v>
      </c>
      <c r="J156" s="16">
        <v>31.95</v>
      </c>
      <c r="K156" s="17">
        <f t="shared" si="9"/>
        <v>31.95</v>
      </c>
      <c r="L156" s="30"/>
      <c r="M156" s="30"/>
      <c r="N156" s="30"/>
      <c r="O156" s="30"/>
      <c r="P156" s="30"/>
      <c r="Q156" s="30"/>
      <c r="R156" s="30"/>
      <c r="S156" s="30">
        <f>IF(Tableau113[[#This Row],[alerte stock]]="-",0,1)</f>
        <v>0</v>
      </c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</row>
    <row r="157" spans="1:44" ht="15.75" x14ac:dyDescent="0.25">
      <c r="A157" s="30"/>
      <c r="B157" s="13" t="s">
        <v>304</v>
      </c>
      <c r="C157" s="14" t="s">
        <v>310</v>
      </c>
      <c r="D157" s="5" t="s">
        <v>311</v>
      </c>
      <c r="E157" s="6" t="s">
        <v>307</v>
      </c>
      <c r="F157" s="7">
        <f>G157+SUMIF('[1]mouvement CEM'!B:B,"=fourche de détection capteur d'étiquettes (cellule BALLUFF)",'[1]mouvement CEM'!G:G)</f>
        <v>1</v>
      </c>
      <c r="G157" s="7">
        <v>1</v>
      </c>
      <c r="H157" s="6">
        <v>1</v>
      </c>
      <c r="I157" s="2" t="str">
        <f t="shared" si="8"/>
        <v>-</v>
      </c>
      <c r="J157" s="16">
        <v>197.55</v>
      </c>
      <c r="K157" s="17">
        <f t="shared" si="9"/>
        <v>197.55</v>
      </c>
      <c r="L157" s="30"/>
      <c r="M157" s="30"/>
      <c r="N157" s="30"/>
      <c r="O157" s="30"/>
      <c r="P157" s="30"/>
      <c r="Q157" s="30"/>
      <c r="R157" s="30"/>
      <c r="S157" s="30">
        <f>IF(Tableau113[[#This Row],[alerte stock]]="-",0,1)</f>
        <v>0</v>
      </c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</row>
    <row r="158" spans="1:44" ht="15.75" x14ac:dyDescent="0.25">
      <c r="A158" s="30"/>
      <c r="B158" s="13" t="s">
        <v>304</v>
      </c>
      <c r="C158" s="14" t="s">
        <v>312</v>
      </c>
      <c r="D158" s="5" t="s">
        <v>313</v>
      </c>
      <c r="E158" s="6" t="s">
        <v>307</v>
      </c>
      <c r="F158" s="7">
        <f>G158+SUMIF('[1]mouvement CEM'!B:B,"=rouleau finition collage",'[1]mouvement CEM'!G:G)</f>
        <v>10</v>
      </c>
      <c r="G158" s="7">
        <v>10</v>
      </c>
      <c r="H158" s="6">
        <v>2</v>
      </c>
      <c r="I158" s="2" t="str">
        <f t="shared" si="8"/>
        <v>-</v>
      </c>
      <c r="J158" s="16">
        <v>3.75</v>
      </c>
      <c r="K158" s="17">
        <f t="shared" si="9"/>
        <v>37.5</v>
      </c>
      <c r="L158" s="30"/>
      <c r="M158" s="3" t="s">
        <v>314</v>
      </c>
      <c r="N158" s="30"/>
      <c r="O158" s="30"/>
      <c r="P158" s="30"/>
      <c r="Q158" s="30"/>
      <c r="R158" s="30"/>
      <c r="S158" s="30">
        <f>IF(Tableau113[[#This Row],[alerte stock]]="-",0,1)</f>
        <v>0</v>
      </c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</row>
    <row r="159" spans="1:44" ht="15.75" x14ac:dyDescent="0.25">
      <c r="A159" s="30"/>
      <c r="B159" s="13" t="s">
        <v>304</v>
      </c>
      <c r="C159" s="14" t="s">
        <v>315</v>
      </c>
      <c r="D159" s="5" t="s">
        <v>316</v>
      </c>
      <c r="E159" s="6" t="s">
        <v>307</v>
      </c>
      <c r="F159" s="7">
        <f>G159+SUMIF('[1]mouvement CEM'!B:B,"=Cable connecteur",'[1]mouvement CEM'!G:G)</f>
        <v>3</v>
      </c>
      <c r="G159" s="7">
        <v>3</v>
      </c>
      <c r="H159" s="6">
        <v>1</v>
      </c>
      <c r="I159" s="2" t="str">
        <f t="shared" si="8"/>
        <v>-</v>
      </c>
      <c r="J159" s="11"/>
      <c r="K159" s="17">
        <f t="shared" si="9"/>
        <v>0</v>
      </c>
      <c r="L159" s="30"/>
      <c r="M159" s="35">
        <f>SUM(K155:K159)</f>
        <v>328.24</v>
      </c>
      <c r="N159" s="30"/>
      <c r="O159" s="30"/>
      <c r="P159" s="30"/>
      <c r="Q159" s="30"/>
      <c r="R159" s="30"/>
      <c r="S159" s="30">
        <f>IF(Tableau113[[#This Row],[alerte stock]]="-",0,1)</f>
        <v>0</v>
      </c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</row>
    <row r="160" spans="1:44" ht="15.75" x14ac:dyDescent="0.25">
      <c r="A160" s="30"/>
      <c r="B160" s="13" t="s">
        <v>317</v>
      </c>
      <c r="C160" s="99" t="s">
        <v>318</v>
      </c>
      <c r="D160" s="100" t="s">
        <v>319</v>
      </c>
      <c r="E160" s="101" t="s">
        <v>320</v>
      </c>
      <c r="F160" s="7">
        <f>G160+SUMIF('[1]mouvement coupe légume'!B:B,"=Pilon",'[1]mouvement coupe légume'!G:G)</f>
        <v>1</v>
      </c>
      <c r="G160" s="63">
        <v>1</v>
      </c>
      <c r="H160" s="63">
        <v>1</v>
      </c>
      <c r="I160" s="2" t="str">
        <f t="shared" si="8"/>
        <v>-</v>
      </c>
      <c r="J160" s="66">
        <v>98.52</v>
      </c>
      <c r="K160" s="17">
        <f t="shared" si="9"/>
        <v>98.52</v>
      </c>
      <c r="L160" s="30"/>
      <c r="M160" s="30"/>
      <c r="N160" s="30"/>
      <c r="O160" s="30"/>
      <c r="P160" s="30"/>
      <c r="Q160" s="30"/>
      <c r="R160" s="30"/>
      <c r="S160" s="30">
        <f>IF(Tableau113[[#This Row],[alerte stock]]="-",0,1)</f>
        <v>0</v>
      </c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</row>
    <row r="161" spans="1:44" ht="15.75" x14ac:dyDescent="0.25">
      <c r="A161" s="30"/>
      <c r="B161" s="13" t="s">
        <v>317</v>
      </c>
      <c r="C161" s="102" t="s">
        <v>321</v>
      </c>
      <c r="D161" s="100" t="s">
        <v>322</v>
      </c>
      <c r="E161" s="101" t="s">
        <v>320</v>
      </c>
      <c r="F161" s="7">
        <f>G161+SUMIF('[1]mouvement coupe légume'!B:B,"=Bouton Noir",'[1]mouvement coupe légume'!G:G)</f>
        <v>1</v>
      </c>
      <c r="G161" s="63">
        <v>1</v>
      </c>
      <c r="H161" s="63">
        <v>1</v>
      </c>
      <c r="I161" s="2" t="str">
        <f t="shared" si="8"/>
        <v>-</v>
      </c>
      <c r="J161" s="66">
        <v>2.25</v>
      </c>
      <c r="K161" s="17">
        <f t="shared" si="9"/>
        <v>2.25</v>
      </c>
      <c r="L161" s="30"/>
      <c r="M161" s="30"/>
      <c r="N161" s="30"/>
      <c r="O161" s="30"/>
      <c r="P161" s="30"/>
      <c r="Q161" s="30"/>
      <c r="R161" s="30"/>
      <c r="S161" s="30">
        <f>IF(Tableau113[[#This Row],[alerte stock]]="-",0,1)</f>
        <v>0</v>
      </c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</row>
    <row r="162" spans="1:44" ht="15.75" x14ac:dyDescent="0.25">
      <c r="A162" s="30"/>
      <c r="B162" s="13" t="s">
        <v>317</v>
      </c>
      <c r="C162" s="102" t="s">
        <v>323</v>
      </c>
      <c r="D162" s="100" t="s">
        <v>324</v>
      </c>
      <c r="E162" s="101" t="s">
        <v>320</v>
      </c>
      <c r="F162" s="7">
        <f>G162+SUMIF('[1]mouvement coupe légume'!B:B,"=Verrou",'[1]mouvement coupe légume'!G:G)</f>
        <v>1</v>
      </c>
      <c r="G162" s="63">
        <v>1</v>
      </c>
      <c r="H162" s="63">
        <v>1</v>
      </c>
      <c r="I162" s="2" t="str">
        <f t="shared" si="8"/>
        <v>-</v>
      </c>
      <c r="J162" s="66">
        <v>50.21</v>
      </c>
      <c r="K162" s="17">
        <f t="shared" si="9"/>
        <v>50.21</v>
      </c>
      <c r="L162" s="30"/>
      <c r="M162" s="30"/>
      <c r="N162" s="30"/>
      <c r="O162" s="30"/>
      <c r="P162" s="30"/>
      <c r="Q162" s="30"/>
      <c r="R162" s="30"/>
      <c r="S162" s="30">
        <f>IF(Tableau113[[#This Row],[alerte stock]]="-",0,1)</f>
        <v>0</v>
      </c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</row>
    <row r="163" spans="1:44" ht="15.75" x14ac:dyDescent="0.25">
      <c r="A163" s="30"/>
      <c r="B163" s="13" t="s">
        <v>317</v>
      </c>
      <c r="C163" s="102" t="s">
        <v>325</v>
      </c>
      <c r="D163" s="100" t="s">
        <v>326</v>
      </c>
      <c r="E163" s="101" t="s">
        <v>320</v>
      </c>
      <c r="F163" s="7">
        <f>G163+SUMIF('[1]mouvement coupe légume'!B:B,"=Goupilles",'[1]mouvement coupe légume'!G:G)</f>
        <v>1</v>
      </c>
      <c r="G163" s="63">
        <v>1</v>
      </c>
      <c r="H163" s="63">
        <v>1</v>
      </c>
      <c r="I163" s="2" t="str">
        <f t="shared" si="8"/>
        <v>-</v>
      </c>
      <c r="J163" s="66">
        <v>26.36</v>
      </c>
      <c r="K163" s="17">
        <f t="shared" si="9"/>
        <v>26.36</v>
      </c>
      <c r="L163" s="30"/>
      <c r="M163" s="30"/>
      <c r="N163" s="30"/>
      <c r="O163" s="30"/>
      <c r="P163" s="30"/>
      <c r="Q163" s="30"/>
      <c r="R163" s="30"/>
      <c r="S163" s="30">
        <f>IF(Tableau113[[#This Row],[alerte stock]]="-",0,1)</f>
        <v>0</v>
      </c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</row>
    <row r="164" spans="1:44" ht="15.75" x14ac:dyDescent="0.25">
      <c r="A164" s="30"/>
      <c r="B164" s="13" t="s">
        <v>317</v>
      </c>
      <c r="C164" s="102" t="s">
        <v>327</v>
      </c>
      <c r="D164" s="100" t="s">
        <v>328</v>
      </c>
      <c r="E164" s="101" t="s">
        <v>320</v>
      </c>
      <c r="F164" s="7">
        <f>G164+SUMIF('[1]mouvement coupe légume'!B:B,"=Butées plastique",'[1]mouvement coupe légume'!G:G)</f>
        <v>1</v>
      </c>
      <c r="G164" s="63">
        <v>1</v>
      </c>
      <c r="H164" s="63">
        <v>1</v>
      </c>
      <c r="I164" s="2" t="str">
        <f t="shared" si="8"/>
        <v>-</v>
      </c>
      <c r="J164" s="66">
        <v>37.1</v>
      </c>
      <c r="K164" s="17">
        <f t="shared" si="9"/>
        <v>37.1</v>
      </c>
      <c r="L164" s="30"/>
      <c r="M164" s="30"/>
      <c r="N164" s="30"/>
      <c r="O164" s="30"/>
      <c r="P164" s="30"/>
      <c r="Q164" s="30"/>
      <c r="R164" s="30"/>
      <c r="S164" s="30">
        <f>IF(Tableau113[[#This Row],[alerte stock]]="-",0,1)</f>
        <v>0</v>
      </c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</row>
    <row r="165" spans="1:44" ht="15.75" x14ac:dyDescent="0.25">
      <c r="A165" s="30"/>
      <c r="B165" s="13" t="s">
        <v>317</v>
      </c>
      <c r="C165" s="102" t="s">
        <v>329</v>
      </c>
      <c r="D165" s="100" t="s">
        <v>330</v>
      </c>
      <c r="E165" s="101" t="s">
        <v>320</v>
      </c>
      <c r="F165" s="7">
        <f>G165+SUMIF('[1]mouvement coupe légume'!B:B,"=Bague Articulée",'[1]mouvement coupe légume'!G:G)</f>
        <v>3</v>
      </c>
      <c r="G165" s="63">
        <v>3</v>
      </c>
      <c r="H165" s="63">
        <v>1</v>
      </c>
      <c r="I165" s="2" t="str">
        <f t="shared" si="8"/>
        <v>-</v>
      </c>
      <c r="J165" s="66">
        <v>22.84</v>
      </c>
      <c r="K165" s="17">
        <f t="shared" si="9"/>
        <v>68.52</v>
      </c>
      <c r="L165" s="30"/>
      <c r="M165" s="3" t="s">
        <v>331</v>
      </c>
      <c r="N165" s="30"/>
      <c r="O165" s="30"/>
      <c r="P165" s="30"/>
      <c r="Q165" s="30"/>
      <c r="R165" s="30"/>
      <c r="S165" s="30">
        <f>IF(Tableau113[[#This Row],[alerte stock]]="-",0,1)</f>
        <v>0</v>
      </c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</row>
    <row r="166" spans="1:44" ht="15.75" x14ac:dyDescent="0.25">
      <c r="A166" s="30"/>
      <c r="B166" s="13" t="s">
        <v>317</v>
      </c>
      <c r="C166" s="102" t="s">
        <v>332</v>
      </c>
      <c r="D166" s="100" t="s">
        <v>333</v>
      </c>
      <c r="E166" s="101" t="s">
        <v>320</v>
      </c>
      <c r="F166" s="7">
        <f>G166+SUMIF('[1]mouvement coupe légume'!B:B,"=Bagues",'[1]mouvement coupe légume'!G:G)</f>
        <v>1</v>
      </c>
      <c r="G166" s="63">
        <v>1</v>
      </c>
      <c r="H166" s="63">
        <v>1</v>
      </c>
      <c r="I166" s="2" t="str">
        <f t="shared" si="8"/>
        <v>-</v>
      </c>
      <c r="J166" s="66">
        <v>20</v>
      </c>
      <c r="K166" s="17">
        <f t="shared" si="9"/>
        <v>20</v>
      </c>
      <c r="L166" s="30"/>
      <c r="M166" s="35">
        <f>SUM(K160:K166)</f>
        <v>302.95999999999998</v>
      </c>
      <c r="N166" s="30"/>
      <c r="O166" s="30"/>
      <c r="P166" s="30"/>
      <c r="Q166" s="30"/>
      <c r="R166" s="30"/>
      <c r="S166" s="30">
        <f>IF(Tableau113[[#This Row],[alerte stock]]="-",0,1)</f>
        <v>0</v>
      </c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</row>
    <row r="167" spans="1:44" ht="15.75" x14ac:dyDescent="0.25">
      <c r="A167" s="30"/>
      <c r="B167" s="103" t="s">
        <v>334</v>
      </c>
      <c r="C167" s="104" t="s">
        <v>335</v>
      </c>
      <c r="D167" s="105" t="s">
        <v>336</v>
      </c>
      <c r="E167" s="105" t="s">
        <v>337</v>
      </c>
      <c r="F167" s="106">
        <f>G167+SUMIF('[1]mouvement crepiere'!B:B,"=JOINT TORIQUE SEPHAT (59)",'[1]mouvement crepiere'!G:G)</f>
        <v>7</v>
      </c>
      <c r="G167" s="106">
        <v>7</v>
      </c>
      <c r="H167" s="101">
        <v>1</v>
      </c>
      <c r="I167" s="107" t="str">
        <f>IF(F167&lt;H167,"/!\","-")</f>
        <v>-</v>
      </c>
      <c r="J167" s="101">
        <v>0</v>
      </c>
      <c r="K167" s="108">
        <f>F167*J167</f>
        <v>0</v>
      </c>
      <c r="L167" s="30"/>
      <c r="M167" s="30"/>
      <c r="N167" s="30"/>
      <c r="O167" s="30"/>
      <c r="P167" s="30"/>
      <c r="Q167" s="30"/>
      <c r="R167" s="30"/>
      <c r="S167" s="30">
        <f>IF(Tableau113[[#This Row],[alerte stock]]="-",0,1)</f>
        <v>0</v>
      </c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</row>
    <row r="168" spans="1:44" ht="15.75" x14ac:dyDescent="0.25">
      <c r="A168" s="30"/>
      <c r="B168" s="103" t="s">
        <v>334</v>
      </c>
      <c r="C168" s="109" t="s">
        <v>338</v>
      </c>
      <c r="D168" s="105" t="s">
        <v>339</v>
      </c>
      <c r="E168" s="105" t="s">
        <v>337</v>
      </c>
      <c r="F168" s="106">
        <f>G168+SUMIF('[1]mouvement crepiere'!B:B,"=JOINT TORIQUE SEPHAT (19)",'[1]mouvement crepiere'!G:G)</f>
        <v>0</v>
      </c>
      <c r="G168" s="106">
        <v>0</v>
      </c>
      <c r="H168" s="101">
        <v>1</v>
      </c>
      <c r="I168" s="107" t="str">
        <f t="shared" ref="I168:I207" si="10">IF(F168&lt;H168,"/!\","-")</f>
        <v>/!\</v>
      </c>
      <c r="J168" s="101">
        <v>0</v>
      </c>
      <c r="K168" s="108">
        <f t="shared" ref="K168:K203" si="11">F168*J168</f>
        <v>0</v>
      </c>
      <c r="L168" s="30"/>
      <c r="M168" s="30"/>
      <c r="N168" s="30"/>
      <c r="O168" s="30"/>
      <c r="P168" s="30"/>
      <c r="Q168" s="30"/>
      <c r="R168" s="30"/>
      <c r="S168" s="30">
        <f>IF(Tableau113[[#This Row],[alerte stock]]="-",0,1)</f>
        <v>1</v>
      </c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</row>
    <row r="169" spans="1:44" ht="15.75" x14ac:dyDescent="0.25">
      <c r="A169" s="30"/>
      <c r="B169" s="103" t="s">
        <v>334</v>
      </c>
      <c r="C169" s="109" t="s">
        <v>340</v>
      </c>
      <c r="D169" s="105" t="s">
        <v>341</v>
      </c>
      <c r="E169" s="105" t="s">
        <v>342</v>
      </c>
      <c r="F169" s="106">
        <f>G169+SUMIF('[1]mouvement crepiere'!B:B,"=VERIN METAL WORK",'[1]mouvement crepiere'!G:G)</f>
        <v>2</v>
      </c>
      <c r="G169" s="106">
        <v>2</v>
      </c>
      <c r="H169" s="101">
        <v>1</v>
      </c>
      <c r="I169" s="107" t="str">
        <f t="shared" si="10"/>
        <v>-</v>
      </c>
      <c r="J169" s="101">
        <v>111.66</v>
      </c>
      <c r="K169" s="108">
        <f t="shared" si="11"/>
        <v>223.32</v>
      </c>
      <c r="L169" s="30"/>
      <c r="M169" s="30"/>
      <c r="N169" s="30"/>
      <c r="O169" s="30"/>
      <c r="P169" s="30"/>
      <c r="Q169" s="30"/>
      <c r="R169" s="30"/>
      <c r="S169" s="30">
        <f>IF(Tableau113[[#This Row],[alerte stock]]="-",0,1)</f>
        <v>0</v>
      </c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</row>
    <row r="170" spans="1:44" ht="15.75" x14ac:dyDescent="0.25">
      <c r="A170" s="30"/>
      <c r="B170" s="103" t="s">
        <v>334</v>
      </c>
      <c r="C170" s="110" t="s">
        <v>343</v>
      </c>
      <c r="D170" s="105" t="s">
        <v>344</v>
      </c>
      <c r="E170" s="105" t="s">
        <v>345</v>
      </c>
      <c r="F170" s="106">
        <f>G170+SUMIF('[1]mouvement crepiere'!B:B,"=COUROIE TEXROPE 13x1700 LI170 PP (A67/13 01730/)",'[1]mouvement crepiere'!G:G)</f>
        <v>1</v>
      </c>
      <c r="G170" s="106">
        <v>-1</v>
      </c>
      <c r="H170" s="101">
        <v>1</v>
      </c>
      <c r="I170" s="107" t="str">
        <f t="shared" si="10"/>
        <v>-</v>
      </c>
      <c r="J170" s="101">
        <v>9.23</v>
      </c>
      <c r="K170" s="108">
        <f t="shared" si="11"/>
        <v>9.23</v>
      </c>
      <c r="L170" s="30"/>
      <c r="M170" s="30"/>
      <c r="N170" s="30"/>
      <c r="O170" s="30"/>
      <c r="P170" s="30"/>
      <c r="Q170" s="30"/>
      <c r="R170" s="30"/>
      <c r="S170" s="30">
        <f>IF(Tableau113[[#This Row],[alerte stock]]="-",0,1)</f>
        <v>0</v>
      </c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ht="15.75" x14ac:dyDescent="0.25">
      <c r="A171" s="30"/>
      <c r="B171" s="103" t="s">
        <v>334</v>
      </c>
      <c r="C171" s="109" t="s">
        <v>346</v>
      </c>
      <c r="D171" s="105" t="s">
        <v>347</v>
      </c>
      <c r="E171" s="105" t="s">
        <v>348</v>
      </c>
      <c r="F171" s="106">
        <f>G171+SUMIF('[1]mouvement crepiere'!B:B,"=CONTACTEUR DE CHAUFFE SIEMMENS",'[1]mouvement crepiere'!G:G)</f>
        <v>0</v>
      </c>
      <c r="G171" s="106">
        <v>0</v>
      </c>
      <c r="H171" s="101">
        <v>1</v>
      </c>
      <c r="I171" s="107" t="str">
        <f t="shared" si="10"/>
        <v>/!\</v>
      </c>
      <c r="J171" s="101"/>
      <c r="K171" s="108">
        <f t="shared" si="11"/>
        <v>0</v>
      </c>
      <c r="L171" s="30"/>
      <c r="M171" s="30"/>
      <c r="N171" s="30"/>
      <c r="O171" s="30"/>
      <c r="P171" s="30"/>
      <c r="Q171" s="30"/>
      <c r="R171" s="30"/>
      <c r="S171" s="30">
        <f>IF(Tableau113[[#This Row],[alerte stock]]="-",0,1)</f>
        <v>1</v>
      </c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</row>
    <row r="172" spans="1:44" ht="15.75" x14ac:dyDescent="0.25">
      <c r="A172" s="30"/>
      <c r="B172" s="103" t="s">
        <v>334</v>
      </c>
      <c r="C172" s="109" t="s">
        <v>349</v>
      </c>
      <c r="D172" s="105" t="s">
        <v>350</v>
      </c>
      <c r="E172" s="105" t="s">
        <v>28</v>
      </c>
      <c r="F172" s="106">
        <f>G172+SUMIF('[1]mouvement crepiere'!B:B,"=arret d'urgence",'[1]mouvement crepiere'!G:G)</f>
        <v>1</v>
      </c>
      <c r="G172" s="106">
        <v>1</v>
      </c>
      <c r="H172" s="101">
        <v>1</v>
      </c>
      <c r="I172" s="107" t="str">
        <f t="shared" si="10"/>
        <v>-</v>
      </c>
      <c r="J172" s="111">
        <v>33.9</v>
      </c>
      <c r="K172" s="108">
        <f t="shared" si="11"/>
        <v>33.9</v>
      </c>
      <c r="L172" s="30"/>
      <c r="M172" s="30"/>
      <c r="N172" s="30"/>
      <c r="O172" s="30"/>
      <c r="P172" s="30"/>
      <c r="Q172" s="30"/>
      <c r="R172" s="30"/>
      <c r="S172" s="30">
        <f>IF(Tableau113[[#This Row],[alerte stock]]="-",0,1)</f>
        <v>0</v>
      </c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</row>
    <row r="173" spans="1:44" ht="15.75" x14ac:dyDescent="0.25">
      <c r="A173" s="30"/>
      <c r="B173" s="112" t="s">
        <v>334</v>
      </c>
      <c r="C173" s="113" t="s">
        <v>351</v>
      </c>
      <c r="D173" s="114" t="s">
        <v>352</v>
      </c>
      <c r="E173" s="101" t="s">
        <v>28</v>
      </c>
      <c r="F173" s="106">
        <f>G173+SUMIF('[1]mouvement crepiere'!B:B,"=DISTRIBUTEUR JOUCOMATIC 5/2",'[1]mouvement crepiere'!G:G)</f>
        <v>0</v>
      </c>
      <c r="G173" s="106">
        <v>0</v>
      </c>
      <c r="H173" s="101">
        <v>1</v>
      </c>
      <c r="I173" s="107" t="str">
        <f t="shared" si="10"/>
        <v>/!\</v>
      </c>
      <c r="J173" s="111">
        <v>120.7</v>
      </c>
      <c r="K173" s="108">
        <f t="shared" si="11"/>
        <v>0</v>
      </c>
      <c r="L173" s="30"/>
      <c r="M173" s="30"/>
      <c r="N173" s="30"/>
      <c r="O173" s="30"/>
      <c r="P173" s="30"/>
      <c r="Q173" s="30"/>
      <c r="R173" s="30"/>
      <c r="S173" s="30">
        <f>IF(Tableau113[[#This Row],[alerte stock]]="-",0,1)</f>
        <v>1</v>
      </c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</row>
    <row r="174" spans="1:44" ht="24" x14ac:dyDescent="0.25">
      <c r="A174" s="30"/>
      <c r="B174" s="103" t="s">
        <v>334</v>
      </c>
      <c r="C174" s="110" t="s">
        <v>353</v>
      </c>
      <c r="D174" s="105" t="s">
        <v>354</v>
      </c>
      <c r="E174" s="105" t="s">
        <v>24</v>
      </c>
      <c r="F174" s="106">
        <f>G174+SUMIF('[1]mouvement crepiere'!B:B,"=I.H.M siemens doseuse à crêpes, API - Extension d'écran Siemens TP 177micro 6AV6640-0CA11-0AX1 320 x 240 pix 1 pc(s)",'[1]mouvement crepiere'!G:G)</f>
        <v>1</v>
      </c>
      <c r="G174" s="106">
        <v>1</v>
      </c>
      <c r="H174" s="101">
        <v>1</v>
      </c>
      <c r="I174" s="107" t="str">
        <f t="shared" si="10"/>
        <v>-</v>
      </c>
      <c r="J174" s="111">
        <v>1099</v>
      </c>
      <c r="K174" s="108">
        <f t="shared" si="11"/>
        <v>1099</v>
      </c>
      <c r="L174" s="30"/>
      <c r="M174" s="30"/>
      <c r="N174" s="30"/>
      <c r="O174" s="30"/>
      <c r="P174" s="30"/>
      <c r="Q174" s="30"/>
      <c r="R174" s="30"/>
      <c r="S174" s="30">
        <f>IF(Tableau113[[#This Row],[alerte stock]]="-",0,1)</f>
        <v>0</v>
      </c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</row>
    <row r="175" spans="1:44" ht="15.75" x14ac:dyDescent="0.25">
      <c r="A175" s="30"/>
      <c r="B175" s="103" t="s">
        <v>334</v>
      </c>
      <c r="C175" s="109" t="s">
        <v>355</v>
      </c>
      <c r="D175" s="105" t="s">
        <v>356</v>
      </c>
      <c r="E175" s="105" t="s">
        <v>345</v>
      </c>
      <c r="F175" s="106">
        <f>G175+SUMIF('[1]mouvement crepiere'!B:B,"=corps de clapet dosage",'[1]mouvement crepiere'!G:G)</f>
        <v>2</v>
      </c>
      <c r="G175" s="106">
        <v>2</v>
      </c>
      <c r="H175" s="101">
        <v>4</v>
      </c>
      <c r="I175" s="107" t="str">
        <f t="shared" si="10"/>
        <v>/!\</v>
      </c>
      <c r="J175" s="111">
        <v>88.02</v>
      </c>
      <c r="K175" s="108">
        <f t="shared" si="11"/>
        <v>176.04</v>
      </c>
      <c r="L175" s="30"/>
      <c r="M175" s="30"/>
      <c r="N175" s="30"/>
      <c r="O175" s="30"/>
      <c r="P175" s="30"/>
      <c r="Q175" s="30"/>
      <c r="R175" s="30"/>
      <c r="S175" s="30">
        <f>IF(Tableau113[[#This Row],[alerte stock]]="-",0,1)</f>
        <v>1</v>
      </c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</row>
    <row r="176" spans="1:44" ht="15.75" x14ac:dyDescent="0.25">
      <c r="A176" s="30"/>
      <c r="B176" s="103" t="s">
        <v>334</v>
      </c>
      <c r="C176" s="109" t="s">
        <v>357</v>
      </c>
      <c r="D176" s="105" t="s">
        <v>358</v>
      </c>
      <c r="E176" s="105" t="s">
        <v>345</v>
      </c>
      <c r="F176" s="106">
        <f>G176+SUMIF('[1]mouvement crepiere'!B:B,"=Axe clapet de dosage",'[1]mouvement crepiere'!G:G)</f>
        <v>2</v>
      </c>
      <c r="G176" s="106">
        <v>2</v>
      </c>
      <c r="H176" s="101">
        <v>4</v>
      </c>
      <c r="I176" s="107" t="str">
        <f t="shared" si="10"/>
        <v>/!\</v>
      </c>
      <c r="J176" s="111">
        <v>26.08</v>
      </c>
      <c r="K176" s="108">
        <f t="shared" si="11"/>
        <v>52.16</v>
      </c>
      <c r="L176" s="30"/>
      <c r="M176" s="30"/>
      <c r="N176" s="30"/>
      <c r="O176" s="30"/>
      <c r="P176" s="30"/>
      <c r="Q176" s="30"/>
      <c r="R176" s="30"/>
      <c r="S176" s="30">
        <f>IF(Tableau113[[#This Row],[alerte stock]]="-",0,1)</f>
        <v>1</v>
      </c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</row>
    <row r="177" spans="1:44" ht="15.75" x14ac:dyDescent="0.25">
      <c r="A177" s="30"/>
      <c r="B177" s="103" t="s">
        <v>334</v>
      </c>
      <c r="C177" s="109" t="s">
        <v>359</v>
      </c>
      <c r="D177" s="105" t="s">
        <v>360</v>
      </c>
      <c r="E177" s="105" t="s">
        <v>345</v>
      </c>
      <c r="F177" s="63">
        <f>G177+SUMIF('[1]mouvement crepiere'!B:B,"=galets",'[1]mouvement crepiere'!G:G)</f>
        <v>8</v>
      </c>
      <c r="G177" s="63">
        <v>8</v>
      </c>
      <c r="H177" s="101">
        <v>4</v>
      </c>
      <c r="I177" s="107" t="str">
        <f t="shared" si="10"/>
        <v>-</v>
      </c>
      <c r="J177" s="111">
        <v>9.41</v>
      </c>
      <c r="K177" s="108">
        <f t="shared" si="11"/>
        <v>75.28</v>
      </c>
      <c r="L177" s="30"/>
      <c r="M177" s="30"/>
      <c r="N177" s="30"/>
      <c r="O177" s="30"/>
      <c r="P177" s="30"/>
      <c r="Q177" s="30"/>
      <c r="R177" s="30"/>
      <c r="S177" s="30">
        <f>IF(Tableau113[[#This Row],[alerte stock]]="-",0,1)</f>
        <v>0</v>
      </c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</row>
    <row r="178" spans="1:44" ht="15.75" x14ac:dyDescent="0.25">
      <c r="A178" s="30"/>
      <c r="B178" s="103" t="s">
        <v>334</v>
      </c>
      <c r="C178" s="109" t="s">
        <v>361</v>
      </c>
      <c r="D178" s="105" t="s">
        <v>362</v>
      </c>
      <c r="E178" s="105" t="s">
        <v>345</v>
      </c>
      <c r="F178" s="63">
        <f>G178+SUMIF('[1]mouvement crepiere'!B:B,"=Pince d'accrochage",'[1]mouvement crepiere'!G:G)</f>
        <v>2</v>
      </c>
      <c r="G178" s="63">
        <v>2</v>
      </c>
      <c r="H178" s="101">
        <v>1</v>
      </c>
      <c r="I178" s="107" t="str">
        <f t="shared" si="10"/>
        <v>-</v>
      </c>
      <c r="J178" s="111">
        <v>19.559999999999999</v>
      </c>
      <c r="K178" s="108">
        <f t="shared" si="11"/>
        <v>39.119999999999997</v>
      </c>
      <c r="L178" s="30"/>
      <c r="M178" s="30"/>
      <c r="N178" s="30"/>
      <c r="O178" s="30"/>
      <c r="P178" s="30"/>
      <c r="Q178" s="30"/>
      <c r="R178" s="30"/>
      <c r="S178" s="30">
        <f>IF(Tableau113[[#This Row],[alerte stock]]="-",0,1)</f>
        <v>0</v>
      </c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</row>
    <row r="179" spans="1:44" ht="15.75" x14ac:dyDescent="0.25">
      <c r="A179" s="30"/>
      <c r="B179" s="103" t="s">
        <v>334</v>
      </c>
      <c r="C179" s="109" t="s">
        <v>363</v>
      </c>
      <c r="D179" s="105" t="s">
        <v>364</v>
      </c>
      <c r="E179" s="105" t="s">
        <v>345</v>
      </c>
      <c r="F179" s="106">
        <f>G179+SUMIF('[1]mouvement crepiere'!B:B,"=bagues hd levier clapet",'[1]mouvement crepiere'!G:G)</f>
        <v>8</v>
      </c>
      <c r="G179" s="106">
        <v>8</v>
      </c>
      <c r="H179" s="101">
        <v>4</v>
      </c>
      <c r="I179" s="107" t="str">
        <f t="shared" si="10"/>
        <v>-</v>
      </c>
      <c r="J179" s="111">
        <v>6.19</v>
      </c>
      <c r="K179" s="108">
        <f t="shared" si="11"/>
        <v>49.52</v>
      </c>
      <c r="L179" s="30"/>
      <c r="M179" s="30"/>
      <c r="N179" s="30"/>
      <c r="O179" s="30"/>
      <c r="P179" s="30"/>
      <c r="Q179" s="30"/>
      <c r="R179" s="30"/>
      <c r="S179" s="30">
        <f>IF(Tableau113[[#This Row],[alerte stock]]="-",0,1)</f>
        <v>0</v>
      </c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</row>
    <row r="180" spans="1:44" ht="15.75" x14ac:dyDescent="0.25">
      <c r="A180" s="30"/>
      <c r="B180" s="103" t="s">
        <v>334</v>
      </c>
      <c r="C180" s="109" t="s">
        <v>365</v>
      </c>
      <c r="D180" s="105" t="s">
        <v>366</v>
      </c>
      <c r="E180" s="105" t="s">
        <v>345</v>
      </c>
      <c r="F180" s="106">
        <f>G180+SUMIF('[1]mouvement crepiere'!B:B,"=Tête de dosage",'[1]mouvement crepiere'!G:G)</f>
        <v>2</v>
      </c>
      <c r="G180" s="106">
        <v>2</v>
      </c>
      <c r="H180" s="101">
        <v>3</v>
      </c>
      <c r="I180" s="107" t="str">
        <f t="shared" si="10"/>
        <v>/!\</v>
      </c>
      <c r="J180" s="111">
        <v>45.64</v>
      </c>
      <c r="K180" s="108">
        <f t="shared" si="11"/>
        <v>91.28</v>
      </c>
      <c r="L180" s="30"/>
      <c r="M180" s="30"/>
      <c r="N180" s="30"/>
      <c r="O180" s="30"/>
      <c r="P180" s="30"/>
      <c r="Q180" s="30"/>
      <c r="R180" s="30"/>
      <c r="S180" s="30">
        <f>IF(Tableau113[[#This Row],[alerte stock]]="-",0,1)</f>
        <v>1</v>
      </c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</row>
    <row r="181" spans="1:44" ht="15.75" x14ac:dyDescent="0.25">
      <c r="A181" s="30"/>
      <c r="B181" s="103" t="s">
        <v>334</v>
      </c>
      <c r="C181" s="109" t="s">
        <v>367</v>
      </c>
      <c r="D181" s="105" t="s">
        <v>368</v>
      </c>
      <c r="E181" s="105" t="s">
        <v>345</v>
      </c>
      <c r="F181" s="106">
        <f>G181+SUMIF('[1]mouvement crepiere'!B:B,"=Rondelles dessus piston",'[1]mouvement crepiere'!G:G)</f>
        <v>0</v>
      </c>
      <c r="G181" s="106">
        <v>0</v>
      </c>
      <c r="H181" s="101">
        <v>4</v>
      </c>
      <c r="I181" s="107" t="str">
        <f t="shared" si="10"/>
        <v>/!\</v>
      </c>
      <c r="J181" s="111">
        <v>8.15</v>
      </c>
      <c r="K181" s="108">
        <f t="shared" si="11"/>
        <v>0</v>
      </c>
      <c r="L181" s="30"/>
      <c r="M181" s="30"/>
      <c r="N181" s="30"/>
      <c r="O181" s="30"/>
      <c r="P181" s="30"/>
      <c r="Q181" s="30"/>
      <c r="R181" s="30"/>
      <c r="S181" s="30">
        <f>IF(Tableau113[[#This Row],[alerte stock]]="-",0,1)</f>
        <v>1</v>
      </c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</row>
    <row r="182" spans="1:44" ht="15.75" x14ac:dyDescent="0.25">
      <c r="A182" s="30"/>
      <c r="B182" s="103" t="s">
        <v>334</v>
      </c>
      <c r="C182" s="109" t="s">
        <v>369</v>
      </c>
      <c r="D182" s="105" t="s">
        <v>370</v>
      </c>
      <c r="E182" s="105" t="s">
        <v>345</v>
      </c>
      <c r="F182" s="106">
        <f>G182+SUMIF('[1]mouvement crepiere'!B:B,"=Pistons dosage",'[1]mouvement crepiere'!G:G)</f>
        <v>0</v>
      </c>
      <c r="G182" s="106">
        <v>0</v>
      </c>
      <c r="H182" s="101">
        <v>4</v>
      </c>
      <c r="I182" s="107" t="str">
        <f t="shared" si="10"/>
        <v>/!\</v>
      </c>
      <c r="J182" s="111">
        <v>11.41</v>
      </c>
      <c r="K182" s="108">
        <f t="shared" si="11"/>
        <v>0</v>
      </c>
      <c r="L182" s="30"/>
      <c r="M182" s="30"/>
      <c r="N182" s="30"/>
      <c r="O182" s="30"/>
      <c r="P182" s="30"/>
      <c r="Q182" s="30"/>
      <c r="R182" s="30"/>
      <c r="S182" s="30">
        <f>IF(Tableau113[[#This Row],[alerte stock]]="-",0,1)</f>
        <v>1</v>
      </c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</row>
    <row r="183" spans="1:44" ht="15.75" x14ac:dyDescent="0.25">
      <c r="A183" s="30"/>
      <c r="B183" s="103" t="s">
        <v>334</v>
      </c>
      <c r="C183" s="109" t="s">
        <v>371</v>
      </c>
      <c r="D183" s="105" t="s">
        <v>372</v>
      </c>
      <c r="E183" s="105" t="s">
        <v>345</v>
      </c>
      <c r="F183" s="106">
        <f>G183+SUMIF('[1]mouvement crepiere'!B:B,"=DEMI-TENDEUR",'[1]mouvement crepiere'!G:G)</f>
        <v>1</v>
      </c>
      <c r="G183" s="106">
        <v>1</v>
      </c>
      <c r="H183" s="101">
        <v>2</v>
      </c>
      <c r="I183" s="107" t="str">
        <f t="shared" si="10"/>
        <v>/!\</v>
      </c>
      <c r="J183" s="101">
        <v>54.12</v>
      </c>
      <c r="K183" s="108">
        <f t="shared" si="11"/>
        <v>54.12</v>
      </c>
      <c r="L183" s="30"/>
      <c r="M183" s="30"/>
      <c r="N183" s="30"/>
      <c r="O183" s="30"/>
      <c r="P183" s="30"/>
      <c r="Q183" s="30"/>
      <c r="R183" s="30"/>
      <c r="S183" s="30">
        <f>IF(Tableau113[[#This Row],[alerte stock]]="-",0,1)</f>
        <v>1</v>
      </c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</row>
    <row r="184" spans="1:44" ht="15.75" x14ac:dyDescent="0.25">
      <c r="A184" s="30"/>
      <c r="B184" s="103" t="s">
        <v>334</v>
      </c>
      <c r="C184" s="109" t="s">
        <v>373</v>
      </c>
      <c r="D184" s="105" t="s">
        <v>374</v>
      </c>
      <c r="E184" s="105" t="s">
        <v>28</v>
      </c>
      <c r="F184" s="106">
        <f>G184+SUMIF('[1]mouvement crepiere'!B:B,"=filtre SMC",'[1]mouvement crepiere'!G:G)</f>
        <v>1</v>
      </c>
      <c r="G184" s="106">
        <v>1</v>
      </c>
      <c r="H184" s="101">
        <v>1</v>
      </c>
      <c r="I184" s="107" t="str">
        <f t="shared" si="10"/>
        <v>-</v>
      </c>
      <c r="J184" s="111">
        <v>107</v>
      </c>
      <c r="K184" s="108">
        <f t="shared" si="11"/>
        <v>107</v>
      </c>
      <c r="L184" s="30"/>
      <c r="M184" s="30"/>
      <c r="N184" s="30"/>
      <c r="O184" s="30"/>
      <c r="P184" s="30"/>
      <c r="Q184" s="30"/>
      <c r="R184" s="30"/>
      <c r="S184" s="30">
        <f>IF(Tableau113[[#This Row],[alerte stock]]="-",0,1)</f>
        <v>0</v>
      </c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</row>
    <row r="185" spans="1:44" ht="15.75" x14ac:dyDescent="0.25">
      <c r="A185" s="30"/>
      <c r="B185" s="103" t="s">
        <v>334</v>
      </c>
      <c r="C185" s="109" t="s">
        <v>375</v>
      </c>
      <c r="D185" s="105" t="s">
        <v>376</v>
      </c>
      <c r="E185" s="105" t="s">
        <v>28</v>
      </c>
      <c r="F185" s="106">
        <f>G185+SUMIF('[1]mouvement crepiere'!B:B,"=VERIN SMC 20-250-B",'[1]mouvement crepiere'!G:G)</f>
        <v>2</v>
      </c>
      <c r="G185" s="106">
        <v>1</v>
      </c>
      <c r="H185" s="101">
        <v>1</v>
      </c>
      <c r="I185" s="107" t="str">
        <f t="shared" si="10"/>
        <v>-</v>
      </c>
      <c r="J185" s="111">
        <v>59.2</v>
      </c>
      <c r="K185" s="108">
        <f t="shared" si="11"/>
        <v>118.4</v>
      </c>
      <c r="L185" s="30"/>
      <c r="M185" s="30"/>
      <c r="N185" s="30"/>
      <c r="O185" s="30"/>
      <c r="P185" s="30"/>
      <c r="Q185" s="30"/>
      <c r="R185" s="30"/>
      <c r="S185" s="30">
        <f>IF(Tableau113[[#This Row],[alerte stock]]="-",0,1)</f>
        <v>0</v>
      </c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</row>
    <row r="186" spans="1:44" ht="15.75" x14ac:dyDescent="0.25">
      <c r="A186" s="30"/>
      <c r="B186" s="103" t="s">
        <v>334</v>
      </c>
      <c r="C186" s="109" t="s">
        <v>377</v>
      </c>
      <c r="D186" s="105" t="s">
        <v>378</v>
      </c>
      <c r="E186" s="105" t="s">
        <v>28</v>
      </c>
      <c r="F186" s="106">
        <f>G186+SUMIF('[1]mouvement crepiere'!B:B,"=VERIN SMC 20-25-B",'[1]mouvement crepiere'!G:G)</f>
        <v>1</v>
      </c>
      <c r="G186" s="106">
        <v>0</v>
      </c>
      <c r="H186" s="101">
        <v>1</v>
      </c>
      <c r="I186" s="107" t="str">
        <f t="shared" si="10"/>
        <v>-</v>
      </c>
      <c r="J186" s="111">
        <v>44.1</v>
      </c>
      <c r="K186" s="108">
        <f t="shared" si="11"/>
        <v>44.1</v>
      </c>
      <c r="L186" s="30"/>
      <c r="M186" s="30"/>
      <c r="N186" s="30"/>
      <c r="O186" s="30"/>
      <c r="P186" s="30"/>
      <c r="Q186" s="30"/>
      <c r="R186" s="30"/>
      <c r="S186" s="30">
        <f>IF(Tableau113[[#This Row],[alerte stock]]="-",0,1)</f>
        <v>0</v>
      </c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</row>
    <row r="187" spans="1:44" ht="15.75" x14ac:dyDescent="0.25">
      <c r="A187" s="30"/>
      <c r="B187" s="103" t="s">
        <v>334</v>
      </c>
      <c r="C187" s="109" t="s">
        <v>379</v>
      </c>
      <c r="D187" s="105" t="s">
        <v>380</v>
      </c>
      <c r="E187" s="105" t="s">
        <v>28</v>
      </c>
      <c r="F187" s="106">
        <f>G187+SUMIF('[1]mouvement crepiere'!B:B,"=VERIN SMC 25-50C-B",'[1]mouvement crepiere'!G:G)</f>
        <v>0</v>
      </c>
      <c r="G187" s="106">
        <v>0</v>
      </c>
      <c r="H187" s="101">
        <v>1</v>
      </c>
      <c r="I187" s="107" t="str">
        <f t="shared" si="10"/>
        <v>/!\</v>
      </c>
      <c r="J187" s="111">
        <v>64.599999999999994</v>
      </c>
      <c r="K187" s="108">
        <f t="shared" si="11"/>
        <v>0</v>
      </c>
      <c r="L187" s="30"/>
      <c r="M187" s="30"/>
      <c r="N187" s="30"/>
      <c r="O187" s="30"/>
      <c r="P187" s="30"/>
      <c r="Q187" s="30"/>
      <c r="R187" s="30"/>
      <c r="S187" s="30">
        <f>IF(Tableau113[[#This Row],[alerte stock]]="-",0,1)</f>
        <v>1</v>
      </c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</row>
    <row r="188" spans="1:44" ht="15.75" x14ac:dyDescent="0.25">
      <c r="A188" s="30"/>
      <c r="B188" s="103" t="s">
        <v>334</v>
      </c>
      <c r="C188" s="109" t="s">
        <v>381</v>
      </c>
      <c r="D188" s="105" t="s">
        <v>382</v>
      </c>
      <c r="E188" s="105" t="s">
        <v>28</v>
      </c>
      <c r="F188" s="106">
        <f>G188+SUMIF('[1]mouvement crepiere'!B:B,"=CAPTEUR ILS SMC",'[1]mouvement crepiere'!G:G)</f>
        <v>0</v>
      </c>
      <c r="G188" s="106">
        <v>0</v>
      </c>
      <c r="H188" s="101">
        <v>1</v>
      </c>
      <c r="I188" s="107" t="str">
        <f t="shared" si="10"/>
        <v>/!\</v>
      </c>
      <c r="J188" s="111">
        <v>27.4</v>
      </c>
      <c r="K188" s="108">
        <f t="shared" si="11"/>
        <v>0</v>
      </c>
      <c r="L188" s="30"/>
      <c r="M188" s="30"/>
      <c r="N188" s="30"/>
      <c r="O188" s="30"/>
      <c r="P188" s="30"/>
      <c r="Q188" s="30"/>
      <c r="R188" s="30"/>
      <c r="S188" s="30">
        <f>IF(Tableau113[[#This Row],[alerte stock]]="-",0,1)</f>
        <v>1</v>
      </c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</row>
    <row r="189" spans="1:44" ht="15.75" x14ac:dyDescent="0.25">
      <c r="A189" s="30"/>
      <c r="B189" s="103" t="s">
        <v>334</v>
      </c>
      <c r="C189" s="109" t="s">
        <v>383</v>
      </c>
      <c r="D189" s="105" t="s">
        <v>384</v>
      </c>
      <c r="E189" s="105" t="s">
        <v>345</v>
      </c>
      <c r="F189" s="106">
        <f>G189+SUMIF('[1]mouvement crepiere'!B:B,"= BANDE COTON POUR GRAISSEURS",'[1]mouvement crepiere'!G:G)</f>
        <v>135</v>
      </c>
      <c r="G189" s="106">
        <v>120</v>
      </c>
      <c r="H189" s="101">
        <v>21</v>
      </c>
      <c r="I189" s="107" t="str">
        <f t="shared" si="10"/>
        <v>-</v>
      </c>
      <c r="J189" s="111">
        <v>0.43</v>
      </c>
      <c r="K189" s="108">
        <f t="shared" si="11"/>
        <v>58.05</v>
      </c>
      <c r="L189" s="30"/>
      <c r="M189" s="30"/>
      <c r="N189" s="30"/>
      <c r="O189" s="30"/>
      <c r="P189" s="30"/>
      <c r="Q189" s="30"/>
      <c r="R189" s="30"/>
      <c r="S189" s="30">
        <f>IF(Tableau113[[#This Row],[alerte stock]]="-",0,1)</f>
        <v>0</v>
      </c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</row>
    <row r="190" spans="1:44" ht="15.75" x14ac:dyDescent="0.25">
      <c r="A190" s="30"/>
      <c r="B190" s="103" t="s">
        <v>334</v>
      </c>
      <c r="C190" s="109" t="s">
        <v>385</v>
      </c>
      <c r="D190" s="105" t="s">
        <v>386</v>
      </c>
      <c r="E190" s="105" t="s">
        <v>345</v>
      </c>
      <c r="F190" s="106">
        <f>G190+SUMIF('[1]mouvement crepiere'!B:B,"=bague en bronze",'[1]mouvement crepiere'!G:G)</f>
        <v>2</v>
      </c>
      <c r="G190" s="106">
        <v>2</v>
      </c>
      <c r="H190" s="101">
        <v>2</v>
      </c>
      <c r="I190" s="107" t="str">
        <f t="shared" si="10"/>
        <v>-</v>
      </c>
      <c r="J190" s="111">
        <v>1.08</v>
      </c>
      <c r="K190" s="108">
        <f t="shared" si="11"/>
        <v>2.16</v>
      </c>
      <c r="L190" s="30"/>
      <c r="M190" s="30"/>
      <c r="N190" s="30"/>
      <c r="O190" s="30"/>
      <c r="P190" s="30"/>
      <c r="Q190" s="30"/>
      <c r="R190" s="30"/>
      <c r="S190" s="30">
        <f>IF(Tableau113[[#This Row],[alerte stock]]="-",0,1)</f>
        <v>0</v>
      </c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</row>
    <row r="191" spans="1:44" ht="15.75" x14ac:dyDescent="0.25">
      <c r="A191" s="30"/>
      <c r="B191" s="103" t="s">
        <v>334</v>
      </c>
      <c r="C191" s="109" t="s">
        <v>387</v>
      </c>
      <c r="D191" s="105" t="s">
        <v>388</v>
      </c>
      <c r="E191" s="105" t="s">
        <v>345</v>
      </c>
      <c r="F191" s="106">
        <f>G191+SUMIF('[1]mouvement crepiere'!B:B,"=joints de pistons",'[1]mouvement crepiere'!G:G)</f>
        <v>4</v>
      </c>
      <c r="G191" s="106">
        <v>14</v>
      </c>
      <c r="H191" s="101">
        <v>4</v>
      </c>
      <c r="I191" s="107" t="str">
        <f t="shared" si="10"/>
        <v>-</v>
      </c>
      <c r="J191" s="111">
        <v>22.46</v>
      </c>
      <c r="K191" s="108">
        <f t="shared" si="11"/>
        <v>89.84</v>
      </c>
      <c r="L191" s="30"/>
      <c r="M191" s="30"/>
      <c r="N191" s="30"/>
      <c r="O191" s="30"/>
      <c r="P191" s="30"/>
      <c r="Q191" s="30"/>
      <c r="R191" s="30"/>
      <c r="S191" s="30">
        <f>IF(Tableau113[[#This Row],[alerte stock]]="-",0,1)</f>
        <v>0</v>
      </c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</row>
    <row r="192" spans="1:44" ht="15.75" x14ac:dyDescent="0.25">
      <c r="A192" s="30"/>
      <c r="B192" s="103" t="s">
        <v>334</v>
      </c>
      <c r="C192" s="109" t="s">
        <v>389</v>
      </c>
      <c r="D192" s="105" t="s">
        <v>390</v>
      </c>
      <c r="E192" s="105" t="s">
        <v>345</v>
      </c>
      <c r="F192" s="106">
        <f>G192+SUMIF('[1]mouvement crepiere'!B:B,"=Joint",'[1]mouvement crepiere'!G:G)</f>
        <v>4</v>
      </c>
      <c r="G192" s="106">
        <v>8</v>
      </c>
      <c r="H192" s="101">
        <v>4</v>
      </c>
      <c r="I192" s="107" t="str">
        <f t="shared" si="10"/>
        <v>-</v>
      </c>
      <c r="J192" s="111">
        <v>1.81</v>
      </c>
      <c r="K192" s="108">
        <f t="shared" si="11"/>
        <v>7.24</v>
      </c>
      <c r="L192" s="30"/>
      <c r="M192" s="30"/>
      <c r="N192" s="30"/>
      <c r="O192" s="30"/>
      <c r="P192" s="30"/>
      <c r="Q192" s="30"/>
      <c r="R192" s="30"/>
      <c r="S192" s="30">
        <f>IF(Tableau113[[#This Row],[alerte stock]]="-",0,1)</f>
        <v>0</v>
      </c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</row>
    <row r="193" spans="1:44" ht="15.75" x14ac:dyDescent="0.25">
      <c r="A193" s="30"/>
      <c r="B193" s="103" t="s">
        <v>334</v>
      </c>
      <c r="C193" s="109" t="s">
        <v>391</v>
      </c>
      <c r="D193" s="105" t="s">
        <v>392</v>
      </c>
      <c r="E193" s="105" t="s">
        <v>345</v>
      </c>
      <c r="F193" s="106">
        <f>G193+SUMIF('[1]mouvement crepiere'!B:B,"=roue vis sans fin Delrin",'[1]mouvement crepiere'!G:G)</f>
        <v>1</v>
      </c>
      <c r="G193" s="106">
        <v>1</v>
      </c>
      <c r="H193" s="101">
        <v>1</v>
      </c>
      <c r="I193" s="107" t="str">
        <f t="shared" si="10"/>
        <v>-</v>
      </c>
      <c r="J193" s="111">
        <v>264.63</v>
      </c>
      <c r="K193" s="108">
        <f t="shared" si="11"/>
        <v>264.63</v>
      </c>
      <c r="L193" s="30"/>
      <c r="M193" s="30"/>
      <c r="N193" s="30"/>
      <c r="O193" s="30"/>
      <c r="P193" s="30"/>
      <c r="Q193" s="30"/>
      <c r="R193" s="30"/>
      <c r="S193" s="30">
        <f>IF(Tableau113[[#This Row],[alerte stock]]="-",0,1)</f>
        <v>0</v>
      </c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</row>
    <row r="194" spans="1:44" ht="15.75" x14ac:dyDescent="0.25">
      <c r="A194" s="30"/>
      <c r="B194" s="103" t="s">
        <v>334</v>
      </c>
      <c r="C194" s="109" t="s">
        <v>393</v>
      </c>
      <c r="D194" s="105" t="s">
        <v>394</v>
      </c>
      <c r="E194" s="105" t="s">
        <v>345</v>
      </c>
      <c r="F194" s="106">
        <f>G194+SUMIF('[1]mouvement crepiere'!B:B,"=tuyau doseuse(tubelait)",'[1]mouvement crepiere'!G:G)</f>
        <v>1</v>
      </c>
      <c r="G194" s="106">
        <v>1</v>
      </c>
      <c r="H194" s="101">
        <v>5</v>
      </c>
      <c r="I194" s="107" t="str">
        <f t="shared" si="10"/>
        <v>/!\</v>
      </c>
      <c r="J194" s="101">
        <v>5.43</v>
      </c>
      <c r="K194" s="108">
        <f t="shared" si="11"/>
        <v>5.43</v>
      </c>
      <c r="L194" s="30"/>
      <c r="M194" s="30"/>
      <c r="N194" s="30"/>
      <c r="O194" s="30"/>
      <c r="P194" s="30"/>
      <c r="Q194" s="30"/>
      <c r="R194" s="30"/>
      <c r="S194" s="30">
        <f>IF(Tableau113[[#This Row],[alerte stock]]="-",0,1)</f>
        <v>1</v>
      </c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</row>
    <row r="195" spans="1:44" ht="15.75" x14ac:dyDescent="0.25">
      <c r="A195" s="30"/>
      <c r="B195" s="103" t="s">
        <v>334</v>
      </c>
      <c r="C195" s="109" t="s">
        <v>395</v>
      </c>
      <c r="D195" s="105" t="s">
        <v>396</v>
      </c>
      <c r="E195" s="105" t="s">
        <v>345</v>
      </c>
      <c r="F195" s="106">
        <f>G195+SUMIF('[1]mouvement crepiere'!B:B,"=vis sans fin delrin",'[1]mouvement crepiere'!G:G)</f>
        <v>1</v>
      </c>
      <c r="G195" s="106">
        <v>1</v>
      </c>
      <c r="H195" s="101">
        <v>1</v>
      </c>
      <c r="I195" s="107" t="str">
        <f t="shared" si="10"/>
        <v>-</v>
      </c>
      <c r="J195" s="111">
        <v>50.49</v>
      </c>
      <c r="K195" s="108">
        <f t="shared" si="11"/>
        <v>50.49</v>
      </c>
      <c r="L195" s="30"/>
      <c r="M195" s="30"/>
      <c r="N195" s="30"/>
      <c r="O195" s="30"/>
      <c r="P195" s="30"/>
      <c r="Q195" s="30"/>
      <c r="R195" s="30"/>
      <c r="S195" s="30">
        <f>IF(Tableau113[[#This Row],[alerte stock]]="-",0,1)</f>
        <v>0</v>
      </c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</row>
    <row r="196" spans="1:44" ht="15.75" x14ac:dyDescent="0.25">
      <c r="A196" s="30"/>
      <c r="B196" s="103" t="s">
        <v>334</v>
      </c>
      <c r="C196" s="109" t="s">
        <v>397</v>
      </c>
      <c r="D196" s="105" t="s">
        <v>398</v>
      </c>
      <c r="E196" s="105" t="s">
        <v>342</v>
      </c>
      <c r="F196" s="106">
        <f>G196+SUMIF('[1]mouvement crepiere'!B:B,"=VERIN PARKER (MINI)",'[1]mouvement crepiere'!G:G)</f>
        <v>2</v>
      </c>
      <c r="G196" s="106">
        <v>2</v>
      </c>
      <c r="H196" s="101">
        <v>8</v>
      </c>
      <c r="I196" s="107" t="str">
        <f t="shared" si="10"/>
        <v>/!\</v>
      </c>
      <c r="J196" s="111">
        <v>109.84</v>
      </c>
      <c r="K196" s="108">
        <f t="shared" si="11"/>
        <v>219.68</v>
      </c>
      <c r="L196" s="30"/>
      <c r="M196" s="30"/>
      <c r="N196" s="30"/>
      <c r="O196" s="30"/>
      <c r="P196" s="30"/>
      <c r="Q196" s="30"/>
      <c r="R196" s="30"/>
      <c r="S196" s="30">
        <f>IF(Tableau113[[#This Row],[alerte stock]]="-",0,1)</f>
        <v>1</v>
      </c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</row>
    <row r="197" spans="1:44" ht="15.75" x14ac:dyDescent="0.25">
      <c r="A197" s="30"/>
      <c r="B197" s="103" t="s">
        <v>334</v>
      </c>
      <c r="C197" s="109" t="s">
        <v>399</v>
      </c>
      <c r="D197" s="105" t="s">
        <v>400</v>
      </c>
      <c r="E197" s="105" t="s">
        <v>28</v>
      </c>
      <c r="F197" s="106">
        <f>G197+SUMIF('[1]mouvement crepiere'!B:B,"=carte elec pompe graisseur",'[1]mouvement crepiere'!G:G)</f>
        <v>1</v>
      </c>
      <c r="G197" s="106">
        <v>2</v>
      </c>
      <c r="H197" s="101">
        <v>1</v>
      </c>
      <c r="I197" s="107" t="str">
        <f t="shared" si="10"/>
        <v>-</v>
      </c>
      <c r="J197" s="111">
        <v>193.1</v>
      </c>
      <c r="K197" s="108">
        <f t="shared" si="11"/>
        <v>193.1</v>
      </c>
      <c r="L197" s="30"/>
      <c r="M197" s="30"/>
      <c r="N197" s="30"/>
      <c r="O197" s="30"/>
      <c r="P197" s="30"/>
      <c r="Q197" s="30"/>
      <c r="R197" s="30"/>
      <c r="S197" s="30">
        <f>IF(Tableau113[[#This Row],[alerte stock]]="-",0,1)</f>
        <v>0</v>
      </c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</row>
    <row r="198" spans="1:44" ht="15.75" x14ac:dyDescent="0.25">
      <c r="A198" s="30"/>
      <c r="B198" s="103" t="s">
        <v>334</v>
      </c>
      <c r="C198" s="109" t="s">
        <v>401</v>
      </c>
      <c r="D198" s="105" t="s">
        <v>402</v>
      </c>
      <c r="E198" s="105"/>
      <c r="F198" s="106">
        <f>G198+SUMIF('[1]mouvement crepiere'!B:B,"=Mano 0-10bars R 1/8",'[1]mouvement crepiere'!G:G)</f>
        <v>0</v>
      </c>
      <c r="G198" s="106">
        <v>0</v>
      </c>
      <c r="H198" s="101">
        <v>1</v>
      </c>
      <c r="I198" s="107" t="str">
        <f t="shared" si="10"/>
        <v>/!\</v>
      </c>
      <c r="J198" s="111">
        <v>13.64</v>
      </c>
      <c r="K198" s="108">
        <f t="shared" si="11"/>
        <v>0</v>
      </c>
      <c r="L198" s="30"/>
      <c r="M198" s="30"/>
      <c r="N198" s="30"/>
      <c r="O198" s="30"/>
      <c r="P198" s="30"/>
      <c r="Q198" s="30"/>
      <c r="R198" s="30"/>
      <c r="S198" s="30">
        <f>IF(Tableau113[[#This Row],[alerte stock]]="-",0,1)</f>
        <v>1</v>
      </c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</row>
    <row r="199" spans="1:44" ht="15.75" x14ac:dyDescent="0.25">
      <c r="A199" s="30"/>
      <c r="B199" s="103" t="s">
        <v>334</v>
      </c>
      <c r="C199" s="109" t="s">
        <v>403</v>
      </c>
      <c r="D199" s="115" t="s">
        <v>404</v>
      </c>
      <c r="E199" s="105" t="s">
        <v>28</v>
      </c>
      <c r="F199" s="106">
        <f>G199+SUMIF('[1]mouvement crepiere'!B:B,"=TUYAU D'HUILE POMPE",'[1]mouvement crepiere'!G:G)</f>
        <v>1</v>
      </c>
      <c r="G199" s="106">
        <v>1</v>
      </c>
      <c r="H199" s="101">
        <v>1</v>
      </c>
      <c r="I199" s="107" t="str">
        <f t="shared" si="10"/>
        <v>-</v>
      </c>
      <c r="J199" s="111">
        <v>5.3010000000000002</v>
      </c>
      <c r="K199" s="108">
        <f t="shared" si="11"/>
        <v>5.3010000000000002</v>
      </c>
      <c r="L199" s="30"/>
      <c r="M199" s="30"/>
      <c r="N199" s="30"/>
      <c r="O199" s="30"/>
      <c r="P199" s="30"/>
      <c r="Q199" s="30"/>
      <c r="R199" s="30"/>
      <c r="S199" s="30">
        <f>IF(Tableau113[[#This Row],[alerte stock]]="-",0,1)</f>
        <v>0</v>
      </c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</row>
    <row r="200" spans="1:44" ht="24" x14ac:dyDescent="0.25">
      <c r="A200" s="30"/>
      <c r="B200" s="103" t="s">
        <v>334</v>
      </c>
      <c r="C200" s="109" t="s">
        <v>405</v>
      </c>
      <c r="D200" s="115" t="s">
        <v>406</v>
      </c>
      <c r="E200" s="105" t="s">
        <v>28</v>
      </c>
      <c r="F200" s="106">
        <f>G200+SUMIF('[1]mouvement crepiere'!B:B,"=TUYAU POMPE graisseurs",'[1]mouvement crepiere'!G:G)</f>
        <v>4</v>
      </c>
      <c r="G200" s="106">
        <v>4</v>
      </c>
      <c r="H200" s="101">
        <v>1</v>
      </c>
      <c r="I200" s="107" t="str">
        <f t="shared" si="10"/>
        <v>-</v>
      </c>
      <c r="J200" s="111">
        <v>5.3010000000000002</v>
      </c>
      <c r="K200" s="108">
        <f t="shared" si="11"/>
        <v>21.204000000000001</v>
      </c>
      <c r="L200" s="30"/>
      <c r="M200" s="30"/>
      <c r="N200" s="30"/>
      <c r="O200" s="30"/>
      <c r="P200" s="30"/>
      <c r="Q200" s="30"/>
      <c r="R200" s="30"/>
      <c r="S200" s="30">
        <f>IF(Tableau113[[#This Row],[alerte stock]]="-",0,1)</f>
        <v>0</v>
      </c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</row>
    <row r="201" spans="1:44" ht="15.75" x14ac:dyDescent="0.25">
      <c r="A201" s="30"/>
      <c r="B201" s="103" t="s">
        <v>334</v>
      </c>
      <c r="C201" s="109" t="s">
        <v>407</v>
      </c>
      <c r="D201" s="105" t="s">
        <v>24</v>
      </c>
      <c r="E201" s="105" t="s">
        <v>24</v>
      </c>
      <c r="F201" s="106">
        <f>G201+SUMIF('[1]mouvement crepiere'!B:B,"=chaine spocket",'[1]mouvement crepiere'!G:G)</f>
        <v>0</v>
      </c>
      <c r="G201" s="106">
        <v>0</v>
      </c>
      <c r="H201" s="101">
        <v>1</v>
      </c>
      <c r="I201" s="107" t="str">
        <f t="shared" si="10"/>
        <v>/!\</v>
      </c>
      <c r="J201" s="101">
        <v>66.180000000000007</v>
      </c>
      <c r="K201" s="108">
        <f t="shared" si="11"/>
        <v>0</v>
      </c>
      <c r="L201" s="30"/>
      <c r="M201" s="30"/>
      <c r="N201" s="30"/>
      <c r="O201" s="30"/>
      <c r="P201" s="30"/>
      <c r="Q201" s="30"/>
      <c r="R201" s="30"/>
      <c r="S201" s="30">
        <f>IF(Tableau113[[#This Row],[alerte stock]]="-",0,1)</f>
        <v>1</v>
      </c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</row>
    <row r="202" spans="1:44" ht="15.75" x14ac:dyDescent="0.25">
      <c r="A202" s="30"/>
      <c r="B202" s="103" t="s">
        <v>334</v>
      </c>
      <c r="C202" s="109" t="s">
        <v>408</v>
      </c>
      <c r="D202" s="105" t="s">
        <v>24</v>
      </c>
      <c r="E202" s="105" t="s">
        <v>24</v>
      </c>
      <c r="F202" s="106">
        <f>G202+SUMIF('[1]mouvement crepiere'!B:B,"=palier lisse",'[1]mouvement crepiere'!G:G)</f>
        <v>2</v>
      </c>
      <c r="G202" s="106">
        <v>2</v>
      </c>
      <c r="H202" s="101">
        <v>1</v>
      </c>
      <c r="I202" s="107" t="str">
        <f t="shared" si="10"/>
        <v>-</v>
      </c>
      <c r="J202" s="101">
        <v>14.86</v>
      </c>
      <c r="K202" s="108">
        <f t="shared" si="11"/>
        <v>29.72</v>
      </c>
      <c r="L202" s="30"/>
      <c r="M202" s="30"/>
      <c r="N202" s="30"/>
      <c r="O202" s="30"/>
      <c r="P202" s="30"/>
      <c r="Q202" s="30"/>
      <c r="R202" s="30"/>
      <c r="S202" s="30">
        <f>IF(Tableau113[[#This Row],[alerte stock]]="-",0,1)</f>
        <v>0</v>
      </c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</row>
    <row r="203" spans="1:44" ht="15.75" x14ac:dyDescent="0.25">
      <c r="A203" s="30"/>
      <c r="B203" s="103" t="s">
        <v>334</v>
      </c>
      <c r="C203" s="116" t="s">
        <v>409</v>
      </c>
      <c r="D203" s="117" t="s">
        <v>410</v>
      </c>
      <c r="E203" s="117" t="s">
        <v>345</v>
      </c>
      <c r="F203" s="106">
        <f>G203+SUMIF('[1]mouvement crepiere'!B:B,"=motoreducteur à vis sans fin",'[1]mouvement crepiere'!G:G)</f>
        <v>0</v>
      </c>
      <c r="G203" s="29">
        <v>-1</v>
      </c>
      <c r="H203" s="29">
        <v>1</v>
      </c>
      <c r="I203" s="29" t="str">
        <f t="shared" si="10"/>
        <v>/!\</v>
      </c>
      <c r="J203" s="29">
        <v>589.85</v>
      </c>
      <c r="K203" s="29">
        <f t="shared" si="11"/>
        <v>0</v>
      </c>
      <c r="L203" s="30"/>
      <c r="M203" s="30"/>
      <c r="N203" s="30"/>
      <c r="O203" s="30"/>
      <c r="P203" s="30"/>
      <c r="Q203" s="30"/>
      <c r="R203" s="30"/>
      <c r="S203" s="30">
        <f>IF(Tableau113[[#This Row],[alerte stock]]="-",0,1)</f>
        <v>1</v>
      </c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</row>
    <row r="204" spans="1:44" ht="15.75" x14ac:dyDescent="0.25">
      <c r="A204" s="30"/>
      <c r="B204" s="103" t="s">
        <v>334</v>
      </c>
      <c r="C204" s="116" t="s">
        <v>411</v>
      </c>
      <c r="D204" s="117" t="s">
        <v>412</v>
      </c>
      <c r="E204" s="117" t="s">
        <v>345</v>
      </c>
      <c r="F204" s="106">
        <f>G204+SUMIF('[1]mouvement crepiere'!B:B,"=poulie a moyeu amovible",'[1]mouvement crepiere'!G:G)</f>
        <v>0</v>
      </c>
      <c r="G204" s="29">
        <v>-1</v>
      </c>
      <c r="H204" s="29">
        <v>1</v>
      </c>
      <c r="I204" s="29" t="str">
        <f t="shared" si="10"/>
        <v>/!\</v>
      </c>
      <c r="J204" s="29">
        <v>5.4</v>
      </c>
      <c r="K204" s="29">
        <f>J204*F204</f>
        <v>0</v>
      </c>
      <c r="L204" s="30"/>
      <c r="M204" s="30"/>
      <c r="N204" s="30"/>
      <c r="O204" s="30"/>
      <c r="P204" s="30"/>
      <c r="Q204" s="30"/>
      <c r="R204" s="30"/>
      <c r="S204" s="30">
        <f>IF(Tableau113[[#This Row],[alerte stock]]="-",0,1)</f>
        <v>1</v>
      </c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</row>
    <row r="205" spans="1:44" ht="15.75" x14ac:dyDescent="0.25">
      <c r="A205" s="30"/>
      <c r="B205" s="103" t="s">
        <v>334</v>
      </c>
      <c r="C205" s="116" t="s">
        <v>413</v>
      </c>
      <c r="D205" s="117" t="s">
        <v>414</v>
      </c>
      <c r="E205" s="117" t="s">
        <v>345</v>
      </c>
      <c r="F205" s="106">
        <f>G205+SUMIF('[1]mouvement crepiere'!B:B,"=moyeu amovible",'[1]mouvement crepiere'!G:G)</f>
        <v>2</v>
      </c>
      <c r="G205" s="29">
        <v>1</v>
      </c>
      <c r="H205" s="29">
        <v>1</v>
      </c>
      <c r="I205" s="29" t="str">
        <f t="shared" si="10"/>
        <v>-</v>
      </c>
      <c r="J205" s="29">
        <v>3.9</v>
      </c>
      <c r="K205" s="29">
        <f>J205*F205</f>
        <v>7.8</v>
      </c>
      <c r="L205" s="30"/>
      <c r="M205" s="30"/>
      <c r="N205" s="30"/>
      <c r="O205" s="30"/>
      <c r="P205" s="30"/>
      <c r="Q205" s="30"/>
      <c r="R205" s="30"/>
      <c r="S205" s="30">
        <f>IF(Tableau113[[#This Row],[alerte stock]]="-",0,1)</f>
        <v>0</v>
      </c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</row>
    <row r="206" spans="1:44" ht="15.75" x14ac:dyDescent="0.25">
      <c r="A206" s="30"/>
      <c r="B206" s="103" t="s">
        <v>334</v>
      </c>
      <c r="C206" s="116" t="s">
        <v>415</v>
      </c>
      <c r="D206" s="117">
        <v>333411000</v>
      </c>
      <c r="E206" s="117"/>
      <c r="F206" s="106">
        <f>G206+SUMIF('[1]mouvement crepiere'!B:B,"=pompe a gallet",'[1]mouvement crepiere'!G:G)</f>
        <v>1</v>
      </c>
      <c r="G206" s="29">
        <v>1</v>
      </c>
      <c r="H206" s="29">
        <v>1</v>
      </c>
      <c r="I206" s="29" t="str">
        <f t="shared" si="10"/>
        <v>-</v>
      </c>
      <c r="J206" s="29"/>
      <c r="K206" s="29"/>
      <c r="L206" s="30"/>
      <c r="M206" s="3" t="s">
        <v>334</v>
      </c>
      <c r="N206" s="30"/>
      <c r="O206" s="30"/>
      <c r="P206" s="30"/>
      <c r="Q206" s="30"/>
      <c r="R206" s="30"/>
      <c r="S206" s="30">
        <f>IF(Tableau113[[#This Row],[alerte stock]]="-",0,1)</f>
        <v>0</v>
      </c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</row>
    <row r="207" spans="1:44" ht="15.75" x14ac:dyDescent="0.25">
      <c r="A207" s="30"/>
      <c r="B207" s="103" t="s">
        <v>334</v>
      </c>
      <c r="C207" s="116" t="s">
        <v>416</v>
      </c>
      <c r="D207" s="117" t="s">
        <v>417</v>
      </c>
      <c r="E207" s="117" t="s">
        <v>418</v>
      </c>
      <c r="F207" s="106">
        <f>G207+SUMIF('[1]mouvement crepiere'!B:B,"=FRL asco numatics",'[1]mouvement crepiere'!G:G)</f>
        <v>0</v>
      </c>
      <c r="G207" s="29">
        <v>0</v>
      </c>
      <c r="H207" s="29">
        <v>0</v>
      </c>
      <c r="I207" s="29" t="str">
        <f t="shared" si="10"/>
        <v>-</v>
      </c>
      <c r="J207" s="29"/>
      <c r="K207" s="29"/>
      <c r="L207" s="30"/>
      <c r="M207" s="35">
        <f>SUM(K167:K207)</f>
        <v>3127.1149999999993</v>
      </c>
      <c r="N207" s="30"/>
      <c r="O207" s="30"/>
      <c r="P207" s="30"/>
      <c r="Q207" s="30"/>
      <c r="R207" s="30"/>
      <c r="S207" s="30">
        <f>IF(Tableau113[[#This Row],[alerte stock]]="-",0,1)</f>
        <v>0</v>
      </c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</row>
    <row r="208" spans="1:44" ht="15.75" x14ac:dyDescent="0.25">
      <c r="A208" s="30"/>
      <c r="B208" s="13" t="s">
        <v>419</v>
      </c>
      <c r="C208" s="14" t="s">
        <v>420</v>
      </c>
      <c r="D208" s="5">
        <v>10211102</v>
      </c>
      <c r="E208" s="6" t="s">
        <v>307</v>
      </c>
      <c r="F208" s="7">
        <f>G208+SUMIF('[1]mouvement CTA'!B:B,"=filtres F7 287x592x48 CTA",'[1]mouvement CTA'!G:G)</f>
        <v>0</v>
      </c>
      <c r="G208" s="7">
        <v>4</v>
      </c>
      <c r="H208" s="6">
        <v>4</v>
      </c>
      <c r="I208" s="2" t="str">
        <f>IF(F208&lt;H208,"/!\","-")</f>
        <v>/!\</v>
      </c>
      <c r="J208" s="11">
        <v>34.31</v>
      </c>
      <c r="K208" s="17">
        <f>F208*J208</f>
        <v>0</v>
      </c>
      <c r="L208" s="30"/>
      <c r="M208" s="30"/>
      <c r="N208" s="30"/>
      <c r="O208" s="30"/>
      <c r="P208" s="30"/>
      <c r="Q208" s="30"/>
      <c r="R208" s="30"/>
      <c r="S208" s="30">
        <f>IF(Tableau113[[#This Row],[alerte stock]]="-",0,1)</f>
        <v>1</v>
      </c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</row>
    <row r="209" spans="1:44" ht="15.75" x14ac:dyDescent="0.25">
      <c r="A209" s="30"/>
      <c r="B209" s="13" t="s">
        <v>419</v>
      </c>
      <c r="C209" s="14" t="s">
        <v>421</v>
      </c>
      <c r="D209" s="5">
        <v>10211125</v>
      </c>
      <c r="E209" s="6" t="s">
        <v>307</v>
      </c>
      <c r="F209" s="7">
        <f>G209+SUMIF('[1]mouvement CTA'!B:B,"=filtres F7 598X498X48 CTA",'[1]mouvement CTA'!G:G)</f>
        <v>8</v>
      </c>
      <c r="G209" s="7">
        <v>8</v>
      </c>
      <c r="H209" s="6">
        <v>8</v>
      </c>
      <c r="I209" s="2" t="str">
        <f t="shared" ref="I209:I228" si="12">IF(F209&lt;H209,"/!\","-")</f>
        <v>-</v>
      </c>
      <c r="J209" s="11">
        <v>43.46</v>
      </c>
      <c r="K209" s="17">
        <f t="shared" ref="K209:K227" si="13">F209*J209</f>
        <v>347.68</v>
      </c>
      <c r="L209" s="30"/>
      <c r="M209" s="30"/>
      <c r="N209" s="30"/>
      <c r="O209" s="30"/>
      <c r="P209" s="30"/>
      <c r="Q209" s="30"/>
      <c r="R209" s="30"/>
      <c r="S209" s="30">
        <f>IF(Tableau113[[#This Row],[alerte stock]]="-",0,1)</f>
        <v>0</v>
      </c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</row>
    <row r="210" spans="1:44" ht="15.75" x14ac:dyDescent="0.25">
      <c r="A210" s="30"/>
      <c r="B210" s="13" t="s">
        <v>419</v>
      </c>
      <c r="C210" s="14" t="s">
        <v>422</v>
      </c>
      <c r="D210" s="5">
        <v>10485000</v>
      </c>
      <c r="E210" s="6" t="s">
        <v>307</v>
      </c>
      <c r="F210" s="7">
        <f>G210+SUMIF('[1]mouvement CTA'!B:B,"=filres G4 287x592x48 CTA",'[1]mouvement CTA'!G:G)</f>
        <v>6</v>
      </c>
      <c r="G210" s="7">
        <v>6</v>
      </c>
      <c r="H210" s="6">
        <v>4</v>
      </c>
      <c r="I210" s="2" t="str">
        <f t="shared" si="12"/>
        <v>-</v>
      </c>
      <c r="J210" s="11">
        <v>8.9499999999999993</v>
      </c>
      <c r="K210" s="17">
        <f t="shared" si="13"/>
        <v>53.699999999999996</v>
      </c>
      <c r="L210" s="30"/>
      <c r="M210" s="30"/>
      <c r="N210" s="30"/>
      <c r="O210" s="30"/>
      <c r="P210" s="30"/>
      <c r="Q210" s="30"/>
      <c r="R210" s="30"/>
      <c r="S210" s="30">
        <f>IF(Tableau113[[#This Row],[alerte stock]]="-",0,1)</f>
        <v>0</v>
      </c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</row>
    <row r="211" spans="1:44" ht="15.75" x14ac:dyDescent="0.25">
      <c r="A211" s="30"/>
      <c r="B211" s="13" t="s">
        <v>419</v>
      </c>
      <c r="C211" s="14" t="s">
        <v>423</v>
      </c>
      <c r="D211" s="5">
        <v>10485015</v>
      </c>
      <c r="E211" s="6" t="s">
        <v>307</v>
      </c>
      <c r="F211" s="7">
        <f>G211+SUMIF('[1]mouvement CTA'!B:B,"=filtres G4 598x498x48 CTA",'[1]mouvement CTA'!G:G)</f>
        <v>0</v>
      </c>
      <c r="G211" s="7">
        <v>8</v>
      </c>
      <c r="H211" s="6">
        <v>8</v>
      </c>
      <c r="I211" s="2" t="str">
        <f t="shared" si="12"/>
        <v>/!\</v>
      </c>
      <c r="J211" s="11">
        <v>13.13</v>
      </c>
      <c r="K211" s="17">
        <f t="shared" si="13"/>
        <v>0</v>
      </c>
      <c r="L211" s="30"/>
      <c r="M211" s="30"/>
      <c r="N211" s="30"/>
      <c r="O211" s="30"/>
      <c r="P211" s="30"/>
      <c r="Q211" s="30"/>
      <c r="R211" s="30"/>
      <c r="S211" s="30">
        <f>IF(Tableau113[[#This Row],[alerte stock]]="-",0,1)</f>
        <v>1</v>
      </c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</row>
    <row r="212" spans="1:44" ht="15.75" x14ac:dyDescent="0.25">
      <c r="A212" s="30"/>
      <c r="B212" s="13" t="s">
        <v>419</v>
      </c>
      <c r="C212" s="14" t="s">
        <v>424</v>
      </c>
      <c r="D212" s="5">
        <v>10485001</v>
      </c>
      <c r="E212" s="6" t="s">
        <v>307</v>
      </c>
      <c r="F212" s="7">
        <f>G212+SUMIF('[1]mouvement CTA'!B:B,"=filtres G4 592x592x48 WOLF/ROOFTOP",'[1]mouvement CTA'!G:G)</f>
        <v>1</v>
      </c>
      <c r="G212" s="7">
        <v>8</v>
      </c>
      <c r="H212" s="6">
        <v>7</v>
      </c>
      <c r="I212" s="2" t="str">
        <f t="shared" si="12"/>
        <v>/!\</v>
      </c>
      <c r="J212" s="11">
        <v>13.52</v>
      </c>
      <c r="K212" s="17">
        <f t="shared" si="13"/>
        <v>13.52</v>
      </c>
      <c r="L212" s="30"/>
      <c r="M212" s="30"/>
      <c r="N212" s="30"/>
      <c r="O212" s="30"/>
      <c r="P212" s="30"/>
      <c r="Q212" s="30"/>
      <c r="R212" s="30"/>
      <c r="S212" s="30">
        <f>IF(Tableau113[[#This Row],[alerte stock]]="-",0,1)</f>
        <v>1</v>
      </c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</row>
    <row r="213" spans="1:44" ht="15.75" x14ac:dyDescent="0.25">
      <c r="A213" s="30"/>
      <c r="B213" s="13" t="s">
        <v>419</v>
      </c>
      <c r="C213" s="14" t="s">
        <v>425</v>
      </c>
      <c r="D213" s="5">
        <v>10211103</v>
      </c>
      <c r="E213" s="6" t="s">
        <v>307</v>
      </c>
      <c r="F213" s="7">
        <f>G213+SUMIF('[1]mouvement CTA'!B:B,"=filtres F7 592x592x48 WOLF/ROOFTOP",'[1]mouvement CTA'!G:G)</f>
        <v>8</v>
      </c>
      <c r="G213" s="7">
        <v>8</v>
      </c>
      <c r="H213" s="6">
        <v>7</v>
      </c>
      <c r="I213" s="2" t="str">
        <f t="shared" si="12"/>
        <v>-</v>
      </c>
      <c r="J213" s="11">
        <v>49.9</v>
      </c>
      <c r="K213" s="17">
        <f t="shared" si="13"/>
        <v>399.2</v>
      </c>
      <c r="L213" s="30"/>
      <c r="M213" s="30"/>
      <c r="N213" s="30"/>
      <c r="O213" s="30"/>
      <c r="P213" s="30"/>
      <c r="Q213" s="30"/>
      <c r="R213" s="30"/>
      <c r="S213" s="30">
        <f>IF(Tableau113[[#This Row],[alerte stock]]="-",0,1)</f>
        <v>0</v>
      </c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</row>
    <row r="214" spans="1:44" ht="15.75" x14ac:dyDescent="0.25">
      <c r="A214" s="30"/>
      <c r="B214" s="13" t="s">
        <v>419</v>
      </c>
      <c r="C214" s="14" t="s">
        <v>426</v>
      </c>
      <c r="D214" s="5" t="s">
        <v>24</v>
      </c>
      <c r="E214" s="6" t="s">
        <v>427</v>
      </c>
      <c r="F214" s="7">
        <f>G214+SUMIF('[1]mouvement CTA'!B:B,"=gaine textile spirale",'[1]mouvement CTA'!G:G)</f>
        <v>1</v>
      </c>
      <c r="G214" s="7">
        <v>1</v>
      </c>
      <c r="H214" s="6">
        <v>1</v>
      </c>
      <c r="I214" s="2" t="str">
        <f t="shared" si="12"/>
        <v>-</v>
      </c>
      <c r="J214" s="11">
        <v>2482.4</v>
      </c>
      <c r="K214" s="17">
        <f t="shared" si="13"/>
        <v>2482.4</v>
      </c>
      <c r="L214" s="30"/>
      <c r="M214" s="3" t="s">
        <v>419</v>
      </c>
      <c r="N214" s="30"/>
      <c r="O214" s="30"/>
      <c r="P214" s="30"/>
      <c r="Q214" s="30"/>
      <c r="R214" s="30"/>
      <c r="S214" s="30">
        <f>IF(Tableau113[[#This Row],[alerte stock]]="-",0,1)</f>
        <v>0</v>
      </c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</row>
    <row r="215" spans="1:44" ht="15.75" x14ac:dyDescent="0.25">
      <c r="A215" s="30"/>
      <c r="B215" s="13" t="s">
        <v>419</v>
      </c>
      <c r="C215" s="14" t="s">
        <v>428</v>
      </c>
      <c r="D215" s="118" t="s">
        <v>24</v>
      </c>
      <c r="E215" s="6" t="s">
        <v>427</v>
      </c>
      <c r="F215" s="7">
        <f>G215+SUMIF('[1]mouvement CTA'!B:B,"=gaine textile salle jaune",'[1]mouvement CTA'!G:G)</f>
        <v>2</v>
      </c>
      <c r="G215" s="7">
        <v>2</v>
      </c>
      <c r="H215" s="6">
        <v>2</v>
      </c>
      <c r="I215" s="2" t="str">
        <f t="shared" si="12"/>
        <v>-</v>
      </c>
      <c r="J215" s="11">
        <v>864.2</v>
      </c>
      <c r="K215" s="17">
        <f t="shared" si="13"/>
        <v>1728.4</v>
      </c>
      <c r="L215" s="30"/>
      <c r="M215" s="35">
        <f>SUM(K208:K215)</f>
        <v>5024.8999999999996</v>
      </c>
      <c r="N215" s="30"/>
      <c r="O215" s="30"/>
      <c r="P215" s="30"/>
      <c r="Q215" s="30"/>
      <c r="R215" s="30"/>
      <c r="S215" s="30">
        <f>IF(Tableau113[[#This Row],[alerte stock]]="-",0,1)</f>
        <v>0</v>
      </c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</row>
    <row r="216" spans="1:44" ht="15.75" x14ac:dyDescent="0.25">
      <c r="A216" s="30"/>
      <c r="B216" s="13" t="s">
        <v>429</v>
      </c>
      <c r="C216" s="14" t="s">
        <v>430</v>
      </c>
      <c r="D216" s="5" t="s">
        <v>24</v>
      </c>
      <c r="E216" s="6" t="s">
        <v>24</v>
      </c>
      <c r="F216" s="7">
        <f>G216+SUMIF('[1]mouvement DDM'!B:B,"=cellule barrière détection métaux",'[1]mouvement DDM'!G:G)</f>
        <v>0</v>
      </c>
      <c r="G216" s="7">
        <v>0</v>
      </c>
      <c r="H216" s="6">
        <v>1</v>
      </c>
      <c r="I216" s="2" t="str">
        <f t="shared" si="12"/>
        <v>/!\</v>
      </c>
      <c r="J216" s="11">
        <v>0</v>
      </c>
      <c r="K216" s="17">
        <f t="shared" si="13"/>
        <v>0</v>
      </c>
      <c r="L216" s="30"/>
      <c r="M216" s="30"/>
      <c r="N216" s="30"/>
      <c r="O216" s="30"/>
      <c r="P216" s="30"/>
      <c r="Q216" s="30"/>
      <c r="R216" s="30"/>
      <c r="S216" s="30">
        <f>IF(Tableau113[[#This Row],[alerte stock]]="-",0,1)</f>
        <v>1</v>
      </c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</row>
    <row r="217" spans="1:44" ht="15.75" x14ac:dyDescent="0.25">
      <c r="A217" s="30"/>
      <c r="B217" s="13" t="s">
        <v>429</v>
      </c>
      <c r="C217" s="14" t="s">
        <v>431</v>
      </c>
      <c r="D217" s="5" t="s">
        <v>24</v>
      </c>
      <c r="E217" s="6" t="s">
        <v>24</v>
      </c>
      <c r="F217" s="7">
        <f>G217+SUMIF('[1]mouvement DDM'!B:B,"=cellule barrière balance pondérale",'[1]mouvement DDM'!G:G)</f>
        <v>0</v>
      </c>
      <c r="G217" s="7">
        <v>0</v>
      </c>
      <c r="H217" s="6">
        <v>1</v>
      </c>
      <c r="I217" s="2" t="str">
        <f t="shared" si="12"/>
        <v>/!\</v>
      </c>
      <c r="J217" s="11">
        <v>0</v>
      </c>
      <c r="K217" s="17">
        <f t="shared" si="13"/>
        <v>0</v>
      </c>
      <c r="L217" s="30"/>
      <c r="M217" s="30"/>
      <c r="N217" s="30"/>
      <c r="O217" s="30"/>
      <c r="P217" s="30"/>
      <c r="Q217" s="30"/>
      <c r="R217" s="30"/>
      <c r="S217" s="30">
        <f>IF(Tableau113[[#This Row],[alerte stock]]="-",0,1)</f>
        <v>1</v>
      </c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</row>
    <row r="218" spans="1:44" ht="15.75" x14ac:dyDescent="0.25">
      <c r="A218" s="30"/>
      <c r="B218" s="13" t="s">
        <v>429</v>
      </c>
      <c r="C218" s="14" t="s">
        <v>432</v>
      </c>
      <c r="D218" s="5" t="s">
        <v>24</v>
      </c>
      <c r="E218" s="6" t="s">
        <v>24</v>
      </c>
      <c r="F218" s="7">
        <f>G218+SUMIF('[1]mouvement DDM'!B:B,"=Courroie crantée (10T5 / 185DIN 7721 KEV)",'[1]mouvement DDM'!G:G)</f>
        <v>4</v>
      </c>
      <c r="G218" s="7">
        <v>4</v>
      </c>
      <c r="H218" s="6">
        <v>1</v>
      </c>
      <c r="I218" s="2" t="str">
        <f t="shared" si="12"/>
        <v>-</v>
      </c>
      <c r="J218" s="11">
        <v>6.73</v>
      </c>
      <c r="K218" s="17">
        <f t="shared" si="13"/>
        <v>26.92</v>
      </c>
      <c r="L218" s="30"/>
      <c r="M218" s="30"/>
      <c r="N218" s="30"/>
      <c r="O218" s="30"/>
      <c r="P218" s="30"/>
      <c r="Q218" s="30"/>
      <c r="R218" s="30"/>
      <c r="S218" s="30">
        <f>IF(Tableau113[[#This Row],[alerte stock]]="-",0,1)</f>
        <v>0</v>
      </c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</row>
    <row r="219" spans="1:44" ht="15.75" x14ac:dyDescent="0.25">
      <c r="A219" s="30"/>
      <c r="B219" s="13" t="s">
        <v>429</v>
      </c>
      <c r="C219" s="14" t="s">
        <v>433</v>
      </c>
      <c r="D219" s="5" t="s">
        <v>24</v>
      </c>
      <c r="E219" s="6" t="s">
        <v>24</v>
      </c>
      <c r="F219" s="7">
        <f>G219+SUMIF('[1]mouvement DDM'!B:B,"=electrovanne 5/2 24VDC",'[1]mouvement DDM'!G:G)</f>
        <v>0</v>
      </c>
      <c r="G219" s="7">
        <v>0</v>
      </c>
      <c r="H219" s="6">
        <v>1</v>
      </c>
      <c r="I219" s="2" t="str">
        <f t="shared" si="12"/>
        <v>/!\</v>
      </c>
      <c r="J219" s="11">
        <v>0</v>
      </c>
      <c r="K219" s="17">
        <f t="shared" si="13"/>
        <v>0</v>
      </c>
      <c r="L219" s="30"/>
      <c r="M219" s="30"/>
      <c r="N219" s="30"/>
      <c r="O219" s="30"/>
      <c r="P219" s="30"/>
      <c r="Q219" s="30"/>
      <c r="R219" s="30"/>
      <c r="S219" s="30">
        <f>IF(Tableau113[[#This Row],[alerte stock]]="-",0,1)</f>
        <v>1</v>
      </c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</row>
    <row r="220" spans="1:44" ht="15.75" x14ac:dyDescent="0.25">
      <c r="A220" s="30"/>
      <c r="B220" s="13" t="s">
        <v>429</v>
      </c>
      <c r="C220" s="14" t="s">
        <v>434</v>
      </c>
      <c r="D220" s="5" t="s">
        <v>435</v>
      </c>
      <c r="E220" s="6" t="s">
        <v>24</v>
      </c>
      <c r="F220" s="7">
        <f>G220+SUMIF('[1]mouvement DDM'!B:B,"=Vérin 25/200 dw ISO 6432",'[1]mouvement DDM'!G:G)</f>
        <v>1</v>
      </c>
      <c r="G220" s="7">
        <v>1</v>
      </c>
      <c r="H220" s="6">
        <v>1</v>
      </c>
      <c r="I220" s="2" t="str">
        <f t="shared" si="12"/>
        <v>-</v>
      </c>
      <c r="J220" s="11">
        <v>175</v>
      </c>
      <c r="K220" s="17">
        <f t="shared" si="13"/>
        <v>175</v>
      </c>
      <c r="L220" s="30"/>
      <c r="M220" s="13" t="s">
        <v>429</v>
      </c>
      <c r="N220" s="30"/>
      <c r="O220" s="30"/>
      <c r="P220" s="30"/>
      <c r="Q220" s="30"/>
      <c r="R220" s="30"/>
      <c r="S220" s="30">
        <f>IF(Tableau113[[#This Row],[alerte stock]]="-",0,1)</f>
        <v>0</v>
      </c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</row>
    <row r="221" spans="1:44" ht="15.75" x14ac:dyDescent="0.25">
      <c r="A221" s="30"/>
      <c r="B221" s="13" t="s">
        <v>429</v>
      </c>
      <c r="C221" s="14" t="s">
        <v>436</v>
      </c>
      <c r="D221" s="5" t="s">
        <v>437</v>
      </c>
      <c r="E221" s="3" t="s">
        <v>24</v>
      </c>
      <c r="F221" s="7">
        <f>G221+SUMIF('[1]mouvement DDM'!B:B,"=Alimentation 150w 24vCC",'[1]mouvement DDM'!G:G)</f>
        <v>0</v>
      </c>
      <c r="G221" s="7">
        <v>0</v>
      </c>
      <c r="H221" s="6">
        <v>1</v>
      </c>
      <c r="I221" s="2" t="str">
        <f t="shared" si="12"/>
        <v>/!\</v>
      </c>
      <c r="J221" s="11">
        <v>41.7</v>
      </c>
      <c r="K221" s="17">
        <f t="shared" si="13"/>
        <v>0</v>
      </c>
      <c r="L221" s="30"/>
      <c r="M221" s="35">
        <f>SUM(K216:K221)</f>
        <v>201.92000000000002</v>
      </c>
      <c r="N221" s="30"/>
      <c r="O221" s="30"/>
      <c r="P221" s="30"/>
      <c r="Q221" s="30"/>
      <c r="R221" s="30"/>
      <c r="S221" s="30">
        <f>IF(Tableau113[[#This Row],[alerte stock]]="-",0,1)</f>
        <v>1</v>
      </c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</row>
    <row r="222" spans="1:44" ht="15.75" x14ac:dyDescent="0.25">
      <c r="A222" s="30"/>
      <c r="B222" s="13" t="s">
        <v>438</v>
      </c>
      <c r="C222" s="97" t="s">
        <v>439</v>
      </c>
      <c r="D222" s="119" t="s">
        <v>440</v>
      </c>
      <c r="E222" s="120" t="s">
        <v>28</v>
      </c>
      <c r="F222" s="7">
        <f>G222+SUMIF('[1]mouvement desinsectiseur'!B:B,"=Néon anti insectes",'[1]mouvement desinsectiseur'!G:G)</f>
        <v>4</v>
      </c>
      <c r="G222" s="7">
        <v>4</v>
      </c>
      <c r="H222" s="6">
        <v>2</v>
      </c>
      <c r="I222" s="1" t="str">
        <f t="shared" si="12"/>
        <v>-</v>
      </c>
      <c r="J222" s="121">
        <v>10.58</v>
      </c>
      <c r="K222" s="12">
        <f t="shared" si="13"/>
        <v>42.32</v>
      </c>
      <c r="L222" s="30"/>
      <c r="M222" s="13" t="s">
        <v>438</v>
      </c>
      <c r="N222" s="30"/>
      <c r="O222" s="30"/>
      <c r="P222" s="30"/>
      <c r="Q222" s="30"/>
      <c r="R222" s="30"/>
      <c r="S222" s="30">
        <f>IF(Tableau113[[#This Row],[alerte stock]]="-",0,1)</f>
        <v>0</v>
      </c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</row>
    <row r="223" spans="1:44" ht="15.75" x14ac:dyDescent="0.25">
      <c r="A223" s="30"/>
      <c r="B223" s="13" t="s">
        <v>438</v>
      </c>
      <c r="C223" s="14" t="s">
        <v>441</v>
      </c>
      <c r="D223" s="119" t="s">
        <v>442</v>
      </c>
      <c r="E223" s="120" t="s">
        <v>28</v>
      </c>
      <c r="F223" s="7">
        <f>G223+SUMIF('[1]mouvement desinsectiseur'!B:B,"=Starter 151 pour néons anti insectes",'[1]mouvement desinsectiseur'!G:G)</f>
        <v>8</v>
      </c>
      <c r="G223" s="7">
        <v>8</v>
      </c>
      <c r="H223" s="6">
        <v>2</v>
      </c>
      <c r="I223" s="1" t="str">
        <f t="shared" si="12"/>
        <v>-</v>
      </c>
      <c r="J223" s="121">
        <v>0.53200000000000003</v>
      </c>
      <c r="K223" s="12">
        <f t="shared" si="13"/>
        <v>4.2560000000000002</v>
      </c>
      <c r="L223" s="30"/>
      <c r="M223" s="35">
        <f>SUM(K222:K223)</f>
        <v>46.576000000000001</v>
      </c>
      <c r="N223" s="30"/>
      <c r="O223" s="30"/>
      <c r="P223" s="30"/>
      <c r="Q223" s="30"/>
      <c r="R223" s="30"/>
      <c r="S223" s="30">
        <f>IF(Tableau113[[#This Row],[alerte stock]]="-",0,1)</f>
        <v>0</v>
      </c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</row>
    <row r="224" spans="1:44" ht="15.75" x14ac:dyDescent="0.25">
      <c r="A224" s="30"/>
      <c r="B224" s="13" t="s">
        <v>443</v>
      </c>
      <c r="C224" s="97" t="s">
        <v>444</v>
      </c>
      <c r="D224" s="119" t="s">
        <v>445</v>
      </c>
      <c r="E224" s="118" t="s">
        <v>446</v>
      </c>
      <c r="F224" s="7">
        <f>G224+SUMIF('[1]mouvement doseur d''eau'!B:B,"=façade sorema",'[1]mouvement doseur d''eau'!G:G)</f>
        <v>0</v>
      </c>
      <c r="G224" s="7">
        <v>0</v>
      </c>
      <c r="H224" s="6">
        <v>1</v>
      </c>
      <c r="I224" s="2" t="str">
        <f t="shared" si="12"/>
        <v>/!\</v>
      </c>
      <c r="J224" s="11">
        <v>40.4</v>
      </c>
      <c r="K224" s="17">
        <f t="shared" si="13"/>
        <v>0</v>
      </c>
      <c r="L224" s="30"/>
      <c r="M224" s="30"/>
      <c r="N224" s="30"/>
      <c r="O224" s="30"/>
      <c r="P224" s="30"/>
      <c r="Q224" s="30"/>
      <c r="R224" s="30"/>
      <c r="S224" s="30">
        <f>IF(Tableau113[[#This Row],[alerte stock]]="-",0,1)</f>
        <v>1</v>
      </c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</row>
    <row r="225" spans="1:44" ht="15.75" x14ac:dyDescent="0.25">
      <c r="A225" s="30"/>
      <c r="B225" s="13" t="s">
        <v>443</v>
      </c>
      <c r="C225" s="14" t="s">
        <v>447</v>
      </c>
      <c r="D225" s="119" t="s">
        <v>448</v>
      </c>
      <c r="E225" s="118" t="s">
        <v>446</v>
      </c>
      <c r="F225" s="7">
        <f>G225+SUMIF('[1]mouvement doseur d''eau'!B:B,"=pastilles double face facade carte",'[1]mouvement doseur d''eau'!G:G)</f>
        <v>0</v>
      </c>
      <c r="G225" s="7">
        <v>0</v>
      </c>
      <c r="H225" s="6">
        <v>4</v>
      </c>
      <c r="I225" s="2" t="str">
        <f t="shared" si="12"/>
        <v>/!\</v>
      </c>
      <c r="J225" s="11">
        <v>2.5</v>
      </c>
      <c r="K225" s="17">
        <f t="shared" si="13"/>
        <v>0</v>
      </c>
      <c r="L225" s="30"/>
      <c r="M225" s="30"/>
      <c r="N225" s="30"/>
      <c r="O225" s="30"/>
      <c r="P225" s="30"/>
      <c r="Q225" s="30"/>
      <c r="R225" s="30"/>
      <c r="S225" s="30">
        <f>IF(Tableau113[[#This Row],[alerte stock]]="-",0,1)</f>
        <v>1</v>
      </c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</row>
    <row r="226" spans="1:44" ht="15.75" x14ac:dyDescent="0.25">
      <c r="A226" s="30"/>
      <c r="B226" s="13" t="s">
        <v>443</v>
      </c>
      <c r="C226" s="14" t="s">
        <v>449</v>
      </c>
      <c r="D226" s="119" t="s">
        <v>450</v>
      </c>
      <c r="E226" s="118" t="s">
        <v>446</v>
      </c>
      <c r="F226" s="7">
        <f>G226+SUMIF('[1]mouvement doseur d''eau'!B:B,"=réducteur de pression",'[1]mouvement doseur d''eau'!G:G)</f>
        <v>1</v>
      </c>
      <c r="G226" s="7">
        <v>1</v>
      </c>
      <c r="H226" s="6">
        <v>1</v>
      </c>
      <c r="I226" s="2" t="str">
        <f t="shared" si="12"/>
        <v>-</v>
      </c>
      <c r="J226" s="11">
        <v>57.38</v>
      </c>
      <c r="K226" s="17">
        <f t="shared" si="13"/>
        <v>57.38</v>
      </c>
      <c r="L226" s="30"/>
      <c r="M226" s="30"/>
      <c r="N226" s="30"/>
      <c r="O226" s="30"/>
      <c r="P226" s="30"/>
      <c r="Q226" s="30"/>
      <c r="R226" s="30"/>
      <c r="S226" s="30">
        <f>IF(Tableau113[[#This Row],[alerte stock]]="-",0,1)</f>
        <v>0</v>
      </c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</row>
    <row r="227" spans="1:44" ht="15.75" x14ac:dyDescent="0.25">
      <c r="A227" s="30"/>
      <c r="B227" s="13" t="s">
        <v>443</v>
      </c>
      <c r="C227" s="14" t="s">
        <v>451</v>
      </c>
      <c r="D227" s="119" t="s">
        <v>452</v>
      </c>
      <c r="E227" s="118" t="s">
        <v>446</v>
      </c>
      <c r="F227" s="7">
        <f>G227+SUMIF('[1]mouvement doseur d''eau'!B:B,"=manette régulateur de t°",'[1]mouvement doseur d''eau'!G:G)</f>
        <v>1</v>
      </c>
      <c r="G227" s="7">
        <v>1</v>
      </c>
      <c r="H227" s="6">
        <v>1</v>
      </c>
      <c r="I227" s="2" t="str">
        <f t="shared" si="12"/>
        <v>-</v>
      </c>
      <c r="J227" s="11">
        <v>47.85</v>
      </c>
      <c r="K227" s="17">
        <f t="shared" si="13"/>
        <v>47.85</v>
      </c>
      <c r="L227" s="30"/>
      <c r="M227" s="13" t="s">
        <v>443</v>
      </c>
      <c r="N227" s="30"/>
      <c r="O227" s="30"/>
      <c r="P227" s="30"/>
      <c r="Q227" s="30"/>
      <c r="R227" s="30"/>
      <c r="S227" s="30">
        <f>IF(Tableau113[[#This Row],[alerte stock]]="-",0,1)</f>
        <v>0</v>
      </c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</row>
    <row r="228" spans="1:44" ht="15.75" x14ac:dyDescent="0.25">
      <c r="A228" s="30"/>
      <c r="B228" s="52" t="s">
        <v>443</v>
      </c>
      <c r="C228" s="122" t="s">
        <v>453</v>
      </c>
      <c r="D228" s="123">
        <v>8163165</v>
      </c>
      <c r="E228" s="123"/>
      <c r="F228" s="7">
        <f>G228+SUMIF('[1]mouvement doseur d''eau'!B:B,"=electrovanne 230v",'[1]mouvement doseur d''eau'!G:G)</f>
        <v>1</v>
      </c>
      <c r="G228" s="3">
        <v>1</v>
      </c>
      <c r="H228" s="3">
        <v>1</v>
      </c>
      <c r="I228" s="2" t="str">
        <f t="shared" si="12"/>
        <v>-</v>
      </c>
      <c r="J228" s="3"/>
      <c r="K228" s="3"/>
      <c r="L228" s="30"/>
      <c r="M228" s="35">
        <f>SUM(K224:K228)</f>
        <v>105.23</v>
      </c>
      <c r="N228" s="30"/>
      <c r="O228" s="30"/>
      <c r="P228" s="30"/>
      <c r="Q228" s="30"/>
      <c r="R228" s="30"/>
      <c r="S228" s="30">
        <f>IF(Tableau113[[#This Row],[alerte stock]]="-",0,1)</f>
        <v>0</v>
      </c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</row>
    <row r="229" spans="1:44" ht="15.75" x14ac:dyDescent="0.25">
      <c r="A229" s="30"/>
      <c r="B229" s="13" t="s">
        <v>454</v>
      </c>
      <c r="C229" s="124" t="s">
        <v>455</v>
      </c>
      <c r="D229" s="5" t="s">
        <v>456</v>
      </c>
      <c r="E229" s="3" t="s">
        <v>24</v>
      </c>
      <c r="F229" s="7">
        <f>G229+SUMIF('[1]mouvement doseur d''eau'!B:B,"=Amortisseur/verin pneumatique inox",'[1]mouvement doseur d''eau'!G:G)</f>
        <v>2</v>
      </c>
      <c r="G229" s="7">
        <v>2</v>
      </c>
      <c r="H229" s="6">
        <v>2</v>
      </c>
      <c r="I229" s="1" t="str">
        <f>IF(F229&lt;H229,"/!\","-")</f>
        <v>-</v>
      </c>
      <c r="J229" s="21"/>
      <c r="K229" s="12">
        <f>F229*J229</f>
        <v>0</v>
      </c>
      <c r="L229" s="30"/>
      <c r="M229" s="13" t="s">
        <v>454</v>
      </c>
      <c r="N229" s="30"/>
      <c r="O229" s="30"/>
      <c r="P229" s="30"/>
      <c r="Q229" s="30"/>
      <c r="R229" s="30"/>
      <c r="S229" s="30">
        <f>IF(Tableau113[[#This Row],[alerte stock]]="-",0,1)</f>
        <v>0</v>
      </c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</row>
    <row r="230" spans="1:44" ht="24" x14ac:dyDescent="0.25">
      <c r="A230" s="30"/>
      <c r="B230" s="13" t="s">
        <v>454</v>
      </c>
      <c r="C230" s="125" t="s">
        <v>457</v>
      </c>
      <c r="D230" s="126" t="s">
        <v>457</v>
      </c>
      <c r="E230" s="3" t="s">
        <v>24</v>
      </c>
      <c r="F230" s="7">
        <f>G230+SUMIF('[1]mouvement égoutoir autoclave'!B:B,"=Roue polyamide diam 60mm/épais21mm/perçage à l'axe 10mm",'[1]mouvement égoutoir autoclave'!G:G)</f>
        <v>0</v>
      </c>
      <c r="G230" s="7">
        <v>0</v>
      </c>
      <c r="H230" s="6">
        <v>2</v>
      </c>
      <c r="I230" s="1" t="str">
        <f>IF(F230&lt;H230,"/!\","-")</f>
        <v>/!\</v>
      </c>
      <c r="J230" s="16">
        <v>7</v>
      </c>
      <c r="K230" s="12">
        <f>F230*J230</f>
        <v>0</v>
      </c>
      <c r="L230" s="30"/>
      <c r="M230" s="35">
        <f>SUM(K229:K230)</f>
        <v>0</v>
      </c>
      <c r="N230" s="30"/>
      <c r="O230" s="30"/>
      <c r="P230" s="30"/>
      <c r="Q230" s="30"/>
      <c r="R230" s="30"/>
      <c r="S230" s="30">
        <f>IF(Tableau113[[#This Row],[alerte stock]]="-",0,1)</f>
        <v>1</v>
      </c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</row>
    <row r="231" spans="1:44" ht="15.75" x14ac:dyDescent="0.25">
      <c r="A231" s="30"/>
      <c r="B231" s="13" t="s">
        <v>458</v>
      </c>
      <c r="C231" s="18" t="s">
        <v>459</v>
      </c>
      <c r="D231" s="126" t="s">
        <v>460</v>
      </c>
      <c r="E231" s="3" t="s">
        <v>24</v>
      </c>
      <c r="F231" s="7">
        <f>G231+SUMIF('[1]mouvement élévateur VMI'!B:B,"=Capteur inductif de proximité Barillet M30 x 1,5, portée 15mm",'[1]mouvement élévateur VMI'!G:G)</f>
        <v>3</v>
      </c>
      <c r="G231" s="7">
        <v>3</v>
      </c>
      <c r="H231" s="7">
        <v>1</v>
      </c>
      <c r="I231" s="2" t="str">
        <f>IF(F231&lt;H231,"/!\","-")</f>
        <v>-</v>
      </c>
      <c r="J231" s="21">
        <v>66.88</v>
      </c>
      <c r="K231" s="17">
        <f>F231*J231</f>
        <v>200.64</v>
      </c>
      <c r="L231" s="30"/>
      <c r="M231" s="30"/>
      <c r="N231" s="30"/>
      <c r="O231" s="30"/>
      <c r="P231" s="30"/>
      <c r="Q231" s="30"/>
      <c r="R231" s="30"/>
      <c r="S231" s="30">
        <f>IF(Tableau113[[#This Row],[alerte stock]]="-",0,1)</f>
        <v>0</v>
      </c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</row>
    <row r="232" spans="1:44" ht="15.75" x14ac:dyDescent="0.25">
      <c r="A232" s="30"/>
      <c r="B232" s="13" t="s">
        <v>458</v>
      </c>
      <c r="C232" s="18" t="s">
        <v>461</v>
      </c>
      <c r="D232" s="20" t="s">
        <v>462</v>
      </c>
      <c r="E232" s="25" t="s">
        <v>24</v>
      </c>
      <c r="F232" s="7">
        <f>G232+SUMIF('[1]mouvement élévateur VMI'!B:B,"=galets cylindriques 5/2 polyamide blanc",'[1]mouvement élévateur VMI'!G:G)</f>
        <v>7</v>
      </c>
      <c r="G232" s="7">
        <v>7</v>
      </c>
      <c r="H232" s="7">
        <v>2</v>
      </c>
      <c r="I232" s="2" t="str">
        <f t="shared" ref="I232:I251" si="14">IF(F232&lt;H232,"/!\","-")</f>
        <v>-</v>
      </c>
      <c r="J232" s="21">
        <v>19.7</v>
      </c>
      <c r="K232" s="17">
        <f t="shared" ref="K232:K251" si="15">F232*J232</f>
        <v>137.9</v>
      </c>
      <c r="L232" s="30"/>
      <c r="M232" s="30"/>
      <c r="N232" s="30"/>
      <c r="O232" s="30"/>
      <c r="P232" s="30"/>
      <c r="Q232" s="30"/>
      <c r="R232" s="30"/>
      <c r="S232" s="30">
        <f>IF(Tableau113[[#This Row],[alerte stock]]="-",0,1)</f>
        <v>0</v>
      </c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</row>
    <row r="233" spans="1:44" ht="15.75" x14ac:dyDescent="0.25">
      <c r="A233" s="30"/>
      <c r="B233" s="13" t="s">
        <v>458</v>
      </c>
      <c r="C233" s="18" t="s">
        <v>463</v>
      </c>
      <c r="D233" s="20" t="s">
        <v>464</v>
      </c>
      <c r="E233" s="25" t="s">
        <v>24</v>
      </c>
      <c r="F233" s="7">
        <f>G233+SUMIF('[1]mouvement élévateur VMI'!B:B,"=galets de rechange 82mm marron (roue avant)",'[1]mouvement élévateur VMI'!G:G)</f>
        <v>0</v>
      </c>
      <c r="G233" s="7">
        <v>0</v>
      </c>
      <c r="H233" s="7">
        <v>1</v>
      </c>
      <c r="I233" s="2" t="str">
        <f t="shared" si="14"/>
        <v>/!\</v>
      </c>
      <c r="J233" s="21">
        <v>23.69</v>
      </c>
      <c r="K233" s="17">
        <f t="shared" si="15"/>
        <v>0</v>
      </c>
      <c r="L233" s="30"/>
      <c r="M233" s="30"/>
      <c r="N233" s="30"/>
      <c r="O233" s="30"/>
      <c r="P233" s="30"/>
      <c r="Q233" s="30"/>
      <c r="R233" s="30"/>
      <c r="S233" s="30">
        <f>IF(Tableau113[[#This Row],[alerte stock]]="-",0,1)</f>
        <v>1</v>
      </c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</row>
    <row r="234" spans="1:44" ht="15.75" x14ac:dyDescent="0.25">
      <c r="A234" s="30"/>
      <c r="B234" s="13" t="s">
        <v>458</v>
      </c>
      <c r="C234" s="18" t="s">
        <v>465</v>
      </c>
      <c r="D234" s="20" t="s">
        <v>466</v>
      </c>
      <c r="E234" s="25" t="s">
        <v>24</v>
      </c>
      <c r="F234" s="7">
        <f>G234+SUMIF('[1]mouvement élévateur VMI'!B:B,"=ressort elevateur",'[1]mouvement élévateur VMI'!G:G)</f>
        <v>5</v>
      </c>
      <c r="G234" s="7">
        <v>5</v>
      </c>
      <c r="H234" s="7">
        <v>2</v>
      </c>
      <c r="I234" s="2" t="str">
        <f t="shared" si="14"/>
        <v>-</v>
      </c>
      <c r="J234" s="21">
        <v>36</v>
      </c>
      <c r="K234" s="17">
        <f t="shared" si="15"/>
        <v>180</v>
      </c>
      <c r="L234" s="30"/>
      <c r="M234" s="30"/>
      <c r="N234" s="30"/>
      <c r="O234" s="30"/>
      <c r="P234" s="30"/>
      <c r="Q234" s="30"/>
      <c r="R234" s="30"/>
      <c r="S234" s="30">
        <f>IF(Tableau113[[#This Row],[alerte stock]]="-",0,1)</f>
        <v>0</v>
      </c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</row>
    <row r="235" spans="1:44" ht="15.75" x14ac:dyDescent="0.25">
      <c r="A235" s="30"/>
      <c r="B235" s="13" t="s">
        <v>458</v>
      </c>
      <c r="C235" s="18" t="s">
        <v>467</v>
      </c>
      <c r="D235" s="20" t="s">
        <v>468</v>
      </c>
      <c r="E235" s="25" t="s">
        <v>24</v>
      </c>
      <c r="F235" s="7">
        <f>G235+SUMIF('[1]mouvement élévateur VMI'!B:B,"=roue arriere élevateur",'[1]mouvement élévateur VMI'!G:G)</f>
        <v>2</v>
      </c>
      <c r="G235" s="7">
        <v>2</v>
      </c>
      <c r="H235" s="7">
        <v>2</v>
      </c>
      <c r="I235" s="2" t="str">
        <f t="shared" si="14"/>
        <v>-</v>
      </c>
      <c r="J235" s="21">
        <v>30.22</v>
      </c>
      <c r="K235" s="17">
        <f t="shared" si="15"/>
        <v>60.44</v>
      </c>
      <c r="L235" s="30"/>
      <c r="M235" s="30"/>
      <c r="N235" s="30"/>
      <c r="O235" s="30"/>
      <c r="P235" s="30"/>
      <c r="Q235" s="30"/>
      <c r="R235" s="30"/>
      <c r="S235" s="30">
        <f>IF(Tableau113[[#This Row],[alerte stock]]="-",0,1)</f>
        <v>0</v>
      </c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</row>
    <row r="236" spans="1:44" ht="15.75" x14ac:dyDescent="0.25">
      <c r="A236" s="30"/>
      <c r="B236" s="13" t="s">
        <v>458</v>
      </c>
      <c r="C236" s="18" t="s">
        <v>469</v>
      </c>
      <c r="D236" s="20" t="s">
        <v>470</v>
      </c>
      <c r="E236" s="6" t="s">
        <v>24</v>
      </c>
      <c r="F236" s="7">
        <f>G236+SUMIF('[1]mouvement élévateur VMI'!B:B,"=axe de pivotement",'[1]mouvement élévateur VMI'!G:G)</f>
        <v>2</v>
      </c>
      <c r="G236" s="7">
        <v>2</v>
      </c>
      <c r="H236" s="7">
        <v>1</v>
      </c>
      <c r="I236" s="2" t="str">
        <f t="shared" si="14"/>
        <v>-</v>
      </c>
      <c r="J236" s="21">
        <v>0</v>
      </c>
      <c r="K236" s="17">
        <f t="shared" si="15"/>
        <v>0</v>
      </c>
      <c r="L236" s="30"/>
      <c r="M236" s="30"/>
      <c r="N236" s="30"/>
      <c r="O236" s="30"/>
      <c r="P236" s="30"/>
      <c r="Q236" s="30"/>
      <c r="R236" s="30"/>
      <c r="S236" s="30">
        <f>IF(Tableau113[[#This Row],[alerte stock]]="-",0,1)</f>
        <v>0</v>
      </c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</row>
    <row r="237" spans="1:44" ht="15.75" x14ac:dyDescent="0.25">
      <c r="A237" s="30"/>
      <c r="B237" s="13" t="s">
        <v>458</v>
      </c>
      <c r="C237" s="18" t="s">
        <v>471</v>
      </c>
      <c r="D237" s="20" t="s">
        <v>472</v>
      </c>
      <c r="E237" s="6" t="s">
        <v>24</v>
      </c>
      <c r="F237" s="7">
        <f>G237+SUMIF('[1]mouvement élévateur VMI'!B:B,"=palier de déversement",'[1]mouvement élévateur VMI'!G:G)</f>
        <v>2</v>
      </c>
      <c r="G237" s="7">
        <v>2</v>
      </c>
      <c r="H237" s="7">
        <v>1</v>
      </c>
      <c r="I237" s="2" t="str">
        <f t="shared" si="14"/>
        <v>-</v>
      </c>
      <c r="J237" s="21">
        <v>0</v>
      </c>
      <c r="K237" s="17">
        <f t="shared" si="15"/>
        <v>0</v>
      </c>
      <c r="L237" s="30"/>
      <c r="M237" s="30"/>
      <c r="N237" s="30"/>
      <c r="O237" s="30"/>
      <c r="P237" s="30"/>
      <c r="Q237" s="30"/>
      <c r="R237" s="30"/>
      <c r="S237" s="30">
        <f>IF(Tableau113[[#This Row],[alerte stock]]="-",0,1)</f>
        <v>0</v>
      </c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</row>
    <row r="238" spans="1:44" ht="15.75" x14ac:dyDescent="0.25">
      <c r="A238" s="30"/>
      <c r="B238" s="13" t="s">
        <v>458</v>
      </c>
      <c r="C238" s="18" t="s">
        <v>473</v>
      </c>
      <c r="D238" s="20" t="s">
        <v>474</v>
      </c>
      <c r="E238" s="6" t="s">
        <v>24</v>
      </c>
      <c r="F238" s="7">
        <f>G238+SUMIF('[1]mouvement élévateur VMI'!B:B,"=Kit fdc rotation cuve",'[1]mouvement élévateur VMI'!G:G)</f>
        <v>1</v>
      </c>
      <c r="G238" s="7">
        <v>1</v>
      </c>
      <c r="H238" s="7">
        <v>1</v>
      </c>
      <c r="I238" s="2" t="str">
        <f t="shared" si="14"/>
        <v>-</v>
      </c>
      <c r="J238" s="21">
        <v>0</v>
      </c>
      <c r="K238" s="17">
        <f t="shared" si="15"/>
        <v>0</v>
      </c>
      <c r="L238" s="30"/>
      <c r="M238" s="30"/>
      <c r="N238" s="30"/>
      <c r="O238" s="30"/>
      <c r="P238" s="30"/>
      <c r="Q238" s="30"/>
      <c r="R238" s="30"/>
      <c r="S238" s="30">
        <f>IF(Tableau113[[#This Row],[alerte stock]]="-",0,1)</f>
        <v>0</v>
      </c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</row>
    <row r="239" spans="1:44" ht="15.75" x14ac:dyDescent="0.25">
      <c r="A239" s="30"/>
      <c r="B239" s="13" t="s">
        <v>458</v>
      </c>
      <c r="C239" s="18" t="s">
        <v>475</v>
      </c>
      <c r="D239" s="20" t="s">
        <v>476</v>
      </c>
      <c r="E239" s="6" t="s">
        <v>24</v>
      </c>
      <c r="F239" s="7">
        <f>G239+SUMIF('[1]mouvement élévateur VMI'!B:B,"=Platine Axe de rotation",'[1]mouvement élévateur VMI'!G:G)</f>
        <v>1</v>
      </c>
      <c r="G239" s="7">
        <v>1</v>
      </c>
      <c r="H239" s="7">
        <v>1</v>
      </c>
      <c r="I239" s="2" t="str">
        <f t="shared" si="14"/>
        <v>-</v>
      </c>
      <c r="J239" s="21">
        <v>0</v>
      </c>
      <c r="K239" s="17">
        <f t="shared" si="15"/>
        <v>0</v>
      </c>
      <c r="L239" s="30"/>
      <c r="M239" s="30"/>
      <c r="N239" s="30"/>
      <c r="O239" s="30"/>
      <c r="P239" s="30"/>
      <c r="Q239" s="30"/>
      <c r="R239" s="30"/>
      <c r="S239" s="30">
        <f>IF(Tableau113[[#This Row],[alerte stock]]="-",0,1)</f>
        <v>0</v>
      </c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</row>
    <row r="240" spans="1:44" ht="15.75" x14ac:dyDescent="0.25">
      <c r="A240" s="30"/>
      <c r="B240" s="13" t="s">
        <v>458</v>
      </c>
      <c r="C240" s="18" t="s">
        <v>477</v>
      </c>
      <c r="D240" s="20" t="s">
        <v>478</v>
      </c>
      <c r="E240" s="6" t="s">
        <v>24</v>
      </c>
      <c r="F240" s="7">
        <f>G240+SUMIF('[1]mouvement élévateur VMI'!B:B,"=Bague bronze",'[1]mouvement élévateur VMI'!G:G)</f>
        <v>5</v>
      </c>
      <c r="G240" s="7">
        <v>5</v>
      </c>
      <c r="H240" s="7">
        <v>2</v>
      </c>
      <c r="I240" s="2" t="str">
        <f t="shared" si="14"/>
        <v>-</v>
      </c>
      <c r="J240" s="21">
        <v>0</v>
      </c>
      <c r="K240" s="17">
        <f t="shared" si="15"/>
        <v>0</v>
      </c>
      <c r="L240" s="30"/>
      <c r="M240" s="30"/>
      <c r="N240" s="30"/>
      <c r="O240" s="30"/>
      <c r="P240" s="30"/>
      <c r="Q240" s="30"/>
      <c r="R240" s="30"/>
      <c r="S240" s="30">
        <f>IF(Tableau113[[#This Row],[alerte stock]]="-",0,1)</f>
        <v>0</v>
      </c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</row>
    <row r="241" spans="1:44" ht="15.75" x14ac:dyDescent="0.25">
      <c r="A241" s="30"/>
      <c r="B241" s="13" t="s">
        <v>458</v>
      </c>
      <c r="C241" s="18" t="s">
        <v>479</v>
      </c>
      <c r="D241" s="20" t="s">
        <v>480</v>
      </c>
      <c r="E241" s="6" t="s">
        <v>24</v>
      </c>
      <c r="F241" s="7">
        <f>G241+SUMIF('[1]mouvement élévateur VMI'!B:B,"=Palier ECLB acier",'[1]mouvement élévateur VMI'!G:G)</f>
        <v>1</v>
      </c>
      <c r="G241" s="7">
        <v>1</v>
      </c>
      <c r="H241" s="7">
        <v>1</v>
      </c>
      <c r="I241" s="2" t="str">
        <f t="shared" si="14"/>
        <v>-</v>
      </c>
      <c r="J241" s="21">
        <v>0</v>
      </c>
      <c r="K241" s="17">
        <f t="shared" si="15"/>
        <v>0</v>
      </c>
      <c r="L241" s="30"/>
      <c r="M241" s="30"/>
      <c r="N241" s="30"/>
      <c r="O241" s="30"/>
      <c r="P241" s="30"/>
      <c r="Q241" s="30"/>
      <c r="R241" s="30"/>
      <c r="S241" s="30">
        <f>IF(Tableau113[[#This Row],[alerte stock]]="-",0,1)</f>
        <v>0</v>
      </c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</row>
    <row r="242" spans="1:44" ht="15.75" x14ac:dyDescent="0.25">
      <c r="A242" s="30"/>
      <c r="B242" s="13" t="s">
        <v>458</v>
      </c>
      <c r="C242" s="18" t="s">
        <v>481</v>
      </c>
      <c r="D242" s="20" t="s">
        <v>482</v>
      </c>
      <c r="E242" s="6" t="s">
        <v>24</v>
      </c>
      <c r="F242" s="7">
        <f>G242+SUMIF('[1]mouvement élévateur VMI'!B:B,"=Clavette forme A",'[1]mouvement élévateur VMI'!G:G)</f>
        <v>2</v>
      </c>
      <c r="G242" s="7">
        <v>2</v>
      </c>
      <c r="H242" s="7">
        <v>1</v>
      </c>
      <c r="I242" s="2" t="str">
        <f t="shared" si="14"/>
        <v>-</v>
      </c>
      <c r="J242" s="21">
        <v>0</v>
      </c>
      <c r="K242" s="17">
        <f t="shared" si="15"/>
        <v>0</v>
      </c>
      <c r="L242" s="30"/>
      <c r="M242" s="30"/>
      <c r="N242" s="30"/>
      <c r="O242" s="30"/>
      <c r="P242" s="30"/>
      <c r="Q242" s="30"/>
      <c r="R242" s="30"/>
      <c r="S242" s="30">
        <f>IF(Tableau113[[#This Row],[alerte stock]]="-",0,1)</f>
        <v>0</v>
      </c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</row>
    <row r="243" spans="1:44" ht="15.75" x14ac:dyDescent="0.25">
      <c r="A243" s="30"/>
      <c r="B243" s="13" t="s">
        <v>458</v>
      </c>
      <c r="C243" s="18" t="s">
        <v>483</v>
      </c>
      <c r="D243" s="20" t="s">
        <v>484</v>
      </c>
      <c r="E243" s="6" t="s">
        <v>24</v>
      </c>
      <c r="F243" s="7">
        <f>G243+SUMIF('[1]mouvement élévateur VMI'!B:B,"=Came pivotement ECLB acier",'[1]mouvement élévateur VMI'!G:G)</f>
        <v>1</v>
      </c>
      <c r="G243" s="7">
        <v>1</v>
      </c>
      <c r="H243" s="7">
        <v>1</v>
      </c>
      <c r="I243" s="2" t="str">
        <f t="shared" si="14"/>
        <v>-</v>
      </c>
      <c r="J243" s="21">
        <v>0</v>
      </c>
      <c r="K243" s="17">
        <f t="shared" si="15"/>
        <v>0</v>
      </c>
      <c r="L243" s="30"/>
      <c r="M243" s="30"/>
      <c r="N243" s="30"/>
      <c r="O243" s="30"/>
      <c r="P243" s="30"/>
      <c r="Q243" s="30"/>
      <c r="R243" s="30"/>
      <c r="S243" s="30">
        <f>IF(Tableau113[[#This Row],[alerte stock]]="-",0,1)</f>
        <v>0</v>
      </c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</row>
    <row r="244" spans="1:44" ht="15.75" x14ac:dyDescent="0.25">
      <c r="A244" s="30"/>
      <c r="B244" s="13" t="s">
        <v>458</v>
      </c>
      <c r="C244" s="18" t="s">
        <v>485</v>
      </c>
      <c r="D244" s="20" t="s">
        <v>486</v>
      </c>
      <c r="E244" s="6" t="s">
        <v>24</v>
      </c>
      <c r="F244" s="7">
        <f>G244+SUMIF('[1]mouvement élévateur VMI'!B:B,"=M14 borgne",'[1]mouvement élévateur VMI'!G:G)</f>
        <v>3</v>
      </c>
      <c r="G244" s="7">
        <v>3</v>
      </c>
      <c r="H244" s="7">
        <v>1</v>
      </c>
      <c r="I244" s="2" t="str">
        <f t="shared" si="14"/>
        <v>-</v>
      </c>
      <c r="J244" s="21">
        <v>0</v>
      </c>
      <c r="K244" s="17">
        <f t="shared" si="15"/>
        <v>0</v>
      </c>
      <c r="L244" s="30"/>
      <c r="M244" s="30"/>
      <c r="N244" s="30"/>
      <c r="O244" s="30"/>
      <c r="P244" s="30"/>
      <c r="Q244" s="30"/>
      <c r="R244" s="30"/>
      <c r="S244" s="30">
        <f>IF(Tableau113[[#This Row],[alerte stock]]="-",0,1)</f>
        <v>0</v>
      </c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</row>
    <row r="245" spans="1:44" ht="15.75" x14ac:dyDescent="0.25">
      <c r="A245" s="30"/>
      <c r="B245" s="13" t="s">
        <v>458</v>
      </c>
      <c r="C245" s="18" t="s">
        <v>487</v>
      </c>
      <c r="D245" s="20" t="s">
        <v>488</v>
      </c>
      <c r="E245" s="6" t="s">
        <v>24</v>
      </c>
      <c r="F245" s="7">
        <f>G245+SUMIF('[1]mouvement élévateur VMI'!B:B,"=bouchon mécanindus diam 72 type E",'[1]mouvement élévateur VMI'!G:G)</f>
        <v>2</v>
      </c>
      <c r="G245" s="7">
        <v>2</v>
      </c>
      <c r="H245" s="7">
        <v>1</v>
      </c>
      <c r="I245" s="2" t="str">
        <f t="shared" si="14"/>
        <v>-</v>
      </c>
      <c r="J245" s="21">
        <v>0</v>
      </c>
      <c r="K245" s="17">
        <f t="shared" si="15"/>
        <v>0</v>
      </c>
      <c r="L245" s="30"/>
      <c r="M245" s="30"/>
      <c r="N245" s="30"/>
      <c r="O245" s="30"/>
      <c r="P245" s="30"/>
      <c r="Q245" s="30"/>
      <c r="R245" s="30"/>
      <c r="S245" s="30">
        <f>IF(Tableau113[[#This Row],[alerte stock]]="-",0,1)</f>
        <v>0</v>
      </c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</row>
    <row r="246" spans="1:44" ht="15.75" x14ac:dyDescent="0.25">
      <c r="A246" s="30"/>
      <c r="B246" s="13" t="s">
        <v>458</v>
      </c>
      <c r="C246" s="18" t="s">
        <v>489</v>
      </c>
      <c r="D246" s="20" t="s">
        <v>490</v>
      </c>
      <c r="E246" s="6" t="s">
        <v>24</v>
      </c>
      <c r="F246" s="7">
        <f>G246+SUMIF('[1]mouvement élévateur VMI'!B:B,"=axe diam 20 l=107",'[1]mouvement élévateur VMI'!G:G)</f>
        <v>2</v>
      </c>
      <c r="G246" s="7">
        <v>2</v>
      </c>
      <c r="H246" s="7">
        <v>1</v>
      </c>
      <c r="I246" s="2" t="str">
        <f t="shared" si="14"/>
        <v>-</v>
      </c>
      <c r="J246" s="21">
        <v>0</v>
      </c>
      <c r="K246" s="17">
        <f t="shared" si="15"/>
        <v>0</v>
      </c>
      <c r="L246" s="30"/>
      <c r="M246" s="30"/>
      <c r="N246" s="30"/>
      <c r="O246" s="30"/>
      <c r="P246" s="30"/>
      <c r="Q246" s="30"/>
      <c r="R246" s="30"/>
      <c r="S246" s="30">
        <f>IF(Tableau113[[#This Row],[alerte stock]]="-",0,1)</f>
        <v>0</v>
      </c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</row>
    <row r="247" spans="1:44" ht="15.75" x14ac:dyDescent="0.25">
      <c r="A247" s="30"/>
      <c r="B247" s="13" t="s">
        <v>458</v>
      </c>
      <c r="C247" s="18" t="s">
        <v>491</v>
      </c>
      <c r="D247" s="20" t="s">
        <v>492</v>
      </c>
      <c r="E247" s="6" t="s">
        <v>24</v>
      </c>
      <c r="F247" s="7">
        <f>G247+SUMIF('[1]mouvement élévateur VMI'!B:B,"=Circlips int 80",'[1]mouvement élévateur VMI'!G:G)</f>
        <v>3</v>
      </c>
      <c r="G247" s="7">
        <v>3</v>
      </c>
      <c r="H247" s="7">
        <v>3</v>
      </c>
      <c r="I247" s="2" t="str">
        <f t="shared" si="14"/>
        <v>-</v>
      </c>
      <c r="J247" s="21">
        <v>0</v>
      </c>
      <c r="K247" s="17">
        <f t="shared" si="15"/>
        <v>0</v>
      </c>
      <c r="L247" s="30"/>
      <c r="M247" s="30"/>
      <c r="N247" s="30"/>
      <c r="O247" s="30"/>
      <c r="P247" s="30"/>
      <c r="Q247" s="30"/>
      <c r="R247" s="30"/>
      <c r="S247" s="30">
        <f>IF(Tableau113[[#This Row],[alerte stock]]="-",0,1)</f>
        <v>0</v>
      </c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4" ht="15.75" x14ac:dyDescent="0.25">
      <c r="A248" s="30"/>
      <c r="B248" s="13" t="s">
        <v>458</v>
      </c>
      <c r="C248" s="18" t="s">
        <v>493</v>
      </c>
      <c r="D248" s="20" t="s">
        <v>494</v>
      </c>
      <c r="E248" s="6" t="s">
        <v>24</v>
      </c>
      <c r="F248" s="7">
        <f>G248+SUMIF('[1]mouvement élévateur VMI'!B:B,"=Circlips int 72",'[1]mouvement élévateur VMI'!G:G)</f>
        <v>6</v>
      </c>
      <c r="G248" s="7">
        <v>6</v>
      </c>
      <c r="H248" s="7">
        <v>3</v>
      </c>
      <c r="I248" s="2" t="str">
        <f t="shared" si="14"/>
        <v>-</v>
      </c>
      <c r="J248" s="21">
        <v>0</v>
      </c>
      <c r="K248" s="17">
        <f t="shared" si="15"/>
        <v>0</v>
      </c>
      <c r="L248" s="30"/>
      <c r="M248" s="30"/>
      <c r="N248" s="30"/>
      <c r="O248" s="30"/>
      <c r="P248" s="30"/>
      <c r="Q248" s="30"/>
      <c r="R248" s="30"/>
      <c r="S248" s="30">
        <f>IF(Tableau113[[#This Row],[alerte stock]]="-",0,1)</f>
        <v>0</v>
      </c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4" ht="15.75" x14ac:dyDescent="0.25">
      <c r="A249" s="30"/>
      <c r="B249" s="13" t="s">
        <v>458</v>
      </c>
      <c r="C249" s="18" t="s">
        <v>495</v>
      </c>
      <c r="D249" s="20" t="s">
        <v>496</v>
      </c>
      <c r="E249" s="6" t="s">
        <v>24</v>
      </c>
      <c r="F249" s="7">
        <f>G249+SUMIF('[1]mouvement élévateur VMI'!B:B,"=Circlips ext 35",'[1]mouvement élévateur VMI'!G:G)</f>
        <v>6</v>
      </c>
      <c r="G249" s="7">
        <v>6</v>
      </c>
      <c r="H249" s="7">
        <v>3</v>
      </c>
      <c r="I249" s="2" t="str">
        <f t="shared" si="14"/>
        <v>-</v>
      </c>
      <c r="J249" s="21">
        <v>0</v>
      </c>
      <c r="K249" s="17">
        <f t="shared" si="15"/>
        <v>0</v>
      </c>
      <c r="L249" s="30"/>
      <c r="M249" s="30"/>
      <c r="N249" s="30"/>
      <c r="O249" s="30"/>
      <c r="P249" s="30"/>
      <c r="Q249" s="30"/>
      <c r="R249" s="30"/>
      <c r="S249" s="30">
        <f>IF(Tableau113[[#This Row],[alerte stock]]="-",0,1)</f>
        <v>0</v>
      </c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</row>
    <row r="250" spans="1:44" ht="15.75" x14ac:dyDescent="0.25">
      <c r="A250" s="30"/>
      <c r="B250" s="13" t="s">
        <v>458</v>
      </c>
      <c r="C250" s="18" t="s">
        <v>497</v>
      </c>
      <c r="D250" s="20" t="s">
        <v>498</v>
      </c>
      <c r="E250" s="6" t="s">
        <v>24</v>
      </c>
      <c r="F250" s="7">
        <f>G250+SUMIF('[1]mouvement élévateur VMI'!B:B,"=Entretoise D44,2/56 EP54",'[1]mouvement élévateur VMI'!G:G)</f>
        <v>1</v>
      </c>
      <c r="G250" s="7">
        <v>1</v>
      </c>
      <c r="H250" s="7">
        <v>1</v>
      </c>
      <c r="I250" s="2" t="str">
        <f t="shared" si="14"/>
        <v>-</v>
      </c>
      <c r="J250" s="21">
        <v>0</v>
      </c>
      <c r="K250" s="17">
        <f t="shared" si="15"/>
        <v>0</v>
      </c>
      <c r="L250" s="30"/>
      <c r="M250" s="13" t="s">
        <v>458</v>
      </c>
      <c r="N250" s="30"/>
      <c r="O250" s="30"/>
      <c r="P250" s="30"/>
      <c r="Q250" s="30"/>
      <c r="R250" s="30"/>
      <c r="S250" s="30">
        <f>IF(Tableau113[[#This Row],[alerte stock]]="-",0,1)</f>
        <v>0</v>
      </c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</row>
    <row r="251" spans="1:44" ht="15.75" x14ac:dyDescent="0.25">
      <c r="A251" s="30"/>
      <c r="B251" s="13" t="s">
        <v>458</v>
      </c>
      <c r="C251" s="18" t="s">
        <v>499</v>
      </c>
      <c r="D251" s="20" t="s">
        <v>500</v>
      </c>
      <c r="E251" s="6" t="s">
        <v>24</v>
      </c>
      <c r="F251" s="7">
        <f>G251+SUMIF('[1]mouvement élévateur VMI'!B:B,"=Joint à lèvre 55-90-10",'[1]mouvement élévateur VMI'!G:G)</f>
        <v>3</v>
      </c>
      <c r="G251" s="7">
        <v>3</v>
      </c>
      <c r="H251" s="7">
        <v>2</v>
      </c>
      <c r="I251" s="2" t="str">
        <f t="shared" si="14"/>
        <v>-</v>
      </c>
      <c r="J251" s="21">
        <v>0</v>
      </c>
      <c r="K251" s="17">
        <f t="shared" si="15"/>
        <v>0</v>
      </c>
      <c r="L251" s="30"/>
      <c r="M251" s="35">
        <f>SUM(K231:K251)</f>
        <v>578.98</v>
      </c>
      <c r="N251" s="30"/>
      <c r="O251" s="30"/>
      <c r="P251" s="30"/>
      <c r="Q251" s="30"/>
      <c r="R251" s="30"/>
      <c r="S251" s="30">
        <f>IF(Tableau113[[#This Row],[alerte stock]]="-",0,1)</f>
        <v>0</v>
      </c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</row>
    <row r="252" spans="1:44" ht="15.75" x14ac:dyDescent="0.25">
      <c r="A252" s="30"/>
      <c r="B252" s="13" t="s">
        <v>501</v>
      </c>
      <c r="C252" s="4" t="s">
        <v>502</v>
      </c>
      <c r="D252" s="126"/>
      <c r="E252" s="6" t="s">
        <v>24</v>
      </c>
      <c r="F252" s="7">
        <f>G252+SUMIF('[1]mouvement élévateur VMI'!B:B,"=Capteur inductif de proximité Barillet M30 x 1,5, portée 15mm",'[1]mouvement élévateur VMI'!G:G)</f>
        <v>0</v>
      </c>
      <c r="G252" s="7">
        <v>0</v>
      </c>
      <c r="H252" s="6">
        <v>1</v>
      </c>
      <c r="I252" s="1" t="str">
        <f>IF(F252&lt;H252,"/!\","-")</f>
        <v>/!\</v>
      </c>
      <c r="J252" s="11">
        <v>880</v>
      </c>
      <c r="K252" s="12">
        <f>F252*J252</f>
        <v>0</v>
      </c>
      <c r="L252" s="30"/>
      <c r="M252" s="30"/>
      <c r="N252" s="30"/>
      <c r="O252" s="30"/>
      <c r="P252" s="30"/>
      <c r="Q252" s="30"/>
      <c r="R252" s="30"/>
      <c r="S252" s="30">
        <f>IF(Tableau113[[#This Row],[alerte stock]]="-",0,1)</f>
        <v>1</v>
      </c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</row>
    <row r="253" spans="1:44" ht="15.75" x14ac:dyDescent="0.25">
      <c r="A253" s="30"/>
      <c r="B253" s="13" t="s">
        <v>501</v>
      </c>
      <c r="C253" s="4" t="s">
        <v>503</v>
      </c>
      <c r="D253" s="126" t="s">
        <v>504</v>
      </c>
      <c r="E253" s="6" t="s">
        <v>24</v>
      </c>
      <c r="F253" s="7">
        <f>G253+SUMIF('[1]mouvement élévateur VMI'!B:B,"=galets cylindriques 5/2 polyamide blanc",'[1]mouvement élévateur VMI'!G:G)</f>
        <v>1</v>
      </c>
      <c r="G253" s="7">
        <v>1</v>
      </c>
      <c r="H253" s="6">
        <v>1</v>
      </c>
      <c r="I253" s="1" t="str">
        <f t="shared" ref="I253:I263" si="16">IF(F253&lt;H253,"/!\","-")</f>
        <v>-</v>
      </c>
      <c r="J253" s="11">
        <v>135</v>
      </c>
      <c r="K253" s="12">
        <f t="shared" ref="K253:K263" si="17">F253*J253</f>
        <v>135</v>
      </c>
      <c r="L253" s="30"/>
      <c r="M253" s="30"/>
      <c r="N253" s="30"/>
      <c r="O253" s="30"/>
      <c r="P253" s="30"/>
      <c r="Q253" s="30"/>
      <c r="R253" s="30"/>
      <c r="S253" s="30">
        <f>IF(Tableau113[[#This Row],[alerte stock]]="-",0,1)</f>
        <v>0</v>
      </c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</row>
    <row r="254" spans="1:44" ht="15.75" x14ac:dyDescent="0.25">
      <c r="A254" s="30"/>
      <c r="B254" s="13" t="s">
        <v>501</v>
      </c>
      <c r="C254" s="4" t="s">
        <v>505</v>
      </c>
      <c r="D254" s="126" t="s">
        <v>506</v>
      </c>
      <c r="E254" s="127" t="s">
        <v>507</v>
      </c>
      <c r="F254" s="7">
        <f>G254+SUMIF('[1]mouvement élévateur VMI'!B:B,"=galets de rechange 82mm marron",'[1]mouvement élévateur VMI'!G:G)</f>
        <v>0</v>
      </c>
      <c r="G254" s="7">
        <v>0</v>
      </c>
      <c r="H254" s="6">
        <v>1</v>
      </c>
      <c r="I254" s="1" t="str">
        <f t="shared" si="16"/>
        <v>/!\</v>
      </c>
      <c r="J254" s="16">
        <v>34</v>
      </c>
      <c r="K254" s="12">
        <f t="shared" si="17"/>
        <v>0</v>
      </c>
      <c r="L254" s="30"/>
      <c r="M254" s="30"/>
      <c r="N254" s="30"/>
      <c r="O254" s="30"/>
      <c r="P254" s="30"/>
      <c r="Q254" s="30"/>
      <c r="R254" s="30"/>
      <c r="S254" s="30">
        <f>IF(Tableau113[[#This Row],[alerte stock]]="-",0,1)</f>
        <v>1</v>
      </c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</row>
    <row r="255" spans="1:44" ht="15.75" x14ac:dyDescent="0.25">
      <c r="A255" s="30"/>
      <c r="B255" s="13" t="s">
        <v>501</v>
      </c>
      <c r="C255" s="4" t="s">
        <v>508</v>
      </c>
      <c r="D255" s="126" t="s">
        <v>509</v>
      </c>
      <c r="E255" s="25" t="s">
        <v>24</v>
      </c>
      <c r="F255" s="7">
        <f>G255+SUMIF('[1]mouvement élévateur VMI'!B:B,"=ressort elevateur",'[1]mouvement élévateur VMI'!G:G)</f>
        <v>0</v>
      </c>
      <c r="G255" s="7">
        <v>0</v>
      </c>
      <c r="H255" s="6">
        <v>1</v>
      </c>
      <c r="I255" s="1" t="str">
        <f t="shared" si="16"/>
        <v>/!\</v>
      </c>
      <c r="J255" s="16">
        <v>36</v>
      </c>
      <c r="K255" s="12">
        <f t="shared" si="17"/>
        <v>0</v>
      </c>
      <c r="L255" s="30"/>
      <c r="M255" s="30"/>
      <c r="N255" s="30"/>
      <c r="O255" s="30"/>
      <c r="P255" s="30"/>
      <c r="Q255" s="30"/>
      <c r="R255" s="30"/>
      <c r="S255" s="30">
        <f>IF(Tableau113[[#This Row],[alerte stock]]="-",0,1)</f>
        <v>1</v>
      </c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</row>
    <row r="256" spans="1:44" ht="15.75" x14ac:dyDescent="0.25">
      <c r="A256" s="30"/>
      <c r="B256" s="13" t="s">
        <v>501</v>
      </c>
      <c r="C256" s="4" t="s">
        <v>510</v>
      </c>
      <c r="D256" s="126" t="s">
        <v>511</v>
      </c>
      <c r="E256" s="6" t="s">
        <v>24</v>
      </c>
      <c r="F256" s="7">
        <f>G256+SUMIF('[1]mouvement élévateur VMI'!B:B,"=roue arriere élevateur",'[1]mouvement élévateur VMI'!G:G)</f>
        <v>1</v>
      </c>
      <c r="G256" s="7">
        <v>1</v>
      </c>
      <c r="H256" s="6">
        <v>1</v>
      </c>
      <c r="I256" s="1" t="str">
        <f t="shared" si="16"/>
        <v>-</v>
      </c>
      <c r="J256" s="11">
        <v>2.1800000000000002</v>
      </c>
      <c r="K256" s="12">
        <f t="shared" si="17"/>
        <v>2.1800000000000002</v>
      </c>
      <c r="L256" s="30"/>
      <c r="M256" s="30"/>
      <c r="N256" s="30"/>
      <c r="O256" s="30"/>
      <c r="P256" s="30"/>
      <c r="Q256" s="30"/>
      <c r="R256" s="30"/>
      <c r="S256" s="30">
        <f>IF(Tableau113[[#This Row],[alerte stock]]="-",0,1)</f>
        <v>0</v>
      </c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</row>
    <row r="257" spans="1:44" ht="15.75" x14ac:dyDescent="0.25">
      <c r="A257" s="30"/>
      <c r="B257" s="13" t="s">
        <v>501</v>
      </c>
      <c r="C257" s="4" t="s">
        <v>512</v>
      </c>
      <c r="D257" s="126" t="s">
        <v>513</v>
      </c>
      <c r="E257" s="6" t="s">
        <v>24</v>
      </c>
      <c r="F257" s="7">
        <f>G257+SUMIF('[1]mouvement élévateur VMI'!B:B,"=axe de pivotement",'[1]mouvement élévateur VMI'!G:G)</f>
        <v>1</v>
      </c>
      <c r="G257" s="7">
        <v>1</v>
      </c>
      <c r="H257" s="6">
        <v>1</v>
      </c>
      <c r="I257" s="1" t="str">
        <f t="shared" si="16"/>
        <v>-</v>
      </c>
      <c r="J257" s="11">
        <v>5.43</v>
      </c>
      <c r="K257" s="12">
        <f t="shared" si="17"/>
        <v>5.43</v>
      </c>
      <c r="L257" s="30"/>
      <c r="M257" s="30"/>
      <c r="N257" s="30"/>
      <c r="O257" s="30"/>
      <c r="P257" s="30"/>
      <c r="Q257" s="30"/>
      <c r="R257" s="30"/>
      <c r="S257" s="30">
        <f>IF(Tableau113[[#This Row],[alerte stock]]="-",0,1)</f>
        <v>0</v>
      </c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</row>
    <row r="258" spans="1:44" ht="15.75" x14ac:dyDescent="0.25">
      <c r="A258" s="30"/>
      <c r="B258" s="13" t="s">
        <v>501</v>
      </c>
      <c r="C258" s="4" t="s">
        <v>514</v>
      </c>
      <c r="D258" s="126" t="s">
        <v>515</v>
      </c>
      <c r="E258" s="25" t="s">
        <v>24</v>
      </c>
      <c r="F258" s="7">
        <f>G258+SUMIF('[1]mouvement élévateur VMI'!B:B,"=palier de déversement",'[1]mouvement élévateur VMI'!G:G)</f>
        <v>2</v>
      </c>
      <c r="G258" s="7">
        <v>2</v>
      </c>
      <c r="H258" s="6">
        <v>2</v>
      </c>
      <c r="I258" s="1" t="str">
        <f t="shared" si="16"/>
        <v>-</v>
      </c>
      <c r="J258" s="16">
        <v>20</v>
      </c>
      <c r="K258" s="12">
        <f t="shared" si="17"/>
        <v>40</v>
      </c>
      <c r="L258" s="30"/>
      <c r="M258" s="30"/>
      <c r="N258" s="30"/>
      <c r="O258" s="30"/>
      <c r="P258" s="30"/>
      <c r="Q258" s="30"/>
      <c r="R258" s="30"/>
      <c r="S258" s="30">
        <f>IF(Tableau113[[#This Row],[alerte stock]]="-",0,1)</f>
        <v>0</v>
      </c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</row>
    <row r="259" spans="1:44" ht="15.75" x14ac:dyDescent="0.25">
      <c r="A259" s="30"/>
      <c r="B259" s="13" t="s">
        <v>501</v>
      </c>
      <c r="C259" s="4" t="s">
        <v>516</v>
      </c>
      <c r="D259" s="126" t="s">
        <v>517</v>
      </c>
      <c r="E259" s="25" t="s">
        <v>24</v>
      </c>
      <c r="F259" s="7">
        <f>G259+SUMIF('[1]mouvement élévateur VMI'!B:B,"=Kit fdc rotation cuve",'[1]mouvement élévateur VMI'!G:G)</f>
        <v>0</v>
      </c>
      <c r="G259" s="7">
        <v>0</v>
      </c>
      <c r="H259" s="6">
        <v>0</v>
      </c>
      <c r="I259" s="1" t="str">
        <f t="shared" si="16"/>
        <v>-</v>
      </c>
      <c r="J259" s="16">
        <v>545</v>
      </c>
      <c r="K259" s="12">
        <f t="shared" si="17"/>
        <v>0</v>
      </c>
      <c r="L259" s="30"/>
      <c r="M259" s="30"/>
      <c r="N259" s="30"/>
      <c r="O259" s="30"/>
      <c r="P259" s="30"/>
      <c r="Q259" s="30"/>
      <c r="R259" s="30"/>
      <c r="S259" s="30">
        <f>IF(Tableau113[[#This Row],[alerte stock]]="-",0,1)</f>
        <v>0</v>
      </c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</row>
    <row r="260" spans="1:44" ht="15.75" x14ac:dyDescent="0.25">
      <c r="A260" s="30"/>
      <c r="B260" s="13" t="s">
        <v>501</v>
      </c>
      <c r="C260" s="4" t="s">
        <v>518</v>
      </c>
      <c r="D260" s="20" t="s">
        <v>519</v>
      </c>
      <c r="E260" s="6" t="s">
        <v>24</v>
      </c>
      <c r="F260" s="7">
        <f>G260+SUMIF('[1]mouvement élévateur VMI'!B:B,"=Platine Axe de rotation",'[1]mouvement élévateur VMI'!G:G)</f>
        <v>0</v>
      </c>
      <c r="G260" s="7">
        <v>0</v>
      </c>
      <c r="H260" s="6">
        <v>0</v>
      </c>
      <c r="I260" s="1" t="str">
        <f t="shared" si="16"/>
        <v>-</v>
      </c>
      <c r="J260" s="11">
        <v>952</v>
      </c>
      <c r="K260" s="12">
        <f t="shared" si="17"/>
        <v>0</v>
      </c>
      <c r="L260" s="30"/>
      <c r="M260" s="30"/>
      <c r="N260" s="30"/>
      <c r="O260" s="30"/>
      <c r="P260" s="30"/>
      <c r="Q260" s="30"/>
      <c r="R260" s="30"/>
      <c r="S260" s="30">
        <f>IF(Tableau113[[#This Row],[alerte stock]]="-",0,1)</f>
        <v>0</v>
      </c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</row>
    <row r="261" spans="1:44" ht="15.75" x14ac:dyDescent="0.25">
      <c r="A261" s="30"/>
      <c r="B261" s="13" t="s">
        <v>501</v>
      </c>
      <c r="C261" s="4" t="s">
        <v>520</v>
      </c>
      <c r="D261" s="20" t="s">
        <v>521</v>
      </c>
      <c r="E261" s="25" t="s">
        <v>24</v>
      </c>
      <c r="F261" s="7">
        <f>G261+SUMIF('[1]mouvement élévateur VMI'!B:B,"=Bague bronze",'[1]mouvement élévateur VMI'!G:G)</f>
        <v>2</v>
      </c>
      <c r="G261" s="7">
        <v>2</v>
      </c>
      <c r="H261" s="6">
        <v>2</v>
      </c>
      <c r="I261" s="1" t="str">
        <f t="shared" si="16"/>
        <v>-</v>
      </c>
      <c r="J261" s="16">
        <v>23</v>
      </c>
      <c r="K261" s="12">
        <f t="shared" si="17"/>
        <v>46</v>
      </c>
      <c r="L261" s="30"/>
      <c r="M261" s="30"/>
      <c r="N261" s="30"/>
      <c r="O261" s="30"/>
      <c r="P261" s="30"/>
      <c r="Q261" s="30"/>
      <c r="R261" s="30"/>
      <c r="S261" s="30">
        <f>IF(Tableau113[[#This Row],[alerte stock]]="-",0,1)</f>
        <v>0</v>
      </c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</row>
    <row r="262" spans="1:44" ht="15.75" x14ac:dyDescent="0.25">
      <c r="A262" s="30"/>
      <c r="B262" s="13" t="s">
        <v>501</v>
      </c>
      <c r="C262" s="4" t="s">
        <v>522</v>
      </c>
      <c r="D262" s="126" t="s">
        <v>523</v>
      </c>
      <c r="E262" s="6" t="s">
        <v>24</v>
      </c>
      <c r="F262" s="7">
        <f>G262+SUMIF('[1]mouvement élévateur VMI'!B:B,"=Palier ECLB acier",'[1]mouvement élévateur VMI'!G:G)</f>
        <v>0</v>
      </c>
      <c r="G262" s="7">
        <v>0</v>
      </c>
      <c r="H262" s="6">
        <v>0</v>
      </c>
      <c r="I262" s="1" t="str">
        <f t="shared" si="16"/>
        <v>-</v>
      </c>
      <c r="J262" s="11">
        <v>538</v>
      </c>
      <c r="K262" s="12">
        <f t="shared" si="17"/>
        <v>0</v>
      </c>
      <c r="L262" s="30"/>
      <c r="M262" s="13" t="s">
        <v>501</v>
      </c>
      <c r="N262" s="30"/>
      <c r="O262" s="30"/>
      <c r="P262" s="30"/>
      <c r="Q262" s="30"/>
      <c r="R262" s="30"/>
      <c r="S262" s="30">
        <f>IF(Tableau113[[#This Row],[alerte stock]]="-",0,1)</f>
        <v>0</v>
      </c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</row>
    <row r="263" spans="1:44" ht="15.75" x14ac:dyDescent="0.25">
      <c r="A263" s="30"/>
      <c r="B263" s="13" t="s">
        <v>501</v>
      </c>
      <c r="C263" s="4" t="s">
        <v>524</v>
      </c>
      <c r="D263" s="126" t="s">
        <v>525</v>
      </c>
      <c r="E263" s="6" t="s">
        <v>24</v>
      </c>
      <c r="F263" s="7">
        <f>G263+SUMIF('[1]mouvement élévateur VMI'!B:B,"=Roulement 2202RS",'[1]mouvement élévateur VMI'!G:G)</f>
        <v>4</v>
      </c>
      <c r="G263" s="7">
        <v>4</v>
      </c>
      <c r="H263" s="6">
        <v>2</v>
      </c>
      <c r="I263" s="1" t="str">
        <f t="shared" si="16"/>
        <v>-</v>
      </c>
      <c r="J263" s="11">
        <v>19.48</v>
      </c>
      <c r="K263" s="12">
        <f t="shared" si="17"/>
        <v>77.92</v>
      </c>
      <c r="L263" s="30"/>
      <c r="M263" s="35">
        <f>SUM(K252:K263)</f>
        <v>306.53000000000003</v>
      </c>
      <c r="N263" s="30"/>
      <c r="O263" s="30"/>
      <c r="P263" s="30"/>
      <c r="Q263" s="30"/>
      <c r="R263" s="30"/>
      <c r="S263" s="30">
        <f>IF(Tableau113[[#This Row],[alerte stock]]="-",0,1)</f>
        <v>0</v>
      </c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</row>
    <row r="264" spans="1:44" ht="15.75" x14ac:dyDescent="0.25">
      <c r="A264" s="30"/>
      <c r="B264" s="13" t="s">
        <v>526</v>
      </c>
      <c r="C264" s="128" t="s">
        <v>527</v>
      </c>
      <c r="D264" s="6">
        <v>200150003</v>
      </c>
      <c r="E264" s="7" t="s">
        <v>528</v>
      </c>
      <c r="F264" s="7">
        <f>G264+SUMIF('[1]mouvement MRR240'!B:B,"=(levier) patins de blocage du papier",'[1]mouvement MRR240'!G:G)</f>
        <v>2</v>
      </c>
      <c r="G264" s="7">
        <v>2</v>
      </c>
      <c r="H264" s="6">
        <v>2</v>
      </c>
      <c r="I264" s="1" t="str">
        <f>IF(F264&lt;H264,"/!\","-")</f>
        <v>-</v>
      </c>
      <c r="J264" s="20">
        <v>76.16</v>
      </c>
      <c r="K264" s="12">
        <f>F264*J264</f>
        <v>152.32</v>
      </c>
      <c r="L264" s="30"/>
      <c r="M264" s="30"/>
      <c r="N264" s="30"/>
      <c r="O264" s="30"/>
      <c r="P264" s="30"/>
      <c r="Q264" s="30"/>
      <c r="R264" s="30"/>
      <c r="S264" s="30">
        <f>IF(Tableau113[[#This Row],[alerte stock]]="-",0,1)</f>
        <v>0</v>
      </c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</row>
    <row r="265" spans="1:44" ht="15.75" x14ac:dyDescent="0.25">
      <c r="A265" s="30"/>
      <c r="B265" s="13" t="s">
        <v>526</v>
      </c>
      <c r="C265" s="18" t="s">
        <v>529</v>
      </c>
      <c r="D265" s="6">
        <v>81141806524</v>
      </c>
      <c r="E265" s="7" t="s">
        <v>528</v>
      </c>
      <c r="F265" s="7">
        <f>G265+SUMIF('[1]mouvement MRR240'!B:B,"=bague d'etanchéité",'[1]mouvement MRR240'!G:G)</f>
        <v>2</v>
      </c>
      <c r="G265" s="7">
        <v>2</v>
      </c>
      <c r="H265" s="20">
        <v>2</v>
      </c>
      <c r="I265" s="1" t="str">
        <f t="shared" ref="I265:I307" si="18">IF(F265&lt;H265,"/!\","-")</f>
        <v>-</v>
      </c>
      <c r="J265" s="69">
        <v>0.28000000000000003</v>
      </c>
      <c r="K265" s="12">
        <f t="shared" ref="K265:K307" si="19">F265*J265</f>
        <v>0.56000000000000005</v>
      </c>
      <c r="L265" s="30"/>
      <c r="M265" s="30"/>
      <c r="N265" s="30"/>
      <c r="O265" s="30"/>
      <c r="P265" s="30"/>
      <c r="Q265" s="30"/>
      <c r="R265" s="30"/>
      <c r="S265" s="30">
        <f>IF(Tableau113[[#This Row],[alerte stock]]="-",0,1)</f>
        <v>0</v>
      </c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</row>
    <row r="266" spans="1:44" ht="15.75" x14ac:dyDescent="0.25">
      <c r="A266" s="30"/>
      <c r="B266" s="13" t="s">
        <v>526</v>
      </c>
      <c r="C266" s="18" t="s">
        <v>530</v>
      </c>
      <c r="D266" s="6">
        <v>200155074</v>
      </c>
      <c r="E266" s="120" t="s">
        <v>528</v>
      </c>
      <c r="F266" s="7">
        <f>G266+SUMIF('[1]mouvement MRR240'!B:B,"=arète ou bord de distribution",'[1]mouvement MRR240'!G:G)</f>
        <v>0</v>
      </c>
      <c r="G266" s="7">
        <v>0</v>
      </c>
      <c r="H266" s="20">
        <v>1</v>
      </c>
      <c r="I266" s="1" t="str">
        <f t="shared" si="18"/>
        <v>/!\</v>
      </c>
      <c r="J266" s="11">
        <v>590.28</v>
      </c>
      <c r="K266" s="12">
        <f t="shared" si="19"/>
        <v>0</v>
      </c>
      <c r="L266" s="30"/>
      <c r="M266" s="30"/>
      <c r="N266" s="30"/>
      <c r="O266" s="30"/>
      <c r="P266" s="30"/>
      <c r="Q266" s="30"/>
      <c r="R266" s="30"/>
      <c r="S266" s="30">
        <f>IF(Tableau113[[#This Row],[alerte stock]]="-",0,1)</f>
        <v>1</v>
      </c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</row>
    <row r="267" spans="1:44" ht="15.75" x14ac:dyDescent="0.25">
      <c r="A267" s="30"/>
      <c r="B267" s="13" t="s">
        <v>526</v>
      </c>
      <c r="C267" s="18" t="s">
        <v>531</v>
      </c>
      <c r="D267" s="6" t="s">
        <v>532</v>
      </c>
      <c r="E267" s="6" t="s">
        <v>528</v>
      </c>
      <c r="F267" s="7">
        <f>G267+SUMIF('[1]mouvement MRR240'!B:B,"=cable (nape) connection pour tête impression 53mm",'[1]mouvement MRR240'!G:G)</f>
        <v>0</v>
      </c>
      <c r="G267" s="7">
        <v>0</v>
      </c>
      <c r="H267" s="20">
        <v>1</v>
      </c>
      <c r="I267" s="1" t="str">
        <f t="shared" si="18"/>
        <v>/!\</v>
      </c>
      <c r="J267" s="69">
        <v>0</v>
      </c>
      <c r="K267" s="12">
        <f t="shared" si="19"/>
        <v>0</v>
      </c>
      <c r="L267" s="30"/>
      <c r="M267" s="30"/>
      <c r="N267" s="30"/>
      <c r="O267" s="30"/>
      <c r="P267" s="30"/>
      <c r="Q267" s="30"/>
      <c r="R267" s="30"/>
      <c r="S267" s="30">
        <f>IF(Tableau113[[#This Row],[alerte stock]]="-",0,1)</f>
        <v>1</v>
      </c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</row>
    <row r="268" spans="1:44" ht="15.75" x14ac:dyDescent="0.25">
      <c r="A268" s="30"/>
      <c r="B268" s="13" t="s">
        <v>526</v>
      </c>
      <c r="C268" s="18" t="s">
        <v>533</v>
      </c>
      <c r="D268" s="6" t="s">
        <v>534</v>
      </c>
      <c r="E268" s="7" t="s">
        <v>24</v>
      </c>
      <c r="F268" s="7">
        <f>G268+SUMIF('[1]mouvement MRR240'!B:B,"=capteur d'etiquettes",'[1]mouvement MRR240'!G:G)</f>
        <v>3</v>
      </c>
      <c r="G268" s="7">
        <v>3</v>
      </c>
      <c r="H268" s="20">
        <v>1</v>
      </c>
      <c r="I268" s="1" t="str">
        <f t="shared" si="18"/>
        <v>-</v>
      </c>
      <c r="J268" s="69">
        <v>349.55</v>
      </c>
      <c r="K268" s="12">
        <f t="shared" si="19"/>
        <v>1048.6500000000001</v>
      </c>
      <c r="L268" s="30"/>
      <c r="M268" s="30"/>
      <c r="N268" s="30"/>
      <c r="O268" s="30"/>
      <c r="P268" s="30"/>
      <c r="Q268" s="30"/>
      <c r="R268" s="30"/>
      <c r="S268" s="30">
        <f>IF(Tableau113[[#This Row],[alerte stock]]="-",0,1)</f>
        <v>0</v>
      </c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</row>
    <row r="269" spans="1:44" ht="15.75" x14ac:dyDescent="0.25">
      <c r="A269" s="30"/>
      <c r="B269" s="13" t="s">
        <v>526</v>
      </c>
      <c r="C269" s="18" t="s">
        <v>535</v>
      </c>
      <c r="D269" s="6">
        <v>105796170</v>
      </c>
      <c r="E269" s="7" t="s">
        <v>528</v>
      </c>
      <c r="F269" s="7">
        <f>G269+SUMIF('[1]mouvement MRR240'!B:B,"=capteur d'etiquettes capacitif",'[1]mouvement MRR240'!G:G)</f>
        <v>0</v>
      </c>
      <c r="G269" s="7">
        <v>0</v>
      </c>
      <c r="H269" s="20">
        <v>1</v>
      </c>
      <c r="I269" s="1" t="str">
        <f t="shared" si="18"/>
        <v>/!\</v>
      </c>
      <c r="J269" s="69">
        <v>725.78</v>
      </c>
      <c r="K269" s="12">
        <f t="shared" si="19"/>
        <v>0</v>
      </c>
      <c r="L269" s="30"/>
      <c r="M269" s="30"/>
      <c r="N269" s="30"/>
      <c r="O269" s="30"/>
      <c r="P269" s="30"/>
      <c r="Q269" s="30"/>
      <c r="R269" s="30"/>
      <c r="S269" s="30">
        <f>IF(Tableau113[[#This Row],[alerte stock]]="-",0,1)</f>
        <v>1</v>
      </c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</row>
    <row r="270" spans="1:44" ht="15.75" x14ac:dyDescent="0.25">
      <c r="A270" s="30"/>
      <c r="B270" s="13" t="s">
        <v>526</v>
      </c>
      <c r="C270" s="18" t="s">
        <v>536</v>
      </c>
      <c r="D270" s="6" t="s">
        <v>537</v>
      </c>
      <c r="E270" s="120" t="s">
        <v>528</v>
      </c>
      <c r="F270" s="7">
        <f>G270+SUMIF('[1]mouvement MRR240'!B:B,"=coffret mural L1=74 B1=24(embase prise harting)",'[1]mouvement MRR240'!G:G)</f>
        <v>1</v>
      </c>
      <c r="G270" s="7">
        <v>1</v>
      </c>
      <c r="H270" s="20">
        <v>1</v>
      </c>
      <c r="I270" s="1" t="str">
        <f t="shared" si="18"/>
        <v>-</v>
      </c>
      <c r="J270" s="11">
        <v>39.1</v>
      </c>
      <c r="K270" s="12">
        <f t="shared" si="19"/>
        <v>39.1</v>
      </c>
      <c r="L270" s="30"/>
      <c r="M270" s="30"/>
      <c r="N270" s="30"/>
      <c r="O270" s="30"/>
      <c r="P270" s="30"/>
      <c r="Q270" s="30"/>
      <c r="R270" s="30"/>
      <c r="S270" s="30">
        <f>IF(Tableau113[[#This Row],[alerte stock]]="-",0,1)</f>
        <v>0</v>
      </c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</row>
    <row r="271" spans="1:44" ht="15.75" x14ac:dyDescent="0.25">
      <c r="A271" s="30"/>
      <c r="B271" s="13" t="s">
        <v>526</v>
      </c>
      <c r="C271" s="18" t="s">
        <v>538</v>
      </c>
      <c r="D271" s="6">
        <v>200150583</v>
      </c>
      <c r="E271" s="7" t="s">
        <v>528</v>
      </c>
      <c r="F271" s="7">
        <f>G271+SUMIF('[1]mouvement MRR240'!B:B,"=couroie b1:15/l1:425 htd 5m",'[1]mouvement MRR240'!G:G)</f>
        <v>2</v>
      </c>
      <c r="G271" s="7">
        <v>2</v>
      </c>
      <c r="H271" s="20">
        <v>1</v>
      </c>
      <c r="I271" s="1" t="str">
        <f t="shared" si="18"/>
        <v>-</v>
      </c>
      <c r="J271" s="69">
        <v>24.8</v>
      </c>
      <c r="K271" s="12">
        <f t="shared" si="19"/>
        <v>49.6</v>
      </c>
      <c r="L271" s="30"/>
      <c r="M271" s="30"/>
      <c r="N271" s="30"/>
      <c r="O271" s="30"/>
      <c r="P271" s="30"/>
      <c r="Q271" s="30"/>
      <c r="R271" s="30"/>
      <c r="S271" s="30">
        <f>IF(Tableau113[[#This Row],[alerte stock]]="-",0,1)</f>
        <v>0</v>
      </c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</row>
    <row r="272" spans="1:44" ht="15.75" x14ac:dyDescent="0.25">
      <c r="A272" s="30"/>
      <c r="B272" s="13" t="s">
        <v>526</v>
      </c>
      <c r="C272" s="18" t="s">
        <v>539</v>
      </c>
      <c r="D272" s="6">
        <v>200150569</v>
      </c>
      <c r="E272" s="7" t="s">
        <v>528</v>
      </c>
      <c r="F272" s="7">
        <f>G272+SUMIF('[1]mouvement MRR240'!B:B,"=couroie crant b1=9,53  l1=254 XL",'[1]mouvement MRR240'!G:G)</f>
        <v>1</v>
      </c>
      <c r="G272" s="7">
        <v>1</v>
      </c>
      <c r="H272" s="20">
        <v>1</v>
      </c>
      <c r="I272" s="1" t="str">
        <f t="shared" si="18"/>
        <v>-</v>
      </c>
      <c r="J272" s="69">
        <v>23.54</v>
      </c>
      <c r="K272" s="12">
        <f t="shared" si="19"/>
        <v>23.54</v>
      </c>
      <c r="L272" s="30"/>
      <c r="M272" s="30"/>
      <c r="N272" s="30"/>
      <c r="O272" s="30"/>
      <c r="P272" s="30"/>
      <c r="Q272" s="30"/>
      <c r="R272" s="30"/>
      <c r="S272" s="30">
        <f>IF(Tableau113[[#This Row],[alerte stock]]="-",0,1)</f>
        <v>0</v>
      </c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</row>
    <row r="273" spans="1:44" ht="15.75" x14ac:dyDescent="0.25">
      <c r="A273" s="30"/>
      <c r="B273" s="13" t="s">
        <v>526</v>
      </c>
      <c r="C273" s="18" t="s">
        <v>540</v>
      </c>
      <c r="D273" s="6">
        <v>200155227</v>
      </c>
      <c r="E273" s="7" t="s">
        <v>528</v>
      </c>
      <c r="F273" s="7">
        <f>G273+SUMIF('[1]mouvement MRR240'!B:B,"=courroie b1:25 / l1:1150 ",'[1]mouvement MRR240'!G:G)</f>
        <v>1</v>
      </c>
      <c r="G273" s="7">
        <v>1</v>
      </c>
      <c r="H273" s="20">
        <v>1</v>
      </c>
      <c r="I273" s="1" t="str">
        <f t="shared" si="18"/>
        <v>-</v>
      </c>
      <c r="J273" s="69">
        <v>42.14</v>
      </c>
      <c r="K273" s="12">
        <f t="shared" si="19"/>
        <v>42.14</v>
      </c>
      <c r="L273" s="30"/>
      <c r="M273" s="30"/>
      <c r="N273" s="30"/>
      <c r="O273" s="30"/>
      <c r="P273" s="30"/>
      <c r="Q273" s="30"/>
      <c r="R273" s="30"/>
      <c r="S273" s="30">
        <f>IF(Tableau113[[#This Row],[alerte stock]]="-",0,1)</f>
        <v>0</v>
      </c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</row>
    <row r="274" spans="1:44" ht="15.75" x14ac:dyDescent="0.25">
      <c r="A274" s="30"/>
      <c r="B274" s="13" t="s">
        <v>526</v>
      </c>
      <c r="C274" s="18" t="s">
        <v>541</v>
      </c>
      <c r="D274" s="6">
        <v>200150583</v>
      </c>
      <c r="E274" s="120" t="s">
        <v>528</v>
      </c>
      <c r="F274" s="7">
        <f>G274+SUMIF('[1]mouvement MRR240'!B:B,"=courroie B1=15L1=425htd5m",'[1]mouvement MRR240'!G:G)</f>
        <v>1</v>
      </c>
      <c r="G274" s="7">
        <v>1</v>
      </c>
      <c r="H274" s="20">
        <v>1</v>
      </c>
      <c r="I274" s="1" t="str">
        <f t="shared" si="18"/>
        <v>-</v>
      </c>
      <c r="J274" s="11">
        <v>25.57</v>
      </c>
      <c r="K274" s="12">
        <f t="shared" si="19"/>
        <v>25.57</v>
      </c>
      <c r="L274" s="30"/>
      <c r="M274" s="30"/>
      <c r="N274" s="30"/>
      <c r="O274" s="30"/>
      <c r="P274" s="30"/>
      <c r="Q274" s="30"/>
      <c r="R274" s="30"/>
      <c r="S274" s="30">
        <f>IF(Tableau113[[#This Row],[alerte stock]]="-",0,1)</f>
        <v>0</v>
      </c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</row>
    <row r="275" spans="1:44" ht="15.75" x14ac:dyDescent="0.25">
      <c r="A275" s="30"/>
      <c r="B275" s="13" t="s">
        <v>526</v>
      </c>
      <c r="C275" s="18" t="s">
        <v>542</v>
      </c>
      <c r="D275" s="6" t="s">
        <v>543</v>
      </c>
      <c r="E275" s="7" t="s">
        <v>28</v>
      </c>
      <c r="F275" s="7">
        <f>G275+SUMIF('[1]mouvement MRR240'!B:B,"=courroie crant T2,5-330",'[1]mouvement MRR240'!G:G)</f>
        <v>4</v>
      </c>
      <c r="G275" s="7">
        <v>4</v>
      </c>
      <c r="H275" s="20">
        <v>1</v>
      </c>
      <c r="I275" s="1" t="str">
        <f t="shared" si="18"/>
        <v>-</v>
      </c>
      <c r="J275" s="69">
        <v>5.27</v>
      </c>
      <c r="K275" s="12">
        <f t="shared" si="19"/>
        <v>21.08</v>
      </c>
      <c r="L275" s="30"/>
      <c r="M275" s="30"/>
      <c r="N275" s="30"/>
      <c r="O275" s="30"/>
      <c r="P275" s="30"/>
      <c r="Q275" s="30"/>
      <c r="R275" s="30"/>
      <c r="S275" s="30">
        <f>IF(Tableau113[[#This Row],[alerte stock]]="-",0,1)</f>
        <v>0</v>
      </c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</row>
    <row r="276" spans="1:44" ht="15.75" x14ac:dyDescent="0.25">
      <c r="A276" s="30"/>
      <c r="B276" s="13" t="s">
        <v>526</v>
      </c>
      <c r="C276" s="18" t="s">
        <v>544</v>
      </c>
      <c r="D276" s="6" t="s">
        <v>545</v>
      </c>
      <c r="E276" s="7" t="s">
        <v>28</v>
      </c>
      <c r="F276" s="7">
        <f>G276+SUMIF('[1]mouvement MRR240'!B:B,"=courroie crant entrainement enrouleur glassine",'[1]mouvement MRR240'!G:G)</f>
        <v>4</v>
      </c>
      <c r="G276" s="7">
        <v>4</v>
      </c>
      <c r="H276" s="20">
        <v>1</v>
      </c>
      <c r="I276" s="1" t="str">
        <f t="shared" si="18"/>
        <v>-</v>
      </c>
      <c r="J276" s="69">
        <v>8.89</v>
      </c>
      <c r="K276" s="12">
        <f t="shared" si="19"/>
        <v>35.56</v>
      </c>
      <c r="L276" s="30"/>
      <c r="M276" s="30"/>
      <c r="N276" s="30"/>
      <c r="O276" s="30"/>
      <c r="P276" s="30"/>
      <c r="Q276" s="30"/>
      <c r="R276" s="30"/>
      <c r="S276" s="30">
        <f>IF(Tableau113[[#This Row],[alerte stock]]="-",0,1)</f>
        <v>0</v>
      </c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</row>
    <row r="277" spans="1:44" ht="15.75" x14ac:dyDescent="0.25">
      <c r="A277" s="30"/>
      <c r="B277" s="13" t="s">
        <v>526</v>
      </c>
      <c r="C277" s="18" t="s">
        <v>546</v>
      </c>
      <c r="D277" s="6">
        <v>200150699</v>
      </c>
      <c r="E277" s="120" t="s">
        <v>528</v>
      </c>
      <c r="F277" s="7">
        <f>G277+SUMIF('[1]mouvement MRR240'!B:B,"=courroie plate",'[1]mouvement MRR240'!G:G)</f>
        <v>10</v>
      </c>
      <c r="G277" s="7">
        <v>10</v>
      </c>
      <c r="H277" s="20">
        <v>1</v>
      </c>
      <c r="I277" s="1" t="str">
        <f t="shared" si="18"/>
        <v>-</v>
      </c>
      <c r="J277" s="69">
        <v>17.25</v>
      </c>
      <c r="K277" s="12">
        <f t="shared" si="19"/>
        <v>172.5</v>
      </c>
      <c r="L277" s="30"/>
      <c r="M277" s="30"/>
      <c r="N277" s="30"/>
      <c r="O277" s="30"/>
      <c r="P277" s="30"/>
      <c r="Q277" s="30"/>
      <c r="R277" s="30"/>
      <c r="S277" s="30">
        <f>IF(Tableau113[[#This Row],[alerte stock]]="-",0,1)</f>
        <v>0</v>
      </c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</row>
    <row r="278" spans="1:44" ht="15.75" x14ac:dyDescent="0.25">
      <c r="A278" s="30"/>
      <c r="B278" s="13" t="s">
        <v>526</v>
      </c>
      <c r="C278" s="18" t="s">
        <v>547</v>
      </c>
      <c r="D278" s="6">
        <v>212808</v>
      </c>
      <c r="E278" s="7" t="s">
        <v>528</v>
      </c>
      <c r="F278" s="7">
        <f>G278+SUMIF('[1]mouvement MRR240'!B:B,"=disque embrayage enrouleur de glassine",'[1]mouvement MRR240'!G:G)</f>
        <v>1</v>
      </c>
      <c r="G278" s="7">
        <v>1</v>
      </c>
      <c r="H278" s="20">
        <v>1</v>
      </c>
      <c r="I278" s="1" t="str">
        <f t="shared" si="18"/>
        <v>-</v>
      </c>
      <c r="J278" s="69">
        <v>0</v>
      </c>
      <c r="K278" s="12">
        <f t="shared" si="19"/>
        <v>0</v>
      </c>
      <c r="L278" s="30"/>
      <c r="M278" s="30"/>
      <c r="N278" s="30"/>
      <c r="O278" s="30"/>
      <c r="P278" s="30"/>
      <c r="Q278" s="30"/>
      <c r="R278" s="30"/>
      <c r="S278" s="30">
        <f>IF(Tableau113[[#This Row],[alerte stock]]="-",0,1)</f>
        <v>0</v>
      </c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</row>
    <row r="279" spans="1:44" ht="15.75" x14ac:dyDescent="0.25">
      <c r="A279" s="30"/>
      <c r="B279" s="13" t="s">
        <v>526</v>
      </c>
      <c r="C279" s="18" t="s">
        <v>548</v>
      </c>
      <c r="D279" s="6" t="s">
        <v>549</v>
      </c>
      <c r="E279" s="7" t="s">
        <v>528</v>
      </c>
      <c r="F279" s="7">
        <f>G279+SUMIF('[1]mouvement MRR240'!B:B,"=distributeur etiqueuse 3/2, festo CPE14-M1BH-30L-1/8",'[1]mouvement MRR240'!G:G)</f>
        <v>2</v>
      </c>
      <c r="G279" s="7">
        <v>2</v>
      </c>
      <c r="H279" s="20">
        <v>2</v>
      </c>
      <c r="I279" s="1" t="str">
        <f t="shared" si="18"/>
        <v>-</v>
      </c>
      <c r="J279" s="69">
        <v>116.7</v>
      </c>
      <c r="K279" s="12">
        <f t="shared" si="19"/>
        <v>233.4</v>
      </c>
      <c r="L279" s="30"/>
      <c r="M279" s="30"/>
      <c r="N279" s="30"/>
      <c r="O279" s="30"/>
      <c r="P279" s="30"/>
      <c r="Q279" s="30"/>
      <c r="R279" s="30"/>
      <c r="S279" s="30">
        <f>IF(Tableau113[[#This Row],[alerte stock]]="-",0,1)</f>
        <v>0</v>
      </c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</row>
    <row r="280" spans="1:44" ht="15.75" x14ac:dyDescent="0.25">
      <c r="A280" s="30"/>
      <c r="B280" s="13" t="s">
        <v>526</v>
      </c>
      <c r="C280" s="18" t="s">
        <v>550</v>
      </c>
      <c r="D280" s="6" t="s">
        <v>551</v>
      </c>
      <c r="E280" s="7" t="s">
        <v>528</v>
      </c>
      <c r="F280" s="7">
        <f>G280+SUMIF('[1]mouvement MRR240'!B:B,"=distributeur etiqueuse 3/2, festo CPE14-M1BH-3GL-1/8",'[1]mouvement MRR240'!G:G)</f>
        <v>1</v>
      </c>
      <c r="G280" s="7">
        <v>1</v>
      </c>
      <c r="H280" s="20">
        <v>1</v>
      </c>
      <c r="I280" s="1" t="str">
        <f t="shared" si="18"/>
        <v>-</v>
      </c>
      <c r="J280" s="69">
        <v>116.7</v>
      </c>
      <c r="K280" s="12">
        <f t="shared" si="19"/>
        <v>116.7</v>
      </c>
      <c r="L280" s="30"/>
      <c r="M280" s="30"/>
      <c r="N280" s="30"/>
      <c r="O280" s="30"/>
      <c r="P280" s="30"/>
      <c r="Q280" s="30"/>
      <c r="R280" s="30"/>
      <c r="S280" s="30">
        <f>IF(Tableau113[[#This Row],[alerte stock]]="-",0,1)</f>
        <v>0</v>
      </c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</row>
    <row r="281" spans="1:44" ht="15.75" x14ac:dyDescent="0.25">
      <c r="A281" s="30"/>
      <c r="B281" s="103" t="s">
        <v>526</v>
      </c>
      <c r="C281" s="129" t="s">
        <v>552</v>
      </c>
      <c r="D281" s="105" t="s">
        <v>553</v>
      </c>
      <c r="E281" s="130" t="s">
        <v>28</v>
      </c>
      <c r="F281" s="130">
        <f>G281+SUMIF('[1]mouvement MRR240'!B:B,"=Pile lithium 3V 1/2AA",'[1]mouvement MRR240'!G:G)</f>
        <v>1</v>
      </c>
      <c r="G281" s="130">
        <v>1</v>
      </c>
      <c r="H281" s="115">
        <v>1</v>
      </c>
      <c r="I281" s="1" t="str">
        <f t="shared" si="18"/>
        <v>-</v>
      </c>
      <c r="J281" s="69">
        <v>6.5</v>
      </c>
      <c r="K281" s="12">
        <f t="shared" si="19"/>
        <v>6.5</v>
      </c>
      <c r="L281" s="30"/>
      <c r="M281" s="30"/>
      <c r="N281" s="30"/>
      <c r="O281" s="30"/>
      <c r="P281" s="30"/>
      <c r="Q281" s="30"/>
      <c r="R281" s="30"/>
      <c r="S281" s="30">
        <f>IF(Tableau113[[#This Row],[alerte stock]]="-",0,1)</f>
        <v>0</v>
      </c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</row>
    <row r="282" spans="1:44" ht="15.75" x14ac:dyDescent="0.25">
      <c r="A282" s="30"/>
      <c r="B282" s="13" t="s">
        <v>526</v>
      </c>
      <c r="C282" s="18" t="s">
        <v>554</v>
      </c>
      <c r="D282" s="6">
        <v>105660595</v>
      </c>
      <c r="E282" s="7" t="s">
        <v>528</v>
      </c>
      <c r="F282" s="7">
        <f>G282+SUMIF('[1]mouvement MRR240'!B:B,"=PLAQUE DE CONTRE PRESSION",'[1]mouvement MRR240'!G:G)</f>
        <v>0</v>
      </c>
      <c r="G282" s="7">
        <v>0</v>
      </c>
      <c r="H282" s="20">
        <v>1</v>
      </c>
      <c r="I282" s="1" t="str">
        <f t="shared" si="18"/>
        <v>/!\</v>
      </c>
      <c r="J282" s="11">
        <v>170.92</v>
      </c>
      <c r="K282" s="12">
        <f t="shared" si="19"/>
        <v>0</v>
      </c>
      <c r="L282" s="30"/>
      <c r="M282" s="30"/>
      <c r="N282" s="30"/>
      <c r="O282" s="30"/>
      <c r="P282" s="30"/>
      <c r="Q282" s="30"/>
      <c r="R282" s="30"/>
      <c r="S282" s="30">
        <f>IF(Tableau113[[#This Row],[alerte stock]]="-",0,1)</f>
        <v>1</v>
      </c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</row>
    <row r="283" spans="1:44" ht="15.75" x14ac:dyDescent="0.25">
      <c r="A283" s="30"/>
      <c r="B283" s="13" t="s">
        <v>526</v>
      </c>
      <c r="C283" s="18" t="s">
        <v>555</v>
      </c>
      <c r="D283" s="6">
        <v>212798</v>
      </c>
      <c r="E283" s="7" t="s">
        <v>528</v>
      </c>
      <c r="F283" s="7">
        <f>G283+SUMIF('[1]mouvement MRR240'!B:B,"=ressort de torsion 25/0.7L",'[1]mouvement MRR240'!G:G)</f>
        <v>0</v>
      </c>
      <c r="G283" s="7">
        <v>0</v>
      </c>
      <c r="H283" s="20">
        <v>2</v>
      </c>
      <c r="I283" s="1" t="str">
        <f t="shared" si="18"/>
        <v>/!\</v>
      </c>
      <c r="J283" s="69">
        <v>0</v>
      </c>
      <c r="K283" s="12">
        <f t="shared" si="19"/>
        <v>0</v>
      </c>
      <c r="L283" s="30"/>
      <c r="M283" s="30"/>
      <c r="N283" s="30"/>
      <c r="O283" s="30"/>
      <c r="P283" s="30"/>
      <c r="Q283" s="30"/>
      <c r="R283" s="30"/>
      <c r="S283" s="30">
        <f>IF(Tableau113[[#This Row],[alerte stock]]="-",0,1)</f>
        <v>1</v>
      </c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</row>
    <row r="284" spans="1:44" ht="15.75" x14ac:dyDescent="0.25">
      <c r="A284" s="30"/>
      <c r="B284" s="13" t="s">
        <v>526</v>
      </c>
      <c r="C284" s="18" t="s">
        <v>556</v>
      </c>
      <c r="D284" s="6">
        <v>106116816</v>
      </c>
      <c r="E284" s="7" t="s">
        <v>528</v>
      </c>
      <c r="F284" s="7">
        <f>G284+SUMIF('[1]mouvement MRR240'!B:B,"=rouleau de tension l1=150 li n.re",'[1]mouvement MRR240'!G:G)</f>
        <v>1</v>
      </c>
      <c r="G284" s="7">
        <v>1</v>
      </c>
      <c r="H284" s="20">
        <v>1</v>
      </c>
      <c r="I284" s="1" t="str">
        <f t="shared" si="18"/>
        <v>-</v>
      </c>
      <c r="J284" s="69">
        <v>412.13</v>
      </c>
      <c r="K284" s="12">
        <f t="shared" si="19"/>
        <v>412.13</v>
      </c>
      <c r="L284" s="30"/>
      <c r="M284" s="30"/>
      <c r="N284" s="30"/>
      <c r="O284" s="30"/>
      <c r="P284" s="30"/>
      <c r="Q284" s="30"/>
      <c r="R284" s="30"/>
      <c r="S284" s="30">
        <f>IF(Tableau113[[#This Row],[alerte stock]]="-",0,1)</f>
        <v>0</v>
      </c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</row>
    <row r="285" spans="1:44" ht="15.75" x14ac:dyDescent="0.25">
      <c r="A285" s="30"/>
      <c r="B285" s="13" t="s">
        <v>526</v>
      </c>
      <c r="C285" s="18" t="s">
        <v>557</v>
      </c>
      <c r="D285" s="6">
        <v>106012863</v>
      </c>
      <c r="E285" s="7" t="s">
        <v>528</v>
      </c>
      <c r="F285" s="7">
        <f>G285+SUMIF('[1]mouvement MRR240'!B:B,"=roulement a bille gorge profonde, S698 RS + 1698 RS",'[1]mouvement MRR240'!G:G)</f>
        <v>3</v>
      </c>
      <c r="G285" s="7">
        <v>3</v>
      </c>
      <c r="H285" s="20">
        <v>2</v>
      </c>
      <c r="I285" s="1" t="str">
        <f t="shared" si="18"/>
        <v>-</v>
      </c>
      <c r="J285" s="69">
        <v>13.07</v>
      </c>
      <c r="K285" s="12">
        <f t="shared" si="19"/>
        <v>39.21</v>
      </c>
      <c r="L285" s="30"/>
      <c r="M285" s="30"/>
      <c r="N285" s="30"/>
      <c r="O285" s="30"/>
      <c r="P285" s="30"/>
      <c r="Q285" s="30"/>
      <c r="R285" s="30"/>
      <c r="S285" s="30">
        <f>IF(Tableau113[[#This Row],[alerte stock]]="-",0,1)</f>
        <v>0</v>
      </c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</row>
    <row r="286" spans="1:44" ht="15.75" x14ac:dyDescent="0.25">
      <c r="A286" s="30"/>
      <c r="B286" s="13" t="s">
        <v>526</v>
      </c>
      <c r="C286" s="18" t="s">
        <v>558</v>
      </c>
      <c r="D286" s="6">
        <v>200152402</v>
      </c>
      <c r="E286" s="7" t="s">
        <v>528</v>
      </c>
      <c r="F286" s="7">
        <f>G286+SUMIF('[1]mouvement MRR240'!B:B,"=support H1=20 B1=14 L1=60 Al MgSi-T66 ",'[1]mouvement MRR240'!G:G)</f>
        <v>1</v>
      </c>
      <c r="G286" s="7">
        <v>1</v>
      </c>
      <c r="H286" s="20">
        <v>1</v>
      </c>
      <c r="I286" s="1" t="str">
        <f t="shared" si="18"/>
        <v>-</v>
      </c>
      <c r="J286" s="69">
        <v>56.21</v>
      </c>
      <c r="K286" s="12">
        <f t="shared" si="19"/>
        <v>56.21</v>
      </c>
      <c r="L286" s="30"/>
      <c r="M286" s="30"/>
      <c r="N286" s="30"/>
      <c r="O286" s="30"/>
      <c r="P286" s="30"/>
      <c r="Q286" s="30"/>
      <c r="R286" s="30"/>
      <c r="S286" s="30">
        <f>IF(Tableau113[[#This Row],[alerte stock]]="-",0,1)</f>
        <v>0</v>
      </c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</row>
    <row r="287" spans="1:44" ht="15.75" x14ac:dyDescent="0.25">
      <c r="A287" s="30"/>
      <c r="B287" s="13" t="s">
        <v>526</v>
      </c>
      <c r="C287" s="18" t="s">
        <v>559</v>
      </c>
      <c r="D287" s="6" t="s">
        <v>560</v>
      </c>
      <c r="E287" s="120" t="s">
        <v>561</v>
      </c>
      <c r="F287" s="7">
        <f>G287+SUMIF('[1]mouvement MRR240'!B:B,"=tête d'impression",'[1]mouvement MRR240'!G:G)</f>
        <v>1</v>
      </c>
      <c r="G287" s="7">
        <v>1</v>
      </c>
      <c r="H287" s="20">
        <v>1</v>
      </c>
      <c r="I287" s="1" t="str">
        <f t="shared" si="18"/>
        <v>-</v>
      </c>
      <c r="J287" s="11">
        <v>514.9</v>
      </c>
      <c r="K287" s="12">
        <f t="shared" si="19"/>
        <v>514.9</v>
      </c>
      <c r="L287" s="30"/>
      <c r="M287" s="30"/>
      <c r="N287" s="30"/>
      <c r="O287" s="30"/>
      <c r="P287" s="30"/>
      <c r="Q287" s="30"/>
      <c r="R287" s="30"/>
      <c r="S287" s="30">
        <f>IF(Tableau113[[#This Row],[alerte stock]]="-",0,1)</f>
        <v>0</v>
      </c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</row>
    <row r="288" spans="1:44" ht="15.75" x14ac:dyDescent="0.25">
      <c r="A288" s="30"/>
      <c r="B288" s="13" t="s">
        <v>526</v>
      </c>
      <c r="C288" s="18" t="s">
        <v>562</v>
      </c>
      <c r="D288" s="6" t="s">
        <v>563</v>
      </c>
      <c r="E288" s="7" t="s">
        <v>564</v>
      </c>
      <c r="F288" s="7">
        <f>G288+SUMIF('[1]mouvement MRR240'!B:B,"=verin ISO6432, DSNU-25-100-PPV-A ",'[1]mouvement MRR240'!G:G)</f>
        <v>3</v>
      </c>
      <c r="G288" s="7">
        <v>3</v>
      </c>
      <c r="H288" s="20">
        <v>1</v>
      </c>
      <c r="I288" s="1" t="str">
        <f t="shared" si="18"/>
        <v>-</v>
      </c>
      <c r="J288" s="69">
        <v>70.06</v>
      </c>
      <c r="K288" s="12">
        <f t="shared" si="19"/>
        <v>210.18</v>
      </c>
      <c r="L288" s="30"/>
      <c r="M288" s="30"/>
      <c r="N288" s="30"/>
      <c r="O288" s="30"/>
      <c r="P288" s="30"/>
      <c r="Q288" s="30"/>
      <c r="R288" s="30"/>
      <c r="S288" s="30">
        <f>IF(Tableau113[[#This Row],[alerte stock]]="-",0,1)</f>
        <v>0</v>
      </c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</row>
    <row r="289" spans="1:44" ht="15.75" x14ac:dyDescent="0.25">
      <c r="A289" s="30"/>
      <c r="B289" s="13" t="s">
        <v>526</v>
      </c>
      <c r="C289" s="18" t="s">
        <v>565</v>
      </c>
      <c r="D289" s="6" t="s">
        <v>566</v>
      </c>
      <c r="E289" s="7" t="s">
        <v>28</v>
      </c>
      <c r="F289" s="7">
        <f>G289+SUMIF('[1]mouvement MRR240'!B:B,"=Roulement à billes NMB, Radiale, Métal, 8mm x 19mm x 6mm",'[1]mouvement MRR240'!G:G)</f>
        <v>2</v>
      </c>
      <c r="G289" s="7">
        <v>2</v>
      </c>
      <c r="H289" s="20">
        <v>2</v>
      </c>
      <c r="I289" s="1" t="str">
        <f t="shared" si="18"/>
        <v>-</v>
      </c>
      <c r="J289" s="69">
        <v>4.3</v>
      </c>
      <c r="K289" s="12">
        <f t="shared" si="19"/>
        <v>8.6</v>
      </c>
      <c r="L289" s="30"/>
      <c r="M289" s="30"/>
      <c r="N289" s="30"/>
      <c r="O289" s="30"/>
      <c r="P289" s="30"/>
      <c r="Q289" s="30"/>
      <c r="R289" s="30"/>
      <c r="S289" s="30">
        <f>IF(Tableau113[[#This Row],[alerte stock]]="-",0,1)</f>
        <v>0</v>
      </c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</row>
    <row r="290" spans="1:44" ht="15.75" x14ac:dyDescent="0.25">
      <c r="A290" s="30"/>
      <c r="B290" s="13" t="s">
        <v>526</v>
      </c>
      <c r="C290" s="18" t="s">
        <v>567</v>
      </c>
      <c r="D290" s="6">
        <v>200155535</v>
      </c>
      <c r="E290" s="7" t="s">
        <v>528</v>
      </c>
      <c r="F290" s="7">
        <f>G290+SUMIF('[1]mouvement MRR240'!B:B,"=poulie à rebord D1=380",'[1]mouvement MRR240'!G:G)</f>
        <v>1</v>
      </c>
      <c r="G290" s="7">
        <v>1</v>
      </c>
      <c r="H290" s="20">
        <v>0</v>
      </c>
      <c r="I290" s="1" t="str">
        <f t="shared" si="18"/>
        <v>-</v>
      </c>
      <c r="J290" s="69">
        <v>143.19999999999999</v>
      </c>
      <c r="K290" s="12">
        <f t="shared" si="19"/>
        <v>143.19999999999999</v>
      </c>
      <c r="L290" s="30"/>
      <c r="M290" s="30"/>
      <c r="N290" s="30"/>
      <c r="O290" s="30"/>
      <c r="P290" s="30"/>
      <c r="Q290" s="30"/>
      <c r="R290" s="30"/>
      <c r="S290" s="30">
        <f>IF(Tableau113[[#This Row],[alerte stock]]="-",0,1)</f>
        <v>0</v>
      </c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</row>
    <row r="291" spans="1:44" ht="15.75" x14ac:dyDescent="0.25">
      <c r="A291" s="30"/>
      <c r="B291" s="13" t="s">
        <v>526</v>
      </c>
      <c r="C291" s="18" t="s">
        <v>568</v>
      </c>
      <c r="D291" s="6">
        <v>200150512</v>
      </c>
      <c r="E291" s="7" t="s">
        <v>528</v>
      </c>
      <c r="F291" s="7">
        <f>G291+SUMIF('[1]mouvement MRR240'!B:B,"=disque demarrage",'[1]mouvement MRR240'!G:G)</f>
        <v>2</v>
      </c>
      <c r="G291" s="7">
        <v>2</v>
      </c>
      <c r="H291" s="20">
        <v>0</v>
      </c>
      <c r="I291" s="1" t="str">
        <f t="shared" si="18"/>
        <v>-</v>
      </c>
      <c r="J291" s="69">
        <v>4.4000000000000004</v>
      </c>
      <c r="K291" s="12">
        <f t="shared" si="19"/>
        <v>8.8000000000000007</v>
      </c>
      <c r="L291" s="30"/>
      <c r="M291" s="30"/>
      <c r="N291" s="30"/>
      <c r="O291" s="30"/>
      <c r="P291" s="30"/>
      <c r="Q291" s="30"/>
      <c r="R291" s="30"/>
      <c r="S291" s="30">
        <f>IF(Tableau113[[#This Row],[alerte stock]]="-",0,1)</f>
        <v>0</v>
      </c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</row>
    <row r="292" spans="1:44" ht="15.75" x14ac:dyDescent="0.25">
      <c r="A292" s="30"/>
      <c r="B292" s="13" t="s">
        <v>526</v>
      </c>
      <c r="C292" s="18" t="s">
        <v>569</v>
      </c>
      <c r="D292" s="6">
        <v>200157138</v>
      </c>
      <c r="E292" s="7" t="s">
        <v>528</v>
      </c>
      <c r="F292" s="7">
        <f>G292+SUMIF('[1]mouvement MRR240'!B:B,"=rondelle 1",'[1]mouvement MRR240'!G:G)</f>
        <v>2</v>
      </c>
      <c r="G292" s="7">
        <v>2</v>
      </c>
      <c r="H292" s="20">
        <v>0</v>
      </c>
      <c r="I292" s="1" t="str">
        <f t="shared" si="18"/>
        <v>-</v>
      </c>
      <c r="J292" s="69">
        <v>32.6</v>
      </c>
      <c r="K292" s="12">
        <f t="shared" si="19"/>
        <v>65.2</v>
      </c>
      <c r="L292" s="30"/>
      <c r="M292" s="30"/>
      <c r="N292" s="30"/>
      <c r="O292" s="30"/>
      <c r="P292" s="30"/>
      <c r="Q292" s="30"/>
      <c r="R292" s="30"/>
      <c r="S292" s="30">
        <f>IF(Tableau113[[#This Row],[alerte stock]]="-",0,1)</f>
        <v>0</v>
      </c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</row>
    <row r="293" spans="1:44" ht="15.75" x14ac:dyDescent="0.25">
      <c r="A293" s="30"/>
      <c r="B293" s="13" t="s">
        <v>526</v>
      </c>
      <c r="C293" s="18" t="s">
        <v>570</v>
      </c>
      <c r="D293" s="6">
        <v>200155714</v>
      </c>
      <c r="E293" s="7" t="s">
        <v>528</v>
      </c>
      <c r="F293" s="7">
        <f>G293+SUMIF('[1]mouvement MRR240'!B:B,"=piece de compensation",'[1]mouvement MRR240'!G:G)</f>
        <v>1</v>
      </c>
      <c r="G293" s="7">
        <v>1</v>
      </c>
      <c r="H293" s="20">
        <v>0</v>
      </c>
      <c r="I293" s="1" t="str">
        <f t="shared" si="18"/>
        <v>-</v>
      </c>
      <c r="J293" s="69">
        <v>118.9</v>
      </c>
      <c r="K293" s="12">
        <f t="shared" si="19"/>
        <v>118.9</v>
      </c>
      <c r="L293" s="30"/>
      <c r="M293" s="30"/>
      <c r="N293" s="30"/>
      <c r="O293" s="30"/>
      <c r="P293" s="30"/>
      <c r="Q293" s="30"/>
      <c r="R293" s="30"/>
      <c r="S293" s="30">
        <f>IF(Tableau113[[#This Row],[alerte stock]]="-",0,1)</f>
        <v>0</v>
      </c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</row>
    <row r="294" spans="1:44" ht="15.75" x14ac:dyDescent="0.25">
      <c r="A294" s="30"/>
      <c r="B294" s="13" t="s">
        <v>526</v>
      </c>
      <c r="C294" s="18" t="s">
        <v>571</v>
      </c>
      <c r="D294" s="6">
        <v>200154923</v>
      </c>
      <c r="E294" s="7" t="s">
        <v>528</v>
      </c>
      <c r="F294" s="7">
        <f>G294+SUMIF('[1]mouvement MRR240'!B:B,"=ressort de torsion ",'[1]mouvement MRR240'!G:G)</f>
        <v>3</v>
      </c>
      <c r="G294" s="7">
        <v>3</v>
      </c>
      <c r="H294" s="20">
        <v>1</v>
      </c>
      <c r="I294" s="1" t="str">
        <f t="shared" si="18"/>
        <v>-</v>
      </c>
      <c r="J294" s="69">
        <v>11.9</v>
      </c>
      <c r="K294" s="12">
        <f t="shared" si="19"/>
        <v>35.700000000000003</v>
      </c>
      <c r="L294" s="30"/>
      <c r="M294" s="30"/>
      <c r="N294" s="30"/>
      <c r="O294" s="30"/>
      <c r="P294" s="30"/>
      <c r="Q294" s="30"/>
      <c r="R294" s="30"/>
      <c r="S294" s="30">
        <f>IF(Tableau113[[#This Row],[alerte stock]]="-",0,1)</f>
        <v>0</v>
      </c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</row>
    <row r="295" spans="1:44" ht="15.75" x14ac:dyDescent="0.25">
      <c r="A295" s="30"/>
      <c r="B295" s="13" t="s">
        <v>526</v>
      </c>
      <c r="C295" s="18" t="s">
        <v>572</v>
      </c>
      <c r="D295" s="6">
        <v>200150583</v>
      </c>
      <c r="E295" s="7" t="s">
        <v>528</v>
      </c>
      <c r="F295" s="7">
        <f>G295+SUMIF('[1]mouvement MRR240'!B:B,"=COURROIE crantée",'[1]mouvement MRR240'!G:G)</f>
        <v>1</v>
      </c>
      <c r="G295" s="7">
        <v>1</v>
      </c>
      <c r="H295" s="20">
        <v>1</v>
      </c>
      <c r="I295" s="1" t="str">
        <f t="shared" si="18"/>
        <v>-</v>
      </c>
      <c r="J295" s="69">
        <v>27.4</v>
      </c>
      <c r="K295" s="12">
        <f t="shared" si="19"/>
        <v>27.4</v>
      </c>
      <c r="L295" s="30"/>
      <c r="M295" s="30"/>
      <c r="N295" s="30"/>
      <c r="O295" s="30"/>
      <c r="P295" s="30"/>
      <c r="Q295" s="30"/>
      <c r="R295" s="30"/>
      <c r="S295" s="30">
        <f>IF(Tableau113[[#This Row],[alerte stock]]="-",0,1)</f>
        <v>0</v>
      </c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</row>
    <row r="296" spans="1:44" ht="15.75" x14ac:dyDescent="0.25">
      <c r="A296" s="30"/>
      <c r="B296" s="13" t="s">
        <v>526</v>
      </c>
      <c r="C296" s="18" t="s">
        <v>573</v>
      </c>
      <c r="D296" s="6">
        <v>200152637</v>
      </c>
      <c r="E296" s="7" t="s">
        <v>528</v>
      </c>
      <c r="F296" s="7">
        <f>G296+SUMIF('[1]mouvement MRR240'!B:B,"=Disque de synchronisation 1",'[1]mouvement MRR240'!G:G)</f>
        <v>1</v>
      </c>
      <c r="G296" s="7">
        <v>1</v>
      </c>
      <c r="H296" s="20">
        <v>0</v>
      </c>
      <c r="I296" s="1" t="str">
        <f t="shared" si="18"/>
        <v>-</v>
      </c>
      <c r="J296" s="69">
        <v>94.3</v>
      </c>
      <c r="K296" s="12">
        <f t="shared" si="19"/>
        <v>94.3</v>
      </c>
      <c r="L296" s="30"/>
      <c r="M296" s="30"/>
      <c r="N296" s="30"/>
      <c r="O296" s="30"/>
      <c r="P296" s="30"/>
      <c r="Q296" s="30"/>
      <c r="R296" s="30"/>
      <c r="S296" s="30">
        <f>IF(Tableau113[[#This Row],[alerte stock]]="-",0,1)</f>
        <v>0</v>
      </c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</row>
    <row r="297" spans="1:44" ht="15.75" x14ac:dyDescent="0.25">
      <c r="A297" s="30"/>
      <c r="B297" s="13" t="s">
        <v>526</v>
      </c>
      <c r="C297" s="18" t="s">
        <v>574</v>
      </c>
      <c r="D297" s="6">
        <v>105748804</v>
      </c>
      <c r="E297" s="7" t="s">
        <v>528</v>
      </c>
      <c r="F297" s="7">
        <f>G297+SUMIF('[1]mouvement MRR240'!B:B,"=Disque de synchronisation 2",'[1]mouvement MRR240'!G:G)</f>
        <v>1</v>
      </c>
      <c r="G297" s="7">
        <v>1</v>
      </c>
      <c r="H297" s="20">
        <v>0</v>
      </c>
      <c r="I297" s="1" t="str">
        <f t="shared" si="18"/>
        <v>-</v>
      </c>
      <c r="J297" s="69">
        <v>60.3</v>
      </c>
      <c r="K297" s="12">
        <f t="shared" si="19"/>
        <v>60.3</v>
      </c>
      <c r="L297" s="30"/>
      <c r="M297" s="30"/>
      <c r="N297" s="30"/>
      <c r="O297" s="30"/>
      <c r="P297" s="30"/>
      <c r="Q297" s="30"/>
      <c r="R297" s="30"/>
      <c r="S297" s="30">
        <f>IF(Tableau113[[#This Row],[alerte stock]]="-",0,1)</f>
        <v>0</v>
      </c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</row>
    <row r="298" spans="1:44" ht="15.75" x14ac:dyDescent="0.25">
      <c r="A298" s="30"/>
      <c r="B298" s="13" t="s">
        <v>526</v>
      </c>
      <c r="C298" s="18" t="s">
        <v>575</v>
      </c>
      <c r="D298" s="6">
        <v>200154479</v>
      </c>
      <c r="E298" s="7" t="s">
        <v>528</v>
      </c>
      <c r="F298" s="7">
        <f>G298+SUMIF('[1]mouvement MRR240'!B:B,"=Jeu de serrage",'[1]mouvement MRR240'!G:G)</f>
        <v>1</v>
      </c>
      <c r="G298" s="7">
        <v>1</v>
      </c>
      <c r="H298" s="20">
        <v>0</v>
      </c>
      <c r="I298" s="1" t="str">
        <f t="shared" si="18"/>
        <v>-</v>
      </c>
      <c r="J298" s="69">
        <v>55.8</v>
      </c>
      <c r="K298" s="12">
        <f t="shared" si="19"/>
        <v>55.8</v>
      </c>
      <c r="L298" s="30"/>
      <c r="M298" s="30"/>
      <c r="N298" s="30"/>
      <c r="O298" s="30"/>
      <c r="P298" s="30"/>
      <c r="Q298" s="30"/>
      <c r="R298" s="30"/>
      <c r="S298" s="30">
        <f>IF(Tableau113[[#This Row],[alerte stock]]="-",0,1)</f>
        <v>0</v>
      </c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</row>
    <row r="299" spans="1:44" ht="15.75" x14ac:dyDescent="0.25">
      <c r="A299" s="30"/>
      <c r="B299" s="13" t="s">
        <v>526</v>
      </c>
      <c r="C299" s="18" t="s">
        <v>576</v>
      </c>
      <c r="D299" s="6">
        <v>200152643</v>
      </c>
      <c r="E299" s="7" t="s">
        <v>528</v>
      </c>
      <c r="F299" s="7">
        <f>G299+SUMIF('[1]mouvement MRR240'!B:B,"=Tourillon",'[1]mouvement MRR240'!G:G)</f>
        <v>1</v>
      </c>
      <c r="G299" s="7">
        <v>1</v>
      </c>
      <c r="H299" s="20">
        <v>0</v>
      </c>
      <c r="I299" s="1" t="str">
        <f t="shared" si="18"/>
        <v>-</v>
      </c>
      <c r="J299" s="69">
        <v>69.400000000000006</v>
      </c>
      <c r="K299" s="12">
        <f t="shared" si="19"/>
        <v>69.400000000000006</v>
      </c>
      <c r="L299" s="30"/>
      <c r="M299" s="30"/>
      <c r="N299" s="30"/>
      <c r="O299" s="30"/>
      <c r="P299" s="30"/>
      <c r="Q299" s="30"/>
      <c r="R299" s="30"/>
      <c r="S299" s="30">
        <f>IF(Tableau113[[#This Row],[alerte stock]]="-",0,1)</f>
        <v>0</v>
      </c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</row>
    <row r="300" spans="1:44" ht="15.75" x14ac:dyDescent="0.25">
      <c r="A300" s="30"/>
      <c r="B300" s="13" t="s">
        <v>526</v>
      </c>
      <c r="C300" s="18" t="s">
        <v>577</v>
      </c>
      <c r="D300" s="6">
        <v>106336508</v>
      </c>
      <c r="E300" s="7" t="s">
        <v>528</v>
      </c>
      <c r="F300" s="7">
        <f>G300+SUMIF('[1]mouvement MRR240'!B:B,"=Entretoise",'[1]mouvement MRR240'!G:G)</f>
        <v>1</v>
      </c>
      <c r="G300" s="7">
        <v>1</v>
      </c>
      <c r="H300" s="20">
        <v>0</v>
      </c>
      <c r="I300" s="1" t="str">
        <f t="shared" si="18"/>
        <v>-</v>
      </c>
      <c r="J300" s="69">
        <v>55.8</v>
      </c>
      <c r="K300" s="12">
        <f t="shared" si="19"/>
        <v>55.8</v>
      </c>
      <c r="L300" s="30"/>
      <c r="M300" s="30"/>
      <c r="N300" s="30"/>
      <c r="O300" s="30"/>
      <c r="P300" s="30"/>
      <c r="Q300" s="30"/>
      <c r="R300" s="30"/>
      <c r="S300" s="30">
        <f>IF(Tableau113[[#This Row],[alerte stock]]="-",0,1)</f>
        <v>0</v>
      </c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</row>
    <row r="301" spans="1:44" ht="15.75" x14ac:dyDescent="0.25">
      <c r="A301" s="30"/>
      <c r="B301" s="13" t="s">
        <v>526</v>
      </c>
      <c r="C301" s="18" t="s">
        <v>578</v>
      </c>
      <c r="D301" s="6">
        <v>106319167</v>
      </c>
      <c r="E301" s="7" t="s">
        <v>528</v>
      </c>
      <c r="F301" s="7">
        <f>G301+SUMIF('[1]mouvement MRR240'!B:B,"=couvercle 1",'[1]mouvement MRR240'!G:G)</f>
        <v>1</v>
      </c>
      <c r="G301" s="7">
        <v>1</v>
      </c>
      <c r="H301" s="20">
        <v>0</v>
      </c>
      <c r="I301" s="1" t="str">
        <f t="shared" si="18"/>
        <v>-</v>
      </c>
      <c r="J301" s="69">
        <v>19.5</v>
      </c>
      <c r="K301" s="12">
        <f t="shared" si="19"/>
        <v>19.5</v>
      </c>
      <c r="L301" s="30"/>
      <c r="M301" s="30"/>
      <c r="N301" s="30"/>
      <c r="O301" s="30"/>
      <c r="P301" s="30"/>
      <c r="Q301" s="30"/>
      <c r="R301" s="30"/>
      <c r="S301" s="30">
        <f>IF(Tableau113[[#This Row],[alerte stock]]="-",0,1)</f>
        <v>0</v>
      </c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</row>
    <row r="302" spans="1:44" ht="15.75" x14ac:dyDescent="0.25">
      <c r="A302" s="30"/>
      <c r="B302" s="13" t="s">
        <v>526</v>
      </c>
      <c r="C302" s="18" t="s">
        <v>579</v>
      </c>
      <c r="D302" s="6">
        <v>106314621</v>
      </c>
      <c r="E302" s="7" t="s">
        <v>528</v>
      </c>
      <c r="F302" s="7">
        <f>G302+SUMIF('[1]mouvement MRR240'!B:B,"=couvercle 2",'[1]mouvement MRR240'!G:G)</f>
        <v>1</v>
      </c>
      <c r="G302" s="7">
        <v>1</v>
      </c>
      <c r="H302" s="20">
        <v>0</v>
      </c>
      <c r="I302" s="1" t="str">
        <f t="shared" si="18"/>
        <v>-</v>
      </c>
      <c r="J302" s="69">
        <v>20.9</v>
      </c>
      <c r="K302" s="12">
        <f t="shared" si="19"/>
        <v>20.9</v>
      </c>
      <c r="L302" s="30"/>
      <c r="M302" s="30"/>
      <c r="N302" s="30"/>
      <c r="O302" s="30"/>
      <c r="P302" s="30"/>
      <c r="Q302" s="30"/>
      <c r="R302" s="30"/>
      <c r="S302" s="30">
        <f>IF(Tableau113[[#This Row],[alerte stock]]="-",0,1)</f>
        <v>0</v>
      </c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</row>
    <row r="303" spans="1:44" ht="15.75" x14ac:dyDescent="0.25">
      <c r="A303" s="30"/>
      <c r="B303" s="13" t="s">
        <v>526</v>
      </c>
      <c r="C303" s="18" t="s">
        <v>580</v>
      </c>
      <c r="D303" s="6">
        <v>10540101</v>
      </c>
      <c r="E303" s="7" t="s">
        <v>528</v>
      </c>
      <c r="F303" s="7">
        <f>G303+SUMIF('[1]mouvement MRR240'!B:B,"=courroie",'[1]mouvement MRR240'!G:G)</f>
        <v>1</v>
      </c>
      <c r="G303" s="7">
        <v>1</v>
      </c>
      <c r="H303" s="20">
        <v>0</v>
      </c>
      <c r="I303" s="1" t="str">
        <f t="shared" si="18"/>
        <v>-</v>
      </c>
      <c r="J303" s="69">
        <v>17.8</v>
      </c>
      <c r="K303" s="12">
        <f t="shared" si="19"/>
        <v>17.8</v>
      </c>
      <c r="L303" s="30"/>
      <c r="M303" s="30"/>
      <c r="N303" s="30"/>
      <c r="O303" s="30"/>
      <c r="P303" s="30"/>
      <c r="Q303" s="30"/>
      <c r="R303" s="30"/>
      <c r="S303" s="30">
        <f>IF(Tableau113[[#This Row],[alerte stock]]="-",0,1)</f>
        <v>0</v>
      </c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</row>
    <row r="304" spans="1:44" ht="15.75" x14ac:dyDescent="0.25">
      <c r="A304" s="30"/>
      <c r="B304" s="13" t="s">
        <v>526</v>
      </c>
      <c r="C304" s="18" t="s">
        <v>581</v>
      </c>
      <c r="D304" s="6">
        <v>200158713</v>
      </c>
      <c r="E304" s="7" t="s">
        <v>528</v>
      </c>
      <c r="F304" s="7">
        <f>G304+SUMIF('[1]mouvement MRR240'!B:B,"=Disque de synchronisation 3",'[1]mouvement MRR240'!G:G)</f>
        <v>1</v>
      </c>
      <c r="G304" s="7">
        <v>1</v>
      </c>
      <c r="H304" s="20">
        <v>0</v>
      </c>
      <c r="I304" s="1" t="str">
        <f t="shared" si="18"/>
        <v>-</v>
      </c>
      <c r="J304" s="69">
        <v>20.5</v>
      </c>
      <c r="K304" s="12">
        <f t="shared" si="19"/>
        <v>20.5</v>
      </c>
      <c r="L304" s="30"/>
      <c r="M304" s="30"/>
      <c r="N304" s="30"/>
      <c r="O304" s="30"/>
      <c r="P304" s="30"/>
      <c r="Q304" s="30"/>
      <c r="R304" s="30"/>
      <c r="S304" s="30">
        <f>IF(Tableau113[[#This Row],[alerte stock]]="-",0,1)</f>
        <v>0</v>
      </c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</row>
    <row r="305" spans="1:44" ht="15.75" x14ac:dyDescent="0.25">
      <c r="A305" s="30"/>
      <c r="B305" s="13" t="s">
        <v>526</v>
      </c>
      <c r="C305" s="18" t="s">
        <v>582</v>
      </c>
      <c r="D305" s="6">
        <v>200152644</v>
      </c>
      <c r="E305" s="7" t="s">
        <v>528</v>
      </c>
      <c r="F305" s="7">
        <f>G305+SUMIF('[1]mouvement MRR240'!B:B,"=rondelle 2",'[1]mouvement MRR240'!G:G)</f>
        <v>1</v>
      </c>
      <c r="G305" s="7">
        <v>1</v>
      </c>
      <c r="H305" s="20">
        <v>0</v>
      </c>
      <c r="I305" s="1" t="str">
        <f t="shared" si="18"/>
        <v>-</v>
      </c>
      <c r="J305" s="69">
        <v>4.4000000000000004</v>
      </c>
      <c r="K305" s="12">
        <f t="shared" si="19"/>
        <v>4.4000000000000004</v>
      </c>
      <c r="L305" s="30"/>
      <c r="M305" s="30"/>
      <c r="N305" s="30"/>
      <c r="O305" s="30"/>
      <c r="P305" s="30"/>
      <c r="Q305" s="30"/>
      <c r="R305" s="30"/>
      <c r="S305" s="30">
        <f>IF(Tableau113[[#This Row],[alerte stock]]="-",0,1)</f>
        <v>0</v>
      </c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</row>
    <row r="306" spans="1:44" ht="15.75" x14ac:dyDescent="0.25">
      <c r="A306" s="30"/>
      <c r="B306" s="13" t="s">
        <v>526</v>
      </c>
      <c r="C306" s="18" t="s">
        <v>583</v>
      </c>
      <c r="D306" s="6">
        <v>105709993</v>
      </c>
      <c r="E306" s="7" t="s">
        <v>528</v>
      </c>
      <c r="F306" s="7">
        <f>G306+SUMIF('[1]mouvement MRR240'!B:B,"=tole de protection",'[1]mouvement MRR240'!G:G)</f>
        <v>1</v>
      </c>
      <c r="G306" s="7">
        <v>1</v>
      </c>
      <c r="H306" s="20">
        <v>0</v>
      </c>
      <c r="I306" s="1" t="str">
        <f t="shared" si="18"/>
        <v>-</v>
      </c>
      <c r="J306" s="69">
        <v>26.6</v>
      </c>
      <c r="K306" s="12">
        <f t="shared" si="19"/>
        <v>26.6</v>
      </c>
      <c r="L306" s="30"/>
      <c r="M306" s="13" t="s">
        <v>526</v>
      </c>
      <c r="N306" s="30"/>
      <c r="O306" s="30"/>
      <c r="P306" s="30"/>
      <c r="Q306" s="30"/>
      <c r="R306" s="30"/>
      <c r="S306" s="30">
        <f>IF(Tableau113[[#This Row],[alerte stock]]="-",0,1)</f>
        <v>0</v>
      </c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</row>
    <row r="307" spans="1:44" ht="15.75" x14ac:dyDescent="0.25">
      <c r="A307" s="30"/>
      <c r="B307" s="13" t="s">
        <v>526</v>
      </c>
      <c r="C307" s="18" t="s">
        <v>584</v>
      </c>
      <c r="D307" s="6">
        <v>106314621</v>
      </c>
      <c r="E307" s="120" t="s">
        <v>528</v>
      </c>
      <c r="F307" s="7">
        <f>G307+SUMIF('[1]mouvement MRR240'!B:B,"=couvercle 3",'[1]mouvement MRR240'!G:G)</f>
        <v>1</v>
      </c>
      <c r="G307" s="7">
        <v>1</v>
      </c>
      <c r="H307" s="20">
        <v>1</v>
      </c>
      <c r="I307" s="1" t="str">
        <f t="shared" si="18"/>
        <v>-</v>
      </c>
      <c r="J307" s="11">
        <v>20.9</v>
      </c>
      <c r="K307" s="12">
        <f t="shared" si="19"/>
        <v>20.9</v>
      </c>
      <c r="L307" s="30"/>
      <c r="M307" s="35">
        <f>SUM(K264:K307)</f>
        <v>4073.8500000000008</v>
      </c>
      <c r="N307" s="30"/>
      <c r="O307" s="30"/>
      <c r="P307" s="30"/>
      <c r="Q307" s="30"/>
      <c r="R307" s="30"/>
      <c r="S307" s="30">
        <f>IF(Tableau113[[#This Row],[alerte stock]]="-",0,1)</f>
        <v>0</v>
      </c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</row>
    <row r="308" spans="1:44" ht="15.75" x14ac:dyDescent="0.25">
      <c r="A308" s="30"/>
      <c r="B308" s="13" t="s">
        <v>585</v>
      </c>
      <c r="C308" s="14" t="s">
        <v>586</v>
      </c>
      <c r="D308" s="5" t="s">
        <v>587</v>
      </c>
      <c r="E308" s="6" t="s">
        <v>24</v>
      </c>
      <c r="F308" s="7">
        <f>G308+SUMIF('[1]mouvement etuyeuse'!B:B,"= verrin métal work dépileur étuits",'[1]mouvement etuyeuse'!G:G)</f>
        <v>1</v>
      </c>
      <c r="G308" s="20">
        <v>1</v>
      </c>
      <c r="H308" s="6">
        <v>1</v>
      </c>
      <c r="I308" s="1" t="str">
        <f>IF(F308&lt;H308,"/!\","-")</f>
        <v>-</v>
      </c>
      <c r="J308" s="11">
        <v>0</v>
      </c>
      <c r="K308" s="12">
        <f>F308*J308</f>
        <v>0</v>
      </c>
      <c r="L308" s="30"/>
      <c r="M308" s="30"/>
      <c r="N308" s="30"/>
      <c r="O308" s="30"/>
      <c r="P308" s="30"/>
      <c r="Q308" s="30"/>
      <c r="R308" s="30"/>
      <c r="S308" s="30">
        <f>IF(Tableau113[[#This Row],[alerte stock]]="-",0,1)</f>
        <v>0</v>
      </c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</row>
    <row r="309" spans="1:44" ht="15.75" x14ac:dyDescent="0.25">
      <c r="A309" s="30"/>
      <c r="B309" s="13" t="s">
        <v>585</v>
      </c>
      <c r="C309" s="14" t="s">
        <v>588</v>
      </c>
      <c r="D309" s="5" t="s">
        <v>589</v>
      </c>
      <c r="E309" s="6" t="s">
        <v>24</v>
      </c>
      <c r="F309" s="7">
        <f>G309+SUMIF('[1]mouvement etuyeuse'!B:B,"=BOBINES 21V 2W",'[1]mouvement etuyeuse'!G:G)</f>
        <v>4</v>
      </c>
      <c r="G309" s="20">
        <v>4</v>
      </c>
      <c r="H309" s="6">
        <v>1</v>
      </c>
      <c r="I309" s="1" t="str">
        <f t="shared" ref="I309:I324" si="20">IF(F309&lt;H309,"/!\","-")</f>
        <v>-</v>
      </c>
      <c r="J309" s="11">
        <v>0</v>
      </c>
      <c r="K309" s="12">
        <f t="shared" ref="K309:K324" si="21">F309*J309</f>
        <v>0</v>
      </c>
      <c r="L309" s="30"/>
      <c r="M309" s="30"/>
      <c r="N309" s="30"/>
      <c r="O309" s="30"/>
      <c r="P309" s="30"/>
      <c r="Q309" s="30"/>
      <c r="R309" s="30"/>
      <c r="S309" s="30">
        <f>IF(Tableau113[[#This Row],[alerte stock]]="-",0,1)</f>
        <v>0</v>
      </c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</row>
    <row r="310" spans="1:44" ht="15.75" x14ac:dyDescent="0.25">
      <c r="A310" s="30"/>
      <c r="B310" s="13" t="s">
        <v>585</v>
      </c>
      <c r="C310" s="14" t="s">
        <v>590</v>
      </c>
      <c r="D310" s="5" t="s">
        <v>591</v>
      </c>
      <c r="E310" s="6" t="s">
        <v>41</v>
      </c>
      <c r="F310" s="7">
        <f>G310+SUMIF('[1]mouvement etuyeuse'!B:B,"=Capteur ILS métalwork",'[1]mouvement etuyeuse'!G:G)</f>
        <v>2</v>
      </c>
      <c r="G310" s="20">
        <v>2</v>
      </c>
      <c r="H310" s="6">
        <v>1</v>
      </c>
      <c r="I310" s="1" t="str">
        <f t="shared" si="20"/>
        <v>-</v>
      </c>
      <c r="J310" s="11">
        <v>24.48</v>
      </c>
      <c r="K310" s="12">
        <f t="shared" si="21"/>
        <v>48.96</v>
      </c>
      <c r="L310" s="30"/>
      <c r="M310" s="30"/>
      <c r="N310" s="30"/>
      <c r="O310" s="30"/>
      <c r="P310" s="30"/>
      <c r="Q310" s="30"/>
      <c r="R310" s="30"/>
      <c r="S310" s="30">
        <f>IF(Tableau113[[#This Row],[alerte stock]]="-",0,1)</f>
        <v>0</v>
      </c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</row>
    <row r="311" spans="1:44" ht="15.75" x14ac:dyDescent="0.25">
      <c r="A311" s="30"/>
      <c r="B311" s="13" t="s">
        <v>585</v>
      </c>
      <c r="C311" s="14" t="s">
        <v>592</v>
      </c>
      <c r="D311" s="5" t="s">
        <v>593</v>
      </c>
      <c r="E311" s="6" t="s">
        <v>24</v>
      </c>
      <c r="F311" s="7">
        <f>G311+SUMIF('[1]mouvement etuyeuse'!B:B,"=Controleur de t°",'[1]mouvement etuyeuse'!G:G)</f>
        <v>0</v>
      </c>
      <c r="G311" s="20">
        <v>0</v>
      </c>
      <c r="H311" s="6">
        <v>1</v>
      </c>
      <c r="I311" s="1" t="str">
        <f t="shared" si="20"/>
        <v>/!\</v>
      </c>
      <c r="J311" s="11">
        <v>0</v>
      </c>
      <c r="K311" s="12">
        <f t="shared" si="21"/>
        <v>0</v>
      </c>
      <c r="L311" s="30"/>
      <c r="M311" s="30"/>
      <c r="N311" s="30"/>
      <c r="O311" s="30"/>
      <c r="P311" s="30"/>
      <c r="Q311" s="30"/>
      <c r="R311" s="30"/>
      <c r="S311" s="30">
        <f>IF(Tableau113[[#This Row],[alerte stock]]="-",0,1)</f>
        <v>1</v>
      </c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</row>
    <row r="312" spans="1:44" ht="15.75" x14ac:dyDescent="0.25">
      <c r="A312" s="30"/>
      <c r="B312" s="13" t="s">
        <v>585</v>
      </c>
      <c r="C312" s="14" t="s">
        <v>594</v>
      </c>
      <c r="D312" s="5" t="s">
        <v>595</v>
      </c>
      <c r="E312" s="6" t="s">
        <v>24</v>
      </c>
      <c r="F312" s="7">
        <f>G312+SUMIF('[1]mouvement etuyeuse'!B:B,"=DISTRI. ISV 55 SOS 00 ISO1",'[1]mouvement etuyeuse'!G:G)</f>
        <v>0</v>
      </c>
      <c r="G312" s="20">
        <v>0</v>
      </c>
      <c r="H312" s="6">
        <v>1</v>
      </c>
      <c r="I312" s="1" t="str">
        <f t="shared" si="20"/>
        <v>/!\</v>
      </c>
      <c r="J312" s="11">
        <v>0</v>
      </c>
      <c r="K312" s="12">
        <f t="shared" si="21"/>
        <v>0</v>
      </c>
      <c r="L312" s="30"/>
      <c r="M312" s="30"/>
      <c r="N312" s="30"/>
      <c r="O312" s="30"/>
      <c r="P312" s="30"/>
      <c r="Q312" s="30"/>
      <c r="R312" s="30"/>
      <c r="S312" s="30">
        <f>IF(Tableau113[[#This Row],[alerte stock]]="-",0,1)</f>
        <v>1</v>
      </c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</row>
    <row r="313" spans="1:44" ht="15.75" x14ac:dyDescent="0.25">
      <c r="A313" s="30"/>
      <c r="B313" s="13" t="s">
        <v>585</v>
      </c>
      <c r="C313" s="14" t="s">
        <v>596</v>
      </c>
      <c r="D313" s="5" t="s">
        <v>597</v>
      </c>
      <c r="E313" s="6" t="s">
        <v>41</v>
      </c>
      <c r="F313" s="7">
        <f>G313+SUMIF('[1]mouvement etuyeuse'!B:B,"=distrib 3:2 ",'[1]mouvement etuyeuse'!G:G)</f>
        <v>0</v>
      </c>
      <c r="G313" s="20">
        <v>0</v>
      </c>
      <c r="H313" s="6">
        <v>2</v>
      </c>
      <c r="I313" s="1" t="str">
        <f t="shared" si="20"/>
        <v>/!\</v>
      </c>
      <c r="J313" s="11">
        <v>60.75</v>
      </c>
      <c r="K313" s="12">
        <f t="shared" si="21"/>
        <v>0</v>
      </c>
      <c r="L313" s="30"/>
      <c r="M313" s="30"/>
      <c r="N313" s="30"/>
      <c r="O313" s="30"/>
      <c r="P313" s="30"/>
      <c r="Q313" s="30"/>
      <c r="R313" s="30"/>
      <c r="S313" s="30">
        <f>IF(Tableau113[[#This Row],[alerte stock]]="-",0,1)</f>
        <v>1</v>
      </c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</row>
    <row r="314" spans="1:44" ht="15.75" x14ac:dyDescent="0.25">
      <c r="A314" s="30"/>
      <c r="B314" s="13" t="s">
        <v>585</v>
      </c>
      <c r="C314" s="4" t="s">
        <v>598</v>
      </c>
      <c r="D314" s="5" t="s">
        <v>599</v>
      </c>
      <c r="E314" s="131" t="s">
        <v>24</v>
      </c>
      <c r="F314" s="7">
        <f>G314+SUMIF('[1]mouvement etuyeuse'!B:B,"=ELECTRODISTRIBUTEURS SERIE 70, 5/2 monostable 1/8gaz dn25",'[1]mouvement etuyeuse'!G:G)</f>
        <v>1</v>
      </c>
      <c r="G314" s="20">
        <v>1</v>
      </c>
      <c r="H314" s="6">
        <v>2</v>
      </c>
      <c r="I314" s="1" t="str">
        <f t="shared" si="20"/>
        <v>/!\</v>
      </c>
      <c r="J314" s="11">
        <v>73.56</v>
      </c>
      <c r="K314" s="12">
        <f t="shared" si="21"/>
        <v>73.56</v>
      </c>
      <c r="L314" s="30"/>
      <c r="M314" s="30"/>
      <c r="N314" s="30"/>
      <c r="O314" s="30"/>
      <c r="P314" s="30"/>
      <c r="Q314" s="30"/>
      <c r="R314" s="30"/>
      <c r="S314" s="30">
        <f>IF(Tableau113[[#This Row],[alerte stock]]="-",0,1)</f>
        <v>1</v>
      </c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</row>
    <row r="315" spans="1:44" ht="15.75" x14ac:dyDescent="0.25">
      <c r="A315" s="30"/>
      <c r="B315" s="13" t="s">
        <v>585</v>
      </c>
      <c r="C315" s="14" t="s">
        <v>600</v>
      </c>
      <c r="D315" s="5" t="s">
        <v>24</v>
      </c>
      <c r="E315" s="6" t="s">
        <v>24</v>
      </c>
      <c r="F315" s="7">
        <f>G315+SUMIF('[1]mouvement etuyeuse'!B:B,"=motoréducteur bande sortie étuyeuse",'[1]mouvement etuyeuse'!G:G)</f>
        <v>0</v>
      </c>
      <c r="G315" s="20">
        <v>0</v>
      </c>
      <c r="H315" s="6">
        <v>1</v>
      </c>
      <c r="I315" s="1" t="str">
        <f t="shared" si="20"/>
        <v>/!\</v>
      </c>
      <c r="J315" s="11">
        <v>0</v>
      </c>
      <c r="K315" s="12">
        <f t="shared" si="21"/>
        <v>0</v>
      </c>
      <c r="L315" s="30"/>
      <c r="M315" s="30"/>
      <c r="N315" s="30"/>
      <c r="O315" s="30"/>
      <c r="P315" s="30"/>
      <c r="Q315" s="30"/>
      <c r="R315" s="30"/>
      <c r="S315" s="30">
        <f>IF(Tableau113[[#This Row],[alerte stock]]="-",0,1)</f>
        <v>1</v>
      </c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</row>
    <row r="316" spans="1:44" ht="15.75" x14ac:dyDescent="0.25">
      <c r="A316" s="30"/>
      <c r="B316" s="13" t="s">
        <v>585</v>
      </c>
      <c r="C316" s="14" t="s">
        <v>601</v>
      </c>
      <c r="D316" s="5" t="s">
        <v>602</v>
      </c>
      <c r="E316" s="6" t="s">
        <v>24</v>
      </c>
      <c r="F316" s="7">
        <f>G316+SUMIF('[1]mouvement etuyeuse'!B:B,"=pompe à vide pneumatique",'[1]mouvement etuyeuse'!G:G)</f>
        <v>0</v>
      </c>
      <c r="G316" s="20">
        <v>0</v>
      </c>
      <c r="H316" s="6">
        <v>1</v>
      </c>
      <c r="I316" s="1" t="str">
        <f t="shared" si="20"/>
        <v>/!\</v>
      </c>
      <c r="J316" s="11">
        <v>0</v>
      </c>
      <c r="K316" s="12">
        <f t="shared" si="21"/>
        <v>0</v>
      </c>
      <c r="L316" s="30"/>
      <c r="M316" s="30"/>
      <c r="N316" s="30"/>
      <c r="O316" s="30"/>
      <c r="P316" s="30"/>
      <c r="Q316" s="30"/>
      <c r="R316" s="30"/>
      <c r="S316" s="30">
        <f>IF(Tableau113[[#This Row],[alerte stock]]="-",0,1)</f>
        <v>1</v>
      </c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</row>
    <row r="317" spans="1:44" ht="15.75" x14ac:dyDescent="0.25">
      <c r="A317" s="30"/>
      <c r="B317" s="13" t="s">
        <v>585</v>
      </c>
      <c r="C317" s="14" t="s">
        <v>603</v>
      </c>
      <c r="D317" s="5" t="s">
        <v>604</v>
      </c>
      <c r="E317" s="6" t="s">
        <v>24</v>
      </c>
      <c r="F317" s="7">
        <f>G317+SUMIF('[1]mouvement etuyeuse'!B:B,"=Generateur de vide  SMC",'[1]mouvement etuyeuse'!G:G)</f>
        <v>0</v>
      </c>
      <c r="G317" s="20">
        <v>0</v>
      </c>
      <c r="H317" s="6">
        <v>0</v>
      </c>
      <c r="I317" s="1" t="str">
        <f t="shared" si="20"/>
        <v>-</v>
      </c>
      <c r="J317" s="11">
        <v>40</v>
      </c>
      <c r="K317" s="12">
        <f t="shared" si="21"/>
        <v>0</v>
      </c>
      <c r="L317" s="30"/>
      <c r="M317" s="30"/>
      <c r="N317" s="30"/>
      <c r="O317" s="30"/>
      <c r="P317" s="30"/>
      <c r="Q317" s="30"/>
      <c r="R317" s="30"/>
      <c r="S317" s="30">
        <f>IF(Tableau113[[#This Row],[alerte stock]]="-",0,1)</f>
        <v>0</v>
      </c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</row>
    <row r="318" spans="1:44" ht="15.75" x14ac:dyDescent="0.25">
      <c r="A318" s="30"/>
      <c r="B318" s="13" t="s">
        <v>585</v>
      </c>
      <c r="C318" s="14" t="s">
        <v>605</v>
      </c>
      <c r="D318" s="5">
        <v>215986</v>
      </c>
      <c r="E318" s="6" t="s">
        <v>24</v>
      </c>
      <c r="F318" s="7">
        <f>G318+SUMIF('[1]mouvement etuyeuse'!B:B,"=ressort 53 mm",'[1]mouvement etuyeuse'!G:G)</f>
        <v>0</v>
      </c>
      <c r="G318" s="20">
        <v>0</v>
      </c>
      <c r="H318" s="6">
        <v>4</v>
      </c>
      <c r="I318" s="1" t="str">
        <f t="shared" si="20"/>
        <v>/!\</v>
      </c>
      <c r="J318" s="11">
        <v>0</v>
      </c>
      <c r="K318" s="12">
        <f t="shared" si="21"/>
        <v>0</v>
      </c>
      <c r="L318" s="30"/>
      <c r="M318" s="30"/>
      <c r="N318" s="30"/>
      <c r="O318" s="30"/>
      <c r="P318" s="30"/>
      <c r="Q318" s="30"/>
      <c r="R318" s="30"/>
      <c r="S318" s="30">
        <f>IF(Tableau113[[#This Row],[alerte stock]]="-",0,1)</f>
        <v>1</v>
      </c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</row>
    <row r="319" spans="1:44" ht="15.75" x14ac:dyDescent="0.25">
      <c r="A319" s="30"/>
      <c r="B319" s="13" t="s">
        <v>585</v>
      </c>
      <c r="C319" s="14" t="s">
        <v>606</v>
      </c>
      <c r="D319" s="5" t="s">
        <v>607</v>
      </c>
      <c r="E319" s="6" t="s">
        <v>24</v>
      </c>
      <c r="F319" s="7">
        <f>G319+SUMIF('[1]mouvement etuyeuse'!B:B,"=sonde temp. Bac a colle",'[1]mouvement etuyeuse'!G:G)</f>
        <v>4</v>
      </c>
      <c r="G319" s="20">
        <v>4</v>
      </c>
      <c r="H319" s="6">
        <v>1</v>
      </c>
      <c r="I319" s="1" t="str">
        <f t="shared" si="20"/>
        <v>-</v>
      </c>
      <c r="J319" s="11">
        <v>0</v>
      </c>
      <c r="K319" s="12">
        <f t="shared" si="21"/>
        <v>0</v>
      </c>
      <c r="L319" s="30"/>
      <c r="M319" s="30"/>
      <c r="N319" s="30"/>
      <c r="O319" s="30"/>
      <c r="P319" s="30"/>
      <c r="Q319" s="30"/>
      <c r="R319" s="30"/>
      <c r="S319" s="30">
        <f>IF(Tableau113[[#This Row],[alerte stock]]="-",0,1)</f>
        <v>0</v>
      </c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</row>
    <row r="320" spans="1:44" ht="15.75" x14ac:dyDescent="0.25">
      <c r="A320" s="30"/>
      <c r="B320" s="13" t="s">
        <v>585</v>
      </c>
      <c r="C320" s="132" t="s">
        <v>608</v>
      </c>
      <c r="D320" s="6" t="s">
        <v>609</v>
      </c>
      <c r="E320" s="6" t="s">
        <v>24</v>
      </c>
      <c r="F320" s="7">
        <f>G320+SUMIF('[1]mouvement etuyeuse'!B:B,"=vérin double effet rabateur du haut",'[1]mouvement etuyeuse'!G:G)</f>
        <v>1</v>
      </c>
      <c r="G320" s="20">
        <v>1</v>
      </c>
      <c r="H320" s="6">
        <v>0</v>
      </c>
      <c r="I320" s="1" t="str">
        <f t="shared" si="20"/>
        <v>-</v>
      </c>
      <c r="J320" s="11">
        <v>66.72</v>
      </c>
      <c r="K320" s="12">
        <f t="shared" si="21"/>
        <v>66.72</v>
      </c>
      <c r="L320" s="30"/>
      <c r="M320" s="30"/>
      <c r="N320" s="30"/>
      <c r="O320" s="30"/>
      <c r="P320" s="30"/>
      <c r="Q320" s="30"/>
      <c r="R320" s="30"/>
      <c r="S320" s="30">
        <f>IF(Tableau113[[#This Row],[alerte stock]]="-",0,1)</f>
        <v>0</v>
      </c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</row>
    <row r="321" spans="1:44" ht="15.75" x14ac:dyDescent="0.25">
      <c r="A321" s="30"/>
      <c r="B321" s="13" t="s">
        <v>585</v>
      </c>
      <c r="C321" s="14" t="s">
        <v>610</v>
      </c>
      <c r="D321" s="6" t="s">
        <v>611</v>
      </c>
      <c r="E321" s="6" t="s">
        <v>24</v>
      </c>
      <c r="F321" s="7">
        <f>G321+SUMIF('[1]mouvement etuyeuse'!B:B,"=verrin double effet Festo (encolleurs)",'[1]mouvement etuyeuse'!G:G)</f>
        <v>2</v>
      </c>
      <c r="G321" s="20">
        <v>2</v>
      </c>
      <c r="H321" s="6">
        <v>1</v>
      </c>
      <c r="I321" s="1" t="str">
        <f t="shared" si="20"/>
        <v>-</v>
      </c>
      <c r="J321" s="11">
        <v>72.97</v>
      </c>
      <c r="K321" s="12">
        <f t="shared" si="21"/>
        <v>145.94</v>
      </c>
      <c r="L321" s="30"/>
      <c r="M321" s="30"/>
      <c r="N321" s="30"/>
      <c r="O321" s="30"/>
      <c r="P321" s="30"/>
      <c r="Q321" s="30"/>
      <c r="R321" s="30"/>
      <c r="S321" s="30">
        <f>IF(Tableau113[[#This Row],[alerte stock]]="-",0,1)</f>
        <v>0</v>
      </c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</row>
    <row r="322" spans="1:44" ht="15.75" x14ac:dyDescent="0.25">
      <c r="A322" s="30"/>
      <c r="B322" s="13" t="s">
        <v>585</v>
      </c>
      <c r="C322" s="14" t="s">
        <v>612</v>
      </c>
      <c r="D322" s="6" t="s">
        <v>613</v>
      </c>
      <c r="E322" s="6" t="s">
        <v>24</v>
      </c>
      <c r="F322" s="7">
        <f>G322+SUMIF('[1]mouvement etuyeuse'!B:B,"=ventouse = PR25CN-08-B6",'[1]mouvement etuyeuse'!G:G)</f>
        <v>2</v>
      </c>
      <c r="G322" s="20">
        <v>2</v>
      </c>
      <c r="H322" s="6">
        <v>1</v>
      </c>
      <c r="I322" s="1" t="str">
        <f t="shared" si="20"/>
        <v>-</v>
      </c>
      <c r="J322" s="11">
        <v>23.03</v>
      </c>
      <c r="K322" s="12">
        <f t="shared" si="21"/>
        <v>46.06</v>
      </c>
      <c r="L322" s="30"/>
      <c r="M322" s="30"/>
      <c r="N322" s="30"/>
      <c r="O322" s="30"/>
      <c r="P322" s="30"/>
      <c r="Q322" s="30"/>
      <c r="R322" s="30"/>
      <c r="S322" s="30">
        <f>IF(Tableau113[[#This Row],[alerte stock]]="-",0,1)</f>
        <v>0</v>
      </c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</row>
    <row r="323" spans="1:44" ht="15.75" x14ac:dyDescent="0.25">
      <c r="A323" s="30"/>
      <c r="B323" s="13" t="s">
        <v>585</v>
      </c>
      <c r="C323" s="14" t="s">
        <v>614</v>
      </c>
      <c r="D323" s="6" t="s">
        <v>615</v>
      </c>
      <c r="E323" s="6" t="s">
        <v>24</v>
      </c>
      <c r="F323" s="7">
        <f>G323+SUMIF('[1]mouvement etuyeuse'!B:B,"=ventouse = PR50CN-08-B8",'[1]mouvement etuyeuse'!G:G)</f>
        <v>2</v>
      </c>
      <c r="G323" s="20">
        <v>2</v>
      </c>
      <c r="H323" s="6">
        <v>1</v>
      </c>
      <c r="I323" s="1" t="str">
        <f t="shared" si="20"/>
        <v>-</v>
      </c>
      <c r="J323" s="11">
        <v>24.74</v>
      </c>
      <c r="K323" s="12">
        <f t="shared" si="21"/>
        <v>49.48</v>
      </c>
      <c r="L323" s="30"/>
      <c r="M323" s="13" t="s">
        <v>585</v>
      </c>
      <c r="N323" s="30"/>
      <c r="O323" s="30"/>
      <c r="P323" s="30"/>
      <c r="Q323" s="30"/>
      <c r="R323" s="30"/>
      <c r="S323" s="30">
        <f>IF(Tableau113[[#This Row],[alerte stock]]="-",0,1)</f>
        <v>0</v>
      </c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</row>
    <row r="324" spans="1:44" ht="15.75" x14ac:dyDescent="0.25">
      <c r="A324" s="30"/>
      <c r="B324" s="13" t="s">
        <v>585</v>
      </c>
      <c r="C324" s="14" t="s">
        <v>616</v>
      </c>
      <c r="D324" s="6" t="s">
        <v>617</v>
      </c>
      <c r="E324" s="6" t="s">
        <v>24</v>
      </c>
      <c r="F324" s="7">
        <f>G324+SUMIF('[1]mouvement etuyeuse'!B:B,"=ventouse = PR32BS",'[1]mouvement etuyeuse'!G:G)</f>
        <v>2</v>
      </c>
      <c r="G324" s="6">
        <v>2</v>
      </c>
      <c r="H324" s="6">
        <v>1</v>
      </c>
      <c r="I324" s="1" t="str">
        <f t="shared" si="20"/>
        <v>-</v>
      </c>
      <c r="J324" s="11">
        <v>11.01</v>
      </c>
      <c r="K324" s="12">
        <f t="shared" si="21"/>
        <v>22.02</v>
      </c>
      <c r="L324" s="30"/>
      <c r="M324" s="35">
        <f>SUM(K308:K324)</f>
        <v>452.74</v>
      </c>
      <c r="N324" s="30"/>
      <c r="O324" s="30"/>
      <c r="P324" s="30"/>
      <c r="Q324" s="30"/>
      <c r="R324" s="30"/>
      <c r="S324" s="30">
        <f>IF(Tableau113[[#This Row],[alerte stock]]="-",0,1)</f>
        <v>0</v>
      </c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</row>
    <row r="325" spans="1:44" ht="15.75" x14ac:dyDescent="0.25">
      <c r="A325" s="30"/>
      <c r="B325" s="39" t="s">
        <v>618</v>
      </c>
      <c r="C325" s="40" t="s">
        <v>619</v>
      </c>
      <c r="D325" s="133" t="s">
        <v>620</v>
      </c>
      <c r="E325" s="44" t="s">
        <v>24</v>
      </c>
      <c r="F325" s="43">
        <f>G325+SUMIF('[1]mouvement fours'!B:B,"=CABLE TRESSE ht",'[1]mouvement fours'!G:G)</f>
        <v>5</v>
      </c>
      <c r="G325" s="134">
        <v>6</v>
      </c>
      <c r="H325" s="44">
        <v>1</v>
      </c>
      <c r="I325" s="1" t="str">
        <f>IF(F325&lt;H325,"/!\","-")</f>
        <v>-</v>
      </c>
      <c r="J325" s="11">
        <v>44.82</v>
      </c>
      <c r="K325" s="12">
        <f>F325*J325</f>
        <v>224.1</v>
      </c>
      <c r="L325" s="30"/>
      <c r="M325" s="30"/>
      <c r="N325" s="30"/>
      <c r="O325" s="30"/>
      <c r="P325" s="30"/>
      <c r="Q325" s="30"/>
      <c r="R325" s="30"/>
      <c r="S325" s="30">
        <f>IF(Tableau113[[#This Row],[alerte stock]]="-",0,1)</f>
        <v>0</v>
      </c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</row>
    <row r="326" spans="1:44" ht="15.75" x14ac:dyDescent="0.25">
      <c r="A326" s="30"/>
      <c r="B326" s="39" t="s">
        <v>618</v>
      </c>
      <c r="C326" s="40" t="s">
        <v>621</v>
      </c>
      <c r="D326" s="41" t="s">
        <v>622</v>
      </c>
      <c r="E326" s="44" t="s">
        <v>24</v>
      </c>
      <c r="F326" s="43">
        <f>G326+SUMIF('[1]mouvement fours'!B:B,"=buzzer 220 V AC/DC",'[1]mouvement fours'!G:G)</f>
        <v>8</v>
      </c>
      <c r="G326" s="134">
        <v>8</v>
      </c>
      <c r="H326" s="44">
        <v>1</v>
      </c>
      <c r="I326" s="1" t="str">
        <f t="shared" ref="I326:I362" si="22">IF(F326&lt;H326,"/!\","-")</f>
        <v>-</v>
      </c>
      <c r="J326" s="11">
        <v>7.92</v>
      </c>
      <c r="K326" s="12">
        <f t="shared" ref="K326:K361" si="23">F326*J326</f>
        <v>63.36</v>
      </c>
      <c r="L326" s="30"/>
      <c r="M326" s="30"/>
      <c r="N326" s="30"/>
      <c r="O326" s="30"/>
      <c r="P326" s="30"/>
      <c r="Q326" s="30"/>
      <c r="R326" s="30"/>
      <c r="S326" s="30">
        <f>IF(Tableau113[[#This Row],[alerte stock]]="-",0,1)</f>
        <v>0</v>
      </c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</row>
    <row r="327" spans="1:44" ht="15.75" x14ac:dyDescent="0.25">
      <c r="A327" s="30"/>
      <c r="B327" s="39" t="s">
        <v>618</v>
      </c>
      <c r="C327" s="40" t="s">
        <v>623</v>
      </c>
      <c r="D327" s="41" t="s">
        <v>624</v>
      </c>
      <c r="E327" s="44" t="s">
        <v>24</v>
      </c>
      <c r="F327" s="43">
        <f>G327+SUMIF('[1]mouvement fours'!B:B,"=DETECTEUR A GALET porte four 8.62",'[1]mouvement fours'!G:G)</f>
        <v>3</v>
      </c>
      <c r="G327" s="134">
        <v>1</v>
      </c>
      <c r="H327" s="44">
        <v>1</v>
      </c>
      <c r="I327" s="1" t="str">
        <f t="shared" si="22"/>
        <v>-</v>
      </c>
      <c r="J327" s="11">
        <v>73.13</v>
      </c>
      <c r="K327" s="12">
        <f t="shared" si="23"/>
        <v>219.39</v>
      </c>
      <c r="L327" s="30"/>
      <c r="M327" s="30"/>
      <c r="N327" s="30"/>
      <c r="O327" s="30"/>
      <c r="P327" s="30"/>
      <c r="Q327" s="30"/>
      <c r="R327" s="30"/>
      <c r="S327" s="30">
        <f>IF(Tableau113[[#This Row],[alerte stock]]="-",0,1)</f>
        <v>0</v>
      </c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</row>
    <row r="328" spans="1:44" ht="15.75" x14ac:dyDescent="0.25">
      <c r="A328" s="30"/>
      <c r="B328" s="39" t="s">
        <v>618</v>
      </c>
      <c r="C328" s="135" t="s">
        <v>625</v>
      </c>
      <c r="D328" s="136" t="s">
        <v>24</v>
      </c>
      <c r="E328" s="137" t="s">
        <v>24</v>
      </c>
      <c r="F328" s="43">
        <f>G328+SUMIF('[1]mouvement fours'!B:B,"=sillicon HT°",'[1]mouvement fours'!G:G)</f>
        <v>2</v>
      </c>
      <c r="G328" s="137">
        <v>2</v>
      </c>
      <c r="H328" s="137">
        <v>2</v>
      </c>
      <c r="I328" s="1" t="str">
        <f>IF(F328&lt;H328,"/!\","-")</f>
        <v>-</v>
      </c>
      <c r="J328" s="138"/>
      <c r="K328" s="139">
        <f>F328*J328</f>
        <v>0</v>
      </c>
      <c r="L328" s="30"/>
      <c r="M328" s="30"/>
      <c r="N328" s="30"/>
      <c r="O328" s="30"/>
      <c r="P328" s="30"/>
      <c r="Q328" s="30"/>
      <c r="R328" s="30"/>
      <c r="S328" s="30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</row>
    <row r="329" spans="1:44" ht="15.75" x14ac:dyDescent="0.25">
      <c r="A329" s="30"/>
      <c r="B329" s="140" t="s">
        <v>618</v>
      </c>
      <c r="C329" s="141" t="s">
        <v>626</v>
      </c>
      <c r="D329" s="142">
        <v>2296</v>
      </c>
      <c r="E329" s="143" t="s">
        <v>24</v>
      </c>
      <c r="F329" s="144">
        <f>G329+SUMIF('[1]mouvement fours'!B:B,"=join de porte 800x1815",'[1]mouvement fours'!G:G)</f>
        <v>-1</v>
      </c>
      <c r="G329" s="145">
        <v>4</v>
      </c>
      <c r="H329" s="143">
        <v>3</v>
      </c>
      <c r="I329" s="1" t="str">
        <f t="shared" si="22"/>
        <v>/!\</v>
      </c>
      <c r="J329" s="11">
        <v>186.5</v>
      </c>
      <c r="K329" s="12">
        <f t="shared" si="23"/>
        <v>-186.5</v>
      </c>
      <c r="L329" s="30"/>
      <c r="M329" s="30"/>
      <c r="N329" s="30"/>
      <c r="O329" s="30"/>
      <c r="P329" s="30"/>
      <c r="Q329" s="30"/>
      <c r="R329" s="30"/>
      <c r="S329" s="30">
        <f>IF(Tableau113[[#This Row],[alerte stock]]="-",0,1)</f>
        <v>1</v>
      </c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</row>
    <row r="330" spans="1:44" ht="15.75" x14ac:dyDescent="0.25">
      <c r="A330" s="30"/>
      <c r="B330" s="39" t="s">
        <v>618</v>
      </c>
      <c r="C330" s="40" t="s">
        <v>627</v>
      </c>
      <c r="D330" s="41" t="s">
        <v>628</v>
      </c>
      <c r="E330" s="44" t="s">
        <v>629</v>
      </c>
      <c r="F330" s="43">
        <f>G330+SUMIF('[1]mouvement fours'!B:B,"= Système de levage P/D inox",'[1]mouvement fours'!G:G)</f>
        <v>1</v>
      </c>
      <c r="G330" s="134">
        <v>1</v>
      </c>
      <c r="H330" s="44">
        <v>1</v>
      </c>
      <c r="I330" s="1" t="str">
        <f t="shared" si="22"/>
        <v>-</v>
      </c>
      <c r="J330" s="11">
        <v>167.8</v>
      </c>
      <c r="K330" s="12">
        <f t="shared" si="23"/>
        <v>167.8</v>
      </c>
      <c r="L330" s="30"/>
      <c r="M330" s="30"/>
      <c r="N330" s="30"/>
      <c r="O330" s="30"/>
      <c r="P330" s="30"/>
      <c r="Q330" s="30"/>
      <c r="R330" s="30"/>
      <c r="S330" s="30">
        <f>IF(Tableau113[[#This Row],[alerte stock]]="-",0,1)</f>
        <v>0</v>
      </c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</row>
    <row r="331" spans="1:44" ht="15.75" x14ac:dyDescent="0.25">
      <c r="A331" s="30"/>
      <c r="B331" s="39" t="s">
        <v>618</v>
      </c>
      <c r="C331" s="40" t="s">
        <v>630</v>
      </c>
      <c r="D331" s="41" t="s">
        <v>24</v>
      </c>
      <c r="E331" s="44" t="s">
        <v>24</v>
      </c>
      <c r="F331" s="43">
        <f>G331+SUMIF('[1]mouvement fours'!B:B,"=Rampe d'accès 8.63-62-61",'[1]mouvement fours'!G:G)</f>
        <v>0</v>
      </c>
      <c r="G331" s="134">
        <v>0</v>
      </c>
      <c r="H331" s="44">
        <v>0</v>
      </c>
      <c r="I331" s="1" t="str">
        <f t="shared" si="22"/>
        <v>-</v>
      </c>
      <c r="J331" s="11">
        <v>475.26</v>
      </c>
      <c r="K331" s="12">
        <f t="shared" si="23"/>
        <v>0</v>
      </c>
      <c r="L331" s="30"/>
      <c r="M331" s="30"/>
      <c r="N331" s="30"/>
      <c r="O331" s="30"/>
      <c r="P331" s="30"/>
      <c r="Q331" s="30"/>
      <c r="R331" s="30"/>
      <c r="S331" s="30">
        <f>IF(Tableau113[[#This Row],[alerte stock]]="-",0,1)</f>
        <v>0</v>
      </c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</row>
    <row r="332" spans="1:44" ht="15.75" x14ac:dyDescent="0.25">
      <c r="A332" s="30"/>
      <c r="B332" s="39" t="s">
        <v>618</v>
      </c>
      <c r="C332" s="40" t="s">
        <v>631</v>
      </c>
      <c r="D332" s="41" t="s">
        <v>24</v>
      </c>
      <c r="E332" s="44" t="s">
        <v>24</v>
      </c>
      <c r="F332" s="43">
        <f>G332+SUMIF('[1]mouvement fours'!B:B,"=Guidage rampe 83x18x770",'[1]mouvement fours'!G:G)</f>
        <v>2</v>
      </c>
      <c r="G332" s="134">
        <v>2</v>
      </c>
      <c r="H332" s="44">
        <v>1</v>
      </c>
      <c r="I332" s="1" t="str">
        <f t="shared" si="22"/>
        <v>-</v>
      </c>
      <c r="J332" s="11">
        <v>46.1</v>
      </c>
      <c r="K332" s="12">
        <f t="shared" si="23"/>
        <v>92.2</v>
      </c>
      <c r="L332" s="30"/>
      <c r="M332" s="30"/>
      <c r="N332" s="30"/>
      <c r="O332" s="30"/>
      <c r="P332" s="30"/>
      <c r="Q332" s="30"/>
      <c r="R332" s="30"/>
      <c r="S332" s="30">
        <f>IF(Tableau113[[#This Row],[alerte stock]]="-",0,1)</f>
        <v>0</v>
      </c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</row>
    <row r="333" spans="1:44" ht="15.75" x14ac:dyDescent="0.25">
      <c r="A333" s="30"/>
      <c r="B333" s="39" t="s">
        <v>618</v>
      </c>
      <c r="C333" s="40" t="s">
        <v>632</v>
      </c>
      <c r="D333" s="41" t="s">
        <v>24</v>
      </c>
      <c r="E333" s="44" t="s">
        <v>24</v>
      </c>
      <c r="F333" s="43">
        <f>G333+SUMIF('[1]mouvement fours'!B:B,"=ensemble rotule 8,63 120x32 male",'[1]mouvement fours'!G:G)</f>
        <v>0</v>
      </c>
      <c r="G333" s="134">
        <v>0</v>
      </c>
      <c r="H333" s="44">
        <v>1</v>
      </c>
      <c r="I333" s="1" t="str">
        <f t="shared" si="22"/>
        <v>/!\</v>
      </c>
      <c r="J333" s="11">
        <v>231</v>
      </c>
      <c r="K333" s="12">
        <f t="shared" si="23"/>
        <v>0</v>
      </c>
      <c r="L333" s="30"/>
      <c r="M333" s="30"/>
      <c r="N333" s="30"/>
      <c r="O333" s="30"/>
      <c r="P333" s="30"/>
      <c r="Q333" s="30"/>
      <c r="R333" s="30"/>
      <c r="S333" s="30">
        <f>IF(Tableau113[[#This Row],[alerte stock]]="-",0,1)</f>
        <v>1</v>
      </c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</row>
    <row r="334" spans="1:44" ht="15.75" x14ac:dyDescent="0.25">
      <c r="A334" s="30"/>
      <c r="B334" s="39" t="s">
        <v>618</v>
      </c>
      <c r="C334" s="40" t="s">
        <v>633</v>
      </c>
      <c r="D334" s="136" t="s">
        <v>24</v>
      </c>
      <c r="E334" s="137" t="s">
        <v>24</v>
      </c>
      <c r="F334" s="43">
        <f>G334+SUMIF('[1]mouvement fours'!B:B,"=ensemble rotule 8,63 120x32 fem",'[1]mouvement fours'!G:G)</f>
        <v>1</v>
      </c>
      <c r="G334" s="137">
        <v>1</v>
      </c>
      <c r="H334" s="137">
        <v>1</v>
      </c>
      <c r="I334" s="1" t="str">
        <f>IF(F334&lt;H334,"/!\","-")</f>
        <v>-</v>
      </c>
      <c r="J334" s="138"/>
      <c r="K334" s="139">
        <f>F334*J334</f>
        <v>0</v>
      </c>
      <c r="L334" s="30"/>
      <c r="M334" s="30"/>
      <c r="N334" s="30"/>
      <c r="O334" s="30"/>
      <c r="P334" s="30"/>
      <c r="Q334" s="30"/>
      <c r="R334" s="30"/>
      <c r="S334" s="30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</row>
    <row r="335" spans="1:44" ht="15.75" x14ac:dyDescent="0.25">
      <c r="A335" s="30"/>
      <c r="B335" s="39" t="s">
        <v>618</v>
      </c>
      <c r="C335" s="40" t="s">
        <v>634</v>
      </c>
      <c r="D335" s="41" t="s">
        <v>635</v>
      </c>
      <c r="E335" s="44" t="s">
        <v>24</v>
      </c>
      <c r="F335" s="43">
        <f>G335+SUMIF('[1]mouvement fours'!B:B,"=Mini moteur de volets",'[1]mouvement fours'!G:G)</f>
        <v>0</v>
      </c>
      <c r="G335" s="134">
        <v>2</v>
      </c>
      <c r="H335" s="44">
        <v>1</v>
      </c>
      <c r="I335" s="1" t="str">
        <f t="shared" si="22"/>
        <v>/!\</v>
      </c>
      <c r="J335" s="11">
        <v>131.97999999999999</v>
      </c>
      <c r="K335" s="12">
        <f t="shared" si="23"/>
        <v>0</v>
      </c>
      <c r="L335" s="30"/>
      <c r="M335" s="30"/>
      <c r="N335" s="30"/>
      <c r="O335" s="30"/>
      <c r="P335" s="30"/>
      <c r="Q335" s="30"/>
      <c r="R335" s="30"/>
      <c r="S335" s="30">
        <f>IF(Tableau113[[#This Row],[alerte stock]]="-",0,1)</f>
        <v>1</v>
      </c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</row>
    <row r="336" spans="1:44" ht="15.75" x14ac:dyDescent="0.25">
      <c r="A336" s="30"/>
      <c r="B336" s="39" t="s">
        <v>618</v>
      </c>
      <c r="C336" s="40" t="s">
        <v>636</v>
      </c>
      <c r="D336" s="41" t="s">
        <v>637</v>
      </c>
      <c r="E336" s="44" t="s">
        <v>24</v>
      </c>
      <c r="F336" s="43">
        <f>G336+SUMIF('[1]mouvement fours'!B:B,"=transformateur HT brûleur riello",'[1]mouvement fours'!G:G)</f>
        <v>2</v>
      </c>
      <c r="G336" s="134">
        <v>2</v>
      </c>
      <c r="H336" s="44">
        <v>1</v>
      </c>
      <c r="I336" s="1" t="str">
        <f t="shared" si="22"/>
        <v>-</v>
      </c>
      <c r="J336" s="11">
        <v>158.08000000000001</v>
      </c>
      <c r="K336" s="12">
        <f t="shared" si="23"/>
        <v>316.16000000000003</v>
      </c>
      <c r="L336" s="30"/>
      <c r="M336" s="30"/>
      <c r="N336" s="30"/>
      <c r="O336" s="30"/>
      <c r="P336" s="30"/>
      <c r="Q336" s="30"/>
      <c r="R336" s="30"/>
      <c r="S336" s="30">
        <f>IF(Tableau113[[#This Row],[alerte stock]]="-",0,1)</f>
        <v>0</v>
      </c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</row>
    <row r="337" spans="1:44" ht="15.75" x14ac:dyDescent="0.25">
      <c r="A337" s="30"/>
      <c r="B337" s="39" t="s">
        <v>618</v>
      </c>
      <c r="C337" s="135" t="s">
        <v>638</v>
      </c>
      <c r="D337" s="136" t="s">
        <v>639</v>
      </c>
      <c r="E337" s="137" t="s">
        <v>24</v>
      </c>
      <c r="F337" s="43">
        <f>G337+SUMIF('[1]mouvement fours'!B:B,"=sonde allumage brûleur rielllo",'[1]mouvement fours'!G:G)</f>
        <v>1</v>
      </c>
      <c r="G337" s="137">
        <v>1</v>
      </c>
      <c r="H337" s="137">
        <v>2</v>
      </c>
      <c r="I337" s="1" t="str">
        <f>IF(F337&lt;H337,"/!\","-")</f>
        <v>/!\</v>
      </c>
      <c r="J337" s="138"/>
      <c r="K337" s="139">
        <f>F337*J337</f>
        <v>0</v>
      </c>
      <c r="L337" s="30"/>
      <c r="M337" s="30"/>
      <c r="N337" s="30"/>
      <c r="O337" s="30"/>
      <c r="P337" s="30"/>
      <c r="Q337" s="30"/>
      <c r="R337" s="30"/>
      <c r="S337" s="30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</row>
    <row r="338" spans="1:44" ht="15.75" x14ac:dyDescent="0.25">
      <c r="A338" s="30"/>
      <c r="B338" s="39" t="s">
        <v>618</v>
      </c>
      <c r="C338" s="40" t="s">
        <v>640</v>
      </c>
      <c r="D338" s="41" t="s">
        <v>641</v>
      </c>
      <c r="E338" s="44" t="s">
        <v>24</v>
      </c>
      <c r="F338" s="43">
        <f>G338+SUMIF('[1]mouvement fours'!B:B,"=sonde de ionisation brûleur rielllo",'[1]mouvement fours'!G:G)</f>
        <v>4</v>
      </c>
      <c r="G338" s="134">
        <v>4</v>
      </c>
      <c r="H338" s="44">
        <v>1</v>
      </c>
      <c r="I338" s="1" t="str">
        <f t="shared" si="22"/>
        <v>-</v>
      </c>
      <c r="J338" s="11">
        <v>39.25</v>
      </c>
      <c r="K338" s="12">
        <f t="shared" si="23"/>
        <v>157</v>
      </c>
      <c r="L338" s="30"/>
      <c r="M338" s="30"/>
      <c r="N338" s="30"/>
      <c r="O338" s="30"/>
      <c r="P338" s="30"/>
      <c r="Q338" s="30"/>
      <c r="R338" s="30"/>
      <c r="S338" s="30">
        <f>IF(Tableau113[[#This Row],[alerte stock]]="-",0,1)</f>
        <v>0</v>
      </c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</row>
    <row r="339" spans="1:44" ht="15.75" x14ac:dyDescent="0.25">
      <c r="A339" s="30"/>
      <c r="B339" s="39" t="s">
        <v>618</v>
      </c>
      <c r="C339" s="40" t="s">
        <v>642</v>
      </c>
      <c r="D339" s="41" t="s">
        <v>643</v>
      </c>
      <c r="E339" s="44" t="s">
        <v>629</v>
      </c>
      <c r="F339" s="43">
        <f>G339+SUMIF('[1]mouvement fours'!B:B,"=moto réducteur chariot",'[1]mouvement fours'!G:G)</f>
        <v>1</v>
      </c>
      <c r="G339" s="134">
        <v>1</v>
      </c>
      <c r="H339" s="44">
        <v>1</v>
      </c>
      <c r="I339" s="1" t="str">
        <f t="shared" si="22"/>
        <v>-</v>
      </c>
      <c r="J339" s="11">
        <v>935.91</v>
      </c>
      <c r="K339" s="12">
        <f t="shared" si="23"/>
        <v>935.91</v>
      </c>
      <c r="L339" s="30"/>
      <c r="M339" s="30"/>
      <c r="N339" s="30"/>
      <c r="O339" s="30"/>
      <c r="P339" s="30"/>
      <c r="Q339" s="30"/>
      <c r="R339" s="30"/>
      <c r="S339" s="30">
        <f>IF(Tableau113[[#This Row],[alerte stock]]="-",0,1)</f>
        <v>0</v>
      </c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</row>
    <row r="340" spans="1:44" ht="15.75" x14ac:dyDescent="0.25">
      <c r="A340" s="30"/>
      <c r="B340" s="39" t="s">
        <v>618</v>
      </c>
      <c r="C340" s="40" t="s">
        <v>644</v>
      </c>
      <c r="D340" s="41" t="s">
        <v>645</v>
      </c>
      <c r="E340" s="44" t="s">
        <v>24</v>
      </c>
      <c r="F340" s="43">
        <f>G340+SUMIF('[1]mouvement fours'!B:B,"=fin de course XCKN2118P20",'[1]mouvement fours'!G:G)</f>
        <v>3</v>
      </c>
      <c r="G340" s="134">
        <v>4</v>
      </c>
      <c r="H340" s="44">
        <v>1</v>
      </c>
      <c r="I340" s="1" t="str">
        <f t="shared" si="22"/>
        <v>-</v>
      </c>
      <c r="J340" s="11">
        <v>10.36</v>
      </c>
      <c r="K340" s="12">
        <f t="shared" si="23"/>
        <v>31.08</v>
      </c>
      <c r="L340" s="30"/>
      <c r="M340" s="30"/>
      <c r="N340" s="30"/>
      <c r="O340" s="30"/>
      <c r="P340" s="30"/>
      <c r="Q340" s="30"/>
      <c r="R340" s="30"/>
      <c r="S340" s="30">
        <f>IF(Tableau113[[#This Row],[alerte stock]]="-",0,1)</f>
        <v>0</v>
      </c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</row>
    <row r="341" spans="1:44" ht="15.75" x14ac:dyDescent="0.25">
      <c r="A341" s="30"/>
      <c r="B341" s="39" t="s">
        <v>618</v>
      </c>
      <c r="C341" s="45" t="s">
        <v>646</v>
      </c>
      <c r="D341" s="41" t="s">
        <v>647</v>
      </c>
      <c r="E341" s="44" t="s">
        <v>24</v>
      </c>
      <c r="F341" s="43">
        <f>G341+SUMIF('[1]mouvement fours'!B:B,"=roulement à bille moteur soufflerie SKF",'[1]mouvement fours'!G:G)</f>
        <v>1</v>
      </c>
      <c r="G341" s="134">
        <v>1</v>
      </c>
      <c r="H341" s="44">
        <v>1</v>
      </c>
      <c r="I341" s="1" t="str">
        <f t="shared" si="22"/>
        <v>-</v>
      </c>
      <c r="J341" s="11">
        <v>11.68</v>
      </c>
      <c r="K341" s="12">
        <f t="shared" si="23"/>
        <v>11.68</v>
      </c>
      <c r="L341" s="30"/>
      <c r="M341" s="30"/>
      <c r="N341" s="30"/>
      <c r="O341" s="30"/>
      <c r="P341" s="30"/>
      <c r="Q341" s="30"/>
      <c r="R341" s="30"/>
      <c r="S341" s="30">
        <f>IF(Tableau113[[#This Row],[alerte stock]]="-",0,1)</f>
        <v>0</v>
      </c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</row>
    <row r="342" spans="1:44" ht="15.75" x14ac:dyDescent="0.25">
      <c r="A342" s="30"/>
      <c r="B342" s="39" t="s">
        <v>618</v>
      </c>
      <c r="C342" s="40" t="s">
        <v>648</v>
      </c>
      <c r="D342" s="41" t="s">
        <v>24</v>
      </c>
      <c r="E342" s="146" t="s">
        <v>24</v>
      </c>
      <c r="F342" s="43">
        <f>G342+SUMIF('[1]mouvement fours'!B:B,"=opticom",'[1]mouvement fours'!G:G)</f>
        <v>1</v>
      </c>
      <c r="G342" s="134">
        <v>1</v>
      </c>
      <c r="H342" s="44">
        <v>1</v>
      </c>
      <c r="I342" s="1" t="str">
        <f t="shared" si="22"/>
        <v>-</v>
      </c>
      <c r="J342" s="11">
        <v>631.20000000000005</v>
      </c>
      <c r="K342" s="12">
        <f t="shared" si="23"/>
        <v>631.20000000000005</v>
      </c>
      <c r="L342" s="30"/>
      <c r="M342" s="30"/>
      <c r="N342" s="30"/>
      <c r="O342" s="30"/>
      <c r="P342" s="30"/>
      <c r="Q342" s="30"/>
      <c r="R342" s="30"/>
      <c r="S342" s="30">
        <f>IF(Tableau113[[#This Row],[alerte stock]]="-",0,1)</f>
        <v>0</v>
      </c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</row>
    <row r="343" spans="1:44" ht="24" x14ac:dyDescent="0.25">
      <c r="A343" s="30"/>
      <c r="B343" s="39" t="s">
        <v>618</v>
      </c>
      <c r="C343" s="40" t="s">
        <v>649</v>
      </c>
      <c r="D343" s="147" t="s">
        <v>650</v>
      </c>
      <c r="E343" s="44" t="s">
        <v>24</v>
      </c>
      <c r="F343" s="43">
        <f>G343+SUMIF('[1]mouvement fours'!B:B,"=ElectroVanne Gaz 1pouce 230v",'[1]mouvement fours'!G:G)</f>
        <v>1</v>
      </c>
      <c r="G343" s="134">
        <v>1</v>
      </c>
      <c r="H343" s="44">
        <v>1</v>
      </c>
      <c r="I343" s="1" t="str">
        <f t="shared" si="22"/>
        <v>-</v>
      </c>
      <c r="J343" s="11">
        <v>159.58000000000001</v>
      </c>
      <c r="K343" s="12">
        <f t="shared" si="23"/>
        <v>159.58000000000001</v>
      </c>
      <c r="L343" s="30"/>
      <c r="M343" s="30"/>
      <c r="N343" s="30"/>
      <c r="O343" s="30"/>
      <c r="P343" s="30"/>
      <c r="Q343" s="30"/>
      <c r="R343" s="30"/>
      <c r="S343" s="30">
        <f>IF(Tableau113[[#This Row],[alerte stock]]="-",0,1)</f>
        <v>0</v>
      </c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</row>
    <row r="344" spans="1:44" ht="15.75" x14ac:dyDescent="0.25">
      <c r="A344" s="30"/>
      <c r="B344" s="39" t="s">
        <v>618</v>
      </c>
      <c r="C344" s="40" t="s">
        <v>651</v>
      </c>
      <c r="D344" s="41" t="s">
        <v>652</v>
      </c>
      <c r="E344" s="44" t="s">
        <v>24</v>
      </c>
      <c r="F344" s="43">
        <f>G344+SUMIF('[1]mouvement fours'!B:B,"=transfo 12v 105VA ",'[1]mouvement fours'!G:G)</f>
        <v>0</v>
      </c>
      <c r="G344" s="134">
        <v>0</v>
      </c>
      <c r="H344" s="44">
        <v>1</v>
      </c>
      <c r="I344" s="1" t="str">
        <f t="shared" si="22"/>
        <v>/!\</v>
      </c>
      <c r="J344" s="11">
        <v>25.167999999999999</v>
      </c>
      <c r="K344" s="12">
        <f t="shared" si="23"/>
        <v>0</v>
      </c>
      <c r="L344" s="30"/>
      <c r="M344" s="30"/>
      <c r="N344" s="30"/>
      <c r="O344" s="30"/>
      <c r="P344" s="30"/>
      <c r="Q344" s="30"/>
      <c r="R344" s="30"/>
      <c r="S344" s="30">
        <f>IF(Tableau113[[#This Row],[alerte stock]]="-",0,1)</f>
        <v>1</v>
      </c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</row>
    <row r="345" spans="1:44" ht="15.75" x14ac:dyDescent="0.25">
      <c r="A345" s="30"/>
      <c r="B345" s="39" t="s">
        <v>618</v>
      </c>
      <c r="C345" s="40" t="s">
        <v>653</v>
      </c>
      <c r="D345" s="41" t="s">
        <v>654</v>
      </c>
      <c r="E345" s="44" t="s">
        <v>24</v>
      </c>
      <c r="F345" s="43">
        <f>G345+SUMIF('[1]mouvement fours'!B:B,"=Bornier (domino) Ht T° 2 poles",'[1]mouvement fours'!G:G)</f>
        <v>6</v>
      </c>
      <c r="G345" s="134">
        <v>6</v>
      </c>
      <c r="H345" s="44">
        <v>2</v>
      </c>
      <c r="I345" s="1" t="str">
        <f t="shared" si="22"/>
        <v>-</v>
      </c>
      <c r="J345" s="11">
        <v>2.1800000000000002</v>
      </c>
      <c r="K345" s="12">
        <f t="shared" si="23"/>
        <v>13.080000000000002</v>
      </c>
      <c r="L345" s="30"/>
      <c r="M345" s="30"/>
      <c r="N345" s="30"/>
      <c r="O345" s="30"/>
      <c r="P345" s="30"/>
      <c r="Q345" s="30"/>
      <c r="R345" s="30"/>
      <c r="S345" s="30">
        <f>IF(Tableau113[[#This Row],[alerte stock]]="-",0,1)</f>
        <v>0</v>
      </c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</row>
    <row r="346" spans="1:44" ht="15.75" x14ac:dyDescent="0.25">
      <c r="A346" s="30"/>
      <c r="B346" s="39" t="s">
        <v>618</v>
      </c>
      <c r="C346" s="40" t="s">
        <v>655</v>
      </c>
      <c r="D346" s="41" t="s">
        <v>656</v>
      </c>
      <c r="E346" s="44" t="s">
        <v>24</v>
      </c>
      <c r="F346" s="43">
        <f>G346+SUMIF('[1]mouvement fours'!B:B,"=sonde PT 100",'[1]mouvement fours'!G:G)</f>
        <v>5</v>
      </c>
      <c r="G346" s="134">
        <v>6</v>
      </c>
      <c r="H346" s="44">
        <v>1</v>
      </c>
      <c r="I346" s="1" t="str">
        <f t="shared" si="22"/>
        <v>-</v>
      </c>
      <c r="J346" s="11">
        <v>0</v>
      </c>
      <c r="K346" s="12">
        <f t="shared" si="23"/>
        <v>0</v>
      </c>
      <c r="L346" s="30"/>
      <c r="M346" s="30"/>
      <c r="N346" s="30"/>
      <c r="O346" s="30"/>
      <c r="P346" s="30"/>
      <c r="Q346" s="30"/>
      <c r="R346" s="30"/>
      <c r="S346" s="30">
        <f>IF(Tableau113[[#This Row],[alerte stock]]="-",0,1)</f>
        <v>0</v>
      </c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</row>
    <row r="347" spans="1:44" ht="15.75" x14ac:dyDescent="0.25">
      <c r="A347" s="30"/>
      <c r="B347" s="39" t="s">
        <v>618</v>
      </c>
      <c r="C347" s="40" t="s">
        <v>657</v>
      </c>
      <c r="D347" s="41" t="s">
        <v>658</v>
      </c>
      <c r="E347" s="44" t="s">
        <v>24</v>
      </c>
      <c r="F347" s="43">
        <f>G347+SUMIF('[1]mouvement fours'!B:B,"=joints spi motoréducteur plateau tournant",'[1]mouvement fours'!G:G)</f>
        <v>3</v>
      </c>
      <c r="G347" s="134">
        <v>3</v>
      </c>
      <c r="H347" s="44">
        <v>2</v>
      </c>
      <c r="I347" s="1" t="str">
        <f t="shared" si="22"/>
        <v>-</v>
      </c>
      <c r="J347" s="11">
        <v>5.95</v>
      </c>
      <c r="K347" s="12">
        <f t="shared" si="23"/>
        <v>17.850000000000001</v>
      </c>
      <c r="L347" s="30"/>
      <c r="M347" s="30"/>
      <c r="N347" s="30"/>
      <c r="O347" s="30"/>
      <c r="P347" s="30"/>
      <c r="Q347" s="30"/>
      <c r="R347" s="30"/>
      <c r="S347" s="30">
        <f>IF(Tableau113[[#This Row],[alerte stock]]="-",0,1)</f>
        <v>0</v>
      </c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</row>
    <row r="348" spans="1:44" ht="15.75" x14ac:dyDescent="0.25">
      <c r="A348" s="30"/>
      <c r="B348" s="140" t="s">
        <v>618</v>
      </c>
      <c r="C348" s="141" t="s">
        <v>659</v>
      </c>
      <c r="D348" s="142" t="s">
        <v>24</v>
      </c>
      <c r="E348" s="143" t="s">
        <v>24</v>
      </c>
      <c r="F348" s="144">
        <f>G348+SUMIF('[1]mouvement fours'!B:B,"=cable electrique haute température",'[1]mouvement fours'!G:G)</f>
        <v>4</v>
      </c>
      <c r="G348" s="143">
        <v>4</v>
      </c>
      <c r="H348" s="143">
        <v>4</v>
      </c>
      <c r="I348" s="1" t="str">
        <f t="shared" si="22"/>
        <v>-</v>
      </c>
      <c r="J348" s="11">
        <v>0</v>
      </c>
      <c r="K348" s="12">
        <f t="shared" si="23"/>
        <v>0</v>
      </c>
      <c r="L348" s="30"/>
      <c r="M348" s="30"/>
      <c r="N348" s="30"/>
      <c r="O348" s="30"/>
      <c r="P348" s="30"/>
      <c r="Q348" s="30"/>
      <c r="R348" s="30"/>
      <c r="S348" s="30">
        <f>IF(Tableau113[[#This Row],[alerte stock]]="-",0,1)</f>
        <v>0</v>
      </c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</row>
    <row r="349" spans="1:44" ht="15.75" x14ac:dyDescent="0.25">
      <c r="A349" s="30"/>
      <c r="B349" s="39" t="s">
        <v>618</v>
      </c>
      <c r="C349" s="40" t="s">
        <v>660</v>
      </c>
      <c r="D349" s="41" t="s">
        <v>24</v>
      </c>
      <c r="E349" s="44" t="s">
        <v>24</v>
      </c>
      <c r="F349" s="43">
        <f>G349+SUMIF('[1]mouvement fours'!B:B,"=Embase ampoules ",'[1]mouvement fours'!G:G)</f>
        <v>2</v>
      </c>
      <c r="G349" s="44">
        <v>2</v>
      </c>
      <c r="H349" s="44">
        <v>2</v>
      </c>
      <c r="I349" s="1" t="str">
        <f t="shared" si="22"/>
        <v>-</v>
      </c>
      <c r="J349" s="11">
        <v>0</v>
      </c>
      <c r="K349" s="12">
        <f t="shared" si="23"/>
        <v>0</v>
      </c>
      <c r="L349" s="30"/>
      <c r="M349" s="30"/>
      <c r="N349" s="30"/>
      <c r="O349" s="30"/>
      <c r="P349" s="30"/>
      <c r="Q349" s="30"/>
      <c r="R349" s="30"/>
      <c r="S349" s="30">
        <f>IF(Tableau113[[#This Row],[alerte stock]]="-",0,1)</f>
        <v>0</v>
      </c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</row>
    <row r="350" spans="1:44" ht="15.75" x14ac:dyDescent="0.25">
      <c r="A350" s="30"/>
      <c r="B350" s="39" t="s">
        <v>618</v>
      </c>
      <c r="C350" s="40" t="s">
        <v>661</v>
      </c>
      <c r="D350" s="41" t="s">
        <v>24</v>
      </c>
      <c r="E350" s="44" t="s">
        <v>24</v>
      </c>
      <c r="F350" s="43">
        <f>G350+SUMIF('[1]mouvement fours'!B:B,"=axe entraienement",'[1]mouvement fours'!G:G)</f>
        <v>0</v>
      </c>
      <c r="G350" s="44">
        <v>0</v>
      </c>
      <c r="H350" s="44"/>
      <c r="I350" s="1" t="str">
        <f t="shared" si="22"/>
        <v>-</v>
      </c>
      <c r="J350" s="11">
        <v>193.8</v>
      </c>
      <c r="K350" s="12">
        <f t="shared" si="23"/>
        <v>0</v>
      </c>
      <c r="L350" s="30"/>
      <c r="M350" s="30"/>
      <c r="N350" s="30"/>
      <c r="O350" s="30"/>
      <c r="P350" s="30"/>
      <c r="Q350" s="30"/>
      <c r="R350" s="30"/>
      <c r="S350" s="30">
        <f>IF(Tableau113[[#This Row],[alerte stock]]="-",0,1)</f>
        <v>0</v>
      </c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</row>
    <row r="351" spans="1:44" ht="15.75" x14ac:dyDescent="0.25">
      <c r="A351" s="30"/>
      <c r="B351" s="39" t="s">
        <v>618</v>
      </c>
      <c r="C351" s="135" t="s">
        <v>662</v>
      </c>
      <c r="D351" s="136" t="s">
        <v>24</v>
      </c>
      <c r="E351" s="137" t="s">
        <v>24</v>
      </c>
      <c r="F351" s="43">
        <f>G351+SUMIF('[1]mouvement fours'!B:B,"=préssiostat",'[1]mouvement fours'!G:G)</f>
        <v>1</v>
      </c>
      <c r="G351" s="137">
        <v>1</v>
      </c>
      <c r="H351" s="137">
        <v>1</v>
      </c>
      <c r="I351" s="1" t="str">
        <f>IF(F351&lt;H351,"/!\","-")</f>
        <v>-</v>
      </c>
      <c r="J351" s="138"/>
      <c r="K351" s="139">
        <f>F351*J351</f>
        <v>0</v>
      </c>
      <c r="L351" s="30"/>
      <c r="M351" s="30"/>
      <c r="N351" s="30"/>
      <c r="O351" s="30"/>
      <c r="P351" s="30"/>
      <c r="Q351" s="30"/>
      <c r="R351" s="30"/>
      <c r="S351" s="30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</row>
    <row r="352" spans="1:44" ht="15.75" x14ac:dyDescent="0.25">
      <c r="A352" s="30"/>
      <c r="B352" s="39" t="s">
        <v>618</v>
      </c>
      <c r="C352" s="40" t="s">
        <v>663</v>
      </c>
      <c r="D352" s="41" t="s">
        <v>24</v>
      </c>
      <c r="E352" s="44" t="s">
        <v>24</v>
      </c>
      <c r="F352" s="43">
        <f>G352+SUMIF('[1]mouvement fours'!B:B,"=support motoreducteur",'[1]mouvement fours'!G:G)</f>
        <v>0</v>
      </c>
      <c r="G352" s="44">
        <v>0</v>
      </c>
      <c r="H352" s="44"/>
      <c r="I352" s="1" t="str">
        <f t="shared" si="22"/>
        <v>-</v>
      </c>
      <c r="J352" s="11">
        <v>67</v>
      </c>
      <c r="K352" s="12">
        <f t="shared" si="23"/>
        <v>0</v>
      </c>
      <c r="L352" s="30"/>
      <c r="M352" s="30"/>
      <c r="N352" s="30"/>
      <c r="O352" s="30"/>
      <c r="P352" s="30"/>
      <c r="Q352" s="30"/>
      <c r="R352" s="30"/>
      <c r="S352" s="30">
        <f>IF(Tableau113[[#This Row],[alerte stock]]="-",0,1)</f>
        <v>0</v>
      </c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</row>
    <row r="353" spans="1:44" ht="15.75" x14ac:dyDescent="0.25">
      <c r="A353" s="30"/>
      <c r="B353" s="39" t="s">
        <v>618</v>
      </c>
      <c r="C353" s="40" t="s">
        <v>664</v>
      </c>
      <c r="D353" s="41" t="s">
        <v>24</v>
      </c>
      <c r="E353" s="44" t="s">
        <v>24</v>
      </c>
      <c r="F353" s="43">
        <f>G353+SUMIF('[1]mouvement fours'!B:B,"=bague bronze",'[1]mouvement fours'!G:G)</f>
        <v>2</v>
      </c>
      <c r="G353" s="44">
        <v>2</v>
      </c>
      <c r="H353" s="44"/>
      <c r="I353" s="1" t="str">
        <f t="shared" si="22"/>
        <v>-</v>
      </c>
      <c r="J353" s="11">
        <v>16.739999999999998</v>
      </c>
      <c r="K353" s="12">
        <f t="shared" si="23"/>
        <v>33.479999999999997</v>
      </c>
      <c r="L353" s="30"/>
      <c r="M353" s="30"/>
      <c r="N353" s="30"/>
      <c r="O353" s="30"/>
      <c r="P353" s="30"/>
      <c r="Q353" s="30"/>
      <c r="R353" s="30"/>
      <c r="S353" s="30">
        <f>IF(Tableau113[[#This Row],[alerte stock]]="-",0,1)</f>
        <v>0</v>
      </c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</row>
    <row r="354" spans="1:44" ht="15.75" x14ac:dyDescent="0.25">
      <c r="A354" s="30"/>
      <c r="B354" s="39" t="s">
        <v>618</v>
      </c>
      <c r="C354" s="40" t="s">
        <v>665</v>
      </c>
      <c r="D354" s="41" t="s">
        <v>24</v>
      </c>
      <c r="E354" s="44" t="s">
        <v>24</v>
      </c>
      <c r="F354" s="43">
        <f>G354+SUMIF('[1]mouvement fours'!B:B,"=bague lattygraph",'[1]mouvement fours'!G:G)</f>
        <v>8</v>
      </c>
      <c r="G354" s="44">
        <v>8</v>
      </c>
      <c r="H354" s="44">
        <v>2</v>
      </c>
      <c r="I354" s="1" t="str">
        <f t="shared" si="22"/>
        <v>-</v>
      </c>
      <c r="J354" s="11">
        <v>19.600000000000001</v>
      </c>
      <c r="K354" s="12">
        <f t="shared" si="23"/>
        <v>156.80000000000001</v>
      </c>
      <c r="L354" s="30"/>
      <c r="M354" s="30"/>
      <c r="N354" s="30"/>
      <c r="O354" s="30"/>
      <c r="P354" s="30"/>
      <c r="Q354" s="30"/>
      <c r="R354" s="30"/>
      <c r="S354" s="30">
        <f>IF(Tableau113[[#This Row],[alerte stock]]="-",0,1)</f>
        <v>0</v>
      </c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</row>
    <row r="355" spans="1:44" ht="15.75" x14ac:dyDescent="0.25">
      <c r="A355" s="30"/>
      <c r="B355" s="39" t="s">
        <v>618</v>
      </c>
      <c r="C355" s="40" t="s">
        <v>666</v>
      </c>
      <c r="D355" s="41" t="s">
        <v>24</v>
      </c>
      <c r="E355" s="44" t="s">
        <v>24</v>
      </c>
      <c r="F355" s="43">
        <f>G355+SUMIF('[1]mouvement fours'!B:B,"=palier",'[1]mouvement fours'!G:G)</f>
        <v>0</v>
      </c>
      <c r="G355" s="44">
        <v>0</v>
      </c>
      <c r="H355" s="44">
        <v>1</v>
      </c>
      <c r="I355" s="1" t="str">
        <f t="shared" si="22"/>
        <v>/!\</v>
      </c>
      <c r="J355" s="11">
        <v>52</v>
      </c>
      <c r="K355" s="12">
        <f t="shared" si="23"/>
        <v>0</v>
      </c>
      <c r="L355" s="30"/>
      <c r="M355" s="30"/>
      <c r="N355" s="30"/>
      <c r="O355" s="30"/>
      <c r="P355" s="30"/>
      <c r="Q355" s="30"/>
      <c r="R355" s="30"/>
      <c r="S355" s="30">
        <f>IF(Tableau113[[#This Row],[alerte stock]]="-",0,1)</f>
        <v>1</v>
      </c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</row>
    <row r="356" spans="1:44" ht="15.75" x14ac:dyDescent="0.25">
      <c r="A356" s="30"/>
      <c r="B356" s="39" t="s">
        <v>618</v>
      </c>
      <c r="C356" s="40" t="s">
        <v>667</v>
      </c>
      <c r="D356" s="41" t="s">
        <v>668</v>
      </c>
      <c r="E356" s="44" t="s">
        <v>669</v>
      </c>
      <c r="F356" s="43">
        <f>G356+SUMIF('[1]mouvement fours'!B:B,"=Moteur soufflage 8,62",'[1]mouvement fours'!G:G)</f>
        <v>1</v>
      </c>
      <c r="G356" s="44">
        <v>1</v>
      </c>
      <c r="H356" s="44">
        <v>0</v>
      </c>
      <c r="I356" s="1" t="str">
        <f t="shared" si="22"/>
        <v>-</v>
      </c>
      <c r="J356" s="11">
        <v>1136.24</v>
      </c>
      <c r="K356" s="12">
        <f t="shared" si="23"/>
        <v>1136.24</v>
      </c>
      <c r="L356" s="30"/>
      <c r="M356" s="30"/>
      <c r="N356" s="30"/>
      <c r="O356" s="30"/>
      <c r="P356" s="30"/>
      <c r="Q356" s="30"/>
      <c r="R356" s="30"/>
      <c r="S356" s="30">
        <f>IF(Tableau113[[#This Row],[alerte stock]]="-",0,1)</f>
        <v>0</v>
      </c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</row>
    <row r="357" spans="1:44" ht="15.75" x14ac:dyDescent="0.25">
      <c r="A357" s="30"/>
      <c r="B357" s="39" t="s">
        <v>618</v>
      </c>
      <c r="C357" s="40" t="s">
        <v>670</v>
      </c>
      <c r="D357" s="41" t="s">
        <v>671</v>
      </c>
      <c r="E357" s="44" t="s">
        <v>24</v>
      </c>
      <c r="F357" s="43">
        <f>G357+SUMIF('[1]mouvement fours'!B:B,"=Relais sécu gaz bruleur",'[1]mouvement fours'!G:G)</f>
        <v>1</v>
      </c>
      <c r="G357" s="44">
        <v>1</v>
      </c>
      <c r="H357" s="44">
        <v>1</v>
      </c>
      <c r="I357" s="1" t="str">
        <f t="shared" si="22"/>
        <v>-</v>
      </c>
      <c r="J357" s="11">
        <v>0</v>
      </c>
      <c r="K357" s="12">
        <f t="shared" si="23"/>
        <v>0</v>
      </c>
      <c r="L357" s="30"/>
      <c r="M357" s="30"/>
      <c r="N357" s="30"/>
      <c r="O357" s="30"/>
      <c r="P357" s="30"/>
      <c r="Q357" s="30"/>
      <c r="R357" s="30"/>
      <c r="S357" s="30">
        <f>IF(Tableau113[[#This Row],[alerte stock]]="-",0,1)</f>
        <v>0</v>
      </c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</row>
    <row r="358" spans="1:44" ht="15.75" x14ac:dyDescent="0.25">
      <c r="A358" s="30"/>
      <c r="B358" s="39" t="s">
        <v>618</v>
      </c>
      <c r="C358" s="148" t="s">
        <v>672</v>
      </c>
      <c r="D358" s="149" t="s">
        <v>673</v>
      </c>
      <c r="E358" s="46" t="s">
        <v>24</v>
      </c>
      <c r="F358" s="150">
        <f>G358+SUMIF('[1]mouvement fours'!B:B,"=thermostat sécu 1",'[1]mouvement fours'!G:G)</f>
        <v>2</v>
      </c>
      <c r="G358" s="46">
        <v>2</v>
      </c>
      <c r="H358" s="46">
        <v>1</v>
      </c>
      <c r="I358" s="1" t="str">
        <f t="shared" si="22"/>
        <v>-</v>
      </c>
      <c r="J358" s="16">
        <v>447.3</v>
      </c>
      <c r="K358" s="151">
        <f t="shared" si="23"/>
        <v>894.6</v>
      </c>
      <c r="L358" s="30"/>
      <c r="M358" s="30"/>
      <c r="N358" s="30"/>
      <c r="O358" s="30"/>
      <c r="P358" s="30"/>
      <c r="Q358" s="30"/>
      <c r="R358" s="30"/>
      <c r="S358" s="30">
        <f>IF(Tableau113[[#This Row],[alerte stock]]="-",0,1)</f>
        <v>0</v>
      </c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</row>
    <row r="359" spans="1:44" ht="15.75" x14ac:dyDescent="0.25">
      <c r="A359" s="30"/>
      <c r="B359" s="39" t="s">
        <v>618</v>
      </c>
      <c r="C359" s="40" t="s">
        <v>674</v>
      </c>
      <c r="D359" s="41" t="s">
        <v>675</v>
      </c>
      <c r="E359" s="44" t="s">
        <v>24</v>
      </c>
      <c r="F359" s="43">
        <f>G359+SUMIF('[1]mouvement fours'!B:B,"=thermostat sécu 2",'[1]mouvement fours'!G:G)</f>
        <v>0</v>
      </c>
      <c r="G359" s="44">
        <v>1</v>
      </c>
      <c r="H359" s="44">
        <v>1</v>
      </c>
      <c r="I359" s="1" t="str">
        <f t="shared" si="22"/>
        <v>/!\</v>
      </c>
      <c r="J359" s="11">
        <v>447.3</v>
      </c>
      <c r="K359" s="12">
        <f t="shared" si="23"/>
        <v>0</v>
      </c>
      <c r="L359" s="30"/>
      <c r="M359" s="30"/>
      <c r="N359" s="30"/>
      <c r="O359" s="30"/>
      <c r="P359" s="30"/>
      <c r="Q359" s="30"/>
      <c r="R359" s="30"/>
      <c r="S359" s="30">
        <f>IF(Tableau113[[#This Row],[alerte stock]]="-",0,1)</f>
        <v>1</v>
      </c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</row>
    <row r="360" spans="1:44" ht="15.75" x14ac:dyDescent="0.25">
      <c r="A360" s="30"/>
      <c r="B360" s="140" t="s">
        <v>618</v>
      </c>
      <c r="C360" s="141" t="s">
        <v>676</v>
      </c>
      <c r="D360" s="142" t="s">
        <v>24</v>
      </c>
      <c r="E360" s="143" t="s">
        <v>24</v>
      </c>
      <c r="F360" s="144">
        <f>G360+SUMIF('[1]mouvement fours'!B:B,"=plaque rotation palier",'[1]mouvement fours'!G:G)</f>
        <v>1</v>
      </c>
      <c r="G360" s="143">
        <v>1</v>
      </c>
      <c r="H360" s="143">
        <v>1</v>
      </c>
      <c r="I360" s="1" t="str">
        <f t="shared" si="22"/>
        <v>-</v>
      </c>
      <c r="J360" s="11">
        <v>0</v>
      </c>
      <c r="K360" s="12">
        <f t="shared" si="23"/>
        <v>0</v>
      </c>
      <c r="L360" s="30"/>
      <c r="M360" s="30"/>
      <c r="N360" s="30"/>
      <c r="O360" s="30"/>
      <c r="P360" s="30"/>
      <c r="Q360" s="30"/>
      <c r="R360" s="30"/>
      <c r="S360" s="30">
        <f>IF(Tableau113[[#This Row],[alerte stock]]="-",0,1)</f>
        <v>0</v>
      </c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</row>
    <row r="361" spans="1:44" ht="15.75" x14ac:dyDescent="0.25">
      <c r="A361" s="30"/>
      <c r="B361" s="39" t="s">
        <v>618</v>
      </c>
      <c r="C361" s="40" t="s">
        <v>677</v>
      </c>
      <c r="D361" s="41" t="s">
        <v>24</v>
      </c>
      <c r="E361" s="44" t="s">
        <v>24</v>
      </c>
      <c r="F361" s="43">
        <f>G361+SUMIF('[1]mouvement fours'!B:B,"=tringlerie porte",'[1]mouvement fours'!G:G)</f>
        <v>1</v>
      </c>
      <c r="G361" s="44">
        <v>1</v>
      </c>
      <c r="H361" s="44">
        <v>1</v>
      </c>
      <c r="I361" s="1" t="str">
        <f t="shared" si="22"/>
        <v>-</v>
      </c>
      <c r="J361" s="11">
        <v>0</v>
      </c>
      <c r="K361" s="12">
        <f t="shared" si="23"/>
        <v>0</v>
      </c>
      <c r="L361" s="30"/>
      <c r="M361" s="13" t="s">
        <v>618</v>
      </c>
      <c r="N361" s="30"/>
      <c r="O361" s="30"/>
      <c r="P361" s="30"/>
      <c r="Q361" s="30"/>
      <c r="R361" s="30"/>
      <c r="S361" s="30">
        <f>IF(Tableau113[[#This Row],[alerte stock]]="-",0,1)</f>
        <v>0</v>
      </c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</row>
    <row r="362" spans="1:44" ht="15.75" x14ac:dyDescent="0.25">
      <c r="A362" s="30"/>
      <c r="B362" s="39" t="s">
        <v>618</v>
      </c>
      <c r="C362" s="152" t="s">
        <v>678</v>
      </c>
      <c r="D362" s="153"/>
      <c r="E362" s="153"/>
      <c r="F362" s="43">
        <f>G362+SUMIF('[1]mouvement fours'!B:B,"=poignée secu interieur",'[1]mouvement fours'!G:G)</f>
        <v>1</v>
      </c>
      <c r="G362" s="153">
        <v>1</v>
      </c>
      <c r="H362" s="153"/>
      <c r="I362" s="1" t="str">
        <f t="shared" si="22"/>
        <v>-</v>
      </c>
      <c r="J362" s="28"/>
      <c r="K362" s="28"/>
      <c r="L362" s="30"/>
      <c r="M362" s="35">
        <f>SUM(K325:K362)</f>
        <v>5075.01</v>
      </c>
      <c r="N362" s="30"/>
      <c r="O362" s="30"/>
      <c r="P362" s="30"/>
      <c r="Q362" s="30"/>
      <c r="R362" s="30"/>
      <c r="S362" s="30">
        <f>IF(Tableau113[[#This Row],[alerte stock]]="-",0,1)</f>
        <v>0</v>
      </c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</row>
    <row r="363" spans="1:44" ht="15.75" x14ac:dyDescent="0.25">
      <c r="A363" s="30"/>
      <c r="B363" s="13" t="s">
        <v>679</v>
      </c>
      <c r="C363" s="4" t="s">
        <v>680</v>
      </c>
      <c r="D363" s="5" t="s">
        <v>681</v>
      </c>
      <c r="E363" s="6" t="s">
        <v>682</v>
      </c>
      <c r="F363" s="7">
        <f>G363+SUMIF('[1]mouvement toshiba'!B:B,"=courroie crantée 124 L 075",'[1]mouvement toshiba'!G:G)</f>
        <v>1</v>
      </c>
      <c r="G363" s="6">
        <v>1</v>
      </c>
      <c r="H363" s="6">
        <v>1</v>
      </c>
      <c r="I363" s="1" t="str">
        <f>IF(F363&lt;H363,"/!\","-")</f>
        <v>-</v>
      </c>
      <c r="J363" s="11">
        <v>115.55</v>
      </c>
      <c r="K363" s="12">
        <f>F363*J363</f>
        <v>115.55</v>
      </c>
      <c r="L363" s="30"/>
      <c r="M363" s="30"/>
      <c r="N363" s="30"/>
      <c r="O363" s="30"/>
      <c r="P363" s="30"/>
      <c r="Q363" s="30"/>
      <c r="R363" s="30"/>
      <c r="S363" s="30">
        <f>IF(Tableau113[[#This Row],[alerte stock]]="-",0,1)</f>
        <v>0</v>
      </c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</row>
    <row r="364" spans="1:44" ht="15.75" x14ac:dyDescent="0.25">
      <c r="A364" s="30"/>
      <c r="B364" s="13" t="s">
        <v>679</v>
      </c>
      <c r="C364" s="4" t="s">
        <v>683</v>
      </c>
      <c r="D364" s="5" t="s">
        <v>684</v>
      </c>
      <c r="E364" s="6" t="s">
        <v>682</v>
      </c>
      <c r="F364" s="7">
        <f>G364+SUMIF('[1]mouvement toshiba'!B:B,"=rouleau d'entrainement inférieur face avant",'[1]mouvement toshiba'!G:G)</f>
        <v>0</v>
      </c>
      <c r="G364" s="6">
        <v>0</v>
      </c>
      <c r="H364" s="6">
        <v>1</v>
      </c>
      <c r="I364" s="1" t="str">
        <f t="shared" ref="I364:I369" si="24">IF(F364&lt;H364,"/!\","-")</f>
        <v>/!\</v>
      </c>
      <c r="J364" s="11">
        <v>53.07</v>
      </c>
      <c r="K364" s="12">
        <f t="shared" ref="K364:K369" si="25">F364*J364</f>
        <v>0</v>
      </c>
      <c r="L364" s="30"/>
      <c r="M364" s="30"/>
      <c r="N364" s="30"/>
      <c r="O364" s="30"/>
      <c r="P364" s="30"/>
      <c r="Q364" s="30"/>
      <c r="R364" s="30"/>
      <c r="S364" s="30">
        <f>IF(Tableau113[[#This Row],[alerte stock]]="-",0,1)</f>
        <v>1</v>
      </c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</row>
    <row r="365" spans="1:44" ht="15.75" x14ac:dyDescent="0.25">
      <c r="A365" s="30"/>
      <c r="B365" s="13" t="s">
        <v>679</v>
      </c>
      <c r="C365" s="4" t="s">
        <v>685</v>
      </c>
      <c r="D365" s="5" t="s">
        <v>686</v>
      </c>
      <c r="E365" s="6" t="s">
        <v>682</v>
      </c>
      <c r="F365" s="7">
        <f>G365+SUMIF('[1]mouvement toshiba'!B:B,"=rouleau d'entrainement inférieur face arrière",'[1]mouvement toshiba'!G:G)</f>
        <v>1</v>
      </c>
      <c r="G365" s="6">
        <v>1</v>
      </c>
      <c r="H365" s="6">
        <v>1</v>
      </c>
      <c r="I365" s="1" t="str">
        <f t="shared" si="24"/>
        <v>-</v>
      </c>
      <c r="J365" s="11">
        <v>48.4</v>
      </c>
      <c r="K365" s="12">
        <f t="shared" si="25"/>
        <v>48.4</v>
      </c>
      <c r="L365" s="30"/>
      <c r="M365" s="30"/>
      <c r="N365" s="30"/>
      <c r="O365" s="30"/>
      <c r="P365" s="30"/>
      <c r="Q365" s="30"/>
      <c r="R365" s="30"/>
      <c r="S365" s="30">
        <f>IF(Tableau113[[#This Row],[alerte stock]]="-",0,1)</f>
        <v>0</v>
      </c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</row>
    <row r="366" spans="1:44" ht="24" x14ac:dyDescent="0.25">
      <c r="A366" s="30"/>
      <c r="B366" s="13" t="s">
        <v>679</v>
      </c>
      <c r="C366" s="4" t="s">
        <v>687</v>
      </c>
      <c r="D366" s="5" t="s">
        <v>688</v>
      </c>
      <c r="E366" s="6" t="s">
        <v>682</v>
      </c>
      <c r="F366" s="7">
        <f>G366+SUMIF('[1]mouvement toshiba'!B:B,"=Tête thermique B-SA4T toshiba 200 DPI (ASYB-HEAD-SA4T FRU) imprimante bureau",'[1]mouvement toshiba'!G:G)</f>
        <v>3</v>
      </c>
      <c r="G366" s="6">
        <v>3</v>
      </c>
      <c r="H366" s="6">
        <v>1</v>
      </c>
      <c r="I366" s="1" t="str">
        <f t="shared" si="24"/>
        <v>-</v>
      </c>
      <c r="J366" s="11">
        <v>225</v>
      </c>
      <c r="K366" s="12">
        <f t="shared" si="25"/>
        <v>675</v>
      </c>
      <c r="L366" s="30"/>
      <c r="M366" s="30"/>
      <c r="N366" s="30"/>
      <c r="O366" s="30"/>
      <c r="P366" s="30"/>
      <c r="Q366" s="30"/>
      <c r="R366" s="30"/>
      <c r="S366" s="30">
        <f>IF(Tableau113[[#This Row],[alerte stock]]="-",0,1)</f>
        <v>0</v>
      </c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</row>
    <row r="367" spans="1:44" ht="15.75" x14ac:dyDescent="0.25">
      <c r="A367" s="30"/>
      <c r="B367" s="13" t="s">
        <v>679</v>
      </c>
      <c r="C367" s="4" t="s">
        <v>689</v>
      </c>
      <c r="D367" s="5" t="s">
        <v>690</v>
      </c>
      <c r="E367" s="6" t="s">
        <v>682</v>
      </c>
      <c r="F367" s="7">
        <f>G367+SUMIF('[1]mouvement toshiba'!B:B,"=Tête thermique B-SX4 toshiba (ASYB-HEAD2-SX-R FRU)",'[1]mouvement toshiba'!G:G)</f>
        <v>2</v>
      </c>
      <c r="G367" s="6">
        <v>2</v>
      </c>
      <c r="H367" s="6">
        <v>1</v>
      </c>
      <c r="I367" s="1" t="str">
        <f t="shared" si="24"/>
        <v>-</v>
      </c>
      <c r="J367" s="11">
        <v>232</v>
      </c>
      <c r="K367" s="12">
        <f t="shared" si="25"/>
        <v>464</v>
      </c>
      <c r="L367" s="30"/>
      <c r="M367" s="30"/>
      <c r="N367" s="30"/>
      <c r="O367" s="30"/>
      <c r="P367" s="30"/>
      <c r="Q367" s="30"/>
      <c r="R367" s="30"/>
      <c r="S367" s="30">
        <f>IF(Tableau113[[#This Row],[alerte stock]]="-",0,1)</f>
        <v>0</v>
      </c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</row>
    <row r="368" spans="1:44" ht="15.75" x14ac:dyDescent="0.25">
      <c r="A368" s="30"/>
      <c r="B368" s="13" t="s">
        <v>679</v>
      </c>
      <c r="C368" s="4" t="s">
        <v>680</v>
      </c>
      <c r="D368" s="5" t="s">
        <v>691</v>
      </c>
      <c r="E368" s="6" t="s">
        <v>28</v>
      </c>
      <c r="F368" s="7">
        <f>G368+SUMIF('[1]mouvement toshiba'!B:B,"=courroie crantée 124 L 075",'[1]mouvement toshiba'!G:G)</f>
        <v>1</v>
      </c>
      <c r="G368" s="6">
        <v>1</v>
      </c>
      <c r="H368" s="6">
        <v>1</v>
      </c>
      <c r="I368" s="1" t="str">
        <f t="shared" si="24"/>
        <v>-</v>
      </c>
      <c r="J368" s="11">
        <v>0</v>
      </c>
      <c r="K368" s="12">
        <f t="shared" si="25"/>
        <v>0</v>
      </c>
      <c r="L368" s="30"/>
      <c r="M368" s="13" t="s">
        <v>679</v>
      </c>
      <c r="N368" s="30"/>
      <c r="O368" s="30"/>
      <c r="P368" s="30"/>
      <c r="Q368" s="30"/>
      <c r="R368" s="30"/>
      <c r="S368" s="30">
        <f>IF(Tableau113[[#This Row],[alerte stock]]="-",0,1)</f>
        <v>0</v>
      </c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</row>
    <row r="369" spans="1:44" ht="15.75" x14ac:dyDescent="0.25">
      <c r="A369" s="30"/>
      <c r="B369" s="13" t="s">
        <v>679</v>
      </c>
      <c r="C369" s="4" t="s">
        <v>692</v>
      </c>
      <c r="D369" s="5" t="s">
        <v>693</v>
      </c>
      <c r="E369" s="6" t="s">
        <v>28</v>
      </c>
      <c r="F369" s="7">
        <f>G369+SUMIF('[1]mouvement toshiba'!B:B,"=détecteur photoélectrique",'[1]mouvement toshiba'!G:G)</f>
        <v>1</v>
      </c>
      <c r="G369" s="6">
        <v>1</v>
      </c>
      <c r="H369" s="6">
        <v>1</v>
      </c>
      <c r="I369" s="1" t="str">
        <f t="shared" si="24"/>
        <v>-</v>
      </c>
      <c r="J369" s="11">
        <v>0</v>
      </c>
      <c r="K369" s="12">
        <f t="shared" si="25"/>
        <v>0</v>
      </c>
      <c r="L369" s="30"/>
      <c r="M369" s="35">
        <f>SUM(K363:K369)</f>
        <v>1302.95</v>
      </c>
      <c r="N369" s="30"/>
      <c r="O369" s="30"/>
      <c r="P369" s="30"/>
      <c r="Q369" s="30"/>
      <c r="R369" s="30"/>
      <c r="S369" s="30">
        <f>IF(Tableau113[[#This Row],[alerte stock]]="-",0,1)</f>
        <v>0</v>
      </c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</row>
    <row r="370" spans="1:44" ht="15.75" x14ac:dyDescent="0.25">
      <c r="A370" s="30"/>
      <c r="B370" s="61" t="s">
        <v>694</v>
      </c>
      <c r="C370" s="154" t="s">
        <v>695</v>
      </c>
      <c r="D370" s="5">
        <v>28101450</v>
      </c>
      <c r="E370" s="155" t="s">
        <v>682</v>
      </c>
      <c r="F370" s="156">
        <f>G370+SUMIF('[1]mouvement toshiba'!B:B,"=courroie crantée 124 L 075",'[1]mouvement toshiba'!G:G)</f>
        <v>2</v>
      </c>
      <c r="G370" s="6">
        <v>2</v>
      </c>
      <c r="H370" s="155">
        <v>1</v>
      </c>
      <c r="I370" s="157" t="str">
        <f>IF(F370&lt;H370,"/!\","-")</f>
        <v>-</v>
      </c>
      <c r="J370" s="11">
        <v>436.5</v>
      </c>
      <c r="K370" s="158">
        <f>F370*J370</f>
        <v>873</v>
      </c>
      <c r="L370" s="30"/>
      <c r="M370" s="61" t="s">
        <v>694</v>
      </c>
      <c r="N370" s="30"/>
      <c r="O370" s="30"/>
      <c r="P370" s="30"/>
      <c r="Q370" s="30"/>
      <c r="R370" s="30"/>
      <c r="S370" s="30">
        <f>IF(Tableau113[[#This Row],[alerte stock]]="-",0,1)</f>
        <v>0</v>
      </c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</row>
    <row r="371" spans="1:44" ht="15.75" x14ac:dyDescent="0.25">
      <c r="A371" s="30"/>
      <c r="B371" s="13" t="s">
        <v>696</v>
      </c>
      <c r="C371" s="97" t="s">
        <v>697</v>
      </c>
      <c r="D371" s="5" t="s">
        <v>698</v>
      </c>
      <c r="E371" s="6" t="s">
        <v>699</v>
      </c>
      <c r="F371" s="7">
        <f>G371+SUMIF('[1]mouvement lynx'!B:B,"=Buze de tete",'[1]mouvement lynx'!G:G)</f>
        <v>2</v>
      </c>
      <c r="G371" s="6">
        <v>2</v>
      </c>
      <c r="H371" s="6">
        <v>1</v>
      </c>
      <c r="I371" s="1" t="str">
        <f t="shared" ref="I371:I434" si="26">IF(F371&lt;H371,"/!\","-")</f>
        <v>-</v>
      </c>
      <c r="J371" s="11">
        <v>936.7</v>
      </c>
      <c r="K371" s="12">
        <f t="shared" ref="K371:K376" si="27">F371*J371</f>
        <v>1873.4</v>
      </c>
      <c r="L371" s="30"/>
      <c r="M371" s="3">
        <f>SUM(Tableau113[[#This Row],[prix tot]])</f>
        <v>1873.4</v>
      </c>
      <c r="N371" s="30"/>
      <c r="O371" s="30"/>
      <c r="P371" s="30"/>
      <c r="Q371" s="30"/>
      <c r="R371" s="30"/>
      <c r="S371" s="30">
        <f>IF(Tableau113[[#This Row],[alerte stock]]="-",0,1)</f>
        <v>0</v>
      </c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</row>
    <row r="372" spans="1:44" ht="15.75" x14ac:dyDescent="0.25">
      <c r="A372" s="30"/>
      <c r="B372" s="13" t="s">
        <v>696</v>
      </c>
      <c r="C372" s="14" t="s">
        <v>700</v>
      </c>
      <c r="D372" s="5" t="s">
        <v>701</v>
      </c>
      <c r="E372" s="6" t="s">
        <v>699</v>
      </c>
      <c r="F372" s="7">
        <f>G372+SUMIF('[1]mouvement lynx'!B:B,"=cellule de détection",'[1]mouvement lynx'!G:G)</f>
        <v>1</v>
      </c>
      <c r="G372" s="6">
        <v>1</v>
      </c>
      <c r="H372" s="6">
        <v>1</v>
      </c>
      <c r="I372" s="1" t="str">
        <f t="shared" si="26"/>
        <v>-</v>
      </c>
      <c r="J372" s="11">
        <v>205.7</v>
      </c>
      <c r="K372" s="12">
        <f t="shared" si="27"/>
        <v>205.7</v>
      </c>
      <c r="L372" s="30"/>
      <c r="M372" s="30"/>
      <c r="N372" s="30"/>
      <c r="O372" s="30"/>
      <c r="P372" s="30"/>
      <c r="Q372" s="30"/>
      <c r="R372" s="30"/>
      <c r="S372" s="30">
        <f>IF(Tableau113[[#This Row],[alerte stock]]="-",0,1)</f>
        <v>0</v>
      </c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</row>
    <row r="373" spans="1:44" ht="15.75" x14ac:dyDescent="0.25">
      <c r="A373" s="30"/>
      <c r="B373" s="13" t="s">
        <v>696</v>
      </c>
      <c r="C373" s="14" t="s">
        <v>702</v>
      </c>
      <c r="D373" s="5" t="s">
        <v>703</v>
      </c>
      <c r="E373" s="6" t="s">
        <v>699</v>
      </c>
      <c r="F373" s="7">
        <f>G373+SUMIF('[1]mouvement lynx'!B:B,"=tete support",'[1]mouvement lynx'!G:G)</f>
        <v>1</v>
      </c>
      <c r="G373" s="6">
        <v>1</v>
      </c>
      <c r="H373" s="6">
        <v>1</v>
      </c>
      <c r="I373" s="1" t="str">
        <f t="shared" si="26"/>
        <v>-</v>
      </c>
      <c r="J373" s="11">
        <v>0</v>
      </c>
      <c r="K373" s="12">
        <f t="shared" si="27"/>
        <v>0</v>
      </c>
      <c r="L373" s="30"/>
      <c r="M373" s="30"/>
      <c r="N373" s="30"/>
      <c r="O373" s="30"/>
      <c r="P373" s="30"/>
      <c r="Q373" s="30"/>
      <c r="R373" s="30"/>
      <c r="S373" s="30">
        <f>IF(Tableau113[[#This Row],[alerte stock]]="-",0,1)</f>
        <v>0</v>
      </c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</row>
    <row r="374" spans="1:44" ht="15.75" x14ac:dyDescent="0.25">
      <c r="A374" s="30"/>
      <c r="B374" s="13" t="s">
        <v>696</v>
      </c>
      <c r="C374" s="14" t="s">
        <v>704</v>
      </c>
      <c r="D374" s="5" t="s">
        <v>705</v>
      </c>
      <c r="E374" s="6" t="s">
        <v>699</v>
      </c>
      <c r="F374" s="7">
        <f>G374+SUMIF('[1]mouvement lynx'!B:B,"=Kit d'entretien 7900",'[1]mouvement lynx'!G:G)</f>
        <v>0</v>
      </c>
      <c r="G374" s="6">
        <v>0</v>
      </c>
      <c r="H374" s="6">
        <v>1</v>
      </c>
      <c r="I374" s="1" t="str">
        <f t="shared" si="26"/>
        <v>/!\</v>
      </c>
      <c r="J374" s="11">
        <v>677</v>
      </c>
      <c r="K374" s="12">
        <f t="shared" si="27"/>
        <v>0</v>
      </c>
      <c r="L374" s="30"/>
      <c r="M374" s="30"/>
      <c r="N374" s="30"/>
      <c r="O374" s="30"/>
      <c r="P374" s="30"/>
      <c r="Q374" s="30"/>
      <c r="R374" s="30"/>
      <c r="S374" s="30">
        <f>IF(Tableau113[[#This Row],[alerte stock]]="-",0,1)</f>
        <v>1</v>
      </c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</row>
    <row r="375" spans="1:44" ht="15.75" x14ac:dyDescent="0.25">
      <c r="A375" s="30"/>
      <c r="B375" s="13" t="s">
        <v>696</v>
      </c>
      <c r="C375" s="14" t="s">
        <v>706</v>
      </c>
      <c r="D375" s="5" t="s">
        <v>707</v>
      </c>
      <c r="E375" s="6" t="s">
        <v>699</v>
      </c>
      <c r="F375" s="7">
        <f>G375+SUMIF('[1]mouvement lynx'!B:B,"=Kit de maintenance 5900/7300",'[1]mouvement lynx'!G:G)</f>
        <v>0</v>
      </c>
      <c r="G375" s="6">
        <v>0</v>
      </c>
      <c r="H375" s="6">
        <v>2</v>
      </c>
      <c r="I375" s="1" t="str">
        <f t="shared" si="26"/>
        <v>/!\</v>
      </c>
      <c r="J375" s="11">
        <v>548</v>
      </c>
      <c r="K375" s="12">
        <f t="shared" si="27"/>
        <v>0</v>
      </c>
      <c r="L375" s="30"/>
      <c r="M375" s="13" t="s">
        <v>696</v>
      </c>
      <c r="N375" s="30"/>
      <c r="O375" s="30"/>
      <c r="P375" s="30"/>
      <c r="Q375" s="30"/>
      <c r="R375" s="30"/>
      <c r="S375" s="30">
        <f>IF(Tableau113[[#This Row],[alerte stock]]="-",0,1)</f>
        <v>1</v>
      </c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</row>
    <row r="376" spans="1:44" ht="15.75" x14ac:dyDescent="0.25">
      <c r="A376" s="30"/>
      <c r="B376" s="13" t="s">
        <v>696</v>
      </c>
      <c r="C376" s="14" t="s">
        <v>708</v>
      </c>
      <c r="D376" s="5" t="s">
        <v>709</v>
      </c>
      <c r="E376" s="6" t="s">
        <v>699</v>
      </c>
      <c r="F376" s="7">
        <f>G376+SUMIF('[1]mouvement lynx'!B:B,"=tube damper drain",'[1]mouvement lynx'!G:G)</f>
        <v>0</v>
      </c>
      <c r="G376" s="6">
        <v>0</v>
      </c>
      <c r="H376" s="6">
        <v>1</v>
      </c>
      <c r="I376" s="1" t="str">
        <f t="shared" si="26"/>
        <v>/!\</v>
      </c>
      <c r="J376" s="11">
        <v>0</v>
      </c>
      <c r="K376" s="12">
        <f t="shared" si="27"/>
        <v>0</v>
      </c>
      <c r="L376" s="30"/>
      <c r="M376" s="35">
        <f>SUM(K372:K376)</f>
        <v>205.7</v>
      </c>
      <c r="N376" s="30"/>
      <c r="O376" s="30"/>
      <c r="P376" s="30"/>
      <c r="Q376" s="30"/>
      <c r="R376" s="30"/>
      <c r="S376" s="30">
        <f>IF(Tableau113[[#This Row],[alerte stock]]="-",0,1)</f>
        <v>1</v>
      </c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</row>
    <row r="377" spans="1:44" ht="15.75" x14ac:dyDescent="0.25">
      <c r="A377" s="30"/>
      <c r="B377" s="13" t="s">
        <v>710</v>
      </c>
      <c r="C377" s="159" t="s">
        <v>711</v>
      </c>
      <c r="D377" s="160">
        <v>100017013</v>
      </c>
      <c r="E377" s="161" t="s">
        <v>24</v>
      </c>
      <c r="F377" s="162">
        <f>G377+SUMIF('[1]mouv MULTIVAC R230 et R240'!B:B,"=clapet antiretour Gaz R230",'[1]mouv MULTIVAC R230 et R240'!G:G)</f>
        <v>0</v>
      </c>
      <c r="G377" s="163">
        <v>0</v>
      </c>
      <c r="H377" s="163">
        <v>0</v>
      </c>
      <c r="I377" s="1" t="str">
        <f t="shared" si="26"/>
        <v>-</v>
      </c>
      <c r="J377" s="164">
        <v>50.37</v>
      </c>
      <c r="K377" s="165">
        <f>J377*F377</f>
        <v>0</v>
      </c>
      <c r="L377" s="30"/>
      <c r="M377" s="30"/>
      <c r="N377" s="30"/>
      <c r="O377" s="30"/>
      <c r="P377" s="30"/>
      <c r="Q377" s="30"/>
      <c r="R377" s="30"/>
      <c r="S377" s="30">
        <f>IF(Tableau113[[#This Row],[alerte stock]]="-",0,1)</f>
        <v>0</v>
      </c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</row>
    <row r="378" spans="1:44" ht="15.75" x14ac:dyDescent="0.25">
      <c r="A378" s="30"/>
      <c r="B378" s="13" t="s">
        <v>710</v>
      </c>
      <c r="C378" s="166" t="s">
        <v>712</v>
      </c>
      <c r="D378" s="167">
        <v>105438247</v>
      </c>
      <c r="E378" s="161" t="s">
        <v>24</v>
      </c>
      <c r="F378" s="162">
        <f>G378+SUMIF('[1]mouv MULTIVAC R230 et R240'!B:B,"=Plaque de chauffe inférieur 240",'[1]mouv MULTIVAC R230 et R240'!G:G)</f>
        <v>1</v>
      </c>
      <c r="G378" s="163">
        <v>1</v>
      </c>
      <c r="H378" s="167">
        <v>1</v>
      </c>
      <c r="I378" s="1" t="str">
        <f t="shared" si="26"/>
        <v>-</v>
      </c>
      <c r="J378" s="168">
        <v>2215.19</v>
      </c>
      <c r="K378" s="165">
        <f t="shared" ref="K378:K441" si="28">J378*F378</f>
        <v>2215.19</v>
      </c>
      <c r="L378" s="30"/>
      <c r="M378" s="30"/>
      <c r="N378" s="30"/>
      <c r="O378" s="30"/>
      <c r="P378" s="30"/>
      <c r="Q378" s="30"/>
      <c r="R378" s="30"/>
      <c r="S378" s="30">
        <f>IF(Tableau113[[#This Row],[alerte stock]]="-",0,1)</f>
        <v>0</v>
      </c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</row>
    <row r="379" spans="1:44" ht="15.75" x14ac:dyDescent="0.25">
      <c r="A379" s="30"/>
      <c r="B379" s="13" t="s">
        <v>710</v>
      </c>
      <c r="C379" s="169" t="s">
        <v>713</v>
      </c>
      <c r="D379" s="167">
        <v>105438400</v>
      </c>
      <c r="E379" s="161" t="s">
        <v>24</v>
      </c>
      <c r="F379" s="162">
        <f>G379+SUMIF('[1]mouv MULTIVAC R230 et R240'!B:B,"=Plaque de soudure 240",'[1]mouv MULTIVAC R230 et R240'!G:G)</f>
        <v>1</v>
      </c>
      <c r="G379" s="163">
        <v>1</v>
      </c>
      <c r="H379" s="167">
        <v>1</v>
      </c>
      <c r="I379" s="1" t="str">
        <f t="shared" si="26"/>
        <v>-</v>
      </c>
      <c r="J379" s="168">
        <v>1836.71</v>
      </c>
      <c r="K379" s="165">
        <f t="shared" si="28"/>
        <v>1836.71</v>
      </c>
      <c r="L379" s="30"/>
      <c r="M379" s="30"/>
      <c r="N379" s="30"/>
      <c r="O379" s="30"/>
      <c r="P379" s="30"/>
      <c r="Q379" s="30"/>
      <c r="R379" s="30"/>
      <c r="S379" s="30">
        <f>IF(Tableau113[[#This Row],[alerte stock]]="-",0,1)</f>
        <v>0</v>
      </c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</row>
    <row r="380" spans="1:44" ht="15.75" x14ac:dyDescent="0.25">
      <c r="A380" s="30"/>
      <c r="B380" s="13" t="s">
        <v>710</v>
      </c>
      <c r="C380" s="166" t="s">
        <v>714</v>
      </c>
      <c r="D380" s="167">
        <v>105439078</v>
      </c>
      <c r="E380" s="161" t="s">
        <v>24</v>
      </c>
      <c r="F380" s="162">
        <f>G380+SUMIF('[1]mouv MULTIVAC R230 et R240'!B:B,"=Zone froide R240/230",'[1]mouv MULTIVAC R230 et R240'!G:G)</f>
        <v>4</v>
      </c>
      <c r="G380" s="163">
        <v>4</v>
      </c>
      <c r="H380" s="167">
        <v>4</v>
      </c>
      <c r="I380" s="1" t="str">
        <f t="shared" si="26"/>
        <v>-</v>
      </c>
      <c r="J380" s="168">
        <v>93.26</v>
      </c>
      <c r="K380" s="165">
        <f t="shared" si="28"/>
        <v>373.04</v>
      </c>
      <c r="L380" s="30"/>
      <c r="M380" s="30"/>
      <c r="N380" s="30"/>
      <c r="O380" s="30"/>
      <c r="P380" s="30"/>
      <c r="Q380" s="30"/>
      <c r="R380" s="30"/>
      <c r="S380" s="30">
        <f>IF(Tableau113[[#This Row],[alerte stock]]="-",0,1)</f>
        <v>0</v>
      </c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</row>
    <row r="381" spans="1:44" ht="15.75" x14ac:dyDescent="0.25">
      <c r="A381" s="30"/>
      <c r="B381" s="13" t="s">
        <v>710</v>
      </c>
      <c r="C381" s="166" t="s">
        <v>715</v>
      </c>
      <c r="D381" s="167">
        <v>105440648</v>
      </c>
      <c r="E381" s="161" t="s">
        <v>24</v>
      </c>
      <c r="F381" s="162">
        <f>G381+SUMIF('[1]mouv MULTIVAC R230 et R240'!B:B,"=Joint de soudure 2 voies 2 rangées R240",'[1]mouv MULTIVAC R230 et R240'!G:G)</f>
        <v>1</v>
      </c>
      <c r="G381" s="163">
        <v>2</v>
      </c>
      <c r="H381" s="167">
        <v>2</v>
      </c>
      <c r="I381" s="1" t="str">
        <f t="shared" si="26"/>
        <v>/!\</v>
      </c>
      <c r="J381" s="168">
        <v>102.66</v>
      </c>
      <c r="K381" s="165">
        <f t="shared" si="28"/>
        <v>102.66</v>
      </c>
      <c r="L381" s="30"/>
      <c r="M381" s="30"/>
      <c r="N381" s="30"/>
      <c r="O381" s="30"/>
      <c r="P381" s="30"/>
      <c r="Q381" s="30"/>
      <c r="R381" s="30"/>
      <c r="S381" s="30">
        <f>IF(Tableau113[[#This Row],[alerte stock]]="-",0,1)</f>
        <v>1</v>
      </c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</row>
    <row r="382" spans="1:44" ht="15.75" x14ac:dyDescent="0.25">
      <c r="A382" s="30"/>
      <c r="B382" s="13" t="s">
        <v>710</v>
      </c>
      <c r="C382" s="166" t="s">
        <v>716</v>
      </c>
      <c r="D382" s="167">
        <v>106520411</v>
      </c>
      <c r="E382" s="161" t="s">
        <v>24</v>
      </c>
      <c r="F382" s="162">
        <f>G382+SUMIF('[1]mouv MULTIVAC R230 et R240'!B:B,"=Plaque de chauffe 230",'[1]mouv MULTIVAC R230 et R240'!G:G)</f>
        <v>1</v>
      </c>
      <c r="G382" s="163">
        <v>1</v>
      </c>
      <c r="H382" s="167">
        <v>1</v>
      </c>
      <c r="I382" s="1" t="str">
        <f t="shared" si="26"/>
        <v>-</v>
      </c>
      <c r="J382" s="168">
        <v>1514.81</v>
      </c>
      <c r="K382" s="165">
        <f t="shared" si="28"/>
        <v>1514.81</v>
      </c>
      <c r="L382" s="30"/>
      <c r="M382" s="30"/>
      <c r="N382" s="30"/>
      <c r="O382" s="30"/>
      <c r="P382" s="30"/>
      <c r="Q382" s="30"/>
      <c r="R382" s="30"/>
      <c r="S382" s="30">
        <f>IF(Tableau113[[#This Row],[alerte stock]]="-",0,1)</f>
        <v>0</v>
      </c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</row>
    <row r="383" spans="1:44" ht="15.75" x14ac:dyDescent="0.25">
      <c r="A383" s="30"/>
      <c r="B383" s="13" t="s">
        <v>710</v>
      </c>
      <c r="C383" s="166" t="s">
        <v>717</v>
      </c>
      <c r="D383" s="167">
        <v>106521314</v>
      </c>
      <c r="E383" s="161" t="s">
        <v>24</v>
      </c>
      <c r="F383" s="162">
        <f>G383+SUMIF('[1]mouv MULTIVAC R230 et R240'!B:B,"=Joint de soudure 2 voies 1 rangée R230",'[1]mouv MULTIVAC R230 et R240'!G:G)</f>
        <v>1</v>
      </c>
      <c r="G383" s="163">
        <v>3</v>
      </c>
      <c r="H383" s="167">
        <v>1</v>
      </c>
      <c r="I383" s="1" t="str">
        <f t="shared" si="26"/>
        <v>-</v>
      </c>
      <c r="J383" s="168">
        <v>56.94</v>
      </c>
      <c r="K383" s="165">
        <f t="shared" si="28"/>
        <v>56.94</v>
      </c>
      <c r="L383" s="30"/>
      <c r="M383" s="30"/>
      <c r="N383" s="30"/>
      <c r="O383" s="30"/>
      <c r="P383" s="30"/>
      <c r="Q383" s="30"/>
      <c r="R383" s="30"/>
      <c r="S383" s="30">
        <f>IF(Tableau113[[#This Row],[alerte stock]]="-",0,1)</f>
        <v>0</v>
      </c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</row>
    <row r="384" spans="1:44" ht="15.75" x14ac:dyDescent="0.25">
      <c r="A384" s="30"/>
      <c r="B384" s="13" t="s">
        <v>710</v>
      </c>
      <c r="C384" s="169" t="s">
        <v>718</v>
      </c>
      <c r="D384" s="167">
        <v>106521340</v>
      </c>
      <c r="E384" s="161" t="s">
        <v>24</v>
      </c>
      <c r="F384" s="162">
        <f>G384+SUMIF('[1]mouv MULTIVAC R230 et R240'!B:B,"=Plaque de soudure R230",'[1]mouv MULTIVAC R230 et R240'!G:G)</f>
        <v>1</v>
      </c>
      <c r="G384" s="163">
        <v>1</v>
      </c>
      <c r="H384" s="167">
        <v>1</v>
      </c>
      <c r="I384" s="1" t="str">
        <f t="shared" si="26"/>
        <v>-</v>
      </c>
      <c r="J384" s="168">
        <v>1218.03</v>
      </c>
      <c r="K384" s="165">
        <f t="shared" si="28"/>
        <v>1218.03</v>
      </c>
      <c r="L384" s="30"/>
      <c r="M384" s="30"/>
      <c r="N384" s="30"/>
      <c r="O384" s="30"/>
      <c r="P384" s="30"/>
      <c r="Q384" s="30"/>
      <c r="R384" s="30"/>
      <c r="S384" s="30">
        <f>IF(Tableau113[[#This Row],[alerte stock]]="-",0,1)</f>
        <v>0</v>
      </c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</row>
    <row r="385" spans="1:44" ht="15.75" x14ac:dyDescent="0.25">
      <c r="A385" s="30"/>
      <c r="B385" s="13" t="s">
        <v>710</v>
      </c>
      <c r="C385" s="170" t="s">
        <v>719</v>
      </c>
      <c r="D385" s="167">
        <v>200156169</v>
      </c>
      <c r="E385" s="161" t="s">
        <v>24</v>
      </c>
      <c r="F385" s="162">
        <f>G385+SUMIF('[1]mouv MULTIVAC R230 et R240'!B:B,"=capteur d'étiquettes optisch L1=50",'[1]mouv MULTIVAC R230 et R240'!G:G)</f>
        <v>3</v>
      </c>
      <c r="G385" s="163">
        <v>3</v>
      </c>
      <c r="H385" s="163">
        <v>1</v>
      </c>
      <c r="I385" s="1" t="str">
        <f t="shared" si="26"/>
        <v>-</v>
      </c>
      <c r="J385" s="164">
        <v>339.06</v>
      </c>
      <c r="K385" s="165">
        <f t="shared" si="28"/>
        <v>1017.1800000000001</v>
      </c>
      <c r="L385" s="30"/>
      <c r="M385" s="30"/>
      <c r="N385" s="30"/>
      <c r="O385" s="30"/>
      <c r="P385" s="30"/>
      <c r="Q385" s="30"/>
      <c r="R385" s="30"/>
      <c r="S385" s="30">
        <f>IF(Tableau113[[#This Row],[alerte stock]]="-",0,1)</f>
        <v>0</v>
      </c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</row>
    <row r="386" spans="1:44" ht="15.75" x14ac:dyDescent="0.25">
      <c r="A386" s="30"/>
      <c r="B386" s="13" t="s">
        <v>710</v>
      </c>
      <c r="C386" s="170" t="s">
        <v>720</v>
      </c>
      <c r="D386" s="167">
        <v>11450848500</v>
      </c>
      <c r="E386" s="161" t="s">
        <v>24</v>
      </c>
      <c r="F386" s="162">
        <f>G386+SUMIF('[1]mouv MULTIVAC R230 et R240'!B:B,"=buse de reinjection Gaz",'[1]mouv MULTIVAC R230 et R240'!G:G)</f>
        <v>6</v>
      </c>
      <c r="G386" s="163">
        <v>6</v>
      </c>
      <c r="H386" s="163">
        <v>6</v>
      </c>
      <c r="I386" s="1" t="str">
        <f t="shared" si="26"/>
        <v>-</v>
      </c>
      <c r="J386" s="164">
        <v>18.63</v>
      </c>
      <c r="K386" s="165">
        <f t="shared" si="28"/>
        <v>111.78</v>
      </c>
      <c r="L386" s="30"/>
      <c r="M386" s="30"/>
      <c r="N386" s="30"/>
      <c r="O386" s="30"/>
      <c r="P386" s="30"/>
      <c r="Q386" s="30"/>
      <c r="R386" s="30"/>
      <c r="S386" s="30">
        <f>IF(Tableau113[[#This Row],[alerte stock]]="-",0,1)</f>
        <v>0</v>
      </c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</row>
    <row r="387" spans="1:44" ht="15.75" x14ac:dyDescent="0.25">
      <c r="A387" s="30"/>
      <c r="B387" s="13" t="s">
        <v>710</v>
      </c>
      <c r="C387" s="170" t="s">
        <v>721</v>
      </c>
      <c r="D387" s="167">
        <v>11550936010</v>
      </c>
      <c r="E387" s="161" t="s">
        <v>24</v>
      </c>
      <c r="F387" s="162">
        <f>G387+SUMIF('[1]mouv MULTIVAC R230 et R240'!B:B,"=douilles",'[1]mouv MULTIVAC R230 et R240'!G:G)</f>
        <v>16</v>
      </c>
      <c r="G387" s="163">
        <v>16</v>
      </c>
      <c r="H387" s="163">
        <v>10</v>
      </c>
      <c r="I387" s="1" t="str">
        <f t="shared" si="26"/>
        <v>-</v>
      </c>
      <c r="J387" s="164">
        <v>4.8</v>
      </c>
      <c r="K387" s="165">
        <f t="shared" si="28"/>
        <v>76.8</v>
      </c>
      <c r="L387" s="30"/>
      <c r="M387" s="30"/>
      <c r="N387" s="30"/>
      <c r="O387" s="30"/>
      <c r="P387" s="30"/>
      <c r="Q387" s="30"/>
      <c r="R387" s="30"/>
      <c r="S387" s="30">
        <f>IF(Tableau113[[#This Row],[alerte stock]]="-",0,1)</f>
        <v>0</v>
      </c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</row>
    <row r="388" spans="1:44" ht="15.75" x14ac:dyDescent="0.25">
      <c r="A388" s="30"/>
      <c r="B388" s="13" t="s">
        <v>710</v>
      </c>
      <c r="C388" s="170" t="s">
        <v>722</v>
      </c>
      <c r="D388" s="167">
        <v>11550939000</v>
      </c>
      <c r="E388" s="161" t="s">
        <v>24</v>
      </c>
      <c r="F388" s="162">
        <f>G388+SUMIF('[1]mouv MULTIVAC R230 et R240'!B:B,"=bouchon",'[1]mouv MULTIVAC R230 et R240'!G:G)</f>
        <v>2</v>
      </c>
      <c r="G388" s="163">
        <v>2</v>
      </c>
      <c r="H388" s="163">
        <v>1</v>
      </c>
      <c r="I388" s="1" t="str">
        <f t="shared" si="26"/>
        <v>-</v>
      </c>
      <c r="J388" s="164">
        <v>46.28</v>
      </c>
      <c r="K388" s="165">
        <f t="shared" si="28"/>
        <v>92.56</v>
      </c>
      <c r="L388" s="30"/>
      <c r="M388" s="30"/>
      <c r="N388" s="30"/>
      <c r="O388" s="30"/>
      <c r="P388" s="30"/>
      <c r="Q388" s="30"/>
      <c r="R388" s="30"/>
      <c r="S388" s="30">
        <f>IF(Tableau113[[#This Row],[alerte stock]]="-",0,1)</f>
        <v>0</v>
      </c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</row>
    <row r="389" spans="1:44" ht="15.75" x14ac:dyDescent="0.25">
      <c r="A389" s="30"/>
      <c r="B389" s="13" t="s">
        <v>710</v>
      </c>
      <c r="C389" s="166" t="s">
        <v>723</v>
      </c>
      <c r="D389" s="167">
        <v>11550976000</v>
      </c>
      <c r="E389" s="161" t="s">
        <v>24</v>
      </c>
      <c r="F389" s="162">
        <f>G389+SUMIF('[1]mouv MULTIVAC R230 et R240'!B:B,"=Cale de hauteur 0,2 carré",'[1]mouv MULTIVAC R230 et R240'!G:G)</f>
        <v>9</v>
      </c>
      <c r="G389" s="163">
        <v>9</v>
      </c>
      <c r="H389" s="167">
        <v>0</v>
      </c>
      <c r="I389" s="1" t="str">
        <f t="shared" si="26"/>
        <v>-</v>
      </c>
      <c r="J389" s="168">
        <v>6.38</v>
      </c>
      <c r="K389" s="165">
        <f t="shared" si="28"/>
        <v>57.42</v>
      </c>
      <c r="L389" s="30"/>
      <c r="M389" s="30"/>
      <c r="N389" s="30"/>
      <c r="O389" s="30"/>
      <c r="P389" s="30"/>
      <c r="Q389" s="30"/>
      <c r="R389" s="30"/>
      <c r="S389" s="30">
        <f>IF(Tableau113[[#This Row],[alerte stock]]="-",0,1)</f>
        <v>0</v>
      </c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</row>
    <row r="390" spans="1:44" ht="15.75" x14ac:dyDescent="0.25">
      <c r="A390" s="30"/>
      <c r="B390" s="13" t="s">
        <v>710</v>
      </c>
      <c r="C390" s="166" t="s">
        <v>724</v>
      </c>
      <c r="D390" s="167">
        <v>11557912452</v>
      </c>
      <c r="E390" s="161" t="s">
        <v>24</v>
      </c>
      <c r="F390" s="162">
        <f>G390+SUMIF('[1]mouv MULTIVAC R230 et R240'!B:B,"=poignée enrouleur de lizière",'[1]mouv MULTIVAC R230 et R240'!G:G)</f>
        <v>1</v>
      </c>
      <c r="G390" s="163">
        <v>1</v>
      </c>
      <c r="H390" s="167">
        <v>1</v>
      </c>
      <c r="I390" s="1" t="str">
        <f t="shared" si="26"/>
        <v>-</v>
      </c>
      <c r="J390" s="168">
        <v>131.44999999999999</v>
      </c>
      <c r="K390" s="165">
        <f t="shared" si="28"/>
        <v>131.44999999999999</v>
      </c>
      <c r="L390" s="30"/>
      <c r="M390" s="30"/>
      <c r="N390" s="30"/>
      <c r="O390" s="30"/>
      <c r="P390" s="30"/>
      <c r="Q390" s="30"/>
      <c r="R390" s="30"/>
      <c r="S390" s="30">
        <f>IF(Tableau113[[#This Row],[alerte stock]]="-",0,1)</f>
        <v>0</v>
      </c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</row>
    <row r="391" spans="1:44" ht="15.75" x14ac:dyDescent="0.25">
      <c r="A391" s="30"/>
      <c r="B391" s="13" t="s">
        <v>710</v>
      </c>
      <c r="C391" s="170" t="s">
        <v>725</v>
      </c>
      <c r="D391" s="167">
        <v>11611237001</v>
      </c>
      <c r="E391" s="161" t="s">
        <v>24</v>
      </c>
      <c r="F391" s="162">
        <f>G391+SUMIF('[1]mouv MULTIVAC R230 et R240'!B:B,"=R230, Rondelle téflons D1-100 D2-36 L1-5 L2-0,5 PA6E",'[1]mouv MULTIVAC R230 et R240'!G:G)</f>
        <v>8</v>
      </c>
      <c r="G391" s="163">
        <v>8</v>
      </c>
      <c r="H391" s="163">
        <v>8</v>
      </c>
      <c r="I391" s="1" t="str">
        <f t="shared" si="26"/>
        <v>-</v>
      </c>
      <c r="J391" s="164">
        <v>31.01</v>
      </c>
      <c r="K391" s="165">
        <f t="shared" si="28"/>
        <v>248.08</v>
      </c>
      <c r="L391" s="30"/>
      <c r="M391" s="30"/>
      <c r="N391" s="30"/>
      <c r="O391" s="30"/>
      <c r="P391" s="30"/>
      <c r="Q391" s="30"/>
      <c r="R391" s="30"/>
      <c r="S391" s="30">
        <f>IF(Tableau113[[#This Row],[alerte stock]]="-",0,1)</f>
        <v>0</v>
      </c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</row>
    <row r="392" spans="1:44" ht="15.75" x14ac:dyDescent="0.25">
      <c r="A392" s="30"/>
      <c r="B392" s="13" t="s">
        <v>710</v>
      </c>
      <c r="C392" s="166" t="s">
        <v>726</v>
      </c>
      <c r="D392" s="167">
        <v>11631017902</v>
      </c>
      <c r="E392" s="161" t="s">
        <v>24</v>
      </c>
      <c r="F392" s="162">
        <f>G392+SUMIF('[1]mouv MULTIVAC R230 et R240'!B:B,"=Douille rouleau entrée film",'[1]mouv MULTIVAC R230 et R240'!G:G)</f>
        <v>1</v>
      </c>
      <c r="G392" s="163">
        <v>1</v>
      </c>
      <c r="H392" s="167">
        <v>0</v>
      </c>
      <c r="I392" s="1" t="str">
        <f t="shared" si="26"/>
        <v>-</v>
      </c>
      <c r="J392" s="168">
        <v>69.5</v>
      </c>
      <c r="K392" s="165">
        <f t="shared" si="28"/>
        <v>69.5</v>
      </c>
      <c r="L392" s="30"/>
      <c r="M392" s="30"/>
      <c r="N392" s="30"/>
      <c r="O392" s="30"/>
      <c r="P392" s="30"/>
      <c r="Q392" s="30"/>
      <c r="R392" s="30"/>
      <c r="S392" s="30">
        <f>IF(Tableau113[[#This Row],[alerte stock]]="-",0,1)</f>
        <v>0</v>
      </c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</row>
    <row r="393" spans="1:44" ht="15.75" x14ac:dyDescent="0.25">
      <c r="A393" s="30"/>
      <c r="B393" s="13" t="s">
        <v>710</v>
      </c>
      <c r="C393" s="170" t="s">
        <v>727</v>
      </c>
      <c r="D393" s="167">
        <v>11631038043</v>
      </c>
      <c r="E393" s="161" t="s">
        <v>24</v>
      </c>
      <c r="F393" s="162">
        <f>G393+SUMIF('[1]mouv MULTIVAC R230 et R240'!B:B,"=douilles (guide film sur rouleaux soudure)",'[1]mouv MULTIVAC R230 et R240'!G:G)</f>
        <v>8</v>
      </c>
      <c r="G393" s="163">
        <v>8</v>
      </c>
      <c r="H393" s="163">
        <v>2</v>
      </c>
      <c r="I393" s="1" t="str">
        <f t="shared" si="26"/>
        <v>-</v>
      </c>
      <c r="J393" s="164">
        <v>13.53</v>
      </c>
      <c r="K393" s="165">
        <f t="shared" si="28"/>
        <v>108.24</v>
      </c>
      <c r="L393" s="30"/>
      <c r="M393" s="30"/>
      <c r="N393" s="30"/>
      <c r="O393" s="30"/>
      <c r="P393" s="30"/>
      <c r="Q393" s="30"/>
      <c r="R393" s="30"/>
      <c r="S393" s="30">
        <f>IF(Tableau113[[#This Row],[alerte stock]]="-",0,1)</f>
        <v>0</v>
      </c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</row>
    <row r="394" spans="1:44" ht="15.75" x14ac:dyDescent="0.25">
      <c r="A394" s="30"/>
      <c r="B394" s="13" t="s">
        <v>710</v>
      </c>
      <c r="C394" s="170" t="s">
        <v>728</v>
      </c>
      <c r="D394" s="167">
        <v>11686015800</v>
      </c>
      <c r="E394" s="161" t="s">
        <v>24</v>
      </c>
      <c r="F394" s="162">
        <f>G394+SUMIF('[1]mouv MULTIVAC R230 et R240'!B:B,"=fin de course enrouleur de lizières SIEMENS 3se5232-oce12-1cao",'[1]mouv MULTIVAC R230 et R240'!G:G)</f>
        <v>2</v>
      </c>
      <c r="G394" s="163">
        <v>2</v>
      </c>
      <c r="H394" s="163">
        <v>1</v>
      </c>
      <c r="I394" s="1" t="str">
        <f t="shared" si="26"/>
        <v>-</v>
      </c>
      <c r="J394" s="164">
        <v>286.89999999999998</v>
      </c>
      <c r="K394" s="165">
        <f t="shared" si="28"/>
        <v>573.79999999999995</v>
      </c>
      <c r="L394" s="30"/>
      <c r="M394" s="30"/>
      <c r="N394" s="30"/>
      <c r="O394" s="30"/>
      <c r="P394" s="30"/>
      <c r="Q394" s="30"/>
      <c r="R394" s="30"/>
      <c r="S394" s="30">
        <f>IF(Tableau113[[#This Row],[alerte stock]]="-",0,1)</f>
        <v>0</v>
      </c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</row>
    <row r="395" spans="1:44" ht="15.75" x14ac:dyDescent="0.25">
      <c r="A395" s="30"/>
      <c r="B395" s="13" t="s">
        <v>710</v>
      </c>
      <c r="C395" s="166" t="s">
        <v>729</v>
      </c>
      <c r="D395" s="167">
        <v>19010049435</v>
      </c>
      <c r="E395" s="161" t="s">
        <v>24</v>
      </c>
      <c r="F395" s="162">
        <f>G395+SUMIF('[1]mouv MULTIVAC R230 et R240'!B:B,"=Membrane de soudure 100X435 R240",'[1]mouv MULTIVAC R230 et R240'!G:G)</f>
        <v>1</v>
      </c>
      <c r="G395" s="163">
        <v>1</v>
      </c>
      <c r="H395" s="167">
        <v>2</v>
      </c>
      <c r="I395" s="1" t="str">
        <f t="shared" si="26"/>
        <v>/!\</v>
      </c>
      <c r="J395" s="168">
        <v>91.66</v>
      </c>
      <c r="K395" s="165">
        <f t="shared" si="28"/>
        <v>91.66</v>
      </c>
      <c r="L395" s="30"/>
      <c r="M395" s="30"/>
      <c r="N395" s="30"/>
      <c r="O395" s="30"/>
      <c r="P395" s="30"/>
      <c r="Q395" s="30"/>
      <c r="R395" s="30"/>
      <c r="S395" s="30">
        <f>IF(Tableau113[[#This Row],[alerte stock]]="-",0,1)</f>
        <v>1</v>
      </c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</row>
    <row r="396" spans="1:44" ht="15.75" x14ac:dyDescent="0.25">
      <c r="A396" s="30"/>
      <c r="B396" s="13" t="s">
        <v>710</v>
      </c>
      <c r="C396" s="166" t="s">
        <v>730</v>
      </c>
      <c r="D396" s="167">
        <v>19010249315</v>
      </c>
      <c r="E396" s="161" t="s">
        <v>24</v>
      </c>
      <c r="F396" s="162">
        <f>G396+SUMIF('[1]mouv MULTIVAC R230 et R240'!B:B,"=Membrane de soudure 120X315 R230",'[1]mouv MULTIVAC R230 et R240'!G:G)</f>
        <v>2</v>
      </c>
      <c r="G396" s="163">
        <v>2</v>
      </c>
      <c r="H396" s="167">
        <v>1</v>
      </c>
      <c r="I396" s="1" t="str">
        <f t="shared" si="26"/>
        <v>-</v>
      </c>
      <c r="J396" s="168">
        <v>91.66</v>
      </c>
      <c r="K396" s="165">
        <f t="shared" si="28"/>
        <v>183.32</v>
      </c>
      <c r="L396" s="30"/>
      <c r="M396" s="30"/>
      <c r="N396" s="30"/>
      <c r="O396" s="30"/>
      <c r="P396" s="30"/>
      <c r="Q396" s="30"/>
      <c r="R396" s="30"/>
      <c r="S396" s="30">
        <f>IF(Tableau113[[#This Row],[alerte stock]]="-",0,1)</f>
        <v>0</v>
      </c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</row>
    <row r="397" spans="1:44" ht="15.75" x14ac:dyDescent="0.25">
      <c r="A397" s="30"/>
      <c r="B397" s="13" t="s">
        <v>710</v>
      </c>
      <c r="C397" s="170" t="s">
        <v>731</v>
      </c>
      <c r="D397" s="167">
        <v>19181271474</v>
      </c>
      <c r="E397" s="161" t="s">
        <v>24</v>
      </c>
      <c r="F397" s="162">
        <f>G397+SUMIF('[1]mouv MULTIVAC R230 et R240'!B:B,"=pochette uv5 joint",'[1]mouv MULTIVAC R230 et R240'!G:G)</f>
        <v>19</v>
      </c>
      <c r="G397" s="163">
        <v>19</v>
      </c>
      <c r="H397" s="163">
        <v>10</v>
      </c>
      <c r="I397" s="1" t="str">
        <f t="shared" si="26"/>
        <v>-</v>
      </c>
      <c r="J397" s="164">
        <v>31.8</v>
      </c>
      <c r="K397" s="165">
        <f t="shared" si="28"/>
        <v>604.20000000000005</v>
      </c>
      <c r="L397" s="30"/>
      <c r="M397" s="30"/>
      <c r="N397" s="30"/>
      <c r="O397" s="30"/>
      <c r="P397" s="30"/>
      <c r="Q397" s="30"/>
      <c r="R397" s="30"/>
      <c r="S397" s="30">
        <f>IF(Tableau113[[#This Row],[alerte stock]]="-",0,1)</f>
        <v>0</v>
      </c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</row>
    <row r="398" spans="1:44" ht="15.75" x14ac:dyDescent="0.25">
      <c r="A398" s="30"/>
      <c r="B398" s="13" t="s">
        <v>710</v>
      </c>
      <c r="C398" s="166" t="s">
        <v>732</v>
      </c>
      <c r="D398" s="167">
        <v>19181271484</v>
      </c>
      <c r="E398" s="161" t="s">
        <v>24</v>
      </c>
      <c r="F398" s="162">
        <f>G398+SUMIF('[1]mouv MULTIVAC R230 et R240'!B:B,"=Pochette UV10",'[1]mouv MULTIVAC R230 et R240'!G:G)</f>
        <v>10</v>
      </c>
      <c r="G398" s="163">
        <v>10</v>
      </c>
      <c r="H398" s="167">
        <v>10</v>
      </c>
      <c r="I398" s="1" t="str">
        <f t="shared" si="26"/>
        <v>-</v>
      </c>
      <c r="J398" s="168">
        <v>8.2200000000000006</v>
      </c>
      <c r="K398" s="165">
        <f t="shared" si="28"/>
        <v>82.2</v>
      </c>
      <c r="L398" s="30"/>
      <c r="M398" s="30"/>
      <c r="N398" s="30"/>
      <c r="O398" s="30"/>
      <c r="P398" s="30"/>
      <c r="Q398" s="30"/>
      <c r="R398" s="30"/>
      <c r="S398" s="30">
        <f>IF(Tableau113[[#This Row],[alerte stock]]="-",0,1)</f>
        <v>0</v>
      </c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</row>
    <row r="399" spans="1:44" ht="15.75" x14ac:dyDescent="0.25">
      <c r="A399" s="30"/>
      <c r="B399" s="13" t="s">
        <v>710</v>
      </c>
      <c r="C399" s="166" t="s">
        <v>733</v>
      </c>
      <c r="D399" s="167">
        <v>19181271706</v>
      </c>
      <c r="E399" s="161" t="s">
        <v>24</v>
      </c>
      <c r="F399" s="162">
        <f>G399+SUMIF('[1]mouv MULTIVAC R230 et R240'!B:B,"=Joint (d'étanchéité) de soupape gros",'[1]mouv MULTIVAC R230 et R240'!G:G)</f>
        <v>8</v>
      </c>
      <c r="G399" s="163">
        <v>8</v>
      </c>
      <c r="H399" s="167">
        <v>6</v>
      </c>
      <c r="I399" s="1" t="str">
        <f t="shared" si="26"/>
        <v>-</v>
      </c>
      <c r="J399" s="168">
        <v>49.65</v>
      </c>
      <c r="K399" s="165">
        <f t="shared" si="28"/>
        <v>397.2</v>
      </c>
      <c r="L399" s="30"/>
      <c r="M399" s="30"/>
      <c r="N399" s="30"/>
      <c r="O399" s="30"/>
      <c r="P399" s="30"/>
      <c r="Q399" s="30"/>
      <c r="R399" s="30"/>
      <c r="S399" s="30">
        <f>IF(Tableau113[[#This Row],[alerte stock]]="-",0,1)</f>
        <v>0</v>
      </c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</row>
    <row r="400" spans="1:44" ht="15.75" x14ac:dyDescent="0.25">
      <c r="A400" s="30"/>
      <c r="B400" s="13" t="s">
        <v>710</v>
      </c>
      <c r="C400" s="166" t="s">
        <v>734</v>
      </c>
      <c r="D400" s="167">
        <v>19188102018</v>
      </c>
      <c r="E400" s="161" t="s">
        <v>24</v>
      </c>
      <c r="F400" s="162">
        <f>G400+SUMIF('[1]mouv MULTIVAC R230 et R240'!B:B,"=Résistance blindées",'[1]mouv MULTIVAC R230 et R240'!G:G)</f>
        <v>4</v>
      </c>
      <c r="G400" s="163">
        <v>4</v>
      </c>
      <c r="H400" s="167">
        <v>0</v>
      </c>
      <c r="I400" s="1" t="str">
        <f t="shared" si="26"/>
        <v>-</v>
      </c>
      <c r="J400" s="168">
        <v>74.290000000000006</v>
      </c>
      <c r="K400" s="165">
        <f t="shared" si="28"/>
        <v>297.16000000000003</v>
      </c>
      <c r="L400" s="30"/>
      <c r="M400" s="30"/>
      <c r="N400" s="30"/>
      <c r="O400" s="30"/>
      <c r="P400" s="30"/>
      <c r="Q400" s="30"/>
      <c r="R400" s="30"/>
      <c r="S400" s="30">
        <f>IF(Tableau113[[#This Row],[alerte stock]]="-",0,1)</f>
        <v>0</v>
      </c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</row>
    <row r="401" spans="1:44" ht="15.75" x14ac:dyDescent="0.25">
      <c r="A401" s="30"/>
      <c r="B401" s="13" t="s">
        <v>710</v>
      </c>
      <c r="C401" s="166" t="s">
        <v>735</v>
      </c>
      <c r="D401" s="167">
        <v>19781202000</v>
      </c>
      <c r="E401" s="161" t="s">
        <v>24</v>
      </c>
      <c r="F401" s="162">
        <f>G401+SUMIF('[1]mouv MULTIVAC R230 et R240'!B:B,"=Ressort de soudure ou de pression",'[1]mouv MULTIVAC R230 et R240'!G:G)</f>
        <v>24</v>
      </c>
      <c r="G401" s="163">
        <v>24</v>
      </c>
      <c r="H401" s="167">
        <v>24</v>
      </c>
      <c r="I401" s="1" t="str">
        <f t="shared" si="26"/>
        <v>-</v>
      </c>
      <c r="J401" s="168">
        <v>3.32</v>
      </c>
      <c r="K401" s="165">
        <f t="shared" si="28"/>
        <v>79.679999999999993</v>
      </c>
      <c r="L401" s="30"/>
      <c r="M401" s="30"/>
      <c r="N401" s="30"/>
      <c r="O401" s="30"/>
      <c r="P401" s="30"/>
      <c r="Q401" s="30"/>
      <c r="R401" s="30"/>
      <c r="S401" s="30">
        <f>IF(Tableau113[[#This Row],[alerte stock]]="-",0,1)</f>
        <v>0</v>
      </c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</row>
    <row r="402" spans="1:44" ht="15.75" x14ac:dyDescent="0.25">
      <c r="A402" s="30"/>
      <c r="B402" s="13" t="s">
        <v>710</v>
      </c>
      <c r="C402" s="166" t="s">
        <v>736</v>
      </c>
      <c r="D402" s="167">
        <v>19781384000</v>
      </c>
      <c r="E402" s="161" t="s">
        <v>24</v>
      </c>
      <c r="F402" s="162">
        <f>G402+SUMIF('[1]mouv MULTIVAC R230 et R240'!B:B,"=Ressort UV10",'[1]mouv MULTIVAC R230 et R240'!G:G)</f>
        <v>25</v>
      </c>
      <c r="G402" s="163">
        <v>25</v>
      </c>
      <c r="H402" s="167">
        <v>6</v>
      </c>
      <c r="I402" s="1" t="str">
        <f t="shared" si="26"/>
        <v>-</v>
      </c>
      <c r="J402" s="168">
        <v>8.67</v>
      </c>
      <c r="K402" s="165">
        <f t="shared" si="28"/>
        <v>216.75</v>
      </c>
      <c r="L402" s="30"/>
      <c r="M402" s="30"/>
      <c r="N402" s="30"/>
      <c r="O402" s="30"/>
      <c r="P402" s="30"/>
      <c r="Q402" s="30"/>
      <c r="R402" s="30"/>
      <c r="S402" s="30">
        <f>IF(Tableau113[[#This Row],[alerte stock]]="-",0,1)</f>
        <v>0</v>
      </c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</row>
    <row r="403" spans="1:44" ht="15.75" x14ac:dyDescent="0.25">
      <c r="A403" s="30"/>
      <c r="B403" s="13" t="s">
        <v>710</v>
      </c>
      <c r="C403" s="170" t="s">
        <v>737</v>
      </c>
      <c r="D403" s="167">
        <v>19784201800</v>
      </c>
      <c r="E403" s="161" t="s">
        <v>24</v>
      </c>
      <c r="F403" s="162">
        <f>G403+SUMIF('[1]mouv MULTIVAC R230 et R240'!B:B,"=ressort de traction D1=18 ( enrouleur)",'[1]mouv MULTIVAC R230 et R240'!G:G)</f>
        <v>4</v>
      </c>
      <c r="G403" s="163">
        <v>4</v>
      </c>
      <c r="H403" s="163">
        <v>2</v>
      </c>
      <c r="I403" s="1" t="str">
        <f t="shared" si="26"/>
        <v>-</v>
      </c>
      <c r="J403" s="164">
        <v>3.42</v>
      </c>
      <c r="K403" s="165">
        <f t="shared" si="28"/>
        <v>13.68</v>
      </c>
      <c r="L403" s="30"/>
      <c r="M403" s="30"/>
      <c r="N403" s="30"/>
      <c r="O403" s="30"/>
      <c r="P403" s="30"/>
      <c r="Q403" s="30"/>
      <c r="R403" s="30"/>
      <c r="S403" s="30">
        <f>IF(Tableau113[[#This Row],[alerte stock]]="-",0,1)</f>
        <v>0</v>
      </c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</row>
    <row r="404" spans="1:44" ht="15.75" x14ac:dyDescent="0.25">
      <c r="A404" s="30"/>
      <c r="B404" s="13" t="s">
        <v>710</v>
      </c>
      <c r="C404" s="170" t="s">
        <v>738</v>
      </c>
      <c r="D404" s="167">
        <v>19785010000</v>
      </c>
      <c r="E404" s="161" t="s">
        <v>24</v>
      </c>
      <c r="F404" s="162">
        <f>G404+SUMIF('[1]mouv MULTIVAC R230 et R240'!B:B,"=R240 Ressort rappel bras rouleau sup. film de soudure",'[1]mouv MULTIVAC R230 et R240'!G:G)</f>
        <v>1</v>
      </c>
      <c r="G404" s="163">
        <v>1</v>
      </c>
      <c r="H404" s="163">
        <v>1</v>
      </c>
      <c r="I404" s="1" t="str">
        <f t="shared" si="26"/>
        <v>-</v>
      </c>
      <c r="J404" s="164">
        <v>92.39</v>
      </c>
      <c r="K404" s="165">
        <f t="shared" si="28"/>
        <v>92.39</v>
      </c>
      <c r="L404" s="30"/>
      <c r="M404" s="30"/>
      <c r="N404" s="30"/>
      <c r="O404" s="30"/>
      <c r="P404" s="30"/>
      <c r="Q404" s="30"/>
      <c r="R404" s="30"/>
      <c r="S404" s="30">
        <f>IF(Tableau113[[#This Row],[alerte stock]]="-",0,1)</f>
        <v>0</v>
      </c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</row>
    <row r="405" spans="1:44" ht="15.75" x14ac:dyDescent="0.25">
      <c r="A405" s="30"/>
      <c r="B405" s="13" t="s">
        <v>710</v>
      </c>
      <c r="C405" s="170" t="s">
        <v>739</v>
      </c>
      <c r="D405" s="167">
        <v>78100001202</v>
      </c>
      <c r="E405" s="161" t="s">
        <v>24</v>
      </c>
      <c r="F405" s="162">
        <f>G405+SUMIF('[1]mouv MULTIVAC R230 et R240'!B:B,"=circlip diam12",'[1]mouv MULTIVAC R230 et R240'!G:G)</f>
        <v>0</v>
      </c>
      <c r="G405" s="163">
        <v>0</v>
      </c>
      <c r="H405" s="163">
        <v>10</v>
      </c>
      <c r="I405" s="1" t="str">
        <f t="shared" si="26"/>
        <v>/!\</v>
      </c>
      <c r="J405" s="164">
        <v>0.24</v>
      </c>
      <c r="K405" s="165">
        <f t="shared" si="28"/>
        <v>0</v>
      </c>
      <c r="L405" s="30"/>
      <c r="M405" s="30"/>
      <c r="N405" s="30"/>
      <c r="O405" s="30"/>
      <c r="P405" s="30"/>
      <c r="Q405" s="30"/>
      <c r="R405" s="30"/>
      <c r="S405" s="30">
        <f>IF(Tableau113[[#This Row],[alerte stock]]="-",0,1)</f>
        <v>1</v>
      </c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</row>
    <row r="406" spans="1:44" ht="15.75" x14ac:dyDescent="0.25">
      <c r="A406" s="30"/>
      <c r="B406" s="13" t="s">
        <v>710</v>
      </c>
      <c r="C406" s="166" t="s">
        <v>740</v>
      </c>
      <c r="D406" s="167">
        <v>78100002502</v>
      </c>
      <c r="E406" s="161" t="s">
        <v>24</v>
      </c>
      <c r="F406" s="162">
        <f>G406+SUMIF('[1]mouv MULTIVAC R230 et R240'!B:B,"=Circlips diam 25",'[1]mouv MULTIVAC R230 et R240'!G:G)</f>
        <v>0</v>
      </c>
      <c r="G406" s="163">
        <v>0</v>
      </c>
      <c r="H406" s="167">
        <v>12</v>
      </c>
      <c r="I406" s="1" t="str">
        <f t="shared" si="26"/>
        <v>/!\</v>
      </c>
      <c r="J406" s="168">
        <v>0.92</v>
      </c>
      <c r="K406" s="165">
        <f t="shared" si="28"/>
        <v>0</v>
      </c>
      <c r="L406" s="30"/>
      <c r="M406" s="30"/>
      <c r="N406" s="30"/>
      <c r="O406" s="30"/>
      <c r="P406" s="30"/>
      <c r="Q406" s="30"/>
      <c r="R406" s="30"/>
      <c r="S406" s="30">
        <f>IF(Tableau113[[#This Row],[alerte stock]]="-",0,1)</f>
        <v>1</v>
      </c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</row>
    <row r="407" spans="1:44" ht="15.75" x14ac:dyDescent="0.25">
      <c r="A407" s="30"/>
      <c r="B407" s="13" t="s">
        <v>710</v>
      </c>
      <c r="C407" s="170" t="s">
        <v>741</v>
      </c>
      <c r="D407" s="167">
        <v>78309010000</v>
      </c>
      <c r="E407" s="161" t="s">
        <v>24</v>
      </c>
      <c r="F407" s="162">
        <f>G407+SUMIF('[1]mouv MULTIVAC R230 et R240'!B:B,"=bague d'étanchéité 14x10x4 NBN",'[1]mouv MULTIVAC R230 et R240'!G:G)</f>
        <v>2</v>
      </c>
      <c r="G407" s="163">
        <v>2</v>
      </c>
      <c r="H407" s="163">
        <v>0</v>
      </c>
      <c r="I407" s="1" t="str">
        <f t="shared" si="26"/>
        <v>-</v>
      </c>
      <c r="J407" s="164">
        <v>3.28</v>
      </c>
      <c r="K407" s="165">
        <f t="shared" si="28"/>
        <v>6.56</v>
      </c>
      <c r="L407" s="30"/>
      <c r="M407" s="30"/>
      <c r="N407" s="30"/>
      <c r="O407" s="30"/>
      <c r="P407" s="30"/>
      <c r="Q407" s="30"/>
      <c r="R407" s="30"/>
      <c r="S407" s="30">
        <f>IF(Tableau113[[#This Row],[alerte stock]]="-",0,1)</f>
        <v>0</v>
      </c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</row>
    <row r="408" spans="1:44" ht="15.75" x14ac:dyDescent="0.25">
      <c r="A408" s="30"/>
      <c r="B408" s="13" t="s">
        <v>710</v>
      </c>
      <c r="C408" s="170" t="s">
        <v>742</v>
      </c>
      <c r="D408" s="167">
        <v>78310014240</v>
      </c>
      <c r="E408" s="161" t="s">
        <v>24</v>
      </c>
      <c r="F408" s="162">
        <f>G408+SUMIF('[1]mouv MULTIVAC R230 et R240'!B:B,"=joints levresd1:24 /d2:14/ b1:8",'[1]mouv MULTIVAC R230 et R240'!G:G)</f>
        <v>6</v>
      </c>
      <c r="G408" s="163">
        <v>6</v>
      </c>
      <c r="H408" s="163">
        <v>6</v>
      </c>
      <c r="I408" s="1" t="str">
        <f t="shared" si="26"/>
        <v>-</v>
      </c>
      <c r="J408" s="164">
        <v>0.91</v>
      </c>
      <c r="K408" s="165">
        <f t="shared" si="28"/>
        <v>5.46</v>
      </c>
      <c r="L408" s="30"/>
      <c r="M408" s="30"/>
      <c r="N408" s="30"/>
      <c r="O408" s="30"/>
      <c r="P408" s="30"/>
      <c r="Q408" s="30"/>
      <c r="R408" s="30"/>
      <c r="S408" s="30">
        <f>IF(Tableau113[[#This Row],[alerte stock]]="-",0,1)</f>
        <v>0</v>
      </c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</row>
    <row r="409" spans="1:44" ht="15.75" x14ac:dyDescent="0.25">
      <c r="A409" s="30"/>
      <c r="B409" s="13" t="s">
        <v>710</v>
      </c>
      <c r="C409" s="170" t="s">
        <v>743</v>
      </c>
      <c r="D409" s="167">
        <v>78310345550</v>
      </c>
      <c r="E409" s="161" t="s">
        <v>24</v>
      </c>
      <c r="F409" s="162">
        <f>G409+SUMIF('[1]mouv MULTIVAC R230 et R240'!B:B,"=joint levre de vide",'[1]mouv MULTIVAC R230 et R240'!G:G)</f>
        <v>8</v>
      </c>
      <c r="G409" s="163">
        <v>8</v>
      </c>
      <c r="H409" s="163">
        <v>2</v>
      </c>
      <c r="I409" s="1" t="str">
        <f t="shared" si="26"/>
        <v>-</v>
      </c>
      <c r="J409" s="164">
        <v>2.1</v>
      </c>
      <c r="K409" s="165">
        <f t="shared" si="28"/>
        <v>16.8</v>
      </c>
      <c r="L409" s="30"/>
      <c r="M409" s="30"/>
      <c r="N409" s="30"/>
      <c r="O409" s="30"/>
      <c r="P409" s="30"/>
      <c r="Q409" s="30"/>
      <c r="R409" s="30"/>
      <c r="S409" s="30">
        <f>IF(Tableau113[[#This Row],[alerte stock]]="-",0,1)</f>
        <v>0</v>
      </c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</row>
    <row r="410" spans="1:44" ht="15.75" x14ac:dyDescent="0.25">
      <c r="A410" s="30"/>
      <c r="B410" s="13" t="s">
        <v>710</v>
      </c>
      <c r="C410" s="170" t="s">
        <v>744</v>
      </c>
      <c r="D410" s="167">
        <v>79633207541</v>
      </c>
      <c r="E410" s="161" t="s">
        <v>24</v>
      </c>
      <c r="F410" s="162">
        <f>G410+SUMIF('[1]mouv MULTIVAC R230 et R240'!B:B,"=courroie b1:16 l1:375at5 endlos",'[1]mouv MULTIVAC R230 et R240'!G:G)</f>
        <v>2</v>
      </c>
      <c r="G410" s="163">
        <v>2</v>
      </c>
      <c r="H410" s="163">
        <v>2</v>
      </c>
      <c r="I410" s="1" t="str">
        <f t="shared" si="26"/>
        <v>-</v>
      </c>
      <c r="J410" s="164">
        <v>9.32</v>
      </c>
      <c r="K410" s="165">
        <f t="shared" si="28"/>
        <v>18.64</v>
      </c>
      <c r="L410" s="30"/>
      <c r="M410" s="30"/>
      <c r="N410" s="30"/>
      <c r="O410" s="30"/>
      <c r="P410" s="30"/>
      <c r="Q410" s="30"/>
      <c r="R410" s="30"/>
      <c r="S410" s="30">
        <f>IF(Tableau113[[#This Row],[alerte stock]]="-",0,1)</f>
        <v>0</v>
      </c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</row>
    <row r="411" spans="1:44" ht="15.75" x14ac:dyDescent="0.25">
      <c r="A411" s="30"/>
      <c r="B411" s="13" t="s">
        <v>710</v>
      </c>
      <c r="C411" s="170" t="s">
        <v>745</v>
      </c>
      <c r="D411" s="167">
        <v>79633209041</v>
      </c>
      <c r="E411" s="161" t="s">
        <v>24</v>
      </c>
      <c r="F411" s="162">
        <f>G411+SUMIF('[1]mouv MULTIVAC R230 et R240'!B:B,"=couroie cranté b1:16 l1:450",'[1]mouv MULTIVAC R230 et R240'!G:G)</f>
        <v>2</v>
      </c>
      <c r="G411" s="163">
        <v>2</v>
      </c>
      <c r="H411" s="163">
        <v>2</v>
      </c>
      <c r="I411" s="1" t="str">
        <f t="shared" si="26"/>
        <v>-</v>
      </c>
      <c r="J411" s="164">
        <v>9.24</v>
      </c>
      <c r="K411" s="165">
        <f t="shared" si="28"/>
        <v>18.48</v>
      </c>
      <c r="L411" s="30"/>
      <c r="M411" s="30"/>
      <c r="N411" s="30"/>
      <c r="O411" s="30"/>
      <c r="P411" s="30"/>
      <c r="Q411" s="30"/>
      <c r="R411" s="30"/>
      <c r="S411" s="30">
        <f>IF(Tableau113[[#This Row],[alerte stock]]="-",0,1)</f>
        <v>0</v>
      </c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</row>
    <row r="412" spans="1:44" ht="15.75" x14ac:dyDescent="0.25">
      <c r="A412" s="30"/>
      <c r="B412" s="13" t="s">
        <v>710</v>
      </c>
      <c r="C412" s="170" t="s">
        <v>746</v>
      </c>
      <c r="D412" s="167">
        <v>80209401010</v>
      </c>
      <c r="E412" s="161" t="s">
        <v>24</v>
      </c>
      <c r="F412" s="162">
        <f>G412+SUMIF('[1]mouv MULTIVAC R230 et R240'!B:B,"=joint levre en k",'[1]mouv MULTIVAC R230 et R240'!G:G)</f>
        <v>14</v>
      </c>
      <c r="G412" s="163">
        <v>14</v>
      </c>
      <c r="H412" s="163">
        <v>10</v>
      </c>
      <c r="I412" s="1" t="str">
        <f t="shared" si="26"/>
        <v>-</v>
      </c>
      <c r="J412" s="164">
        <v>3.9</v>
      </c>
      <c r="K412" s="165">
        <f t="shared" si="28"/>
        <v>54.6</v>
      </c>
      <c r="L412" s="30"/>
      <c r="M412" s="30"/>
      <c r="N412" s="30"/>
      <c r="O412" s="30"/>
      <c r="P412" s="30"/>
      <c r="Q412" s="30"/>
      <c r="R412" s="30"/>
      <c r="S412" s="30">
        <f>IF(Tableau113[[#This Row],[alerte stock]]="-",0,1)</f>
        <v>0</v>
      </c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</row>
    <row r="413" spans="1:44" ht="15.75" x14ac:dyDescent="0.25">
      <c r="A413" s="30"/>
      <c r="B413" s="13" t="s">
        <v>710</v>
      </c>
      <c r="C413" s="166" t="s">
        <v>747</v>
      </c>
      <c r="D413" s="167">
        <v>80255211221</v>
      </c>
      <c r="E413" s="161" t="s">
        <v>24</v>
      </c>
      <c r="F413" s="162">
        <f>G413+SUMIF('[1]mouv MULTIVAC R230 et R240'!B:B,"=distrib 3/2  frein de film ",'[1]mouv MULTIVAC R230 et R240'!G:G)</f>
        <v>2</v>
      </c>
      <c r="G413" s="163">
        <v>2</v>
      </c>
      <c r="H413" s="167">
        <v>1</v>
      </c>
      <c r="I413" s="1" t="str">
        <f t="shared" si="26"/>
        <v>-</v>
      </c>
      <c r="J413" s="168">
        <v>148.05000000000001</v>
      </c>
      <c r="K413" s="165">
        <f t="shared" si="28"/>
        <v>296.10000000000002</v>
      </c>
      <c r="L413" s="30"/>
      <c r="M413" s="30"/>
      <c r="N413" s="30"/>
      <c r="O413" s="30"/>
      <c r="P413" s="30"/>
      <c r="Q413" s="30"/>
      <c r="R413" s="30"/>
      <c r="S413" s="30">
        <f>IF(Tableau113[[#This Row],[alerte stock]]="-",0,1)</f>
        <v>0</v>
      </c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</row>
    <row r="414" spans="1:44" ht="24" x14ac:dyDescent="0.25">
      <c r="A414" s="30"/>
      <c r="B414" s="13" t="s">
        <v>710</v>
      </c>
      <c r="C414" s="170" t="s">
        <v>748</v>
      </c>
      <c r="D414" s="167">
        <v>80255211301</v>
      </c>
      <c r="E414" s="161" t="s">
        <v>24</v>
      </c>
      <c r="F414" s="162">
        <f>G414+SUMIF('[1]mouv MULTIVAC R230 et R240'!B:B,"=distributeur 3/2 pneum. NW-13 1 -10 bar 1+(0,1*Betriebsd.) G1/2Z 80255211301, Vanne de soudure",'[1]mouv MULTIVAC R230 et R240'!G:G)</f>
        <v>2</v>
      </c>
      <c r="G414" s="163">
        <v>2</v>
      </c>
      <c r="H414" s="163">
        <v>1</v>
      </c>
      <c r="I414" s="1" t="str">
        <f t="shared" si="26"/>
        <v>-</v>
      </c>
      <c r="J414" s="164">
        <v>201.06</v>
      </c>
      <c r="K414" s="165">
        <f t="shared" si="28"/>
        <v>402.12</v>
      </c>
      <c r="L414" s="30"/>
      <c r="M414" s="30"/>
      <c r="N414" s="30"/>
      <c r="O414" s="30"/>
      <c r="P414" s="30"/>
      <c r="Q414" s="30"/>
      <c r="R414" s="30"/>
      <c r="S414" s="30">
        <f>IF(Tableau113[[#This Row],[alerte stock]]="-",0,1)</f>
        <v>0</v>
      </c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</row>
    <row r="415" spans="1:44" ht="15.75" x14ac:dyDescent="0.25">
      <c r="A415" s="30"/>
      <c r="B415" s="13" t="s">
        <v>710</v>
      </c>
      <c r="C415" s="170" t="s">
        <v>749</v>
      </c>
      <c r="D415" s="167">
        <v>80260112304</v>
      </c>
      <c r="E415" s="161" t="s">
        <v>24</v>
      </c>
      <c r="F415" s="162">
        <f>G415+SUMIF('[1]mouv MULTIVAC R230 et R240'!B:B,"=Electrovanne Gaz",'[1]mouv MULTIVAC R230 et R240'!G:G)</f>
        <v>0</v>
      </c>
      <c r="G415" s="163">
        <v>0</v>
      </c>
      <c r="H415" s="163">
        <v>0</v>
      </c>
      <c r="I415" s="1" t="str">
        <f t="shared" si="26"/>
        <v>-</v>
      </c>
      <c r="J415" s="164"/>
      <c r="K415" s="165">
        <f t="shared" si="28"/>
        <v>0</v>
      </c>
      <c r="L415" s="30"/>
      <c r="M415" s="30"/>
      <c r="N415" s="30"/>
      <c r="O415" s="30"/>
      <c r="P415" s="30"/>
      <c r="Q415" s="30"/>
      <c r="R415" s="30"/>
      <c r="S415" s="30">
        <f>IF(Tableau113[[#This Row],[alerte stock]]="-",0,1)</f>
        <v>0</v>
      </c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</row>
    <row r="416" spans="1:44" ht="15.75" x14ac:dyDescent="0.25">
      <c r="A416" s="30"/>
      <c r="B416" s="13" t="s">
        <v>710</v>
      </c>
      <c r="C416" s="170" t="s">
        <v>750</v>
      </c>
      <c r="D416" s="167">
        <v>80260224022</v>
      </c>
      <c r="E416" s="161" t="s">
        <v>24</v>
      </c>
      <c r="F416" s="162">
        <f>G416+SUMIF('[1]mouv MULTIVAC R230 et R240'!B:B,"=distributeur 3/2 elektr",'[1]mouv MULTIVAC R230 et R240'!G:G)</f>
        <v>0</v>
      </c>
      <c r="G416" s="163">
        <v>0</v>
      </c>
      <c r="H416" s="163">
        <v>1</v>
      </c>
      <c r="I416" s="1" t="str">
        <f t="shared" si="26"/>
        <v>/!\</v>
      </c>
      <c r="J416" s="164">
        <v>381.11</v>
      </c>
      <c r="K416" s="165">
        <f t="shared" si="28"/>
        <v>0</v>
      </c>
      <c r="L416" s="30"/>
      <c r="M416" s="30"/>
      <c r="N416" s="30"/>
      <c r="O416" s="30"/>
      <c r="P416" s="30"/>
      <c r="Q416" s="30"/>
      <c r="R416" s="30"/>
      <c r="S416" s="30">
        <f>IF(Tableau113[[#This Row],[alerte stock]]="-",0,1)</f>
        <v>1</v>
      </c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</row>
    <row r="417" spans="1:44" ht="15.75" x14ac:dyDescent="0.25">
      <c r="A417" s="30"/>
      <c r="B417" s="13" t="s">
        <v>710</v>
      </c>
      <c r="C417" s="166" t="s">
        <v>751</v>
      </c>
      <c r="D417" s="167">
        <v>80260480550</v>
      </c>
      <c r="E417" s="161" t="s">
        <v>24</v>
      </c>
      <c r="F417" s="162">
        <f>G417+SUMIF('[1]mouv MULTIVAC R230 et R240'!B:B,"=distributeur 5/4 elektr(electrovanne double)",'[1]mouv MULTIVAC R230 et R240'!G:G)</f>
        <v>1</v>
      </c>
      <c r="G417" s="163">
        <v>1</v>
      </c>
      <c r="H417" s="163">
        <v>1</v>
      </c>
      <c r="I417" s="1" t="str">
        <f t="shared" si="26"/>
        <v>-</v>
      </c>
      <c r="J417" s="164">
        <v>219.47</v>
      </c>
      <c r="K417" s="165">
        <f t="shared" si="28"/>
        <v>219.47</v>
      </c>
      <c r="L417" s="30"/>
      <c r="M417" s="30"/>
      <c r="N417" s="30"/>
      <c r="O417" s="30"/>
      <c r="P417" s="30"/>
      <c r="Q417" s="30"/>
      <c r="R417" s="30"/>
      <c r="S417" s="30">
        <f>IF(Tableau113[[#This Row],[alerte stock]]="-",0,1)</f>
        <v>0</v>
      </c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</row>
    <row r="418" spans="1:44" ht="15.75" x14ac:dyDescent="0.25">
      <c r="A418" s="30"/>
      <c r="B418" s="13" t="s">
        <v>710</v>
      </c>
      <c r="C418" s="170" t="s">
        <v>752</v>
      </c>
      <c r="D418" s="167">
        <v>80260480601</v>
      </c>
      <c r="E418" s="161" t="s">
        <v>24</v>
      </c>
      <c r="F418" s="162">
        <f>G418+SUMIF('[1]mouv MULTIVAC R230 et R240'!B:B,"=distributeur 5/2(electrovanne simple)",'[1]mouv MULTIVAC R230 et R240'!G:G)</f>
        <v>3</v>
      </c>
      <c r="G418" s="163">
        <v>3</v>
      </c>
      <c r="H418" s="163">
        <v>1</v>
      </c>
      <c r="I418" s="1" t="str">
        <f t="shared" si="26"/>
        <v>-</v>
      </c>
      <c r="J418" s="164">
        <v>94.63</v>
      </c>
      <c r="K418" s="165">
        <f t="shared" si="28"/>
        <v>283.89</v>
      </c>
      <c r="L418" s="30"/>
      <c r="M418" s="30"/>
      <c r="N418" s="30"/>
      <c r="O418" s="30"/>
      <c r="P418" s="30"/>
      <c r="Q418" s="30"/>
      <c r="R418" s="30"/>
      <c r="S418" s="30">
        <f>IF(Tableau113[[#This Row],[alerte stock]]="-",0,1)</f>
        <v>0</v>
      </c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</row>
    <row r="419" spans="1:44" ht="15.75" x14ac:dyDescent="0.25">
      <c r="A419" s="30"/>
      <c r="B419" s="13" t="s">
        <v>710</v>
      </c>
      <c r="C419" s="170" t="s">
        <v>753</v>
      </c>
      <c r="D419" s="167">
        <v>80260481503</v>
      </c>
      <c r="E419" s="161" t="s">
        <v>24</v>
      </c>
      <c r="F419" s="162">
        <f>G419+SUMIF('[1]mouv MULTIVAC R230 et R240'!B:B,"=plaque entrée bloc distrib air",'[1]mouv MULTIVAC R230 et R240'!G:G)</f>
        <v>1</v>
      </c>
      <c r="G419" s="163">
        <v>1</v>
      </c>
      <c r="H419" s="163">
        <v>1</v>
      </c>
      <c r="I419" s="1" t="str">
        <f t="shared" si="26"/>
        <v>-</v>
      </c>
      <c r="J419" s="164"/>
      <c r="K419" s="165"/>
      <c r="L419" s="30"/>
      <c r="M419" s="30"/>
      <c r="N419" s="30"/>
      <c r="O419" s="30"/>
      <c r="P419" s="30"/>
      <c r="Q419" s="30"/>
      <c r="R419" s="30"/>
      <c r="S419" s="30">
        <f>IF(Tableau113[[#This Row],[alerte stock]]="-",0,1)</f>
        <v>0</v>
      </c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</row>
    <row r="420" spans="1:44" ht="15.75" x14ac:dyDescent="0.25">
      <c r="A420" s="30"/>
      <c r="B420" s="13" t="s">
        <v>710</v>
      </c>
      <c r="C420" s="171" t="s">
        <v>754</v>
      </c>
      <c r="D420" s="172">
        <v>80260481507</v>
      </c>
      <c r="E420" s="161" t="s">
        <v>24</v>
      </c>
      <c r="F420" s="162">
        <f>G420+SUMIF('[1]mouv MULTIVAC R230 et R240'!B:B,"=plaque intermédiaire bloc distrib air",'[1]mouv MULTIVAC R230 et R240'!G:G)</f>
        <v>2</v>
      </c>
      <c r="G420" s="163">
        <v>2</v>
      </c>
      <c r="H420" s="163">
        <v>1</v>
      </c>
      <c r="I420" s="1" t="str">
        <f t="shared" si="26"/>
        <v>-</v>
      </c>
      <c r="J420" s="164">
        <v>13.16</v>
      </c>
      <c r="K420" s="165">
        <f t="shared" si="28"/>
        <v>26.32</v>
      </c>
      <c r="L420" s="30"/>
      <c r="M420" s="30"/>
      <c r="N420" s="30"/>
      <c r="O420" s="30"/>
      <c r="P420" s="30"/>
      <c r="Q420" s="30"/>
      <c r="R420" s="30"/>
      <c r="S420" s="30">
        <f>IF(Tableau113[[#This Row],[alerte stock]]="-",0,1)</f>
        <v>0</v>
      </c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</row>
    <row r="421" spans="1:44" ht="15.75" x14ac:dyDescent="0.25">
      <c r="A421" s="30"/>
      <c r="B421" s="13" t="s">
        <v>710</v>
      </c>
      <c r="C421" s="170" t="s">
        <v>755</v>
      </c>
      <c r="D421" s="167">
        <v>80421102013</v>
      </c>
      <c r="E421" s="161" t="s">
        <v>24</v>
      </c>
      <c r="F421" s="162">
        <f>G421+SUMIF('[1]mouv MULTIVAC R230 et R240'!B:B,"=groupe FRL complet",'[1]mouv MULTIVAC R230 et R240'!G:G)</f>
        <v>0</v>
      </c>
      <c r="G421" s="173">
        <v>0</v>
      </c>
      <c r="H421" s="173">
        <v>0</v>
      </c>
      <c r="I421" s="1" t="str">
        <f t="shared" si="26"/>
        <v>-</v>
      </c>
      <c r="J421" s="174">
        <v>271.36</v>
      </c>
      <c r="K421" s="165">
        <f t="shared" si="28"/>
        <v>0</v>
      </c>
      <c r="L421" s="30"/>
      <c r="M421" s="30"/>
      <c r="N421" s="30"/>
      <c r="O421" s="30"/>
      <c r="P421" s="30"/>
      <c r="Q421" s="30"/>
      <c r="R421" s="30"/>
      <c r="S421" s="30">
        <f>IF(Tableau113[[#This Row],[alerte stock]]="-",0,1)</f>
        <v>0</v>
      </c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</row>
    <row r="422" spans="1:44" ht="15.75" x14ac:dyDescent="0.25">
      <c r="A422" s="30"/>
      <c r="B422" s="13" t="s">
        <v>710</v>
      </c>
      <c r="C422" s="166" t="s">
        <v>756</v>
      </c>
      <c r="D422" s="167">
        <v>80421201231</v>
      </c>
      <c r="E422" s="161" t="s">
        <v>24</v>
      </c>
      <c r="F422" s="162">
        <f>G422+SUMIF('[1]mouv MULTIVAC R230 et R240'!B:B,"=filtre pierre groupe frl (élément filtrant)",'[1]mouv MULTIVAC R230 et R240'!G:G)</f>
        <v>1</v>
      </c>
      <c r="G422" s="163">
        <v>1</v>
      </c>
      <c r="H422" s="167">
        <v>1</v>
      </c>
      <c r="I422" s="1" t="str">
        <f t="shared" si="26"/>
        <v>-</v>
      </c>
      <c r="J422" s="168">
        <v>17.45</v>
      </c>
      <c r="K422" s="165">
        <f t="shared" si="28"/>
        <v>17.45</v>
      </c>
      <c r="L422" s="30"/>
      <c r="M422" s="30"/>
      <c r="N422" s="30"/>
      <c r="O422" s="30"/>
      <c r="P422" s="30"/>
      <c r="Q422" s="30"/>
      <c r="R422" s="30"/>
      <c r="S422" s="30">
        <f>IF(Tableau113[[#This Row],[alerte stock]]="-",0,1)</f>
        <v>0</v>
      </c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</row>
    <row r="423" spans="1:44" ht="15.75" x14ac:dyDescent="0.25">
      <c r="A423" s="30"/>
      <c r="B423" s="13" t="s">
        <v>710</v>
      </c>
      <c r="C423" s="170" t="s">
        <v>757</v>
      </c>
      <c r="D423" s="167">
        <v>80421209500</v>
      </c>
      <c r="E423" s="161" t="s">
        <v>24</v>
      </c>
      <c r="F423" s="162">
        <f>G423+SUMIF('[1]mouv MULTIVAC R230 et R240'!B:B,"=filtre ",'[1]mouv MULTIVAC R230 et R240'!G:G)</f>
        <v>1</v>
      </c>
      <c r="G423" s="163">
        <v>1</v>
      </c>
      <c r="H423" s="163">
        <v>0</v>
      </c>
      <c r="I423" s="1" t="str">
        <f t="shared" si="26"/>
        <v>-</v>
      </c>
      <c r="J423" s="164">
        <v>2.85</v>
      </c>
      <c r="K423" s="165">
        <f t="shared" si="28"/>
        <v>2.85</v>
      </c>
      <c r="L423" s="30"/>
      <c r="M423" s="30"/>
      <c r="N423" s="30"/>
      <c r="O423" s="30"/>
      <c r="P423" s="30"/>
      <c r="Q423" s="30"/>
      <c r="R423" s="30"/>
      <c r="S423" s="30">
        <f>IF(Tableau113[[#This Row],[alerte stock]]="-",0,1)</f>
        <v>0</v>
      </c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</row>
    <row r="424" spans="1:44" ht="15.75" x14ac:dyDescent="0.25">
      <c r="A424" s="30"/>
      <c r="B424" s="13" t="s">
        <v>710</v>
      </c>
      <c r="C424" s="166" t="s">
        <v>758</v>
      </c>
      <c r="D424" s="167">
        <v>80431151071</v>
      </c>
      <c r="E424" s="161" t="s">
        <v>24</v>
      </c>
      <c r="F424" s="162">
        <f>G424+SUMIF('[1]mouv MULTIVAC R230 et R240'!B:B,"=manomètre",'[1]mouv MULTIVAC R230 et R240'!G:G)</f>
        <v>2</v>
      </c>
      <c r="G424" s="163">
        <v>2</v>
      </c>
      <c r="H424" s="167">
        <v>1</v>
      </c>
      <c r="I424" s="1" t="str">
        <f t="shared" si="26"/>
        <v>-</v>
      </c>
      <c r="J424" s="164">
        <v>19.579999999999998</v>
      </c>
      <c r="K424" s="165">
        <f t="shared" si="28"/>
        <v>39.159999999999997</v>
      </c>
      <c r="L424" s="30"/>
      <c r="M424" s="30"/>
      <c r="N424" s="30"/>
      <c r="O424" s="30"/>
      <c r="P424" s="30"/>
      <c r="Q424" s="30"/>
      <c r="R424" s="30"/>
      <c r="S424" s="30">
        <f>IF(Tableau113[[#This Row],[alerte stock]]="-",0,1)</f>
        <v>0</v>
      </c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</row>
    <row r="425" spans="1:44" ht="15.75" x14ac:dyDescent="0.25">
      <c r="A425" s="30"/>
      <c r="B425" s="13" t="s">
        <v>710</v>
      </c>
      <c r="C425" s="170" t="s">
        <v>759</v>
      </c>
      <c r="D425" s="167">
        <v>80431211510</v>
      </c>
      <c r="E425" s="161" t="s">
        <v>24</v>
      </c>
      <c r="F425" s="162">
        <f>G425+SUMIF('[1]mouv MULTIVAC R230 et R240'!B:B,"=detendeur normal 0/6 bars entrée gaz",'[1]mouv MULTIVAC R230 et R240'!G:G)</f>
        <v>0</v>
      </c>
      <c r="G425" s="163">
        <v>0</v>
      </c>
      <c r="H425" s="163">
        <v>0</v>
      </c>
      <c r="I425" s="1" t="str">
        <f t="shared" si="26"/>
        <v>-</v>
      </c>
      <c r="J425" s="164">
        <v>174.19</v>
      </c>
      <c r="K425" s="165">
        <f t="shared" si="28"/>
        <v>0</v>
      </c>
      <c r="L425" s="30"/>
      <c r="M425" s="30"/>
      <c r="N425" s="30"/>
      <c r="O425" s="30"/>
      <c r="P425" s="30"/>
      <c r="Q425" s="30"/>
      <c r="R425" s="30"/>
      <c r="S425" s="30">
        <f>IF(Tableau113[[#This Row],[alerte stock]]="-",0,1)</f>
        <v>0</v>
      </c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</row>
    <row r="426" spans="1:44" ht="15.75" x14ac:dyDescent="0.25">
      <c r="A426" s="30"/>
      <c r="B426" s="13" t="s">
        <v>710</v>
      </c>
      <c r="C426" s="166" t="s">
        <v>760</v>
      </c>
      <c r="D426" s="167">
        <v>80431211567</v>
      </c>
      <c r="E426" s="161" t="s">
        <v>24</v>
      </c>
      <c r="F426" s="162">
        <f>G426+SUMIF('[1]mouv MULTIVAC R230 et R240'!B:B,"=régulateur de pression gaz",'[1]mouv MULTIVAC R230 et R240'!G:G)</f>
        <v>3</v>
      </c>
      <c r="G426" s="163">
        <v>3</v>
      </c>
      <c r="H426" s="167">
        <v>1</v>
      </c>
      <c r="I426" s="1" t="str">
        <f t="shared" si="26"/>
        <v>-</v>
      </c>
      <c r="J426" s="164">
        <v>104.5</v>
      </c>
      <c r="K426" s="165">
        <f t="shared" si="28"/>
        <v>313.5</v>
      </c>
      <c r="L426" s="30"/>
      <c r="M426" s="30"/>
      <c r="N426" s="30"/>
      <c r="O426" s="30"/>
      <c r="P426" s="30"/>
      <c r="Q426" s="30"/>
      <c r="R426" s="30"/>
      <c r="S426" s="30">
        <f>IF(Tableau113[[#This Row],[alerte stock]]="-",0,1)</f>
        <v>0</v>
      </c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</row>
    <row r="427" spans="1:44" ht="15.75" x14ac:dyDescent="0.25">
      <c r="A427" s="30"/>
      <c r="B427" s="13" t="s">
        <v>710</v>
      </c>
      <c r="C427" s="166" t="s">
        <v>761</v>
      </c>
      <c r="D427" s="167">
        <v>80431320100</v>
      </c>
      <c r="E427" s="161" t="s">
        <v>24</v>
      </c>
      <c r="F427" s="162">
        <f>G427+SUMIF('[1]mouv MULTIVAC R230 et R240'!B:B,"=Débitmètre eau",'[1]mouv MULTIVAC R230 et R240'!G:G)</f>
        <v>1</v>
      </c>
      <c r="G427" s="163">
        <v>1</v>
      </c>
      <c r="H427" s="167">
        <v>1</v>
      </c>
      <c r="I427" s="1" t="str">
        <f t="shared" si="26"/>
        <v>-</v>
      </c>
      <c r="J427" s="168">
        <v>103.76</v>
      </c>
      <c r="K427" s="165">
        <f t="shared" si="28"/>
        <v>103.76</v>
      </c>
      <c r="L427" s="30"/>
      <c r="M427" s="30"/>
      <c r="N427" s="30"/>
      <c r="O427" s="30"/>
      <c r="P427" s="30"/>
      <c r="Q427" s="30"/>
      <c r="R427" s="30"/>
      <c r="S427" s="30">
        <f>IF(Tableau113[[#This Row],[alerte stock]]="-",0,1)</f>
        <v>0</v>
      </c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</row>
    <row r="428" spans="1:44" ht="15.75" x14ac:dyDescent="0.25">
      <c r="A428" s="30"/>
      <c r="B428" s="13" t="s">
        <v>710</v>
      </c>
      <c r="C428" s="170" t="s">
        <v>762</v>
      </c>
      <c r="D428" s="167">
        <v>81141806525</v>
      </c>
      <c r="E428" s="161" t="s">
        <v>24</v>
      </c>
      <c r="F428" s="162">
        <f>G428+SUMIF('[1]mouv MULTIVAC R230 et R240'!B:B,"=bague d'étanchéité nylon vérin R230",'[1]mouv MULTIVAC R230 et R240'!G:G)</f>
        <v>1</v>
      </c>
      <c r="G428" s="163">
        <v>1</v>
      </c>
      <c r="H428" s="163">
        <v>1</v>
      </c>
      <c r="I428" s="1" t="str">
        <f t="shared" si="26"/>
        <v>-</v>
      </c>
      <c r="J428" s="164">
        <v>1.17</v>
      </c>
      <c r="K428" s="165">
        <f t="shared" si="28"/>
        <v>1.17</v>
      </c>
      <c r="L428" s="30"/>
      <c r="M428" s="30"/>
      <c r="N428" s="30"/>
      <c r="O428" s="30"/>
      <c r="P428" s="30"/>
      <c r="Q428" s="30"/>
      <c r="R428" s="30"/>
      <c r="S428" s="30">
        <f>IF(Tableau113[[#This Row],[alerte stock]]="-",0,1)</f>
        <v>0</v>
      </c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</row>
    <row r="429" spans="1:44" ht="15.75" x14ac:dyDescent="0.25">
      <c r="A429" s="30"/>
      <c r="B429" s="13" t="s">
        <v>710</v>
      </c>
      <c r="C429" s="170" t="s">
        <v>763</v>
      </c>
      <c r="D429" s="167">
        <v>81810202200</v>
      </c>
      <c r="E429" s="161" t="s">
        <v>24</v>
      </c>
      <c r="F429" s="162">
        <f>G429+SUMIF('[1]mouv MULTIVAC R230 et R240'!B:B,"=flexible haute pression",'[1]mouv MULTIVAC R230 et R240'!G:G)</f>
        <v>1</v>
      </c>
      <c r="G429" s="163">
        <v>1</v>
      </c>
      <c r="H429" s="163">
        <v>1</v>
      </c>
      <c r="I429" s="1" t="str">
        <f t="shared" si="26"/>
        <v>-</v>
      </c>
      <c r="J429" s="164">
        <v>99.73</v>
      </c>
      <c r="K429" s="165">
        <f t="shared" si="28"/>
        <v>99.73</v>
      </c>
      <c r="L429" s="30"/>
      <c r="M429" s="30"/>
      <c r="N429" s="30"/>
      <c r="O429" s="30"/>
      <c r="P429" s="30"/>
      <c r="Q429" s="30"/>
      <c r="R429" s="30"/>
      <c r="S429" s="30">
        <f>IF(Tableau113[[#This Row],[alerte stock]]="-",0,1)</f>
        <v>0</v>
      </c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</row>
    <row r="430" spans="1:44" ht="15.75" x14ac:dyDescent="0.25">
      <c r="A430" s="30"/>
      <c r="B430" s="13" t="s">
        <v>710</v>
      </c>
      <c r="C430" s="170" t="s">
        <v>764</v>
      </c>
      <c r="D430" s="167">
        <v>81861121032</v>
      </c>
      <c r="E430" s="161" t="s">
        <v>24</v>
      </c>
      <c r="F430" s="162">
        <f>G430+SUMIF('[1]mouv MULTIVAC R230 et R240'!B:B,"=joint torique 3,2 (étanchéité bloc formage et soudure)",'[1]mouv MULTIVAC R230 et R240'!G:G)</f>
        <v>6</v>
      </c>
      <c r="G430" s="163">
        <v>6</v>
      </c>
      <c r="H430" s="163">
        <v>1</v>
      </c>
      <c r="I430" s="1" t="str">
        <f t="shared" si="26"/>
        <v>-</v>
      </c>
      <c r="J430" s="164">
        <v>1.35</v>
      </c>
      <c r="K430" s="165">
        <f t="shared" si="28"/>
        <v>8.1000000000000014</v>
      </c>
      <c r="L430" s="30"/>
      <c r="M430" s="30"/>
      <c r="N430" s="30"/>
      <c r="O430" s="30"/>
      <c r="P430" s="30"/>
      <c r="Q430" s="30"/>
      <c r="R430" s="30"/>
      <c r="S430" s="30">
        <f>IF(Tableau113[[#This Row],[alerte stock]]="-",0,1)</f>
        <v>0</v>
      </c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</row>
    <row r="431" spans="1:44" ht="15.75" x14ac:dyDescent="0.25">
      <c r="A431" s="30"/>
      <c r="B431" s="13" t="s">
        <v>710</v>
      </c>
      <c r="C431" s="170" t="s">
        <v>765</v>
      </c>
      <c r="D431" s="167">
        <v>85451223093</v>
      </c>
      <c r="E431" s="161" t="s">
        <v>24</v>
      </c>
      <c r="F431" s="162">
        <f>G431+SUMIF('[1]mouv MULTIVAC R230 et R240'!B:B,"=capuchon plastique prot.",'[1]mouv MULTIVAC R230 et R240'!G:G)</f>
        <v>2</v>
      </c>
      <c r="G431" s="163">
        <v>10</v>
      </c>
      <c r="H431" s="163">
        <v>1</v>
      </c>
      <c r="I431" s="1" t="str">
        <f t="shared" si="26"/>
        <v>-</v>
      </c>
      <c r="J431" s="164">
        <v>13.17</v>
      </c>
      <c r="K431" s="165">
        <f t="shared" si="28"/>
        <v>26.34</v>
      </c>
      <c r="L431" s="30"/>
      <c r="M431" s="30"/>
      <c r="N431" s="30"/>
      <c r="O431" s="30"/>
      <c r="P431" s="30"/>
      <c r="Q431" s="30"/>
      <c r="R431" s="30"/>
      <c r="S431" s="30">
        <f>IF(Tableau113[[#This Row],[alerte stock]]="-",0,1)</f>
        <v>0</v>
      </c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</row>
    <row r="432" spans="1:44" ht="15.75" x14ac:dyDescent="0.25">
      <c r="A432" s="30"/>
      <c r="B432" s="13" t="s">
        <v>710</v>
      </c>
      <c r="C432" s="170" t="s">
        <v>766</v>
      </c>
      <c r="D432" s="167">
        <v>85463101003</v>
      </c>
      <c r="E432" s="161" t="s">
        <v>24</v>
      </c>
      <c r="F432" s="162">
        <f>G432+SUMIF('[1]mouv MULTIVAC R230 et R240'!B:B,"=aimants ronds 7,5x7,5",'[1]mouv MULTIVAC R230 et R240'!G:G)</f>
        <v>2</v>
      </c>
      <c r="G432" s="163">
        <v>2</v>
      </c>
      <c r="H432" s="163">
        <v>2</v>
      </c>
      <c r="I432" s="1" t="str">
        <f t="shared" si="26"/>
        <v>-</v>
      </c>
      <c r="J432" s="164">
        <v>4.18</v>
      </c>
      <c r="K432" s="165">
        <f t="shared" si="28"/>
        <v>8.36</v>
      </c>
      <c r="L432" s="30"/>
      <c r="M432" s="30"/>
      <c r="N432" s="30"/>
      <c r="O432" s="30"/>
      <c r="P432" s="30"/>
      <c r="Q432" s="30"/>
      <c r="R432" s="30"/>
      <c r="S432" s="30">
        <f>IF(Tableau113[[#This Row],[alerte stock]]="-",0,1)</f>
        <v>0</v>
      </c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</row>
    <row r="433" spans="1:44" ht="15.75" x14ac:dyDescent="0.25">
      <c r="A433" s="30"/>
      <c r="B433" s="13" t="s">
        <v>710</v>
      </c>
      <c r="C433" s="170" t="s">
        <v>767</v>
      </c>
      <c r="D433" s="167">
        <v>85463101021</v>
      </c>
      <c r="E433" s="161" t="s">
        <v>24</v>
      </c>
      <c r="F433" s="162">
        <f>G433+SUMIF('[1]mouv MULTIVAC R230 et R240'!B:B,"=sécurité magnétique verte 6 ML",'[1]mouv MULTIVAC R230 et R240'!G:G)</f>
        <v>2</v>
      </c>
      <c r="G433" s="163">
        <v>2</v>
      </c>
      <c r="H433" s="163">
        <v>1</v>
      </c>
      <c r="I433" s="1" t="str">
        <f t="shared" si="26"/>
        <v>-</v>
      </c>
      <c r="J433" s="164">
        <v>92.39</v>
      </c>
      <c r="K433" s="165">
        <f t="shared" si="28"/>
        <v>184.78</v>
      </c>
      <c r="L433" s="30"/>
      <c r="M433" s="30"/>
      <c r="N433" s="30"/>
      <c r="O433" s="30"/>
      <c r="P433" s="30"/>
      <c r="Q433" s="30"/>
      <c r="R433" s="30"/>
      <c r="S433" s="30">
        <f>IF(Tableau113[[#This Row],[alerte stock]]="-",0,1)</f>
        <v>0</v>
      </c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</row>
    <row r="434" spans="1:44" ht="15.75" x14ac:dyDescent="0.25">
      <c r="A434" s="30"/>
      <c r="B434" s="13" t="s">
        <v>710</v>
      </c>
      <c r="C434" s="166" t="s">
        <v>768</v>
      </c>
      <c r="D434" s="167">
        <v>85621080231</v>
      </c>
      <c r="E434" s="161" t="s">
        <v>24</v>
      </c>
      <c r="F434" s="162">
        <f>G434+SUMIF('[1]mouv MULTIVAC R230 et R240'!B:B,"=Bloc auxiliaire",'[1]mouv MULTIVAC R230 et R240'!G:G)</f>
        <v>2</v>
      </c>
      <c r="G434" s="163">
        <v>2</v>
      </c>
      <c r="H434" s="167">
        <v>2</v>
      </c>
      <c r="I434" s="1" t="str">
        <f t="shared" si="26"/>
        <v>-</v>
      </c>
      <c r="J434" s="168">
        <v>13.56</v>
      </c>
      <c r="K434" s="165">
        <f t="shared" si="28"/>
        <v>27.12</v>
      </c>
      <c r="L434" s="30"/>
      <c r="M434" s="30"/>
      <c r="N434" s="30"/>
      <c r="O434" s="30"/>
      <c r="P434" s="30"/>
      <c r="Q434" s="30"/>
      <c r="R434" s="30"/>
      <c r="S434" s="30">
        <f>IF(Tableau113[[#This Row],[alerte stock]]="-",0,1)</f>
        <v>0</v>
      </c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</row>
    <row r="435" spans="1:44" ht="15.75" x14ac:dyDescent="0.25">
      <c r="A435" s="30"/>
      <c r="B435" s="13" t="s">
        <v>710</v>
      </c>
      <c r="C435" s="170" t="s">
        <v>769</v>
      </c>
      <c r="D435" s="167">
        <v>85621122202</v>
      </c>
      <c r="E435" s="161" t="s">
        <v>24</v>
      </c>
      <c r="F435" s="162">
        <f>G435+SUMIF('[1]mouv MULTIVAC R230 et R240'!B:B,"=contacteur à courant alternatif 230 V 5,5 kW",'[1]mouv MULTIVAC R230 et R240'!G:G)</f>
        <v>2</v>
      </c>
      <c r="G435" s="163">
        <v>2</v>
      </c>
      <c r="H435" s="163">
        <v>2</v>
      </c>
      <c r="I435" s="1" t="str">
        <f t="shared" ref="I435:I498" si="29">IF(F435&lt;H435,"/!\","-")</f>
        <v>-</v>
      </c>
      <c r="J435" s="164">
        <v>35.56</v>
      </c>
      <c r="K435" s="165">
        <f t="shared" si="28"/>
        <v>71.12</v>
      </c>
      <c r="L435" s="30"/>
      <c r="M435" s="30"/>
      <c r="N435" s="30"/>
      <c r="O435" s="30"/>
      <c r="P435" s="30"/>
      <c r="Q435" s="30"/>
      <c r="R435" s="30"/>
      <c r="S435" s="30">
        <f>IF(Tableau113[[#This Row],[alerte stock]]="-",0,1)</f>
        <v>0</v>
      </c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</row>
    <row r="436" spans="1:44" ht="15.75" x14ac:dyDescent="0.25">
      <c r="A436" s="30"/>
      <c r="B436" s="13" t="s">
        <v>710</v>
      </c>
      <c r="C436" s="170" t="s">
        <v>770</v>
      </c>
      <c r="D436" s="167">
        <v>85621122203</v>
      </c>
      <c r="E436" s="161" t="s">
        <v>24</v>
      </c>
      <c r="F436" s="162">
        <f>G436+SUMIF('[1]mouv MULTIVAC R230 et R240'!B:B,"=contacteur 230 V 7,5 KW",'[1]mouv MULTIVAC R230 et R240'!G:G)</f>
        <v>1</v>
      </c>
      <c r="G436" s="163">
        <v>1</v>
      </c>
      <c r="H436" s="163">
        <v>1</v>
      </c>
      <c r="I436" s="1" t="str">
        <f t="shared" si="29"/>
        <v>-</v>
      </c>
      <c r="J436" s="164">
        <v>34.94</v>
      </c>
      <c r="K436" s="165">
        <f t="shared" si="28"/>
        <v>34.94</v>
      </c>
      <c r="L436" s="30"/>
      <c r="M436" s="30"/>
      <c r="N436" s="30"/>
      <c r="O436" s="30"/>
      <c r="P436" s="30"/>
      <c r="Q436" s="30"/>
      <c r="R436" s="30"/>
      <c r="S436" s="30">
        <f>IF(Tableau113[[#This Row],[alerte stock]]="-",0,1)</f>
        <v>0</v>
      </c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</row>
    <row r="437" spans="1:44" ht="15.75" x14ac:dyDescent="0.25">
      <c r="A437" s="30"/>
      <c r="B437" s="13" t="s">
        <v>710</v>
      </c>
      <c r="C437" s="170" t="s">
        <v>771</v>
      </c>
      <c r="D437" s="167">
        <v>85621122204</v>
      </c>
      <c r="E437" s="161" t="s">
        <v>24</v>
      </c>
      <c r="F437" s="162">
        <f>G437+SUMIF('[1]mouv MULTIVAC R230 et R240'!B:B,"=contacteur 11kw/ contacteur de chauffe",'[1]mouv MULTIVAC R230 et R240'!G:G)</f>
        <v>4</v>
      </c>
      <c r="G437" s="163">
        <v>4</v>
      </c>
      <c r="H437" s="163">
        <v>2</v>
      </c>
      <c r="I437" s="1" t="str">
        <f t="shared" si="29"/>
        <v>-</v>
      </c>
      <c r="J437" s="164">
        <v>60.95</v>
      </c>
      <c r="K437" s="165">
        <f t="shared" si="28"/>
        <v>243.8</v>
      </c>
      <c r="L437" s="30"/>
      <c r="M437" s="30"/>
      <c r="N437" s="30"/>
      <c r="O437" s="30"/>
      <c r="P437" s="30"/>
      <c r="Q437" s="30"/>
      <c r="R437" s="30"/>
      <c r="S437" s="30">
        <f>IF(Tableau113[[#This Row],[alerte stock]]="-",0,1)</f>
        <v>0</v>
      </c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</row>
    <row r="438" spans="1:44" ht="15.75" x14ac:dyDescent="0.25">
      <c r="A438" s="30"/>
      <c r="B438" s="13" t="s">
        <v>710</v>
      </c>
      <c r="C438" s="170" t="s">
        <v>772</v>
      </c>
      <c r="D438" s="167">
        <v>85811151620</v>
      </c>
      <c r="E438" s="161" t="s">
        <v>24</v>
      </c>
      <c r="F438" s="162">
        <f>G438+SUMIF('[1]mouv MULTIVAC R230 et R240'!B:B,"=moteur lisière",'[1]mouv MULTIVAC R230 et R240'!G:G)</f>
        <v>0</v>
      </c>
      <c r="G438" s="163">
        <v>0</v>
      </c>
      <c r="H438" s="163">
        <v>0</v>
      </c>
      <c r="I438" s="1" t="str">
        <f t="shared" si="29"/>
        <v>-</v>
      </c>
      <c r="J438" s="164">
        <v>1180.1300000000001</v>
      </c>
      <c r="K438" s="165">
        <f t="shared" si="28"/>
        <v>0</v>
      </c>
      <c r="L438" s="30"/>
      <c r="M438" s="30"/>
      <c r="N438" s="30"/>
      <c r="O438" s="30"/>
      <c r="P438" s="30"/>
      <c r="Q438" s="30"/>
      <c r="R438" s="30"/>
      <c r="S438" s="30">
        <f>IF(Tableau113[[#This Row],[alerte stock]]="-",0,1)</f>
        <v>0</v>
      </c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</row>
    <row r="439" spans="1:44" ht="15.75" x14ac:dyDescent="0.25">
      <c r="A439" s="30"/>
      <c r="B439" s="13" t="s">
        <v>710</v>
      </c>
      <c r="C439" s="175" t="s">
        <v>773</v>
      </c>
      <c r="D439" s="172">
        <v>86311513003</v>
      </c>
      <c r="E439" s="161" t="s">
        <v>24</v>
      </c>
      <c r="F439" s="162">
        <f>G439+SUMIF('[1]mouv MULTIVAC R230 et R240'!B:B,"=Filtre contacteur de chauffe",'[1]mouv MULTIVAC R230 et R240'!G:G)</f>
        <v>11</v>
      </c>
      <c r="G439" s="163">
        <v>11</v>
      </c>
      <c r="H439" s="167">
        <v>4</v>
      </c>
      <c r="I439" s="1" t="str">
        <f t="shared" si="29"/>
        <v>-</v>
      </c>
      <c r="J439" s="168">
        <v>8.9499999999999993</v>
      </c>
      <c r="K439" s="165">
        <f t="shared" si="28"/>
        <v>98.449999999999989</v>
      </c>
      <c r="L439" s="30"/>
      <c r="M439" s="30"/>
      <c r="N439" s="30"/>
      <c r="O439" s="30"/>
      <c r="P439" s="30"/>
      <c r="Q439" s="30"/>
      <c r="R439" s="30"/>
      <c r="S439" s="30">
        <f>IF(Tableau113[[#This Row],[alerte stock]]="-",0,1)</f>
        <v>0</v>
      </c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</row>
    <row r="440" spans="1:44" ht="15.75" x14ac:dyDescent="0.25">
      <c r="A440" s="30"/>
      <c r="B440" s="13" t="s">
        <v>710</v>
      </c>
      <c r="C440" s="171" t="s">
        <v>774</v>
      </c>
      <c r="D440" s="172">
        <v>86311513003</v>
      </c>
      <c r="E440" s="161" t="s">
        <v>24</v>
      </c>
      <c r="F440" s="162">
        <f>G440+SUMIF('[1]mouv MULTIVAC R230 et R240'!B:B,"=Filtre contacteur 7,5 KW (filtres RC)",'[1]mouv MULTIVAC R230 et R240'!G:G)</f>
        <v>2</v>
      </c>
      <c r="G440" s="163">
        <v>2</v>
      </c>
      <c r="H440" s="163">
        <v>1</v>
      </c>
      <c r="I440" s="1" t="str">
        <f t="shared" si="29"/>
        <v>-</v>
      </c>
      <c r="J440" s="164">
        <v>15.09</v>
      </c>
      <c r="K440" s="165">
        <f t="shared" si="28"/>
        <v>30.18</v>
      </c>
      <c r="L440" s="30"/>
      <c r="M440" s="30"/>
      <c r="N440" s="30"/>
      <c r="O440" s="30"/>
      <c r="P440" s="30"/>
      <c r="Q440" s="30"/>
      <c r="R440" s="30"/>
      <c r="S440" s="30">
        <f>IF(Tableau113[[#This Row],[alerte stock]]="-",0,1)</f>
        <v>0</v>
      </c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</row>
    <row r="441" spans="1:44" ht="15.75" x14ac:dyDescent="0.25">
      <c r="A441" s="30"/>
      <c r="B441" s="13" t="s">
        <v>710</v>
      </c>
      <c r="C441" s="170" t="s">
        <v>775</v>
      </c>
      <c r="D441" s="167">
        <v>91121611030</v>
      </c>
      <c r="E441" s="161" t="s">
        <v>24</v>
      </c>
      <c r="F441" s="162">
        <f>G441+SUMIF('[1]mouv MULTIVAC R230 et R240'!B:B,"=huile blanche",'[1]mouv MULTIVAC R230 et R240'!G:G)</f>
        <v>2</v>
      </c>
      <c r="G441" s="163">
        <v>2</v>
      </c>
      <c r="H441" s="163">
        <v>1</v>
      </c>
      <c r="I441" s="1" t="str">
        <f t="shared" si="29"/>
        <v>-</v>
      </c>
      <c r="J441" s="164">
        <v>18.03</v>
      </c>
      <c r="K441" s="165">
        <f t="shared" si="28"/>
        <v>36.06</v>
      </c>
      <c r="L441" s="30"/>
      <c r="M441" s="30"/>
      <c r="N441" s="30"/>
      <c r="O441" s="30"/>
      <c r="P441" s="30"/>
      <c r="Q441" s="30"/>
      <c r="R441" s="30"/>
      <c r="S441" s="30">
        <f>IF(Tableau113[[#This Row],[alerte stock]]="-",0,1)</f>
        <v>0</v>
      </c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</row>
    <row r="442" spans="1:44" ht="15.75" x14ac:dyDescent="0.25">
      <c r="A442" s="30"/>
      <c r="B442" s="13" t="s">
        <v>710</v>
      </c>
      <c r="C442" s="170" t="s">
        <v>776</v>
      </c>
      <c r="D442" s="167">
        <v>91121611030</v>
      </c>
      <c r="E442" s="161" t="s">
        <v>24</v>
      </c>
      <c r="F442" s="162">
        <f>G442+SUMIF('[1]mouv MULTIVAC R230 et R240'!B:B,"=spray anti corosion",'[1]mouv MULTIVAC R230 et R240'!G:G)</f>
        <v>2</v>
      </c>
      <c r="G442" s="163">
        <v>2</v>
      </c>
      <c r="H442" s="163">
        <v>2</v>
      </c>
      <c r="I442" s="1" t="str">
        <f t="shared" si="29"/>
        <v>-</v>
      </c>
      <c r="J442" s="164">
        <v>18.16</v>
      </c>
      <c r="K442" s="165">
        <f t="shared" ref="K442:K456" si="30">J442*F442</f>
        <v>36.32</v>
      </c>
      <c r="L442" s="30"/>
      <c r="M442" s="30"/>
      <c r="N442" s="30"/>
      <c r="O442" s="30"/>
      <c r="P442" s="30"/>
      <c r="Q442" s="30"/>
      <c r="R442" s="30"/>
      <c r="S442" s="30">
        <f>IF(Tableau113[[#This Row],[alerte stock]]="-",0,1)</f>
        <v>0</v>
      </c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</row>
    <row r="443" spans="1:44" ht="15.75" x14ac:dyDescent="0.25">
      <c r="A443" s="30"/>
      <c r="B443" s="13" t="s">
        <v>710</v>
      </c>
      <c r="C443" s="170" t="s">
        <v>777</v>
      </c>
      <c r="D443" s="167" t="s">
        <v>778</v>
      </c>
      <c r="E443" s="161" t="s">
        <v>24</v>
      </c>
      <c r="F443" s="162">
        <f>G443+SUMIF('[1]mouv MULTIVAC R230 et R240'!B:B,"=vanne principale d'air 3/2 R230",'[1]mouv MULTIVAC R230 et R240'!G:G)</f>
        <v>1</v>
      </c>
      <c r="G443" s="163">
        <v>1</v>
      </c>
      <c r="H443" s="163">
        <v>1</v>
      </c>
      <c r="I443" s="1" t="str">
        <f t="shared" si="29"/>
        <v>-</v>
      </c>
      <c r="J443" s="164">
        <v>381.11</v>
      </c>
      <c r="K443" s="165">
        <f t="shared" si="30"/>
        <v>381.11</v>
      </c>
      <c r="L443" s="30"/>
      <c r="M443" s="30"/>
      <c r="N443" s="30"/>
      <c r="O443" s="30"/>
      <c r="P443" s="30"/>
      <c r="Q443" s="30"/>
      <c r="R443" s="30"/>
      <c r="S443" s="30">
        <f>IF(Tableau113[[#This Row],[alerte stock]]="-",0,1)</f>
        <v>0</v>
      </c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</row>
    <row r="444" spans="1:44" ht="15.75" x14ac:dyDescent="0.25">
      <c r="A444" s="30"/>
      <c r="B444" s="13" t="s">
        <v>710</v>
      </c>
      <c r="C444" s="170" t="s">
        <v>779</v>
      </c>
      <c r="D444" s="167">
        <v>106603811</v>
      </c>
      <c r="E444" s="161" t="s">
        <v>24</v>
      </c>
      <c r="F444" s="162">
        <f>G444+SUMIF('[1]mouv MULTIVAC R230 et R240'!B:B,"=Capteur pression R230",'[1]mouv MULTIVAC R230 et R240'!G:G)</f>
        <v>1</v>
      </c>
      <c r="G444" s="163">
        <v>1</v>
      </c>
      <c r="H444" s="163">
        <v>0</v>
      </c>
      <c r="I444" s="1" t="str">
        <f t="shared" si="29"/>
        <v>-</v>
      </c>
      <c r="J444" s="164">
        <v>336.06</v>
      </c>
      <c r="K444" s="165">
        <f t="shared" si="30"/>
        <v>336.06</v>
      </c>
      <c r="L444" s="30"/>
      <c r="M444" s="30"/>
      <c r="N444" s="30"/>
      <c r="O444" s="30"/>
      <c r="P444" s="30"/>
      <c r="Q444" s="30"/>
      <c r="R444" s="30"/>
      <c r="S444" s="30">
        <f>IF(Tableau113[[#This Row],[alerte stock]]="-",0,1)</f>
        <v>0</v>
      </c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</row>
    <row r="445" spans="1:44" ht="15.75" x14ac:dyDescent="0.25">
      <c r="A445" s="30"/>
      <c r="B445" s="13" t="s">
        <v>710</v>
      </c>
      <c r="C445" s="170" t="s">
        <v>780</v>
      </c>
      <c r="D445" s="167" t="s">
        <v>781</v>
      </c>
      <c r="E445" s="161" t="s">
        <v>24</v>
      </c>
      <c r="F445" s="162">
        <f>G445+SUMIF('[1]mouv MULTIVAC R230 et R240'!B:B,"=Filtre pneumatique  avant formage",'[1]mouv MULTIVAC R230 et R240'!G:G)</f>
        <v>1</v>
      </c>
      <c r="G445" s="163">
        <v>1</v>
      </c>
      <c r="H445" s="163">
        <v>1</v>
      </c>
      <c r="I445" s="1" t="str">
        <f t="shared" si="29"/>
        <v>-</v>
      </c>
      <c r="J445" s="164">
        <v>105.43</v>
      </c>
      <c r="K445" s="165">
        <f t="shared" si="30"/>
        <v>105.43</v>
      </c>
      <c r="L445" s="30"/>
      <c r="M445" s="30"/>
      <c r="N445" s="30"/>
      <c r="O445" s="30"/>
      <c r="P445" s="30"/>
      <c r="Q445" s="30"/>
      <c r="R445" s="30"/>
      <c r="S445" s="30">
        <f>IF(Tableau113[[#This Row],[alerte stock]]="-",0,1)</f>
        <v>0</v>
      </c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</row>
    <row r="446" spans="1:44" ht="15.75" x14ac:dyDescent="0.25">
      <c r="A446" s="30"/>
      <c r="B446" s="13" t="s">
        <v>710</v>
      </c>
      <c r="C446" s="170" t="s">
        <v>782</v>
      </c>
      <c r="D446" s="167" t="s">
        <v>783</v>
      </c>
      <c r="E446" s="161" t="s">
        <v>24</v>
      </c>
      <c r="F446" s="162">
        <f>G446+SUMIF('[1]mouv MULTIVAC R230 et R240'!B:B,"=clapet antiretour Gaz R230",'[1]mouv MULTIVAC R230 et R240'!G:G)</f>
        <v>7</v>
      </c>
      <c r="G446" s="163">
        <v>7</v>
      </c>
      <c r="H446" s="163">
        <v>1</v>
      </c>
      <c r="I446" s="1" t="str">
        <f t="shared" si="29"/>
        <v>-</v>
      </c>
      <c r="J446" s="164">
        <v>0</v>
      </c>
      <c r="K446" s="165">
        <f t="shared" si="30"/>
        <v>0</v>
      </c>
      <c r="L446" s="30"/>
      <c r="M446" s="30"/>
      <c r="N446" s="30"/>
      <c r="O446" s="30"/>
      <c r="P446" s="30"/>
      <c r="Q446" s="30"/>
      <c r="R446" s="30"/>
      <c r="S446" s="30">
        <f>IF(Tableau113[[#This Row],[alerte stock]]="-",0,1)</f>
        <v>0</v>
      </c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</row>
    <row r="447" spans="1:44" ht="15.75" x14ac:dyDescent="0.25">
      <c r="A447" s="30"/>
      <c r="B447" s="13" t="s">
        <v>710</v>
      </c>
      <c r="C447" s="170" t="s">
        <v>784</v>
      </c>
      <c r="D447" s="167" t="s">
        <v>785</v>
      </c>
      <c r="E447" s="161" t="s">
        <v>24</v>
      </c>
      <c r="F447" s="162">
        <f>G447+SUMIF('[1]mouv MULTIVAC R230 et R240'!B:B,"=Module Logique OU capteur de vide",'[1]mouv MULTIVAC R230 et R240'!G:G)</f>
        <v>3</v>
      </c>
      <c r="G447" s="163">
        <v>2</v>
      </c>
      <c r="H447" s="163">
        <v>1</v>
      </c>
      <c r="I447" s="1" t="str">
        <f t="shared" si="29"/>
        <v>-</v>
      </c>
      <c r="J447" s="164">
        <v>31.02</v>
      </c>
      <c r="K447" s="165">
        <f t="shared" si="30"/>
        <v>93.06</v>
      </c>
      <c r="L447" s="30"/>
      <c r="M447" s="30"/>
      <c r="N447" s="30"/>
      <c r="O447" s="30"/>
      <c r="P447" s="30"/>
      <c r="Q447" s="30"/>
      <c r="R447" s="30"/>
      <c r="S447" s="30">
        <f>IF(Tableau113[[#This Row],[alerte stock]]="-",0,1)</f>
        <v>0</v>
      </c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</row>
    <row r="448" spans="1:44" ht="15.75" x14ac:dyDescent="0.25">
      <c r="A448" s="30"/>
      <c r="B448" s="13" t="s">
        <v>710</v>
      </c>
      <c r="C448" s="170" t="s">
        <v>786</v>
      </c>
      <c r="D448" s="167" t="s">
        <v>787</v>
      </c>
      <c r="E448" s="161" t="s">
        <v>24</v>
      </c>
      <c r="F448" s="162">
        <f>G448+SUMIF('[1]mouv MULTIVAC R230 et R240'!B:B,"=filtre G1/2 filtration air comprimé formage",'[1]mouv MULTIVAC R230 et R240'!G:G)</f>
        <v>1</v>
      </c>
      <c r="G448" s="163">
        <v>1</v>
      </c>
      <c r="H448" s="163">
        <v>1</v>
      </c>
      <c r="I448" s="1" t="str">
        <f t="shared" si="29"/>
        <v>-</v>
      </c>
      <c r="J448" s="164">
        <v>105.43</v>
      </c>
      <c r="K448" s="165">
        <f t="shared" si="30"/>
        <v>105.43</v>
      </c>
      <c r="L448" s="30"/>
      <c r="M448" s="30"/>
      <c r="N448" s="30"/>
      <c r="O448" s="30"/>
      <c r="P448" s="30"/>
      <c r="Q448" s="30"/>
      <c r="R448" s="30"/>
      <c r="S448" s="30">
        <f>IF(Tableau113[[#This Row],[alerte stock]]="-",0,1)</f>
        <v>0</v>
      </c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</row>
    <row r="449" spans="1:44" ht="15.75" x14ac:dyDescent="0.25">
      <c r="A449" s="30"/>
      <c r="B449" s="13" t="s">
        <v>710</v>
      </c>
      <c r="C449" s="170" t="s">
        <v>788</v>
      </c>
      <c r="D449" s="167" t="s">
        <v>789</v>
      </c>
      <c r="E449" s="167" t="s">
        <v>110</v>
      </c>
      <c r="F449" s="162">
        <f>G449+SUMIF('[1]mouv MULTIVAC R230 et R240'!B:B,"=Bloc cont. Aux. 2NO-2NF",'[1]mouv MULTIVAC R230 et R240'!G:G)</f>
        <v>2</v>
      </c>
      <c r="G449" s="163">
        <v>2</v>
      </c>
      <c r="H449" s="163">
        <v>1</v>
      </c>
      <c r="I449" s="1" t="str">
        <f t="shared" si="29"/>
        <v>-</v>
      </c>
      <c r="J449" s="164">
        <v>7.7885200000000001</v>
      </c>
      <c r="K449" s="165">
        <f t="shared" si="30"/>
        <v>15.57704</v>
      </c>
      <c r="L449" s="30"/>
      <c r="M449" s="30"/>
      <c r="N449" s="30"/>
      <c r="O449" s="30"/>
      <c r="P449" s="30"/>
      <c r="Q449" s="30"/>
      <c r="R449" s="30"/>
      <c r="S449" s="30">
        <f>IF(Tableau113[[#This Row],[alerte stock]]="-",0,1)</f>
        <v>0</v>
      </c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</row>
    <row r="450" spans="1:44" ht="15.75" x14ac:dyDescent="0.25">
      <c r="A450" s="30"/>
      <c r="B450" s="13" t="s">
        <v>710</v>
      </c>
      <c r="C450" s="170" t="s">
        <v>790</v>
      </c>
      <c r="D450" s="167" t="s">
        <v>791</v>
      </c>
      <c r="E450" s="167" t="s">
        <v>110</v>
      </c>
      <c r="F450" s="162">
        <f>G450+SUMIF('[1]mouv MULTIVAC R230 et R240'!B:B,"=Contacteur 4kw 1NO AC 230V",'[1]mouv MULTIVAC R230 et R240'!G:G)</f>
        <v>0</v>
      </c>
      <c r="G450" s="163">
        <v>0</v>
      </c>
      <c r="H450" s="163">
        <v>1</v>
      </c>
      <c r="I450" s="1" t="str">
        <f t="shared" si="29"/>
        <v>/!\</v>
      </c>
      <c r="J450" s="164">
        <v>17.497489999999999</v>
      </c>
      <c r="K450" s="165">
        <f t="shared" si="30"/>
        <v>0</v>
      </c>
      <c r="L450" s="30"/>
      <c r="M450" s="30"/>
      <c r="N450" s="30"/>
      <c r="O450" s="30"/>
      <c r="P450" s="30"/>
      <c r="Q450" s="30"/>
      <c r="R450" s="30"/>
      <c r="S450" s="30">
        <f>IF(Tableau113[[#This Row],[alerte stock]]="-",0,1)</f>
        <v>1</v>
      </c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</row>
    <row r="451" spans="1:44" ht="15.75" x14ac:dyDescent="0.25">
      <c r="A451" s="30"/>
      <c r="B451" s="13" t="s">
        <v>710</v>
      </c>
      <c r="C451" s="170" t="s">
        <v>792</v>
      </c>
      <c r="D451" s="167" t="s">
        <v>793</v>
      </c>
      <c r="E451" s="167" t="s">
        <v>110</v>
      </c>
      <c r="F451" s="162">
        <f>G451+SUMIF('[1]mouv MULTIVAC R230 et R240'!B:B,"=Contacteur 5,5KW 1NO  AC230V",'[1]mouv MULTIVAC R230 et R240'!G:G)</f>
        <v>0</v>
      </c>
      <c r="G451" s="163">
        <v>0</v>
      </c>
      <c r="H451" s="163">
        <v>1</v>
      </c>
      <c r="I451" s="1" t="str">
        <f t="shared" si="29"/>
        <v>/!\</v>
      </c>
      <c r="J451" s="164">
        <v>21.498439999999999</v>
      </c>
      <c r="K451" s="165">
        <f t="shared" si="30"/>
        <v>0</v>
      </c>
      <c r="L451" s="30"/>
      <c r="M451" s="30"/>
      <c r="N451" s="30"/>
      <c r="O451" s="30"/>
      <c r="P451" s="30"/>
      <c r="Q451" s="30"/>
      <c r="R451" s="30"/>
      <c r="S451" s="30">
        <f>IF(Tableau113[[#This Row],[alerte stock]]="-",0,1)</f>
        <v>1</v>
      </c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</row>
    <row r="452" spans="1:44" ht="15.75" x14ac:dyDescent="0.25">
      <c r="A452" s="30"/>
      <c r="B452" s="13" t="s">
        <v>710</v>
      </c>
      <c r="C452" s="170" t="s">
        <v>794</v>
      </c>
      <c r="D452" s="167" t="s">
        <v>795</v>
      </c>
      <c r="E452" s="167" t="s">
        <v>110</v>
      </c>
      <c r="F452" s="162">
        <f>G452+SUMIF('[1]mouv MULTIVAC R230 et R240'!B:B,"=Contacteur 7,5KW AC 230V",'[1]mouv MULTIVAC R230 et R240'!G:G)</f>
        <v>1</v>
      </c>
      <c r="G452" s="163">
        <v>1</v>
      </c>
      <c r="H452" s="163">
        <v>1</v>
      </c>
      <c r="I452" s="1" t="str">
        <f t="shared" si="29"/>
        <v>-</v>
      </c>
      <c r="J452" s="164">
        <v>27.31315</v>
      </c>
      <c r="K452" s="165">
        <f t="shared" si="30"/>
        <v>27.31315</v>
      </c>
      <c r="L452" s="30"/>
      <c r="M452" s="30"/>
      <c r="N452" s="30"/>
      <c r="O452" s="30"/>
      <c r="P452" s="30"/>
      <c r="Q452" s="30"/>
      <c r="R452" s="30"/>
      <c r="S452" s="30">
        <f>IF(Tableau113[[#This Row],[alerte stock]]="-",0,1)</f>
        <v>0</v>
      </c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</row>
    <row r="453" spans="1:44" ht="15.75" x14ac:dyDescent="0.25">
      <c r="A453" s="30"/>
      <c r="B453" s="13" t="s">
        <v>710</v>
      </c>
      <c r="C453" s="170" t="s">
        <v>796</v>
      </c>
      <c r="D453" s="167" t="s">
        <v>797</v>
      </c>
      <c r="E453" s="167" t="s">
        <v>110</v>
      </c>
      <c r="F453" s="162">
        <f>G453+SUMIF('[1]mouv MULTIVAC R230 et R240'!B:B,"=Contacteur 11Kw 1NO+1NF AC230V",'[1]mouv MULTIVAC R230 et R240'!G:G)</f>
        <v>3</v>
      </c>
      <c r="G453" s="163">
        <v>1</v>
      </c>
      <c r="H453" s="163">
        <v>1</v>
      </c>
      <c r="I453" s="1" t="str">
        <f t="shared" si="29"/>
        <v>-</v>
      </c>
      <c r="J453" s="164">
        <v>40.116190000000003</v>
      </c>
      <c r="K453" s="165">
        <f t="shared" si="30"/>
        <v>120.34857000000001</v>
      </c>
      <c r="L453" s="30"/>
      <c r="M453" s="30"/>
      <c r="N453" s="30"/>
      <c r="O453" s="30"/>
      <c r="P453" s="30"/>
      <c r="Q453" s="30"/>
      <c r="R453" s="30"/>
      <c r="S453" s="30">
        <f>IF(Tableau113[[#This Row],[alerte stock]]="-",0,1)</f>
        <v>0</v>
      </c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</row>
    <row r="454" spans="1:44" ht="15.75" x14ac:dyDescent="0.25">
      <c r="A454" s="30"/>
      <c r="B454" s="13" t="s">
        <v>710</v>
      </c>
      <c r="C454" s="170" t="s">
        <v>798</v>
      </c>
      <c r="D454" s="167" t="s">
        <v>799</v>
      </c>
      <c r="E454" s="167" t="s">
        <v>110</v>
      </c>
      <c r="F454" s="162">
        <f>G454+SUMIF('[1]mouv MULTIVAC R230 et R240'!B:B,"=VARISTANCE 127 a 240VAC",'[1]mouv MULTIVAC R230 et R240'!G:G)</f>
        <v>2</v>
      </c>
      <c r="G454" s="163">
        <v>2</v>
      </c>
      <c r="H454" s="163">
        <v>2</v>
      </c>
      <c r="I454" s="1" t="str">
        <f t="shared" si="29"/>
        <v>-</v>
      </c>
      <c r="J454" s="164">
        <v>4.6535900000000003</v>
      </c>
      <c r="K454" s="165">
        <f t="shared" si="30"/>
        <v>9.3071800000000007</v>
      </c>
      <c r="L454" s="30"/>
      <c r="M454" s="30"/>
      <c r="N454" s="30"/>
      <c r="O454" s="30"/>
      <c r="P454" s="30"/>
      <c r="Q454" s="30"/>
      <c r="R454" s="30"/>
      <c r="S454" s="30">
        <f>IF(Tableau113[[#This Row],[alerte stock]]="-",0,1)</f>
        <v>0</v>
      </c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</row>
    <row r="455" spans="1:44" ht="15.75" x14ac:dyDescent="0.25">
      <c r="A455" s="30"/>
      <c r="B455" s="13" t="s">
        <v>710</v>
      </c>
      <c r="C455" s="170" t="s">
        <v>800</v>
      </c>
      <c r="D455" s="167" t="s">
        <v>801</v>
      </c>
      <c r="E455" s="167" t="s">
        <v>110</v>
      </c>
      <c r="F455" s="162">
        <f>G455+SUMIF('[1]mouv MULTIVAC R230 et R240'!B:B,"=Varistance pour Contacteurs 11Kw",'[1]mouv MULTIVAC R230 et R240'!G:G)</f>
        <v>8</v>
      </c>
      <c r="G455" s="163">
        <v>8</v>
      </c>
      <c r="H455" s="163">
        <v>3</v>
      </c>
      <c r="I455" s="1" t="str">
        <f t="shared" si="29"/>
        <v>-</v>
      </c>
      <c r="J455" s="164">
        <v>5.6710000000000003</v>
      </c>
      <c r="K455" s="165">
        <f t="shared" si="30"/>
        <v>45.368000000000002</v>
      </c>
      <c r="L455" s="30"/>
      <c r="M455" s="30"/>
      <c r="N455" s="30"/>
      <c r="O455" s="30"/>
      <c r="P455" s="30"/>
      <c r="Q455" s="30"/>
      <c r="R455" s="30"/>
      <c r="S455" s="30">
        <f>IF(Tableau113[[#This Row],[alerte stock]]="-",0,1)</f>
        <v>0</v>
      </c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</row>
    <row r="456" spans="1:44" ht="15.75" x14ac:dyDescent="0.25">
      <c r="A456" s="30"/>
      <c r="B456" s="13" t="s">
        <v>710</v>
      </c>
      <c r="C456" s="170" t="s">
        <v>802</v>
      </c>
      <c r="D456" s="167" t="s">
        <v>803</v>
      </c>
      <c r="E456" s="167" t="s">
        <v>110</v>
      </c>
      <c r="F456" s="162">
        <f>G456+SUMIF('[1]mouv MULTIVAC R230 et R240'!B:B,"=Relais thermique 0,7-1A",'[1]mouv MULTIVAC R230 et R240'!G:G)</f>
        <v>0</v>
      </c>
      <c r="G456" s="163">
        <v>0</v>
      </c>
      <c r="H456" s="163">
        <v>1</v>
      </c>
      <c r="I456" s="1" t="str">
        <f t="shared" si="29"/>
        <v>/!\</v>
      </c>
      <c r="J456" s="164">
        <v>33.675840000000001</v>
      </c>
      <c r="K456" s="165">
        <f t="shared" si="30"/>
        <v>0</v>
      </c>
      <c r="L456" s="30"/>
      <c r="M456" s="30"/>
      <c r="N456" s="30"/>
      <c r="O456" s="30"/>
      <c r="P456" s="30"/>
      <c r="Q456" s="30"/>
      <c r="R456" s="30"/>
      <c r="S456" s="30">
        <f>IF(Tableau113[[#This Row],[alerte stock]]="-",0,1)</f>
        <v>1</v>
      </c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</row>
    <row r="457" spans="1:44" ht="15.75" x14ac:dyDescent="0.25">
      <c r="A457" s="30"/>
      <c r="B457" s="13" t="s">
        <v>710</v>
      </c>
      <c r="C457" s="170" t="s">
        <v>804</v>
      </c>
      <c r="D457" s="167" t="s">
        <v>805</v>
      </c>
      <c r="E457" s="167" t="s">
        <v>110</v>
      </c>
      <c r="F457" s="162">
        <f>G457+SUMIF('[1]mouv MULTIVAC R230 et R240'!B:B,"=Relais thermique 4,5-6,3A",'[1]mouv MULTIVAC R230 et R240'!G:G)</f>
        <v>0</v>
      </c>
      <c r="G457" s="163">
        <v>0</v>
      </c>
      <c r="H457" s="163">
        <v>1</v>
      </c>
      <c r="I457" s="1" t="str">
        <f t="shared" si="29"/>
        <v>/!\</v>
      </c>
      <c r="J457" s="164">
        <v>33.508299999999998</v>
      </c>
      <c r="K457" s="165">
        <f>J457*F457</f>
        <v>0</v>
      </c>
      <c r="L457" s="30"/>
      <c r="M457" s="30"/>
      <c r="N457" s="30"/>
      <c r="O457" s="30"/>
      <c r="P457" s="30"/>
      <c r="Q457" s="30"/>
      <c r="R457" s="30"/>
      <c r="S457" s="30">
        <f>IF(Tableau113[[#This Row],[alerte stock]]="-",0,1)</f>
        <v>1</v>
      </c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</row>
    <row r="458" spans="1:44" ht="15.75" x14ac:dyDescent="0.25">
      <c r="A458" s="30"/>
      <c r="B458" s="13" t="s">
        <v>710</v>
      </c>
      <c r="C458" s="176" t="s">
        <v>806</v>
      </c>
      <c r="D458" s="177">
        <v>100388823</v>
      </c>
      <c r="E458" s="177"/>
      <c r="F458" s="162">
        <f>G458+SUMIF('[1]mouv MULTIVAC R230 et R240'!B:B,"=Jeu de ressorts de rappel",'[1]mouv MULTIVAC R230 et R240'!G:G)</f>
        <v>1</v>
      </c>
      <c r="G458" s="177">
        <v>1</v>
      </c>
      <c r="H458" s="177">
        <v>1</v>
      </c>
      <c r="I458" s="1" t="str">
        <f t="shared" si="29"/>
        <v>-</v>
      </c>
      <c r="J458" s="177"/>
      <c r="K458" s="177"/>
      <c r="L458" s="30"/>
      <c r="M458" s="30"/>
      <c r="N458" s="30"/>
      <c r="O458" s="30"/>
      <c r="P458" s="30"/>
      <c r="Q458" s="30"/>
      <c r="R458" s="30"/>
      <c r="S458" s="30">
        <f>IF(Tableau113[[#This Row],[alerte stock]]="-",0,1)</f>
        <v>0</v>
      </c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</row>
    <row r="459" spans="1:44" ht="15.75" x14ac:dyDescent="0.25">
      <c r="A459" s="30"/>
      <c r="B459" s="13" t="s">
        <v>710</v>
      </c>
      <c r="C459" s="176" t="s">
        <v>807</v>
      </c>
      <c r="D459" s="177">
        <v>100007403</v>
      </c>
      <c r="E459" s="177"/>
      <c r="F459" s="162">
        <f>G459+SUMIF('[1]mouv MULTIVAC R230 et R240'!B:B,"=douille d'aiguille",'[1]mouv MULTIVAC R230 et R240'!G:G)</f>
        <v>5</v>
      </c>
      <c r="G459" s="177">
        <v>5</v>
      </c>
      <c r="H459" s="177">
        <v>1</v>
      </c>
      <c r="I459" s="1" t="str">
        <f t="shared" si="29"/>
        <v>-</v>
      </c>
      <c r="J459" s="177"/>
      <c r="K459" s="177"/>
      <c r="L459" s="30"/>
      <c r="M459" s="30"/>
      <c r="N459" s="30"/>
      <c r="O459" s="30"/>
      <c r="P459" s="30"/>
      <c r="Q459" s="30"/>
      <c r="R459" s="30"/>
      <c r="S459" s="30">
        <f>IF(Tableau113[[#This Row],[alerte stock]]="-",0,1)</f>
        <v>0</v>
      </c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</row>
    <row r="460" spans="1:44" ht="15.75" x14ac:dyDescent="0.25">
      <c r="A460" s="30"/>
      <c r="B460" s="13" t="s">
        <v>710</v>
      </c>
      <c r="C460" s="176" t="s">
        <v>808</v>
      </c>
      <c r="D460" s="177">
        <v>200150369</v>
      </c>
      <c r="E460" s="177"/>
      <c r="F460" s="162">
        <f>G460+SUMIF('[1]mouv MULTIVAC R230 et R240'!B:B,"=ressort de traction D1=12,7",'[1]mouv MULTIVAC R230 et R240'!G:G)</f>
        <v>2</v>
      </c>
      <c r="G460" s="177">
        <v>2</v>
      </c>
      <c r="H460" s="177">
        <v>0</v>
      </c>
      <c r="I460" s="1" t="str">
        <f t="shared" si="29"/>
        <v>-</v>
      </c>
      <c r="J460" s="177"/>
      <c r="K460" s="177"/>
      <c r="L460" s="30"/>
      <c r="M460" s="30"/>
      <c r="N460" s="30"/>
      <c r="O460" s="30"/>
      <c r="P460" s="30"/>
      <c r="Q460" s="30"/>
      <c r="R460" s="30"/>
      <c r="S460" s="30">
        <f>IF(Tableau113[[#This Row],[alerte stock]]="-",0,1)</f>
        <v>0</v>
      </c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</row>
    <row r="461" spans="1:44" ht="15.75" x14ac:dyDescent="0.25">
      <c r="A461" s="30"/>
      <c r="B461" s="13" t="s">
        <v>710</v>
      </c>
      <c r="C461" s="176" t="s">
        <v>809</v>
      </c>
      <c r="D461" s="177">
        <v>11631038045</v>
      </c>
      <c r="E461" s="177"/>
      <c r="F461" s="162">
        <f>G461+SUMIF('[1]mouv MULTIVAC R230 et R240'!B:B,"=cache latéral rouleau film bas",'[1]mouv MULTIVAC R230 et R240'!G:G)</f>
        <v>4</v>
      </c>
      <c r="G461" s="177">
        <v>4</v>
      </c>
      <c r="H461" s="177">
        <v>2</v>
      </c>
      <c r="I461" s="1" t="str">
        <f t="shared" si="29"/>
        <v>-</v>
      </c>
      <c r="J461" s="177"/>
      <c r="K461" s="177"/>
      <c r="L461" s="30"/>
      <c r="M461" s="30"/>
      <c r="N461" s="30"/>
      <c r="O461" s="30"/>
      <c r="P461" s="30"/>
      <c r="Q461" s="30"/>
      <c r="R461" s="30"/>
      <c r="S461" s="30">
        <f>IF(Tableau113[[#This Row],[alerte stock]]="-",0,1)</f>
        <v>0</v>
      </c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</row>
    <row r="462" spans="1:44" ht="15.75" x14ac:dyDescent="0.25">
      <c r="A462" s="30"/>
      <c r="B462" s="13" t="s">
        <v>710</v>
      </c>
      <c r="C462" s="176" t="s">
        <v>810</v>
      </c>
      <c r="D462" s="177">
        <v>100006548</v>
      </c>
      <c r="E462" s="177"/>
      <c r="F462" s="162">
        <f>G462+SUMIF('[1]mouv MULTIVAC R230 et R240'!B:B,"=circlips 45*2,5",'[1]mouv MULTIVAC R230 et R240'!G:G)</f>
        <v>3</v>
      </c>
      <c r="G462" s="177">
        <v>3</v>
      </c>
      <c r="H462" s="177">
        <v>1</v>
      </c>
      <c r="I462" s="1" t="str">
        <f t="shared" si="29"/>
        <v>-</v>
      </c>
      <c r="J462" s="177"/>
      <c r="K462" s="177"/>
      <c r="L462" s="30"/>
      <c r="M462" s="30"/>
      <c r="N462" s="30"/>
      <c r="O462" s="30"/>
      <c r="P462" s="30"/>
      <c r="Q462" s="30"/>
      <c r="R462" s="30"/>
      <c r="S462" s="30">
        <f>IF(Tableau113[[#This Row],[alerte stock]]="-",0,1)</f>
        <v>0</v>
      </c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</row>
    <row r="463" spans="1:44" ht="15.75" x14ac:dyDescent="0.25">
      <c r="A463" s="30"/>
      <c r="B463" s="13" t="s">
        <v>710</v>
      </c>
      <c r="C463" s="176" t="s">
        <v>811</v>
      </c>
      <c r="D463" s="177">
        <v>11631068900</v>
      </c>
      <c r="E463" s="177"/>
      <c r="F463" s="162">
        <f>G463+SUMIF('[1]mouv MULTIVAC R230 et R240'!B:B,"=clamping jaw 120*22,5",'[1]mouv MULTIVAC R230 et R240'!G:G)</f>
        <v>6</v>
      </c>
      <c r="G463" s="177">
        <v>6</v>
      </c>
      <c r="H463" s="177">
        <v>2</v>
      </c>
      <c r="I463" s="1" t="str">
        <f t="shared" si="29"/>
        <v>-</v>
      </c>
      <c r="J463" s="177"/>
      <c r="K463" s="177"/>
      <c r="L463" s="30"/>
      <c r="M463" s="30"/>
      <c r="N463" s="30"/>
      <c r="O463" s="30"/>
      <c r="P463" s="30"/>
      <c r="Q463" s="30"/>
      <c r="R463" s="30"/>
      <c r="S463" s="30">
        <f>IF(Tableau113[[#This Row],[alerte stock]]="-",0,1)</f>
        <v>0</v>
      </c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</row>
    <row r="464" spans="1:44" ht="15.75" x14ac:dyDescent="0.25">
      <c r="A464" s="30"/>
      <c r="B464" s="13" t="s">
        <v>710</v>
      </c>
      <c r="C464" s="176" t="s">
        <v>812</v>
      </c>
      <c r="D464" s="177">
        <v>11648268803</v>
      </c>
      <c r="E464" s="177"/>
      <c r="F464" s="162">
        <f>G464+SUMIF('[1]mouv MULTIVAC R230 et R240'!B:B,"=verouillage capots barriere soudure/formage",'[1]mouv MULTIVAC R230 et R240'!G:G)</f>
        <v>1</v>
      </c>
      <c r="G464" s="177">
        <v>1</v>
      </c>
      <c r="H464" s="177">
        <v>1</v>
      </c>
      <c r="I464" s="1" t="str">
        <f t="shared" si="29"/>
        <v>-</v>
      </c>
      <c r="J464" s="177"/>
      <c r="K464" s="177"/>
      <c r="L464" s="30"/>
      <c r="M464" s="30"/>
      <c r="N464" s="30"/>
      <c r="O464" s="30"/>
      <c r="P464" s="30"/>
      <c r="Q464" s="30"/>
      <c r="R464" s="30"/>
      <c r="S464" s="30">
        <f>IF(Tableau113[[#This Row],[alerte stock]]="-",0,1)</f>
        <v>0</v>
      </c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</row>
    <row r="465" spans="1:44" ht="15.75" x14ac:dyDescent="0.25">
      <c r="A465" s="30"/>
      <c r="B465" s="13" t="s">
        <v>710</v>
      </c>
      <c r="C465" s="176" t="s">
        <v>813</v>
      </c>
      <c r="D465" s="177">
        <v>19781100900</v>
      </c>
      <c r="E465" s="177"/>
      <c r="F465" s="162">
        <f>G465+SUMIF('[1]mouv MULTIVAC R230 et R240'!B:B,"=ressort de pression D1=9",'[1]mouv MULTIVAC R230 et R240'!G:G)</f>
        <v>6</v>
      </c>
      <c r="G465" s="177">
        <v>6</v>
      </c>
      <c r="H465" s="177">
        <v>2</v>
      </c>
      <c r="I465" s="1" t="str">
        <f t="shared" si="29"/>
        <v>-</v>
      </c>
      <c r="J465" s="177"/>
      <c r="K465" s="177"/>
      <c r="L465" s="30"/>
      <c r="M465" s="30"/>
      <c r="N465" s="30"/>
      <c r="O465" s="30"/>
      <c r="P465" s="30"/>
      <c r="Q465" s="30"/>
      <c r="R465" s="30"/>
      <c r="S465" s="30">
        <f>IF(Tableau113[[#This Row],[alerte stock]]="-",0,1)</f>
        <v>0</v>
      </c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</row>
    <row r="466" spans="1:44" ht="15.75" x14ac:dyDescent="0.25">
      <c r="A466" s="30"/>
      <c r="B466" s="13" t="s">
        <v>710</v>
      </c>
      <c r="C466" s="176" t="s">
        <v>814</v>
      </c>
      <c r="D466" s="177">
        <v>78351040300</v>
      </c>
      <c r="E466" s="177"/>
      <c r="F466" s="162">
        <f>G466+SUMIF('[1]mouv MULTIVAC R230 et R240'!B:B,"=joint spi D1=68 D2=40",'[1]mouv MULTIVAC R230 et R240'!G:G)</f>
        <v>1</v>
      </c>
      <c r="G466" s="177">
        <v>1</v>
      </c>
      <c r="H466" s="177">
        <v>0</v>
      </c>
      <c r="I466" s="1" t="str">
        <f t="shared" si="29"/>
        <v>-</v>
      </c>
      <c r="J466" s="177"/>
      <c r="K466" s="177"/>
      <c r="L466" s="30"/>
      <c r="M466" s="30"/>
      <c r="N466" s="30"/>
      <c r="O466" s="30"/>
      <c r="P466" s="30"/>
      <c r="Q466" s="30"/>
      <c r="R466" s="30"/>
      <c r="S466" s="30">
        <f>IF(Tableau113[[#This Row],[alerte stock]]="-",0,1)</f>
        <v>0</v>
      </c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</row>
    <row r="467" spans="1:44" ht="15.75" x14ac:dyDescent="0.25">
      <c r="A467" s="30"/>
      <c r="B467" s="13" t="s">
        <v>710</v>
      </c>
      <c r="C467" s="176" t="s">
        <v>815</v>
      </c>
      <c r="D467" s="177">
        <v>105320956</v>
      </c>
      <c r="E467" s="177"/>
      <c r="F467" s="162">
        <f>G467+SUMIF('[1]mouv MULTIVAC R230 et R240'!B:B,"=VIS SW10 L1=31 L2=29",'[1]mouv MULTIVAC R230 et R240'!G:G)</f>
        <v>2</v>
      </c>
      <c r="G467" s="177">
        <v>2</v>
      </c>
      <c r="H467" s="177">
        <v>0</v>
      </c>
      <c r="I467" s="1" t="str">
        <f t="shared" si="29"/>
        <v>-</v>
      </c>
      <c r="J467" s="177"/>
      <c r="K467" s="177"/>
      <c r="L467" s="30"/>
      <c r="M467" s="30"/>
      <c r="N467" s="30"/>
      <c r="O467" s="30"/>
      <c r="P467" s="30"/>
      <c r="Q467" s="30"/>
      <c r="R467" s="30"/>
      <c r="S467" s="30">
        <f>IF(Tableau113[[#This Row],[alerte stock]]="-",0,1)</f>
        <v>0</v>
      </c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</row>
    <row r="468" spans="1:44" ht="15.75" x14ac:dyDescent="0.25">
      <c r="A468" s="30"/>
      <c r="B468" s="13" t="s">
        <v>710</v>
      </c>
      <c r="C468" s="176" t="s">
        <v>816</v>
      </c>
      <c r="D468" s="177">
        <v>11631040847</v>
      </c>
      <c r="E468" s="177"/>
      <c r="F468" s="162">
        <f>G468+SUMIF('[1]mouv MULTIVAC R230 et R240'!B:B,"=VIS SW17 L1=64 L2=31",'[1]mouv MULTIVAC R230 et R240'!G:G)</f>
        <v>2</v>
      </c>
      <c r="G468" s="177">
        <v>2</v>
      </c>
      <c r="H468" s="177">
        <v>0</v>
      </c>
      <c r="I468" s="1" t="str">
        <f t="shared" si="29"/>
        <v>-</v>
      </c>
      <c r="J468" s="177"/>
      <c r="K468" s="177"/>
      <c r="L468" s="30"/>
      <c r="M468" s="13" t="s">
        <v>710</v>
      </c>
      <c r="N468" s="30"/>
      <c r="O468" s="30"/>
      <c r="P468" s="30"/>
      <c r="Q468" s="30"/>
      <c r="R468" s="30"/>
      <c r="S468" s="30">
        <f>IF(Tableau113[[#This Row],[alerte stock]]="-",0,1)</f>
        <v>0</v>
      </c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</row>
    <row r="469" spans="1:44" ht="15.75" x14ac:dyDescent="0.25">
      <c r="A469" s="30"/>
      <c r="B469" s="13" t="s">
        <v>710</v>
      </c>
      <c r="C469" s="178" t="s">
        <v>817</v>
      </c>
      <c r="D469" s="28">
        <v>80275111402</v>
      </c>
      <c r="E469" s="28"/>
      <c r="F469" s="162">
        <f>G469+SUMIF('[1]mouv MULTIVAC R230 et R240'!B:B,"=joint d'étanchité",'[1]mouv MULTIVAC R230 et R240'!G:G)</f>
        <v>6</v>
      </c>
      <c r="G469" s="28">
        <v>6</v>
      </c>
      <c r="H469" s="28">
        <v>2</v>
      </c>
      <c r="I469" s="1" t="str">
        <f t="shared" si="29"/>
        <v>-</v>
      </c>
      <c r="J469" s="28"/>
      <c r="K469" s="28"/>
      <c r="L469" s="30"/>
      <c r="M469" s="35">
        <f>SUM(K377:K469)</f>
        <v>15833.063940000002</v>
      </c>
      <c r="N469" s="30"/>
      <c r="O469" s="30"/>
      <c r="P469" s="30"/>
      <c r="Q469" s="30"/>
      <c r="R469" s="30"/>
      <c r="S469" s="30">
        <f>IF(Tableau113[[#This Row],[alerte stock]]="-",0,1)</f>
        <v>0</v>
      </c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</row>
    <row r="470" spans="1:44" ht="15.75" x14ac:dyDescent="0.25">
      <c r="A470" s="30"/>
      <c r="B470" s="13" t="s">
        <v>818</v>
      </c>
      <c r="C470" s="99" t="s">
        <v>819</v>
      </c>
      <c r="D470" s="101">
        <v>105377188</v>
      </c>
      <c r="E470" s="179" t="s">
        <v>24</v>
      </c>
      <c r="F470" s="7">
        <f>G470+SUMIF('[1]mouv MULTIVAC DECOUPE'!B:B,"=Contre découpe (enclume) R240",'[1]mouv MULTIVAC DECOUPE'!G:G)</f>
        <v>5</v>
      </c>
      <c r="G470" s="63">
        <v>5</v>
      </c>
      <c r="H470" s="63">
        <v>2</v>
      </c>
      <c r="I470" s="1" t="str">
        <f t="shared" si="29"/>
        <v>-</v>
      </c>
      <c r="J470" s="66">
        <v>914.37</v>
      </c>
      <c r="K470" s="180">
        <f>J470*F470</f>
        <v>4571.8500000000004</v>
      </c>
      <c r="L470" s="30"/>
      <c r="M470" s="30"/>
      <c r="N470" s="30"/>
      <c r="O470" s="30"/>
      <c r="P470" s="30"/>
      <c r="Q470" s="30"/>
      <c r="R470" s="30"/>
      <c r="S470" s="30">
        <f>IF(Tableau113[[#This Row],[alerte stock]]="-",0,1)</f>
        <v>0</v>
      </c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</row>
    <row r="471" spans="1:44" ht="15.75" x14ac:dyDescent="0.25">
      <c r="A471" s="30"/>
      <c r="B471" s="13" t="s">
        <v>818</v>
      </c>
      <c r="C471" s="102" t="s">
        <v>820</v>
      </c>
      <c r="D471" s="101">
        <v>106513175</v>
      </c>
      <c r="E471" s="179" t="s">
        <v>24</v>
      </c>
      <c r="F471" s="7">
        <f>G471+SUMIF('[1]mouv MULTIVAC DECOUPE'!B:B,"=Couteau perforation rond",'[1]mouv MULTIVAC DECOUPE'!G:G)</f>
        <v>47</v>
      </c>
      <c r="G471" s="63">
        <v>15</v>
      </c>
      <c r="H471" s="101">
        <v>8</v>
      </c>
      <c r="I471" s="1" t="str">
        <f t="shared" si="29"/>
        <v>-</v>
      </c>
      <c r="J471" s="181">
        <v>11.6</v>
      </c>
      <c r="K471" s="12">
        <f t="shared" ref="K471:K501" si="31">J471*F471</f>
        <v>545.19999999999993</v>
      </c>
      <c r="L471" s="30"/>
      <c r="M471" s="30"/>
      <c r="N471" s="30"/>
      <c r="O471" s="30"/>
      <c r="P471" s="30"/>
      <c r="Q471" s="30"/>
      <c r="R471" s="30"/>
      <c r="S471" s="30">
        <f>IF(Tableau113[[#This Row],[alerte stock]]="-",0,1)</f>
        <v>0</v>
      </c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</row>
    <row r="472" spans="1:44" ht="15.75" x14ac:dyDescent="0.25">
      <c r="A472" s="30"/>
      <c r="B472" s="13" t="s">
        <v>818</v>
      </c>
      <c r="C472" s="102" t="s">
        <v>821</v>
      </c>
      <c r="D472" s="101">
        <v>106542668</v>
      </c>
      <c r="E472" s="179" t="s">
        <v>24</v>
      </c>
      <c r="F472" s="7">
        <f>G472+SUMIF('[1]mouv MULTIVAC DECOUPE'!B:B,"=Couteau (poinçon) perforation ovale",'[1]mouv MULTIVAC DECOUPE'!G:G)</f>
        <v>10</v>
      </c>
      <c r="G472" s="63">
        <v>10</v>
      </c>
      <c r="H472" s="101">
        <v>4</v>
      </c>
      <c r="I472" s="1" t="str">
        <f t="shared" si="29"/>
        <v>-</v>
      </c>
      <c r="J472" s="181">
        <v>19.34</v>
      </c>
      <c r="K472" s="12">
        <f t="shared" si="31"/>
        <v>193.4</v>
      </c>
      <c r="L472" s="30"/>
      <c r="M472" s="30"/>
      <c r="N472" s="30"/>
      <c r="O472" s="30"/>
      <c r="P472" s="30"/>
      <c r="Q472" s="30"/>
      <c r="R472" s="30"/>
      <c r="S472" s="30">
        <f>IF(Tableau113[[#This Row],[alerte stock]]="-",0,1)</f>
        <v>0</v>
      </c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</row>
    <row r="473" spans="1:44" ht="15.75" x14ac:dyDescent="0.25">
      <c r="A473" s="30"/>
      <c r="B473" s="13" t="s">
        <v>818</v>
      </c>
      <c r="C473" s="102" t="s">
        <v>822</v>
      </c>
      <c r="D473" s="101">
        <v>11555170000</v>
      </c>
      <c r="E473" s="179" t="s">
        <v>24</v>
      </c>
      <c r="F473" s="7">
        <f>G473+SUMIF('[1]mouv MULTIVAC DECOUPE'!B:B,"=Entretoise découpe stone cut 240",'[1]mouv MULTIVAC DECOUPE'!G:G)</f>
        <v>12</v>
      </c>
      <c r="G473" s="63">
        <v>12</v>
      </c>
      <c r="H473" s="101">
        <v>8</v>
      </c>
      <c r="I473" s="1" t="str">
        <f t="shared" si="29"/>
        <v>-</v>
      </c>
      <c r="J473" s="181">
        <v>61.14</v>
      </c>
      <c r="K473" s="12">
        <f t="shared" si="31"/>
        <v>733.68000000000006</v>
      </c>
      <c r="L473" s="30"/>
      <c r="M473" s="30"/>
      <c r="N473" s="30"/>
      <c r="O473" s="30"/>
      <c r="P473" s="30"/>
      <c r="Q473" s="30"/>
      <c r="R473" s="30"/>
      <c r="S473" s="30">
        <f>IF(Tableau113[[#This Row],[alerte stock]]="-",0,1)</f>
        <v>0</v>
      </c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</row>
    <row r="474" spans="1:44" ht="15.75" x14ac:dyDescent="0.25">
      <c r="A474" s="30"/>
      <c r="B474" s="13" t="s">
        <v>818</v>
      </c>
      <c r="C474" s="102" t="s">
        <v>823</v>
      </c>
      <c r="D474" s="101">
        <v>11555966710</v>
      </c>
      <c r="E474" s="179" t="s">
        <v>24</v>
      </c>
      <c r="F474" s="7">
        <f>G474+SUMIF('[1]mouv MULTIVAC DECOUPE'!B:B,"=Bord extérieur à visser couteaux R240",'[1]mouv MULTIVAC DECOUPE'!G:G)</f>
        <v>2</v>
      </c>
      <c r="G474" s="63">
        <v>2</v>
      </c>
      <c r="H474" s="101">
        <v>2</v>
      </c>
      <c r="I474" s="1" t="str">
        <f t="shared" si="29"/>
        <v>-</v>
      </c>
      <c r="J474" s="181">
        <v>68.180000000000007</v>
      </c>
      <c r="K474" s="12">
        <f t="shared" si="31"/>
        <v>136.36000000000001</v>
      </c>
      <c r="L474" s="30"/>
      <c r="M474" s="30"/>
      <c r="N474" s="30"/>
      <c r="O474" s="30"/>
      <c r="P474" s="30"/>
      <c r="Q474" s="30"/>
      <c r="R474" s="30"/>
      <c r="S474" s="30">
        <f>IF(Tableau113[[#This Row],[alerte stock]]="-",0,1)</f>
        <v>0</v>
      </c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</row>
    <row r="475" spans="1:44" ht="15.75" x14ac:dyDescent="0.25">
      <c r="A475" s="30"/>
      <c r="B475" s="13" t="s">
        <v>818</v>
      </c>
      <c r="C475" s="102" t="s">
        <v>824</v>
      </c>
      <c r="D475" s="101">
        <v>49094340200</v>
      </c>
      <c r="E475" s="179" t="s">
        <v>24</v>
      </c>
      <c r="F475" s="7">
        <f>G475+SUMIF('[1]mouv MULTIVAC DECOUPE'!B:B,"=Contre découpe (enclume) R230",'[1]mouv MULTIVAC DECOUPE'!G:G)</f>
        <v>1</v>
      </c>
      <c r="G475" s="63">
        <v>1</v>
      </c>
      <c r="H475" s="101">
        <v>1</v>
      </c>
      <c r="I475" s="1" t="str">
        <f t="shared" si="29"/>
        <v>-</v>
      </c>
      <c r="J475" s="181">
        <v>68.180000000000007</v>
      </c>
      <c r="K475" s="12">
        <f t="shared" si="31"/>
        <v>68.180000000000007</v>
      </c>
      <c r="L475" s="30"/>
      <c r="M475" s="30"/>
      <c r="N475" s="30"/>
      <c r="O475" s="30"/>
      <c r="P475" s="30"/>
      <c r="Q475" s="30"/>
      <c r="R475" s="30"/>
      <c r="S475" s="30">
        <f>IF(Tableau113[[#This Row],[alerte stock]]="-",0,1)</f>
        <v>0</v>
      </c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</row>
    <row r="476" spans="1:44" ht="15.75" x14ac:dyDescent="0.25">
      <c r="A476" s="30"/>
      <c r="B476" s="13" t="s">
        <v>818</v>
      </c>
      <c r="C476" s="102" t="s">
        <v>825</v>
      </c>
      <c r="D476" s="101">
        <v>79911201210</v>
      </c>
      <c r="E476" s="179" t="s">
        <v>24</v>
      </c>
      <c r="F476" s="7">
        <f>G476+SUMIF('[1]mouv MULTIVAC DECOUPE'!B:B,"=Lame de coupe R230 ( vendu au 1m )",'[1]mouv MULTIVAC DECOUPE'!G:G)</f>
        <v>1</v>
      </c>
      <c r="G476" s="63">
        <v>1</v>
      </c>
      <c r="H476" s="101">
        <v>1</v>
      </c>
      <c r="I476" s="1" t="str">
        <f t="shared" si="29"/>
        <v>-</v>
      </c>
      <c r="J476" s="181">
        <v>391.83</v>
      </c>
      <c r="K476" s="12">
        <f t="shared" si="31"/>
        <v>391.83</v>
      </c>
      <c r="L476" s="30"/>
      <c r="M476" s="30"/>
      <c r="N476" s="30"/>
      <c r="O476" s="30"/>
      <c r="P476" s="30"/>
      <c r="Q476" s="30"/>
      <c r="R476" s="30"/>
      <c r="S476" s="30">
        <f>IF(Tableau113[[#This Row],[alerte stock]]="-",0,1)</f>
        <v>0</v>
      </c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</row>
    <row r="477" spans="1:44" ht="15.75" x14ac:dyDescent="0.25">
      <c r="A477" s="30"/>
      <c r="B477" s="13" t="s">
        <v>818</v>
      </c>
      <c r="C477" s="102" t="s">
        <v>826</v>
      </c>
      <c r="D477" s="101">
        <v>79913518250</v>
      </c>
      <c r="E477" s="179" t="s">
        <v>24</v>
      </c>
      <c r="F477" s="7">
        <f>G477+SUMIF('[1]mouv MULTIVAC DECOUPE'!B:B,"=Lame de coupe R240 (stone cut)",'[1]mouv MULTIVAC DECOUPE'!G:G)</f>
        <v>9</v>
      </c>
      <c r="G477" s="63">
        <v>6</v>
      </c>
      <c r="H477" s="101">
        <v>4</v>
      </c>
      <c r="I477" s="1" t="str">
        <f t="shared" si="29"/>
        <v>-</v>
      </c>
      <c r="J477" s="181">
        <v>249.52</v>
      </c>
      <c r="K477" s="12">
        <f t="shared" si="31"/>
        <v>2245.6800000000003</v>
      </c>
      <c r="L477" s="30"/>
      <c r="M477" s="30"/>
      <c r="N477" s="30"/>
      <c r="O477" s="30"/>
      <c r="P477" s="30"/>
      <c r="Q477" s="30"/>
      <c r="R477" s="30"/>
      <c r="S477" s="30">
        <f>IF(Tableau113[[#This Row],[alerte stock]]="-",0,1)</f>
        <v>0</v>
      </c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</row>
    <row r="478" spans="1:44" ht="15.75" x14ac:dyDescent="0.25">
      <c r="A478" s="30"/>
      <c r="B478" s="13" t="s">
        <v>818</v>
      </c>
      <c r="C478" s="102" t="s">
        <v>827</v>
      </c>
      <c r="D478" s="101" t="s">
        <v>828</v>
      </c>
      <c r="E478" s="179" t="s">
        <v>24</v>
      </c>
      <c r="F478" s="7">
        <f>G478+SUMIF('[1]mouv MULTIVAC DECOUPE'!B:B,"=Lame R240 HSS",'[1]mouv MULTIVAC DECOUPE'!G:G)</f>
        <v>2</v>
      </c>
      <c r="G478" s="63">
        <v>2</v>
      </c>
      <c r="H478" s="101">
        <v>0</v>
      </c>
      <c r="I478" s="1" t="str">
        <f t="shared" si="29"/>
        <v>-</v>
      </c>
      <c r="J478" s="181">
        <v>94</v>
      </c>
      <c r="K478" s="12">
        <f t="shared" si="31"/>
        <v>188</v>
      </c>
      <c r="L478" s="30"/>
      <c r="M478" s="30"/>
      <c r="N478" s="30"/>
      <c r="O478" s="30"/>
      <c r="P478" s="30"/>
      <c r="Q478" s="30"/>
      <c r="R478" s="30"/>
      <c r="S478" s="30">
        <f>IF(Tableau113[[#This Row],[alerte stock]]="-",0,1)</f>
        <v>0</v>
      </c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</row>
    <row r="479" spans="1:44" ht="15.75" x14ac:dyDescent="0.25">
      <c r="A479" s="30"/>
      <c r="B479" s="13" t="s">
        <v>818</v>
      </c>
      <c r="C479" s="182" t="s">
        <v>829</v>
      </c>
      <c r="D479" s="101">
        <v>79915200803</v>
      </c>
      <c r="E479" s="179" t="s">
        <v>24</v>
      </c>
      <c r="F479" s="7">
        <f>G479+SUMIF('[1]mouv MULTIVAC DECOUPE'!B:B,"=couteaux circulaires R240",'[1]mouv MULTIVAC DECOUPE'!G:G)</f>
        <v>2</v>
      </c>
      <c r="G479" s="63">
        <v>2</v>
      </c>
      <c r="H479" s="63">
        <v>3</v>
      </c>
      <c r="I479" s="1" t="str">
        <f t="shared" si="29"/>
        <v>/!\</v>
      </c>
      <c r="J479" s="66">
        <v>15.74</v>
      </c>
      <c r="K479" s="12">
        <f t="shared" si="31"/>
        <v>31.48</v>
      </c>
      <c r="L479" s="30"/>
      <c r="M479" s="30"/>
      <c r="N479" s="30"/>
      <c r="O479" s="30"/>
      <c r="P479" s="30"/>
      <c r="Q479" s="30"/>
      <c r="R479" s="30"/>
      <c r="S479" s="30">
        <f>IF(Tableau113[[#This Row],[alerte stock]]="-",0,1)</f>
        <v>1</v>
      </c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</row>
    <row r="480" spans="1:44" ht="15.75" x14ac:dyDescent="0.25">
      <c r="A480" s="30"/>
      <c r="B480" s="13" t="s">
        <v>818</v>
      </c>
      <c r="C480" s="183" t="s">
        <v>830</v>
      </c>
      <c r="D480" s="101">
        <v>79915200901</v>
      </c>
      <c r="E480" s="179" t="s">
        <v>24</v>
      </c>
      <c r="F480" s="7">
        <f>G480+SUMIF('[1]mouv MULTIVAC DECOUPE'!B:B,"=couteaux circulaires R230",'[1]mouv MULTIVAC DECOUPE'!G:G)</f>
        <v>0</v>
      </c>
      <c r="G480" s="63">
        <v>0</v>
      </c>
      <c r="H480" s="63">
        <v>3</v>
      </c>
      <c r="I480" s="1" t="str">
        <f t="shared" si="29"/>
        <v>/!\</v>
      </c>
      <c r="J480" s="66">
        <v>15.74</v>
      </c>
      <c r="K480" s="12">
        <f t="shared" si="31"/>
        <v>0</v>
      </c>
      <c r="L480" s="30"/>
      <c r="M480" s="30"/>
      <c r="N480" s="30"/>
      <c r="O480" s="30"/>
      <c r="P480" s="30"/>
      <c r="Q480" s="30"/>
      <c r="R480" s="30"/>
      <c r="S480" s="30">
        <f>IF(Tableau113[[#This Row],[alerte stock]]="-",0,1)</f>
        <v>1</v>
      </c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</row>
    <row r="481" spans="1:44" ht="15.75" x14ac:dyDescent="0.25">
      <c r="A481" s="30"/>
      <c r="B481" s="13" t="s">
        <v>818</v>
      </c>
      <c r="C481" s="102" t="s">
        <v>831</v>
      </c>
      <c r="D481" s="101">
        <v>79935811008</v>
      </c>
      <c r="E481" s="179" t="s">
        <v>24</v>
      </c>
      <c r="F481" s="7">
        <f>G481+SUMIF('[1]mouv MULTIVAC DECOUPE'!B:B,"=Couteaux Demi-as de carreau R240",'[1]mouv MULTIVAC DECOUPE'!G:G)</f>
        <v>17</v>
      </c>
      <c r="G481" s="63">
        <v>17</v>
      </c>
      <c r="H481" s="101">
        <v>4</v>
      </c>
      <c r="I481" s="1" t="str">
        <f t="shared" si="29"/>
        <v>-</v>
      </c>
      <c r="J481" s="181">
        <v>28.48</v>
      </c>
      <c r="K481" s="12">
        <f t="shared" si="31"/>
        <v>484.16</v>
      </c>
      <c r="L481" s="30"/>
      <c r="M481" s="30"/>
      <c r="N481" s="30"/>
      <c r="O481" s="30"/>
      <c r="P481" s="30"/>
      <c r="Q481" s="30"/>
      <c r="R481" s="30"/>
      <c r="S481" s="30">
        <f>IF(Tableau113[[#This Row],[alerte stock]]="-",0,1)</f>
        <v>0</v>
      </c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</row>
    <row r="482" spans="1:44" ht="15.75" x14ac:dyDescent="0.25">
      <c r="A482" s="30"/>
      <c r="B482" s="13" t="s">
        <v>818</v>
      </c>
      <c r="C482" s="102" t="s">
        <v>832</v>
      </c>
      <c r="D482" s="101" t="s">
        <v>833</v>
      </c>
      <c r="E482" s="179" t="s">
        <v>24</v>
      </c>
      <c r="F482" s="7">
        <f>G482+SUMIF('[1]mouv MULTIVAC DECOUPE'!B:B,"=Demi As Acier Ht performance",'[1]mouv MULTIVAC DECOUPE'!G:G)</f>
        <v>6</v>
      </c>
      <c r="G482" s="63">
        <v>6</v>
      </c>
      <c r="H482" s="101">
        <v>0</v>
      </c>
      <c r="I482" s="1" t="str">
        <f t="shared" si="29"/>
        <v>-</v>
      </c>
      <c r="J482" s="181">
        <v>46.5</v>
      </c>
      <c r="K482" s="12">
        <f t="shared" si="31"/>
        <v>279</v>
      </c>
      <c r="L482" s="30"/>
      <c r="M482" s="30"/>
      <c r="N482" s="30"/>
      <c r="O482" s="30"/>
      <c r="P482" s="30"/>
      <c r="Q482" s="30"/>
      <c r="R482" s="30"/>
      <c r="S482" s="30">
        <f>IF(Tableau113[[#This Row],[alerte stock]]="-",0,1)</f>
        <v>0</v>
      </c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</row>
    <row r="483" spans="1:44" ht="15.75" x14ac:dyDescent="0.25">
      <c r="A483" s="30"/>
      <c r="B483" s="13" t="s">
        <v>818</v>
      </c>
      <c r="C483" s="102" t="s">
        <v>834</v>
      </c>
      <c r="D483" s="101">
        <v>79935811024</v>
      </c>
      <c r="E483" s="179" t="s">
        <v>24</v>
      </c>
      <c r="F483" s="7">
        <f>G483+SUMIF('[1]mouv MULTIVAC DECOUPE'!B:B,"=Couteaux As de carreau R240",'[1]mouv MULTIVAC DECOUPE'!G:G)</f>
        <v>13</v>
      </c>
      <c r="G483" s="63">
        <v>13</v>
      </c>
      <c r="H483" s="101">
        <v>2</v>
      </c>
      <c r="I483" s="1" t="str">
        <f t="shared" si="29"/>
        <v>-</v>
      </c>
      <c r="J483" s="181">
        <v>36.51</v>
      </c>
      <c r="K483" s="12">
        <f t="shared" si="31"/>
        <v>474.63</v>
      </c>
      <c r="L483" s="30"/>
      <c r="M483" s="30"/>
      <c r="N483" s="30"/>
      <c r="O483" s="30"/>
      <c r="P483" s="30"/>
      <c r="Q483" s="30"/>
      <c r="R483" s="30"/>
      <c r="S483" s="30">
        <f>IF(Tableau113[[#This Row],[alerte stock]]="-",0,1)</f>
        <v>0</v>
      </c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</row>
    <row r="484" spans="1:44" ht="15.75" x14ac:dyDescent="0.25">
      <c r="A484" s="30"/>
      <c r="B484" s="13" t="s">
        <v>818</v>
      </c>
      <c r="C484" s="102" t="s">
        <v>835</v>
      </c>
      <c r="D484" s="101" t="s">
        <v>836</v>
      </c>
      <c r="E484" s="179" t="s">
        <v>24</v>
      </c>
      <c r="F484" s="7">
        <f>G484+SUMIF('[1]mouv MULTIVAC DECOUPE'!B:B,"=As de carreau Acier Ht performance",'[1]mouv MULTIVAC DECOUPE'!G:G)</f>
        <v>8</v>
      </c>
      <c r="G484" s="63">
        <v>8</v>
      </c>
      <c r="H484" s="101">
        <v>0</v>
      </c>
      <c r="I484" s="1" t="str">
        <f t="shared" si="29"/>
        <v>-</v>
      </c>
      <c r="J484" s="181">
        <v>48</v>
      </c>
      <c r="K484" s="12">
        <f t="shared" si="31"/>
        <v>384</v>
      </c>
      <c r="L484" s="30"/>
      <c r="M484" s="30"/>
      <c r="N484" s="30"/>
      <c r="O484" s="30"/>
      <c r="P484" s="30"/>
      <c r="Q484" s="30"/>
      <c r="R484" s="30"/>
      <c r="S484" s="30">
        <f>IF(Tableau113[[#This Row],[alerte stock]]="-",0,1)</f>
        <v>0</v>
      </c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</row>
    <row r="485" spans="1:44" ht="15.75" x14ac:dyDescent="0.25">
      <c r="A485" s="30"/>
      <c r="B485" s="13" t="s">
        <v>818</v>
      </c>
      <c r="C485" s="184" t="s">
        <v>837</v>
      </c>
      <c r="D485" s="185">
        <v>19181271484</v>
      </c>
      <c r="E485" s="179" t="s">
        <v>24</v>
      </c>
      <c r="F485" s="7">
        <f>G485+SUMIF('[1]mouv MULTIVAC DECOUPE'!B:B,"=joint etanchéité UV10 (decoupe longitudinale)",'[1]mouv MULTIVAC DECOUPE'!G:G)</f>
        <v>10</v>
      </c>
      <c r="G485" s="186">
        <v>10</v>
      </c>
      <c r="H485" s="186">
        <v>2</v>
      </c>
      <c r="I485" s="1" t="str">
        <f t="shared" si="29"/>
        <v>-</v>
      </c>
      <c r="J485" s="187">
        <v>8.7409999999999997</v>
      </c>
      <c r="K485" s="12">
        <f t="shared" si="31"/>
        <v>87.41</v>
      </c>
      <c r="L485" s="30"/>
      <c r="M485" s="30"/>
      <c r="N485" s="30"/>
      <c r="O485" s="30"/>
      <c r="P485" s="30"/>
      <c r="Q485" s="30"/>
      <c r="R485" s="30"/>
      <c r="S485" s="30">
        <f>IF(Tableau113[[#This Row],[alerte stock]]="-",0,1)</f>
        <v>0</v>
      </c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</row>
    <row r="486" spans="1:44" ht="15.75" x14ac:dyDescent="0.25">
      <c r="A486" s="30"/>
      <c r="B486" s="13" t="s">
        <v>818</v>
      </c>
      <c r="C486" s="188" t="s">
        <v>838</v>
      </c>
      <c r="D486" s="185">
        <v>78351030100</v>
      </c>
      <c r="E486" s="179" t="s">
        <v>24</v>
      </c>
      <c r="F486" s="7">
        <f>G486+SUMIF('[1]mouv MULTIVAC DECOUPE'!B:B,"=Joint d'arbre (decoupe longitudinale)",'[1]mouv MULTIVAC DECOUPE'!G:G)</f>
        <v>2</v>
      </c>
      <c r="G486" s="186">
        <v>1</v>
      </c>
      <c r="H486" s="186">
        <v>2</v>
      </c>
      <c r="I486" s="1" t="str">
        <f t="shared" si="29"/>
        <v>-</v>
      </c>
      <c r="J486" s="187">
        <v>3.49</v>
      </c>
      <c r="K486" s="12">
        <f t="shared" si="31"/>
        <v>6.98</v>
      </c>
      <c r="L486" s="30"/>
      <c r="M486" s="30"/>
      <c r="N486" s="30"/>
      <c r="O486" s="30"/>
      <c r="P486" s="30"/>
      <c r="Q486" s="30"/>
      <c r="R486" s="30"/>
      <c r="S486" s="30">
        <f>IF(Tableau113[[#This Row],[alerte stock]]="-",0,1)</f>
        <v>0</v>
      </c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</row>
    <row r="487" spans="1:44" ht="15.75" x14ac:dyDescent="0.25">
      <c r="A487" s="30"/>
      <c r="B487" s="13" t="s">
        <v>818</v>
      </c>
      <c r="C487" s="188" t="s">
        <v>839</v>
      </c>
      <c r="D487" s="185">
        <v>78500060600</v>
      </c>
      <c r="E487" s="179" t="s">
        <v>24</v>
      </c>
      <c r="F487" s="7">
        <f>G487+SUMIF('[1]mouv MULTIVAC DECOUPE'!B:B,"=roulement gorge profonde  (decoupe longitudinale)",'[1]mouv MULTIVAC DECOUPE'!G:G)</f>
        <v>0</v>
      </c>
      <c r="G487" s="186">
        <v>0</v>
      </c>
      <c r="H487" s="186">
        <v>2</v>
      </c>
      <c r="I487" s="1" t="str">
        <f t="shared" si="29"/>
        <v>/!\</v>
      </c>
      <c r="J487" s="187">
        <v>27.265000000000001</v>
      </c>
      <c r="K487" s="12">
        <f t="shared" si="31"/>
        <v>0</v>
      </c>
      <c r="L487" s="30"/>
      <c r="M487" s="30"/>
      <c r="N487" s="30"/>
      <c r="O487" s="30"/>
      <c r="P487" s="30"/>
      <c r="Q487" s="30"/>
      <c r="R487" s="30"/>
      <c r="S487" s="30">
        <f>IF(Tableau113[[#This Row],[alerte stock]]="-",0,1)</f>
        <v>1</v>
      </c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</row>
    <row r="488" spans="1:44" ht="15.75" x14ac:dyDescent="0.25">
      <c r="A488" s="30"/>
      <c r="B488" s="13" t="s">
        <v>818</v>
      </c>
      <c r="C488" s="188" t="s">
        <v>840</v>
      </c>
      <c r="D488" s="185">
        <v>78545004500</v>
      </c>
      <c r="E488" s="179" t="s">
        <v>24</v>
      </c>
      <c r="F488" s="7">
        <f>G488+SUMIF('[1]mouv MULTIVAC DECOUPE'!B:B,"=Bague intérieur D1=50  D2=45 (decoupe longitudinale)",'[1]mouv MULTIVAC DECOUPE'!G:G)</f>
        <v>2</v>
      </c>
      <c r="G488" s="186">
        <v>1</v>
      </c>
      <c r="H488" s="186">
        <v>2</v>
      </c>
      <c r="I488" s="1" t="str">
        <f t="shared" si="29"/>
        <v>-</v>
      </c>
      <c r="J488" s="187">
        <v>13.52</v>
      </c>
      <c r="K488" s="12">
        <f t="shared" si="31"/>
        <v>27.04</v>
      </c>
      <c r="L488" s="30"/>
      <c r="M488" s="30"/>
      <c r="N488" s="30"/>
      <c r="O488" s="30"/>
      <c r="P488" s="30"/>
      <c r="Q488" s="30"/>
      <c r="R488" s="30"/>
      <c r="S488" s="30">
        <f>IF(Tableau113[[#This Row],[alerte stock]]="-",0,1)</f>
        <v>0</v>
      </c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</row>
    <row r="489" spans="1:44" ht="15.75" x14ac:dyDescent="0.25">
      <c r="A489" s="30"/>
      <c r="B489" s="13" t="s">
        <v>818</v>
      </c>
      <c r="C489" s="188" t="s">
        <v>841</v>
      </c>
      <c r="D489" s="185">
        <v>78352035000</v>
      </c>
      <c r="E489" s="179" t="s">
        <v>24</v>
      </c>
      <c r="F489" s="7">
        <f>G489+SUMIF('[1]mouv MULTIVAC DECOUPE'!B:B,"=Bague d'étanchéité d'arbre  (decoupe longitudinale)",'[1]mouv MULTIVAC DECOUPE'!G:G)</f>
        <v>1</v>
      </c>
      <c r="G489" s="186">
        <v>1</v>
      </c>
      <c r="H489" s="186">
        <v>2</v>
      </c>
      <c r="I489" s="1" t="str">
        <f t="shared" si="29"/>
        <v>/!\</v>
      </c>
      <c r="J489" s="187">
        <v>2.99</v>
      </c>
      <c r="K489" s="12">
        <f t="shared" si="31"/>
        <v>2.99</v>
      </c>
      <c r="L489" s="30"/>
      <c r="M489" s="30"/>
      <c r="N489" s="30"/>
      <c r="O489" s="30"/>
      <c r="P489" s="30"/>
      <c r="Q489" s="30"/>
      <c r="R489" s="30"/>
      <c r="S489" s="30">
        <f>IF(Tableau113[[#This Row],[alerte stock]]="-",0,1)</f>
        <v>1</v>
      </c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</row>
    <row r="490" spans="1:44" ht="15.75" x14ac:dyDescent="0.25">
      <c r="A490" s="30"/>
      <c r="B490" s="13" t="s">
        <v>818</v>
      </c>
      <c r="C490" s="188" t="s">
        <v>842</v>
      </c>
      <c r="D490" s="185">
        <v>78100003002</v>
      </c>
      <c r="E490" s="179" t="s">
        <v>24</v>
      </c>
      <c r="F490" s="7">
        <f>G490+SUMIF('[1]mouv MULTIVAC DECOUPE'!B:B,"=cicrclips  (decoupe longitudinale)",'[1]mouv MULTIVAC DECOUPE'!G:G)</f>
        <v>3</v>
      </c>
      <c r="G490" s="186">
        <v>2</v>
      </c>
      <c r="H490" s="186">
        <v>2</v>
      </c>
      <c r="I490" s="1" t="str">
        <f t="shared" si="29"/>
        <v>-</v>
      </c>
      <c r="J490" s="187">
        <v>3.2770000000000001</v>
      </c>
      <c r="K490" s="12">
        <f t="shared" si="31"/>
        <v>9.8309999999999995</v>
      </c>
      <c r="L490" s="30"/>
      <c r="M490" s="30"/>
      <c r="N490" s="30"/>
      <c r="O490" s="30"/>
      <c r="P490" s="30"/>
      <c r="Q490" s="30"/>
      <c r="R490" s="30"/>
      <c r="S490" s="30">
        <f>IF(Tableau113[[#This Row],[alerte stock]]="-",0,1)</f>
        <v>0</v>
      </c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</row>
    <row r="491" spans="1:44" ht="15.75" x14ac:dyDescent="0.25">
      <c r="A491" s="30"/>
      <c r="B491" s="13" t="s">
        <v>818</v>
      </c>
      <c r="C491" s="188" t="s">
        <v>843</v>
      </c>
      <c r="D491" s="185">
        <v>105808729</v>
      </c>
      <c r="E491" s="179" t="s">
        <v>24</v>
      </c>
      <c r="F491" s="7">
        <f>G491+SUMIF('[1]mouv MULTIVAC DECOUPE'!B:B,"=contre lame circulaire  (decoupe longitudinale)",'[1]mouv MULTIVAC DECOUPE'!G:G)</f>
        <v>1</v>
      </c>
      <c r="G491" s="186">
        <v>1</v>
      </c>
      <c r="H491" s="186">
        <v>3</v>
      </c>
      <c r="I491" s="1" t="str">
        <f t="shared" si="29"/>
        <v>/!\</v>
      </c>
      <c r="J491" s="187">
        <v>127.92</v>
      </c>
      <c r="K491" s="12">
        <f t="shared" si="31"/>
        <v>127.92</v>
      </c>
      <c r="L491" s="30"/>
      <c r="M491" s="30"/>
      <c r="N491" s="30"/>
      <c r="O491" s="30"/>
      <c r="P491" s="30"/>
      <c r="Q491" s="30"/>
      <c r="R491" s="30"/>
      <c r="S491" s="30">
        <f>IF(Tableau113[[#This Row],[alerte stock]]="-",0,1)</f>
        <v>1</v>
      </c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</row>
    <row r="492" spans="1:44" ht="15.75" x14ac:dyDescent="0.25">
      <c r="A492" s="30"/>
      <c r="B492" s="13" t="s">
        <v>818</v>
      </c>
      <c r="C492" s="189" t="s">
        <v>844</v>
      </c>
      <c r="D492" s="185">
        <v>79915200803</v>
      </c>
      <c r="E492" s="179" t="s">
        <v>24</v>
      </c>
      <c r="F492" s="7">
        <f>G492+SUMIF('[1]mouv MULTIVAC DECOUPE'!B:B,"=Lame circulaire",'[1]mouv MULTIVAC DECOUPE'!G:G)</f>
        <v>6</v>
      </c>
      <c r="G492" s="186">
        <v>6</v>
      </c>
      <c r="H492" s="186">
        <v>1</v>
      </c>
      <c r="I492" s="1" t="str">
        <f t="shared" si="29"/>
        <v>-</v>
      </c>
      <c r="J492" s="187">
        <v>17.63</v>
      </c>
      <c r="K492" s="12">
        <f t="shared" si="31"/>
        <v>105.78</v>
      </c>
      <c r="L492" s="30"/>
      <c r="M492" s="30"/>
      <c r="N492" s="30"/>
      <c r="O492" s="30"/>
      <c r="P492" s="30"/>
      <c r="Q492" s="30"/>
      <c r="R492" s="30"/>
      <c r="S492" s="30">
        <f>IF(Tableau113[[#This Row],[alerte stock]]="-",0,1)</f>
        <v>0</v>
      </c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</row>
    <row r="493" spans="1:44" ht="15.75" x14ac:dyDescent="0.25">
      <c r="A493" s="30"/>
      <c r="B493" s="13" t="s">
        <v>818</v>
      </c>
      <c r="C493" s="4" t="s">
        <v>845</v>
      </c>
      <c r="D493" s="6">
        <v>78103350100</v>
      </c>
      <c r="E493" s="190" t="s">
        <v>24</v>
      </c>
      <c r="F493" s="7">
        <f>G493+SUMIF('[1]mouv MULTIVAC DECOUPE'!B:B,"=Rondelles d'ajustage 0,1mm (contre couteaux longitudinale)",'[1]mouv MULTIVAC DECOUPE'!G:G)</f>
        <v>2</v>
      </c>
      <c r="G493" s="20">
        <v>2</v>
      </c>
      <c r="H493" s="20">
        <v>2</v>
      </c>
      <c r="I493" s="1" t="str">
        <f t="shared" si="29"/>
        <v>-</v>
      </c>
      <c r="J493" s="69">
        <v>1.48</v>
      </c>
      <c r="K493" s="12">
        <f t="shared" si="31"/>
        <v>2.96</v>
      </c>
      <c r="L493" s="30"/>
      <c r="M493" s="30"/>
      <c r="N493" s="30"/>
      <c r="O493" s="30"/>
      <c r="P493" s="30"/>
      <c r="Q493" s="30"/>
      <c r="R493" s="30"/>
      <c r="S493" s="30">
        <f>IF(Tableau113[[#This Row],[alerte stock]]="-",0,1)</f>
        <v>0</v>
      </c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</row>
    <row r="494" spans="1:44" ht="15.75" x14ac:dyDescent="0.25">
      <c r="A494" s="30"/>
      <c r="B494" s="13" t="s">
        <v>818</v>
      </c>
      <c r="C494" s="4" t="s">
        <v>846</v>
      </c>
      <c r="D494" s="6">
        <v>78103350200</v>
      </c>
      <c r="E494" s="190" t="s">
        <v>24</v>
      </c>
      <c r="F494" s="7">
        <f>G494+SUMIF('[1]mouv MULTIVAC DECOUPE'!B:B,"=Rondelles d'ajustage 0,2mm (contre couteaux longitudinale)",'[1]mouv MULTIVAC DECOUPE'!G:G)</f>
        <v>0</v>
      </c>
      <c r="G494" s="20">
        <v>0</v>
      </c>
      <c r="H494" s="20">
        <v>2</v>
      </c>
      <c r="I494" s="1" t="str">
        <f t="shared" si="29"/>
        <v>/!\</v>
      </c>
      <c r="J494" s="69">
        <v>2.09</v>
      </c>
      <c r="K494" s="12">
        <f t="shared" si="31"/>
        <v>0</v>
      </c>
      <c r="L494" s="30"/>
      <c r="M494" s="30"/>
      <c r="N494" s="30"/>
      <c r="O494" s="30"/>
      <c r="P494" s="30"/>
      <c r="Q494" s="30"/>
      <c r="R494" s="30"/>
      <c r="S494" s="30">
        <f>IF(Tableau113[[#This Row],[alerte stock]]="-",0,1)</f>
        <v>1</v>
      </c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</row>
    <row r="495" spans="1:44" ht="15.75" x14ac:dyDescent="0.25">
      <c r="A495" s="30"/>
      <c r="B495" s="13" t="s">
        <v>818</v>
      </c>
      <c r="C495" s="4" t="s">
        <v>847</v>
      </c>
      <c r="D495" s="6">
        <v>78103350500</v>
      </c>
      <c r="E495" s="190" t="s">
        <v>24</v>
      </c>
      <c r="F495" s="7">
        <f>G495+SUMIF('[1]mouv MULTIVAC DECOUPE'!B:B,"=Rondelles d'ajustage 0,5mm (contre couteaux longitudinale)",'[1]mouv MULTIVAC DECOUPE'!G:G)</f>
        <v>6</v>
      </c>
      <c r="G495" s="20">
        <v>6</v>
      </c>
      <c r="H495" s="20">
        <v>2</v>
      </c>
      <c r="I495" s="1" t="str">
        <f t="shared" si="29"/>
        <v>-</v>
      </c>
      <c r="J495" s="69">
        <v>1.87</v>
      </c>
      <c r="K495" s="12">
        <f t="shared" si="31"/>
        <v>11.22</v>
      </c>
      <c r="L495" s="30"/>
      <c r="M495" s="30"/>
      <c r="N495" s="30"/>
      <c r="O495" s="30"/>
      <c r="P495" s="30"/>
      <c r="Q495" s="30"/>
      <c r="R495" s="30"/>
      <c r="S495" s="30">
        <f>IF(Tableau113[[#This Row],[alerte stock]]="-",0,1)</f>
        <v>0</v>
      </c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</row>
    <row r="496" spans="1:44" ht="15.75" x14ac:dyDescent="0.25">
      <c r="A496" s="30"/>
      <c r="B496" s="13" t="s">
        <v>818</v>
      </c>
      <c r="C496" s="4" t="s">
        <v>848</v>
      </c>
      <c r="D496" s="6">
        <v>11651246100</v>
      </c>
      <c r="E496" s="190" t="s">
        <v>24</v>
      </c>
      <c r="F496" s="7">
        <f>G496+SUMIF('[1]mouv MULTIVAC DECOUPE'!B:B,"=R230 tourillon (coupe longitud.)",'[1]mouv MULTIVAC DECOUPE'!G:G)</f>
        <v>1</v>
      </c>
      <c r="G496" s="20">
        <v>1</v>
      </c>
      <c r="H496" s="20">
        <v>0</v>
      </c>
      <c r="I496" s="1" t="str">
        <f t="shared" si="29"/>
        <v>-</v>
      </c>
      <c r="J496" s="69">
        <v>78.349999999999994</v>
      </c>
      <c r="K496" s="12">
        <f t="shared" si="31"/>
        <v>78.349999999999994</v>
      </c>
      <c r="L496" s="30"/>
      <c r="M496" s="30"/>
      <c r="N496" s="30"/>
      <c r="O496" s="30"/>
      <c r="P496" s="30"/>
      <c r="Q496" s="30"/>
      <c r="R496" s="30"/>
      <c r="S496" s="30">
        <f>IF(Tableau113[[#This Row],[alerte stock]]="-",0,1)</f>
        <v>0</v>
      </c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</row>
    <row r="497" spans="1:44" ht="15.75" x14ac:dyDescent="0.25">
      <c r="A497" s="30"/>
      <c r="B497" s="13" t="s">
        <v>818</v>
      </c>
      <c r="C497" s="4" t="s">
        <v>849</v>
      </c>
      <c r="D497" s="6">
        <v>11651252000</v>
      </c>
      <c r="E497" s="190" t="s">
        <v>24</v>
      </c>
      <c r="F497" s="7">
        <f>G497+SUMIF('[1]mouv MULTIVAC DECOUPE'!B:B,"=R230 plaque roulement (coupe lonitud.)",'[1]mouv MULTIVAC DECOUPE'!G:G)</f>
        <v>1</v>
      </c>
      <c r="G497" s="20">
        <v>1</v>
      </c>
      <c r="H497" s="20">
        <v>0</v>
      </c>
      <c r="I497" s="1" t="str">
        <f t="shared" si="29"/>
        <v>-</v>
      </c>
      <c r="J497" s="69">
        <v>92.29</v>
      </c>
      <c r="K497" s="12">
        <f t="shared" si="31"/>
        <v>92.29</v>
      </c>
      <c r="L497" s="30"/>
      <c r="M497" s="30"/>
      <c r="N497" s="30"/>
      <c r="O497" s="30"/>
      <c r="P497" s="30"/>
      <c r="Q497" s="30"/>
      <c r="R497" s="30"/>
      <c r="S497" s="30">
        <f>IF(Tableau113[[#This Row],[alerte stock]]="-",0,1)</f>
        <v>0</v>
      </c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</row>
    <row r="498" spans="1:44" ht="15.75" x14ac:dyDescent="0.25">
      <c r="A498" s="30"/>
      <c r="B498" s="13" t="s">
        <v>818</v>
      </c>
      <c r="C498" s="4" t="s">
        <v>850</v>
      </c>
      <c r="D498" s="6">
        <v>11651256002</v>
      </c>
      <c r="E498" s="190" t="s">
        <v>24</v>
      </c>
      <c r="F498" s="7">
        <f>G498+SUMIF('[1]mouv MULTIVAC DECOUPE'!B:B,"=Lame circulaire",'[1]mouv MULTIVAC DECOUPE'!G:G)</f>
        <v>1</v>
      </c>
      <c r="G498" s="20">
        <v>1</v>
      </c>
      <c r="H498" s="20">
        <v>0</v>
      </c>
      <c r="I498" s="1" t="str">
        <f t="shared" si="29"/>
        <v>-</v>
      </c>
      <c r="J498" s="69">
        <v>209.12</v>
      </c>
      <c r="K498" s="12">
        <f t="shared" si="31"/>
        <v>209.12</v>
      </c>
      <c r="L498" s="30"/>
      <c r="M498" s="30"/>
      <c r="N498" s="30"/>
      <c r="O498" s="30"/>
      <c r="P498" s="30"/>
      <c r="Q498" s="30"/>
      <c r="R498" s="30"/>
      <c r="S498" s="30">
        <f>IF(Tableau113[[#This Row],[alerte stock]]="-",0,1)</f>
        <v>0</v>
      </c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</row>
    <row r="499" spans="1:44" ht="15.75" x14ac:dyDescent="0.25">
      <c r="A499" s="30"/>
      <c r="B499" s="13" t="s">
        <v>818</v>
      </c>
      <c r="C499" s="4" t="s">
        <v>851</v>
      </c>
      <c r="D499" s="6">
        <v>78500510000</v>
      </c>
      <c r="E499" s="190" t="s">
        <v>24</v>
      </c>
      <c r="F499" s="7">
        <f>G499+SUMIF('[1]mouv MULTIVAC DECOUPE'!B:B,"=R230 roulement (3200 rs) (découpe circulaire)",'[1]mouv MULTIVAC DECOUPE'!G:G)</f>
        <v>1</v>
      </c>
      <c r="G499" s="20">
        <v>1</v>
      </c>
      <c r="H499" s="20">
        <v>0</v>
      </c>
      <c r="I499" s="1" t="str">
        <f t="shared" ref="I499:I504" si="32">IF(F499&lt;H499,"/!\","-")</f>
        <v>-</v>
      </c>
      <c r="J499" s="69">
        <v>26.38</v>
      </c>
      <c r="K499" s="12">
        <f t="shared" si="31"/>
        <v>26.38</v>
      </c>
      <c r="L499" s="30"/>
      <c r="M499" s="30"/>
      <c r="N499" s="30"/>
      <c r="O499" s="30"/>
      <c r="P499" s="30"/>
      <c r="Q499" s="30"/>
      <c r="R499" s="30"/>
      <c r="S499" s="30">
        <f>IF(Tableau113[[#This Row],[alerte stock]]="-",0,1)</f>
        <v>0</v>
      </c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</row>
    <row r="500" spans="1:44" ht="15.75" x14ac:dyDescent="0.25">
      <c r="A500" s="30"/>
      <c r="B500" s="13" t="s">
        <v>818</v>
      </c>
      <c r="C500" s="4" t="s">
        <v>852</v>
      </c>
      <c r="D500" s="6">
        <v>11651236001</v>
      </c>
      <c r="E500" s="190" t="s">
        <v>24</v>
      </c>
      <c r="F500" s="7">
        <f>G500+SUMIF('[1]mouv MULTIVAC DECOUPE'!B:B,"=Lame circulaire",'[1]mouv MULTIVAC DECOUPE'!G:G)</f>
        <v>1</v>
      </c>
      <c r="G500" s="20">
        <v>1</v>
      </c>
      <c r="H500" s="20">
        <v>0</v>
      </c>
      <c r="I500" s="1" t="str">
        <f t="shared" si="32"/>
        <v>-</v>
      </c>
      <c r="J500" s="69">
        <v>157.96</v>
      </c>
      <c r="K500" s="12">
        <f t="shared" si="31"/>
        <v>157.96</v>
      </c>
      <c r="L500" s="30"/>
      <c r="M500" s="30"/>
      <c r="N500" s="30"/>
      <c r="O500" s="30"/>
      <c r="P500" s="30"/>
      <c r="Q500" s="30"/>
      <c r="R500" s="30"/>
      <c r="S500" s="30">
        <f>IF(Tableau113[[#This Row],[alerte stock]]="-",0,1)</f>
        <v>0</v>
      </c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</row>
    <row r="501" spans="1:44" ht="15.75" x14ac:dyDescent="0.25">
      <c r="A501" s="30"/>
      <c r="B501" s="13" t="s">
        <v>818</v>
      </c>
      <c r="C501" s="14" t="s">
        <v>853</v>
      </c>
      <c r="D501" s="6">
        <v>11555964003</v>
      </c>
      <c r="E501" s="190" t="s">
        <v>24</v>
      </c>
      <c r="F501" s="7">
        <f>G501+SUMIF('[1]mouv MULTIVAC DECOUPE'!B:B,"=accouplement verin de découpe R230",'[1]mouv MULTIVAC DECOUPE'!G:G)</f>
        <v>1</v>
      </c>
      <c r="G501" s="20">
        <v>1</v>
      </c>
      <c r="H501" s="6">
        <v>0</v>
      </c>
      <c r="I501" s="1" t="str">
        <f t="shared" si="32"/>
        <v>-</v>
      </c>
      <c r="J501" s="11">
        <v>183.18</v>
      </c>
      <c r="K501" s="12">
        <f t="shared" si="31"/>
        <v>183.18</v>
      </c>
      <c r="L501" s="30"/>
      <c r="M501" s="30"/>
      <c r="N501" s="30"/>
      <c r="O501" s="30"/>
      <c r="P501" s="30"/>
      <c r="Q501" s="30"/>
      <c r="R501" s="30"/>
      <c r="S501" s="30">
        <f>IF(Tableau113[[#This Row],[alerte stock]]="-",0,1)</f>
        <v>0</v>
      </c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</row>
    <row r="502" spans="1:44" ht="15.75" x14ac:dyDescent="0.25">
      <c r="A502" s="30"/>
      <c r="B502" s="13" t="s">
        <v>818</v>
      </c>
      <c r="C502" s="191" t="s">
        <v>854</v>
      </c>
      <c r="D502" s="192">
        <v>78500030800</v>
      </c>
      <c r="E502" s="190" t="s">
        <v>24</v>
      </c>
      <c r="F502" s="7">
        <f>G502+SUMIF('[1]mouv MULTIVAC DECOUPE'!B:B,"=roulement billes gorge profonde",'[1]mouv MULTIVAC DECOUPE'!G:G)</f>
        <v>1</v>
      </c>
      <c r="G502" s="28">
        <v>1</v>
      </c>
      <c r="H502" s="28">
        <v>0</v>
      </c>
      <c r="I502" s="1" t="str">
        <f t="shared" si="32"/>
        <v>-</v>
      </c>
      <c r="J502" s="28"/>
      <c r="K502" s="28"/>
      <c r="L502" s="30"/>
      <c r="M502" s="30"/>
      <c r="N502" s="30"/>
      <c r="O502" s="30"/>
      <c r="P502" s="30"/>
      <c r="Q502" s="30"/>
      <c r="R502" s="30"/>
      <c r="S502" s="30">
        <f>IF(Tableau113[[#This Row],[alerte stock]]="-",0,1)</f>
        <v>0</v>
      </c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</row>
    <row r="503" spans="1:44" ht="15.75" x14ac:dyDescent="0.25">
      <c r="A503" s="30"/>
      <c r="B503" s="13" t="s">
        <v>818</v>
      </c>
      <c r="C503" s="178" t="s">
        <v>855</v>
      </c>
      <c r="D503" s="28">
        <v>79935811003</v>
      </c>
      <c r="E503" s="190" t="s">
        <v>24</v>
      </c>
      <c r="F503" s="7">
        <f>G503+SUMIF('[1]mouv MULTIVAC DECOUPE'!B:B,"=couteau en forme d'étoile",'[1]mouv MULTIVAC DECOUPE'!G:G)</f>
        <v>1</v>
      </c>
      <c r="G503" s="28">
        <v>1</v>
      </c>
      <c r="H503" s="28">
        <v>0</v>
      </c>
      <c r="I503" s="1" t="str">
        <f t="shared" si="32"/>
        <v>-</v>
      </c>
      <c r="J503" s="28"/>
      <c r="K503" s="28"/>
      <c r="L503" s="30"/>
      <c r="M503" s="13" t="s">
        <v>818</v>
      </c>
      <c r="N503" s="30"/>
      <c r="O503" s="30"/>
      <c r="P503" s="30"/>
      <c r="Q503" s="30"/>
      <c r="R503" s="30"/>
      <c r="S503" s="30">
        <f>IF(Tableau113[[#This Row],[alerte stock]]="-",0,1)</f>
        <v>0</v>
      </c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</row>
    <row r="504" spans="1:44" ht="15.75" x14ac:dyDescent="0.25">
      <c r="A504" s="30"/>
      <c r="B504" s="13" t="s">
        <v>818</v>
      </c>
      <c r="C504" s="178" t="s">
        <v>856</v>
      </c>
      <c r="D504" s="28">
        <v>75200300641</v>
      </c>
      <c r="E504" s="190" t="s">
        <v>24</v>
      </c>
      <c r="F504" s="7">
        <f>G504+SUMIF('[1]mouv MULTIVAC DECOUPE'!B:B,"=cap nut (cache vis noir)",'[1]mouv MULTIVAC DECOUPE'!G:G)</f>
        <v>10</v>
      </c>
      <c r="G504" s="28">
        <v>10</v>
      </c>
      <c r="H504" s="28">
        <v>2</v>
      </c>
      <c r="I504" s="1" t="str">
        <f t="shared" si="32"/>
        <v>-</v>
      </c>
      <c r="J504" s="28"/>
      <c r="K504" s="28"/>
      <c r="L504" s="30"/>
      <c r="M504" s="35">
        <f>SUM(K470:K504)</f>
        <v>11856.860999999999</v>
      </c>
      <c r="N504" s="30"/>
      <c r="O504" s="30"/>
      <c r="P504" s="30"/>
      <c r="Q504" s="30"/>
      <c r="R504" s="30"/>
      <c r="S504" s="30">
        <f>IF(Tableau113[[#This Row],[alerte stock]]="-",0,1)</f>
        <v>0</v>
      </c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</row>
    <row r="505" spans="1:44" ht="15.75" x14ac:dyDescent="0.25">
      <c r="A505" s="30"/>
      <c r="B505" s="13" t="s">
        <v>857</v>
      </c>
      <c r="C505" s="97" t="s">
        <v>858</v>
      </c>
      <c r="D505" s="5" t="s">
        <v>859</v>
      </c>
      <c r="E505" s="6" t="s">
        <v>24</v>
      </c>
      <c r="F505" s="7">
        <f>G505+SUMIF('[1]mouvement pediluve'!B:B,"=brosses",'[1]mouvement pediluve'!G:G)</f>
        <v>2</v>
      </c>
      <c r="G505" s="6">
        <v>2</v>
      </c>
      <c r="H505" s="6">
        <v>2</v>
      </c>
      <c r="I505" s="1" t="str">
        <f>IF(F505&lt;H505,"/!\","-")</f>
        <v>-</v>
      </c>
      <c r="J505" s="11">
        <v>142</v>
      </c>
      <c r="K505" s="12">
        <f>F505*J505</f>
        <v>284</v>
      </c>
      <c r="L505" s="30"/>
      <c r="M505" s="30"/>
      <c r="N505" s="30"/>
      <c r="O505" s="30"/>
      <c r="P505" s="30"/>
      <c r="Q505" s="30"/>
      <c r="R505" s="30"/>
      <c r="S505" s="30">
        <f>IF(Tableau113[[#This Row],[alerte stock]]="-",0,1)</f>
        <v>0</v>
      </c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</row>
    <row r="506" spans="1:44" ht="15.75" x14ac:dyDescent="0.25">
      <c r="A506" s="30"/>
      <c r="B506" s="13" t="s">
        <v>857</v>
      </c>
      <c r="C506" s="14" t="s">
        <v>860</v>
      </c>
      <c r="D506" s="5" t="s">
        <v>861</v>
      </c>
      <c r="E506" s="6" t="s">
        <v>24</v>
      </c>
      <c r="F506" s="7">
        <f>G506+SUMIF('[1]mouvement pediluve'!B:B,"=motoreducteur",'[1]mouvement pediluve'!G:G)</f>
        <v>1</v>
      </c>
      <c r="G506" s="6">
        <v>1</v>
      </c>
      <c r="H506" s="6">
        <v>1</v>
      </c>
      <c r="I506" s="1" t="str">
        <f>IF(F506&lt;H506,"/!\","-")</f>
        <v>-</v>
      </c>
      <c r="J506" s="11">
        <v>318</v>
      </c>
      <c r="K506" s="12">
        <f>F506*J506</f>
        <v>318</v>
      </c>
      <c r="L506" s="30"/>
      <c r="M506" s="30"/>
      <c r="N506" s="30"/>
      <c r="O506" s="30"/>
      <c r="P506" s="30"/>
      <c r="Q506" s="30"/>
      <c r="R506" s="30"/>
      <c r="S506" s="30">
        <f>IF(Tableau113[[#This Row],[alerte stock]]="-",0,1)</f>
        <v>0</v>
      </c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</row>
    <row r="507" spans="1:44" ht="15.75" x14ac:dyDescent="0.25">
      <c r="A507" s="30"/>
      <c r="B507" s="13" t="s">
        <v>857</v>
      </c>
      <c r="C507" s="14" t="s">
        <v>862</v>
      </c>
      <c r="D507" s="5" t="s">
        <v>863</v>
      </c>
      <c r="E507" s="6" t="s">
        <v>24</v>
      </c>
      <c r="F507" s="7">
        <f>G507+SUMIF('[1]mouvement pediluve'!B:B,"=kit doseur venturi",'[1]mouvement pediluve'!G:G)</f>
        <v>1</v>
      </c>
      <c r="G507" s="6">
        <v>1</v>
      </c>
      <c r="H507" s="6">
        <v>1</v>
      </c>
      <c r="I507" s="1" t="str">
        <f>IF(F507&lt;H507,"/!\","-")</f>
        <v>-</v>
      </c>
      <c r="J507" s="11">
        <v>130</v>
      </c>
      <c r="K507" s="12">
        <f>F507*J507</f>
        <v>130</v>
      </c>
      <c r="L507" s="30"/>
      <c r="M507" s="30"/>
      <c r="N507" s="30"/>
      <c r="O507" s="30"/>
      <c r="P507" s="30"/>
      <c r="Q507" s="30"/>
      <c r="R507" s="30"/>
      <c r="S507" s="30">
        <f>IF(Tableau113[[#This Row],[alerte stock]]="-",0,1)</f>
        <v>0</v>
      </c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</row>
    <row r="508" spans="1:44" ht="15.75" x14ac:dyDescent="0.25">
      <c r="A508" s="30"/>
      <c r="B508" s="13" t="s">
        <v>857</v>
      </c>
      <c r="C508" s="14" t="s">
        <v>864</v>
      </c>
      <c r="D508" s="5" t="s">
        <v>865</v>
      </c>
      <c r="E508" s="6" t="s">
        <v>24</v>
      </c>
      <c r="F508" s="7">
        <f>G508+SUMIF('[1]mouvement pediluve'!B:B,"=clapet anti-retour ",'[1]mouvement pediluve'!G:G)</f>
        <v>10</v>
      </c>
      <c r="G508" s="6">
        <v>10</v>
      </c>
      <c r="H508" s="6">
        <v>5</v>
      </c>
      <c r="I508" s="1" t="str">
        <f>IF(F508&lt;H508,"/!\","-")</f>
        <v>-</v>
      </c>
      <c r="J508" s="11">
        <v>20</v>
      </c>
      <c r="K508" s="12">
        <f>F508*J508</f>
        <v>200</v>
      </c>
      <c r="L508" s="30"/>
      <c r="M508" s="13" t="s">
        <v>857</v>
      </c>
      <c r="N508" s="30"/>
      <c r="O508" s="30"/>
      <c r="P508" s="30"/>
      <c r="Q508" s="30"/>
      <c r="R508" s="30"/>
      <c r="S508" s="30">
        <f>IF(Tableau113[[#This Row],[alerte stock]]="-",0,1)</f>
        <v>0</v>
      </c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</row>
    <row r="509" spans="1:44" ht="15.75" x14ac:dyDescent="0.25">
      <c r="A509" s="30"/>
      <c r="B509" s="13" t="s">
        <v>857</v>
      </c>
      <c r="C509" s="178" t="s">
        <v>866</v>
      </c>
      <c r="D509" s="28" t="s">
        <v>867</v>
      </c>
      <c r="E509" s="28" t="s">
        <v>24</v>
      </c>
      <c r="F509" s="28">
        <f>G509+SUMIF('[1]mouvement pediluve'!B:B,"=electrovanne 7200 24V 50/60Hz",'[1]mouvement pediluve'!G:G)</f>
        <v>1</v>
      </c>
      <c r="G509" s="28">
        <v>1</v>
      </c>
      <c r="H509" s="28">
        <v>1</v>
      </c>
      <c r="I509" s="1" t="str">
        <f>IF(F509&lt;H509,"/!\","-")</f>
        <v>-</v>
      </c>
      <c r="J509" s="28"/>
      <c r="K509" s="28"/>
      <c r="L509" s="30"/>
      <c r="M509" s="35">
        <f>SUM(K505:K509)</f>
        <v>932</v>
      </c>
      <c r="N509" s="30"/>
      <c r="O509" s="30"/>
      <c r="P509" s="30"/>
      <c r="Q509" s="30"/>
      <c r="R509" s="30"/>
      <c r="S509" s="30">
        <f>IF(Tableau113[[#This Row],[alerte stock]]="-",0,1)</f>
        <v>0</v>
      </c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</row>
    <row r="510" spans="1:44" ht="15.75" x14ac:dyDescent="0.25">
      <c r="A510" s="30"/>
      <c r="B510" s="13" t="s">
        <v>868</v>
      </c>
      <c r="C510" s="14" t="s">
        <v>869</v>
      </c>
      <c r="D510" s="5" t="s">
        <v>870</v>
      </c>
      <c r="E510" s="6" t="s">
        <v>24</v>
      </c>
      <c r="F510" s="7">
        <f>G510+SUMIF('[1]mouvement PAV'!B:B,"=kit de réparation RA0250/302 D",'[1]mouvement PAV'!G:G)</f>
        <v>0</v>
      </c>
      <c r="G510" s="20">
        <v>0</v>
      </c>
      <c r="H510" s="6">
        <v>1</v>
      </c>
      <c r="I510" s="1" t="str">
        <f t="shared" ref="I510:I515" si="33">IF(F510&lt;H510,"/!\","-")</f>
        <v>/!\</v>
      </c>
      <c r="J510" s="11">
        <v>1990.77</v>
      </c>
      <c r="K510" s="12">
        <f t="shared" ref="K510:K515" si="34">F510*J510</f>
        <v>0</v>
      </c>
      <c r="L510" s="30"/>
      <c r="M510" s="30"/>
      <c r="N510" s="30"/>
      <c r="O510" s="30"/>
      <c r="P510" s="30"/>
      <c r="Q510" s="30"/>
      <c r="R510" s="30"/>
      <c r="S510" s="30">
        <f>IF(Tableau113[[#This Row],[alerte stock]]="-",0,1)</f>
        <v>1</v>
      </c>
    </row>
    <row r="511" spans="1:44" ht="15.75" x14ac:dyDescent="0.25">
      <c r="A511" s="30"/>
      <c r="B511" s="13" t="s">
        <v>868</v>
      </c>
      <c r="C511" s="14" t="s">
        <v>871</v>
      </c>
      <c r="D511" s="5" t="s">
        <v>872</v>
      </c>
      <c r="E511" s="6" t="s">
        <v>24</v>
      </c>
      <c r="F511" s="7">
        <f>G511+SUMIF('[1]mouvement PAV'!B:B,"=kit de réparation 0250 C",'[1]mouvement PAV'!G:G)</f>
        <v>0</v>
      </c>
      <c r="G511" s="20">
        <v>0</v>
      </c>
      <c r="H511" s="6">
        <v>0</v>
      </c>
      <c r="I511" s="1" t="str">
        <f t="shared" si="33"/>
        <v>-</v>
      </c>
      <c r="J511" s="11">
        <v>1990.77</v>
      </c>
      <c r="K511" s="12">
        <f t="shared" si="34"/>
        <v>0</v>
      </c>
      <c r="L511" s="30"/>
      <c r="M511" s="30"/>
      <c r="N511" s="30"/>
      <c r="O511" s="30"/>
      <c r="P511" s="30"/>
      <c r="Q511" s="30"/>
      <c r="R511" s="30"/>
      <c r="S511" s="30">
        <f>IF(Tableau113[[#This Row],[alerte stock]]="-",0,1)</f>
        <v>0</v>
      </c>
    </row>
    <row r="512" spans="1:44" ht="15.75" x14ac:dyDescent="0.25">
      <c r="A512" s="30"/>
      <c r="B512" s="13" t="s">
        <v>868</v>
      </c>
      <c r="C512" s="14" t="s">
        <v>873</v>
      </c>
      <c r="D512" s="5" t="s">
        <v>874</v>
      </c>
      <c r="E512" s="6" t="s">
        <v>24</v>
      </c>
      <c r="F512" s="7">
        <f>G512+SUMIF('[1]mouvement PAV'!B:B,"=goujons cylindrique 160/305 C/D",'[1]mouvement PAV'!G:G)</f>
        <v>0</v>
      </c>
      <c r="G512" s="20">
        <v>0</v>
      </c>
      <c r="H512" s="6">
        <v>1</v>
      </c>
      <c r="I512" s="1" t="str">
        <f t="shared" si="33"/>
        <v>/!\</v>
      </c>
      <c r="J512" s="11">
        <v>6.22</v>
      </c>
      <c r="K512" s="12">
        <f t="shared" si="34"/>
        <v>0</v>
      </c>
      <c r="L512" s="30"/>
      <c r="M512" s="30"/>
      <c r="N512" s="30"/>
      <c r="O512" s="30"/>
      <c r="P512" s="30"/>
      <c r="Q512" s="30"/>
      <c r="R512" s="30"/>
      <c r="S512" s="30">
        <f>IF(Tableau113[[#This Row],[alerte stock]]="-",0,1)</f>
        <v>1</v>
      </c>
    </row>
    <row r="513" spans="1:19" ht="15.75" x14ac:dyDescent="0.25">
      <c r="A513" s="30"/>
      <c r="B513" s="13" t="s">
        <v>868</v>
      </c>
      <c r="C513" s="14" t="s">
        <v>875</v>
      </c>
      <c r="D513" s="5" t="s">
        <v>876</v>
      </c>
      <c r="E513" s="6" t="s">
        <v>24</v>
      </c>
      <c r="F513" s="7">
        <f>G513+SUMIF('[1]mouvement PAV'!B:B,"=jeu de joint Viton RA 0250 C/D",'[1]mouvement PAV'!G:G)</f>
        <v>0</v>
      </c>
      <c r="G513" s="20">
        <v>0</v>
      </c>
      <c r="H513" s="6">
        <v>1</v>
      </c>
      <c r="I513" s="1" t="str">
        <f t="shared" si="33"/>
        <v>/!\</v>
      </c>
      <c r="J513" s="11">
        <v>407.65</v>
      </c>
      <c r="K513" s="12">
        <f t="shared" si="34"/>
        <v>0</v>
      </c>
      <c r="L513" s="30"/>
      <c r="M513" s="30"/>
      <c r="N513" s="30"/>
      <c r="O513" s="30"/>
      <c r="P513" s="30"/>
      <c r="Q513" s="30"/>
      <c r="R513" s="30"/>
      <c r="S513" s="30">
        <f>IF(Tableau113[[#This Row],[alerte stock]]="-",0,1)</f>
        <v>1</v>
      </c>
    </row>
    <row r="514" spans="1:19" ht="15.75" x14ac:dyDescent="0.25">
      <c r="A514" s="30"/>
      <c r="B514" s="13" t="s">
        <v>868</v>
      </c>
      <c r="C514" s="14" t="s">
        <v>877</v>
      </c>
      <c r="D514" s="5" t="s">
        <v>878</v>
      </c>
      <c r="E514" s="6" t="s">
        <v>24</v>
      </c>
      <c r="F514" s="7">
        <f>G514+SUMIF('[1]mouvement PAV'!B:B,"=clips ventilateur",'[1]mouvement PAV'!G:G)</f>
        <v>0</v>
      </c>
      <c r="G514" s="20">
        <v>0</v>
      </c>
      <c r="H514" s="6">
        <v>3</v>
      </c>
      <c r="I514" s="1" t="str">
        <f t="shared" si="33"/>
        <v>/!\</v>
      </c>
      <c r="J514" s="11">
        <v>3.04</v>
      </c>
      <c r="K514" s="12">
        <f t="shared" si="34"/>
        <v>0</v>
      </c>
      <c r="L514" s="30"/>
      <c r="M514" s="13" t="s">
        <v>868</v>
      </c>
      <c r="N514" s="30"/>
      <c r="O514" s="30"/>
      <c r="P514" s="30"/>
      <c r="Q514" s="30"/>
      <c r="R514" s="30"/>
      <c r="S514" s="30">
        <f>IF(Tableau113[[#This Row],[alerte stock]]="-",0,1)</f>
        <v>1</v>
      </c>
    </row>
    <row r="515" spans="1:19" ht="15.75" x14ac:dyDescent="0.25">
      <c r="A515" s="30"/>
      <c r="B515" s="13" t="s">
        <v>868</v>
      </c>
      <c r="C515" s="14" t="s">
        <v>879</v>
      </c>
      <c r="D515" s="5" t="s">
        <v>880</v>
      </c>
      <c r="E515" s="6" t="s">
        <v>24</v>
      </c>
      <c r="F515" s="7">
        <f>G515+SUMIF('[1]mouvement PAV'!B:B,"=kit entretien R250 C/D",'[1]mouvement PAV'!G:G)</f>
        <v>1</v>
      </c>
      <c r="G515" s="20">
        <v>1</v>
      </c>
      <c r="H515" s="6">
        <v>1</v>
      </c>
      <c r="I515" s="1" t="str">
        <f t="shared" si="33"/>
        <v>-</v>
      </c>
      <c r="J515" s="11">
        <v>318.16000000000003</v>
      </c>
      <c r="K515" s="12">
        <f t="shared" si="34"/>
        <v>318.16000000000003</v>
      </c>
      <c r="L515" s="30"/>
      <c r="M515" s="35">
        <f>SUM(K510:K515)</f>
        <v>318.16000000000003</v>
      </c>
      <c r="N515" s="30"/>
      <c r="O515" s="30"/>
      <c r="P515" s="30"/>
      <c r="Q515" s="30"/>
      <c r="R515" s="30"/>
      <c r="S515" s="30">
        <f>IF(Tableau113[[#This Row],[alerte stock]]="-",0,1)</f>
        <v>0</v>
      </c>
    </row>
    <row r="516" spans="1:19" ht="15.75" x14ac:dyDescent="0.25">
      <c r="A516" s="30"/>
      <c r="B516" s="13" t="s">
        <v>881</v>
      </c>
      <c r="C516" s="36" t="s">
        <v>882</v>
      </c>
      <c r="D516" s="193">
        <v>6840050</v>
      </c>
      <c r="E516" s="6" t="s">
        <v>24</v>
      </c>
      <c r="F516" s="7">
        <f>G516+SUMIF('[1]mouvement scotcheuse'!B:B,"=protege couteau 50mm",'[1]mouvement scotcheuse'!G:G)</f>
        <v>1</v>
      </c>
      <c r="G516" s="8">
        <v>1</v>
      </c>
      <c r="H516" s="9">
        <v>1</v>
      </c>
      <c r="I516" s="1" t="str">
        <f>IF(F516&lt;H516,"/!\","-")</f>
        <v>-</v>
      </c>
      <c r="J516" s="194">
        <v>12.28</v>
      </c>
      <c r="K516" s="12">
        <f>F516*J516</f>
        <v>12.28</v>
      </c>
      <c r="L516" s="30"/>
      <c r="M516" s="30"/>
      <c r="N516" s="30"/>
      <c r="O516" s="30"/>
      <c r="P516" s="30"/>
      <c r="Q516" s="30"/>
      <c r="R516" s="30"/>
      <c r="S516" s="30">
        <f>IF(Tableau113[[#This Row],[alerte stock]]="-",0,1)</f>
        <v>0</v>
      </c>
    </row>
    <row r="517" spans="1:19" ht="15.75" x14ac:dyDescent="0.25">
      <c r="A517" s="30"/>
      <c r="B517" s="13" t="s">
        <v>881</v>
      </c>
      <c r="C517" s="36" t="s">
        <v>883</v>
      </c>
      <c r="D517" s="38">
        <v>309071250</v>
      </c>
      <c r="E517" s="6" t="s">
        <v>24</v>
      </c>
      <c r="F517" s="7">
        <f>G517+SUMIF('[1]mouvement scotcheuse'!B:B,"=Mandrin complet derouleur 50",'[1]mouvement scotcheuse'!G:G)</f>
        <v>1</v>
      </c>
      <c r="G517" s="8">
        <v>1</v>
      </c>
      <c r="H517" s="9">
        <v>1</v>
      </c>
      <c r="I517" s="1" t="str">
        <f t="shared" ref="I517:I545" si="35">IF(F517&lt;H517,"/!\","-")</f>
        <v>-</v>
      </c>
      <c r="J517" s="194">
        <v>90.36</v>
      </c>
      <c r="K517" s="12">
        <f t="shared" ref="K517:K545" si="36">F517*J517</f>
        <v>90.36</v>
      </c>
      <c r="L517" s="30"/>
      <c r="M517" s="30"/>
      <c r="N517" s="30"/>
      <c r="O517" s="30"/>
      <c r="P517" s="30"/>
      <c r="Q517" s="30"/>
      <c r="R517" s="30"/>
      <c r="S517" s="30">
        <f>IF(Tableau113[[#This Row],[alerte stock]]="-",0,1)</f>
        <v>0</v>
      </c>
    </row>
    <row r="518" spans="1:19" ht="15.75" x14ac:dyDescent="0.25">
      <c r="A518" s="30"/>
      <c r="B518" s="13" t="s">
        <v>881</v>
      </c>
      <c r="C518" s="36" t="s">
        <v>884</v>
      </c>
      <c r="D518" s="195">
        <v>401730000</v>
      </c>
      <c r="E518" s="6" t="s">
        <v>24</v>
      </c>
      <c r="F518" s="7">
        <f>G518+SUMIF('[1]mouvement scotcheuse'!B:B,"=bague applicateur derouleur",'[1]mouvement scotcheuse'!G:G)</f>
        <v>7</v>
      </c>
      <c r="G518" s="8">
        <v>7</v>
      </c>
      <c r="H518" s="9">
        <v>1</v>
      </c>
      <c r="I518" s="1" t="str">
        <f t="shared" si="35"/>
        <v>-</v>
      </c>
      <c r="J518" s="194">
        <v>1</v>
      </c>
      <c r="K518" s="12">
        <f t="shared" si="36"/>
        <v>7</v>
      </c>
      <c r="L518" s="30"/>
      <c r="M518" s="30"/>
      <c r="N518" s="30"/>
      <c r="O518" s="30"/>
      <c r="P518" s="30"/>
      <c r="Q518" s="30"/>
      <c r="R518" s="30"/>
      <c r="S518" s="30">
        <f>IF(Tableau113[[#This Row],[alerte stock]]="-",0,1)</f>
        <v>0</v>
      </c>
    </row>
    <row r="519" spans="1:19" ht="15.75" x14ac:dyDescent="0.25">
      <c r="A519" s="30"/>
      <c r="B519" s="13" t="s">
        <v>881</v>
      </c>
      <c r="C519" s="102" t="s">
        <v>885</v>
      </c>
      <c r="D519" s="100">
        <v>425050004</v>
      </c>
      <c r="E519" s="6" t="s">
        <v>24</v>
      </c>
      <c r="F519" s="7">
        <f>G519+SUMIF('[1]mouvement scotcheuse'!B:B,"=butée de dérouleur 1",'[1]mouvement scotcheuse'!G:G)</f>
        <v>7</v>
      </c>
      <c r="G519" s="101">
        <v>7</v>
      </c>
      <c r="H519" s="101">
        <v>4</v>
      </c>
      <c r="I519" s="1" t="str">
        <f t="shared" si="35"/>
        <v>-</v>
      </c>
      <c r="J519" s="196">
        <v>1.6</v>
      </c>
      <c r="K519" s="12">
        <f t="shared" si="36"/>
        <v>11.200000000000001</v>
      </c>
      <c r="L519" s="30"/>
      <c r="M519" s="30"/>
      <c r="N519" s="30"/>
      <c r="O519" s="30"/>
      <c r="P519" s="30"/>
      <c r="Q519" s="30"/>
      <c r="R519" s="30"/>
      <c r="S519" s="30">
        <f>IF(Tableau113[[#This Row],[alerte stock]]="-",0,1)</f>
        <v>0</v>
      </c>
    </row>
    <row r="520" spans="1:19" ht="15.75" x14ac:dyDescent="0.25">
      <c r="A520" s="30"/>
      <c r="B520" s="13" t="s">
        <v>881</v>
      </c>
      <c r="C520" s="102" t="s">
        <v>886</v>
      </c>
      <c r="D520" s="100">
        <v>425050005</v>
      </c>
      <c r="E520" s="6" t="s">
        <v>24</v>
      </c>
      <c r="F520" s="7">
        <f>G520+SUMIF('[1]mouvement scotcheuse'!B:B,"=butée de dérouleur 2",'[1]mouvement scotcheuse'!G:G)</f>
        <v>6</v>
      </c>
      <c r="G520" s="101">
        <v>6</v>
      </c>
      <c r="H520" s="101">
        <v>4</v>
      </c>
      <c r="I520" s="1" t="str">
        <f t="shared" si="35"/>
        <v>-</v>
      </c>
      <c r="J520" s="196">
        <v>1.6</v>
      </c>
      <c r="K520" s="12">
        <f t="shared" si="36"/>
        <v>9.6000000000000014</v>
      </c>
      <c r="L520" s="30"/>
      <c r="M520" s="30"/>
      <c r="N520" s="30"/>
      <c r="O520" s="30"/>
      <c r="P520" s="30"/>
      <c r="Q520" s="30"/>
      <c r="R520" s="30"/>
      <c r="S520" s="30">
        <f>IF(Tableau113[[#This Row],[alerte stock]]="-",0,1)</f>
        <v>0</v>
      </c>
    </row>
    <row r="521" spans="1:19" ht="15.75" x14ac:dyDescent="0.25">
      <c r="A521" s="30"/>
      <c r="B521" s="13" t="s">
        <v>881</v>
      </c>
      <c r="C521" s="102" t="s">
        <v>887</v>
      </c>
      <c r="D521" s="100">
        <v>425050009</v>
      </c>
      <c r="E521" s="6" t="s">
        <v>24</v>
      </c>
      <c r="F521" s="7">
        <f>G521+SUMIF('[1]mouvement scotcheuse'!B:B,"=butée de dérouleur 8x20-9",'[1]mouvement scotcheuse'!G:G)</f>
        <v>3</v>
      </c>
      <c r="G521" s="101">
        <v>3</v>
      </c>
      <c r="H521" s="101">
        <v>2</v>
      </c>
      <c r="I521" s="1" t="str">
        <f t="shared" si="35"/>
        <v>-</v>
      </c>
      <c r="J521" s="196">
        <v>1.6</v>
      </c>
      <c r="K521" s="12">
        <f t="shared" si="36"/>
        <v>4.8000000000000007</v>
      </c>
      <c r="L521" s="30"/>
      <c r="M521" s="30"/>
      <c r="N521" s="30"/>
      <c r="O521" s="30"/>
      <c r="P521" s="30"/>
      <c r="Q521" s="30"/>
      <c r="R521" s="30"/>
      <c r="S521" s="30">
        <f>IF(Tableau113[[#This Row],[alerte stock]]="-",0,1)</f>
        <v>0</v>
      </c>
    </row>
    <row r="522" spans="1:19" ht="15.75" x14ac:dyDescent="0.25">
      <c r="A522" s="30"/>
      <c r="B522" s="13" t="s">
        <v>881</v>
      </c>
      <c r="C522" s="102" t="s">
        <v>888</v>
      </c>
      <c r="D522" s="100">
        <v>425227541</v>
      </c>
      <c r="E522" s="6" t="s">
        <v>24</v>
      </c>
      <c r="F522" s="7">
        <f>G522+SUMIF('[1]mouvement scotcheuse'!B:B,"=support couteau 70/50",'[1]mouvement scotcheuse'!G:G)</f>
        <v>1</v>
      </c>
      <c r="G522" s="101">
        <v>1</v>
      </c>
      <c r="H522" s="101">
        <v>1</v>
      </c>
      <c r="I522" s="1" t="str">
        <f t="shared" si="35"/>
        <v>-</v>
      </c>
      <c r="J522" s="196">
        <v>69.59</v>
      </c>
      <c r="K522" s="12">
        <f t="shared" si="36"/>
        <v>69.59</v>
      </c>
      <c r="L522" s="30"/>
      <c r="M522" s="30"/>
      <c r="N522" s="30"/>
      <c r="O522" s="30"/>
      <c r="P522" s="30"/>
      <c r="Q522" s="30"/>
      <c r="R522" s="30"/>
      <c r="S522" s="30">
        <f>IF(Tableau113[[#This Row],[alerte stock]]="-",0,1)</f>
        <v>0</v>
      </c>
    </row>
    <row r="523" spans="1:19" ht="15.75" x14ac:dyDescent="0.25">
      <c r="A523" s="30"/>
      <c r="B523" s="13" t="s">
        <v>881</v>
      </c>
      <c r="C523" s="102" t="s">
        <v>889</v>
      </c>
      <c r="D523" s="100">
        <v>425280000</v>
      </c>
      <c r="E523" s="6" t="s">
        <v>24</v>
      </c>
      <c r="F523" s="7">
        <f>G523+SUMIF('[1]mouvement scotcheuse'!B:B,"=bague support couteaux",'[1]mouvement scotcheuse'!G:G)</f>
        <v>10</v>
      </c>
      <c r="G523" s="101">
        <v>10</v>
      </c>
      <c r="H523" s="101">
        <v>2</v>
      </c>
      <c r="I523" s="1" t="str">
        <f t="shared" si="35"/>
        <v>-</v>
      </c>
      <c r="J523" s="196">
        <v>0.8</v>
      </c>
      <c r="K523" s="12">
        <f t="shared" si="36"/>
        <v>8</v>
      </c>
      <c r="L523" s="30"/>
      <c r="M523" s="30"/>
      <c r="N523" s="30"/>
      <c r="O523" s="30"/>
      <c r="P523" s="30"/>
      <c r="Q523" s="30"/>
      <c r="R523" s="30"/>
      <c r="S523" s="30">
        <f>IF(Tableau113[[#This Row],[alerte stock]]="-",0,1)</f>
        <v>0</v>
      </c>
    </row>
    <row r="524" spans="1:19" ht="15.75" x14ac:dyDescent="0.25">
      <c r="A524" s="30"/>
      <c r="B524" s="13" t="s">
        <v>881</v>
      </c>
      <c r="C524" s="102" t="s">
        <v>890</v>
      </c>
      <c r="D524" s="100">
        <v>425290000</v>
      </c>
      <c r="E524" s="6" t="s">
        <v>24</v>
      </c>
      <c r="F524" s="7">
        <f>G524+SUMIF('[1]mouvement scotcheuse'!B:B,"=ecrou support couteau",'[1]mouvement scotcheuse'!G:G)</f>
        <v>2</v>
      </c>
      <c r="G524" s="101">
        <v>2</v>
      </c>
      <c r="H524" s="101">
        <v>2</v>
      </c>
      <c r="I524" s="1" t="str">
        <f t="shared" si="35"/>
        <v>-</v>
      </c>
      <c r="J524" s="196">
        <v>3.73</v>
      </c>
      <c r="K524" s="12">
        <f t="shared" si="36"/>
        <v>7.46</v>
      </c>
      <c r="L524" s="30"/>
      <c r="M524" s="30"/>
      <c r="N524" s="30"/>
      <c r="O524" s="30"/>
      <c r="P524" s="30"/>
      <c r="Q524" s="30"/>
      <c r="R524" s="30"/>
      <c r="S524" s="30">
        <f>IF(Tableau113[[#This Row],[alerte stock]]="-",0,1)</f>
        <v>0</v>
      </c>
    </row>
    <row r="525" spans="1:19" ht="15.75" x14ac:dyDescent="0.25">
      <c r="A525" s="30"/>
      <c r="B525" s="13" t="s">
        <v>881</v>
      </c>
      <c r="C525" s="102" t="s">
        <v>891</v>
      </c>
      <c r="D525" s="100">
        <v>425310752</v>
      </c>
      <c r="E525" s="6" t="s">
        <v>24</v>
      </c>
      <c r="F525" s="7">
        <f>G525+SUMIF('[1]mouvement scotcheuse'!B:B,"=applicateur 70/50 droit complet",'[1]mouvement scotcheuse'!G:G)</f>
        <v>1</v>
      </c>
      <c r="G525" s="101">
        <v>1</v>
      </c>
      <c r="H525" s="101">
        <v>1</v>
      </c>
      <c r="I525" s="1" t="str">
        <f t="shared" si="35"/>
        <v>-</v>
      </c>
      <c r="J525" s="196">
        <v>138</v>
      </c>
      <c r="K525" s="12">
        <f t="shared" si="36"/>
        <v>138</v>
      </c>
      <c r="L525" s="30"/>
      <c r="M525" s="30"/>
      <c r="N525" s="30"/>
      <c r="O525" s="30"/>
      <c r="P525" s="30"/>
      <c r="Q525" s="30"/>
      <c r="R525" s="30"/>
      <c r="S525" s="30">
        <f>IF(Tableau113[[#This Row],[alerte stock]]="-",0,1)</f>
        <v>0</v>
      </c>
    </row>
    <row r="526" spans="1:19" ht="15.75" x14ac:dyDescent="0.25">
      <c r="A526" s="30"/>
      <c r="B526" s="13" t="s">
        <v>881</v>
      </c>
      <c r="C526" s="102" t="s">
        <v>892</v>
      </c>
      <c r="D526" s="100">
        <v>425312756</v>
      </c>
      <c r="E526" s="6" t="s">
        <v>24</v>
      </c>
      <c r="F526" s="7">
        <f>G526+SUMIF('[1]mouvement scotcheuse'!B:B,"=applicateur 70/50 gauche complet",'[1]mouvement scotcheuse'!G:G)</f>
        <v>0</v>
      </c>
      <c r="G526" s="101">
        <v>0</v>
      </c>
      <c r="H526" s="101">
        <v>1</v>
      </c>
      <c r="I526" s="1" t="str">
        <f t="shared" si="35"/>
        <v>/!\</v>
      </c>
      <c r="J526" s="196">
        <v>138</v>
      </c>
      <c r="K526" s="12">
        <f t="shared" si="36"/>
        <v>0</v>
      </c>
      <c r="L526" s="30"/>
      <c r="M526" s="30"/>
      <c r="N526" s="30"/>
      <c r="O526" s="30"/>
      <c r="P526" s="30"/>
      <c r="Q526" s="30"/>
      <c r="R526" s="30"/>
      <c r="S526" s="30">
        <f>IF(Tableau113[[#This Row],[alerte stock]]="-",0,1)</f>
        <v>1</v>
      </c>
    </row>
    <row r="527" spans="1:19" ht="15.75" x14ac:dyDescent="0.25">
      <c r="A527" s="30"/>
      <c r="B527" s="13" t="s">
        <v>881</v>
      </c>
      <c r="C527" s="102" t="s">
        <v>893</v>
      </c>
      <c r="D527" s="100">
        <v>425460525</v>
      </c>
      <c r="E527" s="6" t="s">
        <v>24</v>
      </c>
      <c r="F527" s="7">
        <f>G527+SUMIF('[1]mouvement scotcheuse'!B:B,"=rouleau anti retour . 50",'[1]mouvement scotcheuse'!G:G)</f>
        <v>1</v>
      </c>
      <c r="G527" s="101">
        <v>1</v>
      </c>
      <c r="H527" s="101">
        <v>1</v>
      </c>
      <c r="I527" s="1" t="str">
        <f t="shared" si="35"/>
        <v>-</v>
      </c>
      <c r="J527" s="196">
        <v>32.17</v>
      </c>
      <c r="K527" s="12">
        <f t="shared" si="36"/>
        <v>32.17</v>
      </c>
      <c r="L527" s="30"/>
      <c r="M527" s="30"/>
      <c r="N527" s="30"/>
      <c r="O527" s="30"/>
      <c r="P527" s="30"/>
      <c r="Q527" s="30"/>
      <c r="R527" s="30"/>
      <c r="S527" s="30">
        <f>IF(Tableau113[[#This Row],[alerte stock]]="-",0,1)</f>
        <v>0</v>
      </c>
    </row>
    <row r="528" spans="1:19" ht="15.75" x14ac:dyDescent="0.25">
      <c r="A528" s="30"/>
      <c r="B528" s="13" t="s">
        <v>881</v>
      </c>
      <c r="C528" s="102" t="s">
        <v>894</v>
      </c>
      <c r="D528" s="100">
        <v>425520011</v>
      </c>
      <c r="E528" s="6" t="s">
        <v>24</v>
      </c>
      <c r="F528" s="7">
        <f>G528+SUMIF('[1]mouvement scotcheuse'!B:B,"=ressort por applicateur",'[1]mouvement scotcheuse'!G:G)</f>
        <v>2</v>
      </c>
      <c r="G528" s="101">
        <v>2</v>
      </c>
      <c r="H528" s="101">
        <v>2</v>
      </c>
      <c r="I528" s="1" t="str">
        <f t="shared" si="35"/>
        <v>-</v>
      </c>
      <c r="J528" s="196">
        <v>2.1800000000000002</v>
      </c>
      <c r="K528" s="12">
        <f t="shared" si="36"/>
        <v>4.3600000000000003</v>
      </c>
      <c r="L528" s="30"/>
      <c r="M528" s="30"/>
      <c r="N528" s="30"/>
      <c r="O528" s="30"/>
      <c r="P528" s="30"/>
      <c r="Q528" s="30"/>
      <c r="R528" s="30"/>
      <c r="S528" s="30">
        <f>IF(Tableau113[[#This Row],[alerte stock]]="-",0,1)</f>
        <v>0</v>
      </c>
    </row>
    <row r="529" spans="1:19" ht="15.75" x14ac:dyDescent="0.25">
      <c r="A529" s="30"/>
      <c r="B529" s="13" t="s">
        <v>881</v>
      </c>
      <c r="C529" s="102" t="s">
        <v>895</v>
      </c>
      <c r="D529" s="100">
        <v>425630560</v>
      </c>
      <c r="E529" s="6" t="s">
        <v>24</v>
      </c>
      <c r="F529" s="7">
        <f>G529+SUMIF('[1]mouvement scotcheuse'!B:B,"=axe rouleau cyl. 50 (M5 L=56)",'[1]mouvement scotcheuse'!G:G)</f>
        <v>2</v>
      </c>
      <c r="G529" s="101">
        <v>2</v>
      </c>
      <c r="H529" s="101">
        <v>1</v>
      </c>
      <c r="I529" s="1" t="str">
        <f t="shared" si="35"/>
        <v>-</v>
      </c>
      <c r="J529" s="196">
        <v>7.51</v>
      </c>
      <c r="K529" s="12">
        <f t="shared" si="36"/>
        <v>15.02</v>
      </c>
      <c r="L529" s="30"/>
      <c r="M529" s="30"/>
      <c r="N529" s="30"/>
      <c r="O529" s="30"/>
      <c r="P529" s="30"/>
      <c r="Q529" s="30"/>
      <c r="R529" s="30"/>
      <c r="S529" s="30">
        <f>IF(Tableau113[[#This Row],[alerte stock]]="-",0,1)</f>
        <v>0</v>
      </c>
    </row>
    <row r="530" spans="1:19" ht="15.75" x14ac:dyDescent="0.25">
      <c r="A530" s="30"/>
      <c r="B530" s="13" t="s">
        <v>881</v>
      </c>
      <c r="C530" s="102" t="s">
        <v>896</v>
      </c>
      <c r="D530" s="100">
        <v>425630630</v>
      </c>
      <c r="E530" s="6" t="s">
        <v>24</v>
      </c>
      <c r="F530" s="7">
        <f>G530+SUMIF('[1]mouvement scotcheuse'!B:B,"=axe rouleau bombé .50 (M5diam 10 L=63)",'[1]mouvement scotcheuse'!G:G)</f>
        <v>2</v>
      </c>
      <c r="G530" s="101">
        <v>2</v>
      </c>
      <c r="H530" s="101">
        <v>1</v>
      </c>
      <c r="I530" s="1" t="str">
        <f t="shared" si="35"/>
        <v>-</v>
      </c>
      <c r="J530" s="196">
        <v>7.51</v>
      </c>
      <c r="K530" s="12">
        <f t="shared" si="36"/>
        <v>15.02</v>
      </c>
      <c r="L530" s="30"/>
      <c r="M530" s="30"/>
      <c r="N530" s="30"/>
      <c r="O530" s="30"/>
      <c r="P530" s="30"/>
      <c r="Q530" s="30"/>
      <c r="R530" s="30"/>
      <c r="S530" s="30">
        <f>IF(Tableau113[[#This Row],[alerte stock]]="-",0,1)</f>
        <v>0</v>
      </c>
    </row>
    <row r="531" spans="1:19" ht="15.75" x14ac:dyDescent="0.25">
      <c r="A531" s="30"/>
      <c r="B531" s="13" t="s">
        <v>881</v>
      </c>
      <c r="C531" s="102" t="s">
        <v>897</v>
      </c>
      <c r="D531" s="100">
        <v>425660525</v>
      </c>
      <c r="E531" s="197" t="s">
        <v>24</v>
      </c>
      <c r="F531" s="7">
        <f>G531+SUMIF('[1]mouvement scotcheuse'!B:B,"=rouleau cyl. 50",'[1]mouvement scotcheuse'!G:G)</f>
        <v>1</v>
      </c>
      <c r="G531" s="101">
        <v>1</v>
      </c>
      <c r="H531" s="101">
        <v>1</v>
      </c>
      <c r="I531" s="1" t="str">
        <f t="shared" si="35"/>
        <v>-</v>
      </c>
      <c r="J531" s="196">
        <v>23.4</v>
      </c>
      <c r="K531" s="12">
        <f t="shared" si="36"/>
        <v>23.4</v>
      </c>
      <c r="L531" s="30"/>
      <c r="M531" s="30"/>
      <c r="N531" s="30"/>
      <c r="O531" s="30"/>
      <c r="P531" s="30"/>
      <c r="Q531" s="30"/>
      <c r="R531" s="30"/>
      <c r="S531" s="30">
        <f>IF(Tableau113[[#This Row],[alerte stock]]="-",0,1)</f>
        <v>0</v>
      </c>
    </row>
    <row r="532" spans="1:19" ht="15.75" x14ac:dyDescent="0.25">
      <c r="A532" s="30"/>
      <c r="B532" s="13" t="s">
        <v>881</v>
      </c>
      <c r="C532" s="102" t="s">
        <v>898</v>
      </c>
      <c r="D532" s="100">
        <v>425682011</v>
      </c>
      <c r="E532" s="6" t="s">
        <v>24</v>
      </c>
      <c r="F532" s="7">
        <f>G532+SUMIF('[1]mouvement scotcheuse'!B:B,"=ressort central 1,1",'[1]mouvement scotcheuse'!G:G)</f>
        <v>5</v>
      </c>
      <c r="G532" s="101">
        <v>5</v>
      </c>
      <c r="H532" s="101">
        <v>1</v>
      </c>
      <c r="I532" s="1" t="str">
        <f t="shared" si="35"/>
        <v>-</v>
      </c>
      <c r="J532" s="196">
        <v>2.86</v>
      </c>
      <c r="K532" s="12">
        <f t="shared" si="36"/>
        <v>14.299999999999999</v>
      </c>
      <c r="L532" s="30"/>
      <c r="M532" s="30"/>
      <c r="N532" s="30"/>
      <c r="O532" s="30"/>
      <c r="P532" s="30"/>
      <c r="Q532" s="30"/>
      <c r="R532" s="30"/>
      <c r="S532" s="30">
        <f>IF(Tableau113[[#This Row],[alerte stock]]="-",0,1)</f>
        <v>0</v>
      </c>
    </row>
    <row r="533" spans="1:19" ht="15.75" x14ac:dyDescent="0.25">
      <c r="A533" s="30"/>
      <c r="B533" s="13" t="s">
        <v>881</v>
      </c>
      <c r="C533" s="102" t="s">
        <v>899</v>
      </c>
      <c r="D533" s="100">
        <v>425692011</v>
      </c>
      <c r="E533" s="6" t="s">
        <v>24</v>
      </c>
      <c r="F533" s="7">
        <f>G533+SUMIF('[1]mouvement scotcheuse'!B:B,"=ressort 1:1",'[1]mouvement scotcheuse'!G:G)</f>
        <v>6</v>
      </c>
      <c r="G533" s="101">
        <v>6</v>
      </c>
      <c r="H533" s="101">
        <v>1</v>
      </c>
      <c r="I533" s="1" t="str">
        <f t="shared" si="35"/>
        <v>-</v>
      </c>
      <c r="J533" s="196">
        <v>4.41</v>
      </c>
      <c r="K533" s="12">
        <f t="shared" si="36"/>
        <v>26.46</v>
      </c>
      <c r="L533" s="30"/>
      <c r="M533" s="30"/>
      <c r="N533" s="30"/>
      <c r="O533" s="30"/>
      <c r="P533" s="30"/>
      <c r="Q533" s="30"/>
      <c r="R533" s="30"/>
      <c r="S533" s="30">
        <f>IF(Tableau113[[#This Row],[alerte stock]]="-",0,1)</f>
        <v>0</v>
      </c>
    </row>
    <row r="534" spans="1:19" ht="15.75" x14ac:dyDescent="0.25">
      <c r="A534" s="30"/>
      <c r="B534" s="13" t="s">
        <v>881</v>
      </c>
      <c r="C534" s="102" t="s">
        <v>900</v>
      </c>
      <c r="D534" s="100">
        <v>427450004</v>
      </c>
      <c r="E534" s="6" t="s">
        <v>24</v>
      </c>
      <c r="F534" s="7">
        <f>G534+SUMIF('[1]mouvement scotcheuse'!B:B,"=entretoise à collerette",'[1]mouvement scotcheuse'!G:G)</f>
        <v>3</v>
      </c>
      <c r="G534" s="101">
        <v>3</v>
      </c>
      <c r="H534" s="101">
        <v>2</v>
      </c>
      <c r="I534" s="1" t="str">
        <f t="shared" si="35"/>
        <v>-</v>
      </c>
      <c r="J534" s="196">
        <v>7.48</v>
      </c>
      <c r="K534" s="12">
        <f t="shared" si="36"/>
        <v>22.44</v>
      </c>
      <c r="L534" s="30"/>
      <c r="M534" s="30"/>
      <c r="N534" s="30"/>
      <c r="O534" s="30"/>
      <c r="P534" s="30"/>
      <c r="Q534" s="30"/>
      <c r="R534" s="30"/>
      <c r="S534" s="30">
        <f>IF(Tableau113[[#This Row],[alerte stock]]="-",0,1)</f>
        <v>0</v>
      </c>
    </row>
    <row r="535" spans="1:19" ht="15.75" x14ac:dyDescent="0.25">
      <c r="A535" s="30"/>
      <c r="B535" s="13" t="s">
        <v>881</v>
      </c>
      <c r="C535" s="102" t="s">
        <v>901</v>
      </c>
      <c r="D535" s="100">
        <v>427450009</v>
      </c>
      <c r="E535" s="6" t="s">
        <v>24</v>
      </c>
      <c r="F535" s="7">
        <f>G535+SUMIF('[1]mouvement scotcheuse'!B:B,"=support butée",'[1]mouvement scotcheuse'!G:G)</f>
        <v>3</v>
      </c>
      <c r="G535" s="101">
        <v>3</v>
      </c>
      <c r="H535" s="101">
        <v>2</v>
      </c>
      <c r="I535" s="1" t="str">
        <f t="shared" si="35"/>
        <v>-</v>
      </c>
      <c r="J535" s="196">
        <v>7.02</v>
      </c>
      <c r="K535" s="12">
        <f t="shared" si="36"/>
        <v>21.06</v>
      </c>
      <c r="L535" s="30"/>
      <c r="M535" s="30"/>
      <c r="N535" s="30"/>
      <c r="O535" s="30"/>
      <c r="P535" s="30"/>
      <c r="Q535" s="30"/>
      <c r="R535" s="30"/>
      <c r="S535" s="30">
        <f>IF(Tableau113[[#This Row],[alerte stock]]="-",0,1)</f>
        <v>0</v>
      </c>
    </row>
    <row r="536" spans="1:19" ht="15.75" x14ac:dyDescent="0.25">
      <c r="A536" s="30"/>
      <c r="B536" s="13" t="s">
        <v>881</v>
      </c>
      <c r="C536" s="102" t="s">
        <v>902</v>
      </c>
      <c r="D536" s="100">
        <v>444580625</v>
      </c>
      <c r="E536" s="6" t="s">
        <v>24</v>
      </c>
      <c r="F536" s="7">
        <f>G536+SUMIF('[1]mouvement scotcheuse'!B:B,"=rouleau bombé DER . 50",'[1]mouvement scotcheuse'!G:G)</f>
        <v>0</v>
      </c>
      <c r="G536" s="101">
        <v>0</v>
      </c>
      <c r="H536" s="101">
        <v>1</v>
      </c>
      <c r="I536" s="1" t="str">
        <f t="shared" si="35"/>
        <v>/!\</v>
      </c>
      <c r="J536" s="196">
        <v>26.6</v>
      </c>
      <c r="K536" s="12">
        <f t="shared" si="36"/>
        <v>0</v>
      </c>
      <c r="L536" s="30"/>
      <c r="M536" s="30"/>
      <c r="N536" s="30"/>
      <c r="O536" s="30"/>
      <c r="P536" s="30"/>
      <c r="Q536" s="30"/>
      <c r="R536" s="30"/>
      <c r="S536" s="30">
        <f>IF(Tableau113[[#This Row],[alerte stock]]="-",0,1)</f>
        <v>1</v>
      </c>
    </row>
    <row r="537" spans="1:19" ht="15.75" x14ac:dyDescent="0.25">
      <c r="A537" s="30"/>
      <c r="B537" s="13" t="s">
        <v>881</v>
      </c>
      <c r="C537" s="102" t="s">
        <v>903</v>
      </c>
      <c r="D537" s="100">
        <v>447113051</v>
      </c>
      <c r="E537" s="6" t="s">
        <v>24</v>
      </c>
      <c r="F537" s="7">
        <f>G537+SUMIF('[1]mouvement scotcheuse'!B:B,"=rouleau anti retour noir .50",'[1]mouvement scotcheuse'!G:G)</f>
        <v>2</v>
      </c>
      <c r="G537" s="101">
        <v>2</v>
      </c>
      <c r="H537" s="101">
        <v>1</v>
      </c>
      <c r="I537" s="1" t="str">
        <f t="shared" si="35"/>
        <v>-</v>
      </c>
      <c r="J537" s="196">
        <v>29.69</v>
      </c>
      <c r="K537" s="12">
        <f t="shared" si="36"/>
        <v>59.38</v>
      </c>
      <c r="L537" s="30"/>
      <c r="M537" s="30"/>
      <c r="N537" s="30"/>
      <c r="O537" s="30"/>
      <c r="P537" s="30"/>
      <c r="Q537" s="30"/>
      <c r="R537" s="30"/>
      <c r="S537" s="30">
        <f>IF(Tableau113[[#This Row],[alerte stock]]="-",0,1)</f>
        <v>0</v>
      </c>
    </row>
    <row r="538" spans="1:19" ht="15.75" x14ac:dyDescent="0.25">
      <c r="A538" s="30"/>
      <c r="B538" s="13" t="s">
        <v>881</v>
      </c>
      <c r="C538" s="102" t="s">
        <v>904</v>
      </c>
      <c r="D538" s="100">
        <v>448074051</v>
      </c>
      <c r="E538" s="6" t="s">
        <v>24</v>
      </c>
      <c r="F538" s="7">
        <f>G538+SUMIF('[1]mouvement scotcheuse'!B:B,"=couteau de dérouleur .50",'[1]mouvement scotcheuse'!G:G)</f>
        <v>4</v>
      </c>
      <c r="G538" s="101">
        <v>4</v>
      </c>
      <c r="H538" s="101">
        <v>1</v>
      </c>
      <c r="I538" s="1" t="str">
        <f t="shared" si="35"/>
        <v>-</v>
      </c>
      <c r="J538" s="196">
        <v>6.29</v>
      </c>
      <c r="K538" s="12">
        <f t="shared" si="36"/>
        <v>25.16</v>
      </c>
      <c r="L538" s="30"/>
      <c r="M538" s="30"/>
      <c r="N538" s="30"/>
      <c r="O538" s="30"/>
      <c r="P538" s="30"/>
      <c r="Q538" s="30"/>
      <c r="R538" s="30"/>
      <c r="S538" s="30">
        <f>IF(Tableau113[[#This Row],[alerte stock]]="-",0,1)</f>
        <v>0</v>
      </c>
    </row>
    <row r="539" spans="1:19" ht="15.75" x14ac:dyDescent="0.25">
      <c r="A539" s="30"/>
      <c r="B539" s="13" t="s">
        <v>881</v>
      </c>
      <c r="C539" s="36" t="s">
        <v>905</v>
      </c>
      <c r="D539" s="195">
        <v>1512104008</v>
      </c>
      <c r="E539" s="6" t="s">
        <v>24</v>
      </c>
      <c r="F539" s="7">
        <f>G539+SUMIF('[1]mouvement scotcheuse'!B:B,"=vis M4X8 Din 7991",'[1]mouvement scotcheuse'!G:G)</f>
        <v>9</v>
      </c>
      <c r="G539" s="8">
        <v>9</v>
      </c>
      <c r="H539" s="9">
        <v>1</v>
      </c>
      <c r="I539" s="1" t="str">
        <f t="shared" si="35"/>
        <v>-</v>
      </c>
      <c r="J539" s="194">
        <v>0.34</v>
      </c>
      <c r="K539" s="12">
        <f t="shared" si="36"/>
        <v>3.06</v>
      </c>
      <c r="L539" s="30"/>
      <c r="M539" s="30"/>
      <c r="N539" s="30"/>
      <c r="O539" s="30"/>
      <c r="P539" s="30"/>
      <c r="Q539" s="30"/>
      <c r="R539" s="30"/>
      <c r="S539" s="30">
        <f>IF(Tableau113[[#This Row],[alerte stock]]="-",0,1)</f>
        <v>0</v>
      </c>
    </row>
    <row r="540" spans="1:19" ht="15.75" x14ac:dyDescent="0.25">
      <c r="A540" s="30"/>
      <c r="B540" s="13" t="s">
        <v>881</v>
      </c>
      <c r="C540" s="102" t="s">
        <v>906</v>
      </c>
      <c r="D540" s="100" t="s">
        <v>907</v>
      </c>
      <c r="E540" s="6" t="s">
        <v>24</v>
      </c>
      <c r="F540" s="7">
        <f>G540+SUMIF('[1]mouvement scotcheuse'!B:B,"=Bande entrainement T100 (980x50)",'[1]mouvement scotcheuse'!G:G)</f>
        <v>2</v>
      </c>
      <c r="G540" s="101">
        <v>2</v>
      </c>
      <c r="H540" s="101">
        <v>1</v>
      </c>
      <c r="I540" s="1" t="str">
        <f t="shared" si="35"/>
        <v>-</v>
      </c>
      <c r="J540" s="196">
        <v>43.05</v>
      </c>
      <c r="K540" s="12">
        <f t="shared" si="36"/>
        <v>86.1</v>
      </c>
      <c r="L540" s="30"/>
      <c r="M540" s="30"/>
      <c r="N540" s="30"/>
      <c r="O540" s="30"/>
      <c r="P540" s="30"/>
      <c r="Q540" s="30"/>
      <c r="R540" s="30"/>
      <c r="S540" s="30">
        <f>IF(Tableau113[[#This Row],[alerte stock]]="-",0,1)</f>
        <v>0</v>
      </c>
    </row>
    <row r="541" spans="1:19" ht="15.75" x14ac:dyDescent="0.25">
      <c r="A541" s="30"/>
      <c r="B541" s="13" t="s">
        <v>881</v>
      </c>
      <c r="C541" s="102" t="s">
        <v>908</v>
      </c>
      <c r="D541" s="100" t="s">
        <v>909</v>
      </c>
      <c r="E541" s="6" t="s">
        <v>24</v>
      </c>
      <c r="F541" s="7">
        <f>G541+SUMIF('[1]mouvement scotcheuse'!B:B,"=Bande entrainement vielle scotcheuse (980x80)",'[1]mouvement scotcheuse'!G:G)</f>
        <v>2</v>
      </c>
      <c r="G541" s="101">
        <v>2</v>
      </c>
      <c r="H541" s="101">
        <v>1</v>
      </c>
      <c r="I541" s="1" t="str">
        <f t="shared" si="35"/>
        <v>-</v>
      </c>
      <c r="J541" s="196">
        <v>59.2</v>
      </c>
      <c r="K541" s="12">
        <f t="shared" si="36"/>
        <v>118.4</v>
      </c>
      <c r="L541" s="30"/>
      <c r="M541" s="30"/>
      <c r="N541" s="30"/>
      <c r="O541" s="30"/>
      <c r="P541" s="30"/>
      <c r="Q541" s="30"/>
      <c r="R541" s="30"/>
      <c r="S541" s="30">
        <f>IF(Tableau113[[#This Row],[alerte stock]]="-",0,1)</f>
        <v>0</v>
      </c>
    </row>
    <row r="542" spans="1:19" ht="15.75" x14ac:dyDescent="0.25">
      <c r="A542" s="30"/>
      <c r="B542" s="13" t="s">
        <v>881</v>
      </c>
      <c r="C542" s="102" t="s">
        <v>910</v>
      </c>
      <c r="D542" s="100" t="s">
        <v>24</v>
      </c>
      <c r="E542" s="6" t="s">
        <v>24</v>
      </c>
      <c r="F542" s="7">
        <f>G542+SUMIF('[1]mouvement scotcheuse'!B:B,"=cable acier",'[1]mouvement scotcheuse'!G:G)</f>
        <v>0</v>
      </c>
      <c r="G542" s="101">
        <v>0</v>
      </c>
      <c r="H542" s="101">
        <v>0</v>
      </c>
      <c r="I542" s="1" t="str">
        <f t="shared" si="35"/>
        <v>-</v>
      </c>
      <c r="J542" s="196">
        <v>0</v>
      </c>
      <c r="K542" s="12">
        <f t="shared" si="36"/>
        <v>0</v>
      </c>
      <c r="L542" s="30"/>
      <c r="M542" s="30"/>
      <c r="N542" s="30"/>
      <c r="O542" s="30"/>
      <c r="P542" s="30"/>
      <c r="Q542" s="30"/>
      <c r="R542" s="30"/>
      <c r="S542" s="30">
        <f>IF(Tableau113[[#This Row],[alerte stock]]="-",0,1)</f>
        <v>0</v>
      </c>
    </row>
    <row r="543" spans="1:19" ht="15.75" x14ac:dyDescent="0.25">
      <c r="A543" s="30"/>
      <c r="B543" s="13" t="s">
        <v>881</v>
      </c>
      <c r="C543" s="198" t="s">
        <v>911</v>
      </c>
      <c r="D543" s="101">
        <v>306840050</v>
      </c>
      <c r="E543" s="6" t="s">
        <v>24</v>
      </c>
      <c r="F543" s="7">
        <f>G543+SUMIF('[1]mouvement scotcheuse'!B:B,"=Console a rouleaux  (pour boucher la scotcheuse du bas)",'[1]mouvement scotcheuse'!G:G)</f>
        <v>0</v>
      </c>
      <c r="G543" s="101">
        <v>0</v>
      </c>
      <c r="H543" s="199">
        <v>0</v>
      </c>
      <c r="I543" s="1" t="str">
        <f t="shared" si="35"/>
        <v>-</v>
      </c>
      <c r="J543" s="200">
        <v>250</v>
      </c>
      <c r="K543" s="12">
        <f t="shared" si="36"/>
        <v>0</v>
      </c>
      <c r="L543" s="30"/>
      <c r="M543" s="30"/>
      <c r="N543" s="30"/>
      <c r="O543" s="30"/>
      <c r="P543" s="30"/>
      <c r="Q543" s="30"/>
      <c r="R543" s="30"/>
      <c r="S543" s="30">
        <f>IF(Tableau113[[#This Row],[alerte stock]]="-",0,1)</f>
        <v>0</v>
      </c>
    </row>
    <row r="544" spans="1:19" ht="15.75" x14ac:dyDescent="0.25">
      <c r="A544" s="30"/>
      <c r="B544" s="13" t="s">
        <v>881</v>
      </c>
      <c r="C544" s="198" t="s">
        <v>912</v>
      </c>
      <c r="D544" s="201" t="s">
        <v>913</v>
      </c>
      <c r="E544" s="6" t="s">
        <v>24</v>
      </c>
      <c r="F544" s="7">
        <f>G544+SUMIF('[1]mouvement scotcheuse'!B:B,"=Arrêt d'urgence",'[1]mouvement scotcheuse'!G:G)</f>
        <v>2</v>
      </c>
      <c r="G544" s="201">
        <v>2</v>
      </c>
      <c r="H544" s="101">
        <v>1</v>
      </c>
      <c r="I544" s="1" t="str">
        <f t="shared" si="35"/>
        <v>-</v>
      </c>
      <c r="J544" s="202">
        <v>33.01</v>
      </c>
      <c r="K544" s="12">
        <f t="shared" si="36"/>
        <v>66.02</v>
      </c>
      <c r="L544" s="30"/>
      <c r="M544" s="13" t="s">
        <v>881</v>
      </c>
      <c r="N544" s="30"/>
      <c r="O544" s="30"/>
      <c r="P544" s="30"/>
      <c r="Q544" s="30"/>
      <c r="R544" s="30"/>
      <c r="S544" s="30">
        <f>IF(Tableau113[[#This Row],[alerte stock]]="-",0,1)</f>
        <v>0</v>
      </c>
    </row>
    <row r="545" spans="1:19" ht="15.75" x14ac:dyDescent="0.25">
      <c r="A545" s="30"/>
      <c r="B545" s="13" t="s">
        <v>881</v>
      </c>
      <c r="C545" s="203" t="s">
        <v>914</v>
      </c>
      <c r="D545" s="204">
        <v>469870000</v>
      </c>
      <c r="E545" s="155" t="s">
        <v>24</v>
      </c>
      <c r="F545" s="156" t="s">
        <v>915</v>
      </c>
      <c r="G545" s="199">
        <v>13</v>
      </c>
      <c r="H545" s="199">
        <v>2</v>
      </c>
      <c r="I545" s="157" t="str">
        <f t="shared" si="35"/>
        <v>-</v>
      </c>
      <c r="J545" s="200">
        <v>0</v>
      </c>
      <c r="K545" s="158" t="e">
        <f t="shared" si="36"/>
        <v>#VALUE!</v>
      </c>
      <c r="L545" s="30"/>
      <c r="M545" s="35" t="e">
        <f>SUM(K516:K545)</f>
        <v>#VALUE!</v>
      </c>
      <c r="N545" s="30"/>
      <c r="O545" s="30"/>
      <c r="P545" s="30"/>
      <c r="Q545" s="30"/>
      <c r="R545" s="30"/>
      <c r="S545" s="30">
        <f>IF(Tableau113[[#This Row],[alerte stock]]="-",0,1)</f>
        <v>0</v>
      </c>
    </row>
    <row r="546" spans="1:19" ht="15.75" x14ac:dyDescent="0.25">
      <c r="A546" s="30"/>
      <c r="B546" s="13"/>
      <c r="C546" s="205" t="s">
        <v>916</v>
      </c>
      <c r="D546" s="206"/>
      <c r="E546" s="207"/>
      <c r="F546" s="208"/>
      <c r="G546" s="209"/>
      <c r="H546" s="209"/>
      <c r="I546" s="157" t="str">
        <f>IF(F546&lt;H546,"/!\","-")</f>
        <v>-</v>
      </c>
      <c r="J546" s="210"/>
      <c r="K546" s="211">
        <f>F546*J546</f>
        <v>0</v>
      </c>
      <c r="L546" s="30"/>
      <c r="M546" s="30"/>
      <c r="N546" s="30"/>
      <c r="O546" s="30"/>
      <c r="P546" s="30"/>
      <c r="Q546" s="30"/>
      <c r="R546" s="3" t="s">
        <v>917</v>
      </c>
      <c r="S546" s="3" t="b">
        <f>AND(S4:S545)</f>
        <v>0</v>
      </c>
    </row>
  </sheetData>
  <conditionalFormatting sqref="I3">
    <cfRule type="cellIs" dxfId="85" priority="58" operator="equal">
      <formula>"/!\ a commander"</formula>
    </cfRule>
  </conditionalFormatting>
  <conditionalFormatting sqref="I4">
    <cfRule type="containsText" dxfId="84" priority="56" operator="containsText" text="/!\">
      <formula>NOT(ISERROR(SEARCH("/!\",I4)))</formula>
    </cfRule>
  </conditionalFormatting>
  <conditionalFormatting sqref="I5:I26">
    <cfRule type="containsText" dxfId="83" priority="54" operator="containsText" text="/!\">
      <formula>NOT(ISERROR(SEARCH("/!\",I5)))</formula>
    </cfRule>
  </conditionalFormatting>
  <conditionalFormatting sqref="I27:I28">
    <cfRule type="containsText" dxfId="82" priority="52" operator="containsText" text="/!\">
      <formula>NOT(ISERROR(SEARCH("/!\",I27)))</formula>
    </cfRule>
  </conditionalFormatting>
  <conditionalFormatting sqref="I29:I63">
    <cfRule type="containsText" dxfId="81" priority="50" operator="containsText" text="/!\">
      <formula>NOT(ISERROR(SEARCH("/!\",I29)))</formula>
    </cfRule>
  </conditionalFormatting>
  <conditionalFormatting sqref="I64:I110">
    <cfRule type="containsText" dxfId="80" priority="48" operator="containsText" text="/!\">
      <formula>NOT(ISERROR(SEARCH("/!\",I64)))</formula>
    </cfRule>
  </conditionalFormatting>
  <conditionalFormatting sqref="I111:I112">
    <cfRule type="containsText" dxfId="79" priority="46" operator="containsText" text="/!\">
      <formula>NOT(ISERROR(SEARCH("/!\",I111)))</formula>
    </cfRule>
  </conditionalFormatting>
  <conditionalFormatting sqref="I113:I120">
    <cfRule type="containsText" dxfId="78" priority="44" operator="containsText" text="/!\">
      <formula>NOT(ISERROR(SEARCH("/!\",I113)))</formula>
    </cfRule>
  </conditionalFormatting>
  <conditionalFormatting sqref="I121:I136">
    <cfRule type="containsText" dxfId="77" priority="42" operator="containsText" text="/!\">
      <formula>NOT(ISERROR(SEARCH("/!\",I121)))</formula>
    </cfRule>
  </conditionalFormatting>
  <conditionalFormatting sqref="I137:I154">
    <cfRule type="containsText" dxfId="76" priority="40" operator="containsText" text="/!\">
      <formula>NOT(ISERROR(SEARCH("/!\",I137)))</formula>
    </cfRule>
  </conditionalFormatting>
  <conditionalFormatting sqref="I155:I159">
    <cfRule type="containsText" dxfId="75" priority="38" operator="containsText" text="/!\">
      <formula>NOT(ISERROR(SEARCH("/!\",I155)))</formula>
    </cfRule>
  </conditionalFormatting>
  <conditionalFormatting sqref="I160:I166">
    <cfRule type="containsText" dxfId="74" priority="36" operator="containsText" text="/!\">
      <formula>NOT(ISERROR(SEARCH("/!\",I160)))</formula>
    </cfRule>
  </conditionalFormatting>
  <conditionalFormatting sqref="I167:I207">
    <cfRule type="containsText" dxfId="73" priority="34" operator="containsText" text="/!\">
      <formula>NOT(ISERROR(SEARCH("/!\",I167)))</formula>
    </cfRule>
  </conditionalFormatting>
  <conditionalFormatting sqref="I208:I215">
    <cfRule type="containsText" dxfId="72" priority="32" operator="containsText" text="/!\">
      <formula>NOT(ISERROR(SEARCH("/!\",I208)))</formula>
    </cfRule>
  </conditionalFormatting>
  <conditionalFormatting sqref="I216:I221">
    <cfRule type="containsText" dxfId="71" priority="30" operator="containsText" text="/!\">
      <formula>NOT(ISERROR(SEARCH("/!\",I216)))</formula>
    </cfRule>
  </conditionalFormatting>
  <conditionalFormatting sqref="I222:I223">
    <cfRule type="containsText" dxfId="70" priority="28" operator="containsText" text="/!\">
      <formula>NOT(ISERROR(SEARCH("/!\",I222)))</formula>
    </cfRule>
  </conditionalFormatting>
  <conditionalFormatting sqref="I224:I228">
    <cfRule type="containsText" dxfId="69" priority="26" operator="containsText" text="/!\">
      <formula>NOT(ISERROR(SEARCH("/!\",I224)))</formula>
    </cfRule>
  </conditionalFormatting>
  <conditionalFormatting sqref="I229:I230">
    <cfRule type="containsText" dxfId="68" priority="24" operator="containsText" text="/!\">
      <formula>NOT(ISERROR(SEARCH("/!\",I229)))</formula>
    </cfRule>
  </conditionalFormatting>
  <conditionalFormatting sqref="I231:I251">
    <cfRule type="containsText" dxfId="67" priority="22" operator="containsText" text="/!\">
      <formula>NOT(ISERROR(SEARCH("/!\",I231)))</formula>
    </cfRule>
  </conditionalFormatting>
  <conditionalFormatting sqref="I252:I263">
    <cfRule type="containsText" dxfId="66" priority="20" operator="containsText" text="/!\">
      <formula>NOT(ISERROR(SEARCH("/!\",I252)))</formula>
    </cfRule>
  </conditionalFormatting>
  <conditionalFormatting sqref="I264:I307">
    <cfRule type="containsText" dxfId="65" priority="18" operator="containsText" text="/!\">
      <formula>NOT(ISERROR(SEARCH("/!\",I264)))</formula>
    </cfRule>
  </conditionalFormatting>
  <conditionalFormatting sqref="I308:I324">
    <cfRule type="containsText" dxfId="64" priority="16" operator="containsText" text="/!\">
      <formula>NOT(ISERROR(SEARCH("/!\",I308)))</formula>
    </cfRule>
  </conditionalFormatting>
  <conditionalFormatting sqref="I325:I362">
    <cfRule type="containsText" dxfId="63" priority="14" operator="containsText" text="/!\">
      <formula>NOT(ISERROR(SEARCH("/!\",I325)))</formula>
    </cfRule>
  </conditionalFormatting>
  <conditionalFormatting sqref="I363:I369">
    <cfRule type="containsText" dxfId="62" priority="12" operator="containsText" text="/!\">
      <formula>NOT(ISERROR(SEARCH("/!\",I363)))</formula>
    </cfRule>
  </conditionalFormatting>
  <conditionalFormatting sqref="I370">
    <cfRule type="containsText" dxfId="61" priority="10" operator="containsText" text="/!\">
      <formula>NOT(ISERROR(SEARCH("/!\",I370)))</formula>
    </cfRule>
  </conditionalFormatting>
  <conditionalFormatting sqref="G370">
    <cfRule type="expression" dxfId="60" priority="9">
      <formula>$E$4&lt;$C$4</formula>
    </cfRule>
  </conditionalFormatting>
  <conditionalFormatting sqref="I371:I504">
    <cfRule type="containsText" dxfId="59" priority="7" operator="containsText" text="/!\">
      <formula>NOT(ISERROR(SEARCH("/!\",I371)))</formula>
    </cfRule>
  </conditionalFormatting>
  <conditionalFormatting sqref="I505:I509">
    <cfRule type="containsText" dxfId="58" priority="5" operator="containsText" text="/!\">
      <formula>NOT(ISERROR(SEARCH("/!\",I505)))</formula>
    </cfRule>
  </conditionalFormatting>
  <conditionalFormatting sqref="I510:I515">
    <cfRule type="containsText" dxfId="57" priority="3" operator="containsText" text="/!\">
      <formula>NOT(ISERROR(SEARCH("/!\",I510)))</formula>
    </cfRule>
  </conditionalFormatting>
  <conditionalFormatting sqref="I516:I545">
    <cfRule type="containsText" dxfId="56" priority="1" operator="containsText" text="/!\">
      <formula>NOT(ISERROR(SEARCH("/!\",I516)))</formula>
    </cfRule>
  </conditionalFormatting>
  <dataValidations count="12">
    <dataValidation type="list" allowBlank="1" showInputMessage="1" showErrorMessage="1" sqref="K15 K32 K34 J33">
      <formula1>listetype</formula1>
    </dataValidation>
    <dataValidation type="list" allowBlank="1" showInputMessage="1" showErrorMessage="1" sqref="J15 J32 J34 I33">
      <formula1>listesuivis</formula1>
    </dataValidation>
    <dataValidation type="list" allowBlank="1" showInputMessage="1" showErrorMessage="1" sqref="I15 H41:I43 I32 I34 H33">
      <formula1>listeouinon</formula1>
    </dataValidation>
    <dataValidation type="list" allowBlank="1" showInputMessage="1" showErrorMessage="1" sqref="F15 F32 F34 E33">
      <formula1>listen°systeme</formula1>
    </dataValidation>
    <dataValidation type="list" allowBlank="1" showInputMessage="1" showErrorMessage="1" sqref="E15 E32 E34 D33">
      <formula1>listesysteme</formula1>
    </dataValidation>
    <dataValidation type="list" allowBlank="1" showInputMessage="1" showErrorMessage="1" sqref="D15 D32 D34 C33">
      <formula1>listetech</formula1>
    </dataValidation>
    <dataValidation type="list" allowBlank="1" showInputMessage="1" showErrorMessage="1" sqref="B41:B43 B32 B34">
      <formula1>listedate</formula1>
    </dataValidation>
    <dataValidation type="list" allowBlank="1" showInputMessage="1" showErrorMessage="1" sqref="C15 C34 B33">
      <formula1>listeheure</formula1>
    </dataValidation>
    <dataValidation type="list" allowBlank="1" showInputMessage="1" showErrorMessage="1" sqref="E41">
      <formula1>piecesbakon</formula1>
    </dataValidation>
    <dataValidation type="list" allowBlank="1" showInputMessage="1" showErrorMessage="1" sqref="C41:C43">
      <formula1>tech</formula1>
    </dataValidation>
    <dataValidation type="list" allowBlank="1" showInputMessage="1" showErrorMessage="1" sqref="D41">
      <formula1>toutstock</formula1>
    </dataValidation>
    <dataValidation type="list" allowBlank="1" showInputMessage="1" showErrorMessage="1" sqref="D42:D43">
      <formula1>listecom</formula1>
    </dataValidation>
  </dataValidations>
  <hyperlinks>
    <hyperlink ref="E254" r:id="rId1"/>
    <hyperlink ref="E310" r:id="rId2" display="sav@espera.fr "/>
    <hyperlink ref="E326" r:id="rId3" display="sav@espera.fr "/>
    <hyperlink ref="E365" r:id="rId4" display="sav@espera.fr "/>
    <hyperlink ref="E507" r:id="rId5" display="sav@espera.fr "/>
    <hyperlink ref="E512" r:id="rId6" display="sav@espera.fr "/>
    <hyperlink ref="E518" r:id="rId7" display="sav@espera.fr "/>
  </hyperlinks>
  <pageMargins left="0.7" right="0.7" top="0.75" bottom="0.75" header="0.3" footer="0.3"/>
  <pageSetup paperSize="9" orientation="portrait" r:id="rId8"/>
  <tableParts count="1"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operator="containsText" id="{0AF2286B-EA62-43FB-BBF8-508A3F634170}">
            <xm:f>NOT(ISERROR(SEARCH("-",I4)))</xm:f>
            <xm:f>"-"</xm:f>
            <x14:dxf>
              <fill>
                <patternFill>
                  <bgColor rgb="FF00B05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ontainsText" priority="55" operator="containsText" id="{615A6F30-5E09-4354-9A47-6AE1F2AF4B2B}">
            <xm:f>NOT(ISERROR(SEARCH("-",I5)))</xm:f>
            <xm:f>"-"</xm:f>
            <x14:dxf>
              <fill>
                <patternFill>
                  <bgColor rgb="FF00B050"/>
                </patternFill>
              </fill>
            </x14:dxf>
          </x14:cfRule>
          <xm:sqref>I5:I26</xm:sqref>
        </x14:conditionalFormatting>
        <x14:conditionalFormatting xmlns:xm="http://schemas.microsoft.com/office/excel/2006/main">
          <x14:cfRule type="containsText" priority="53" operator="containsText" id="{814300E6-0B28-44EB-BF5A-1440687BC018}">
            <xm:f>NOT(ISERROR(SEARCH("-",I27)))</xm:f>
            <xm:f>"-"</xm:f>
            <x14:dxf>
              <fill>
                <patternFill>
                  <bgColor rgb="FF00B050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containsText" priority="51" operator="containsText" id="{AFA135A4-00A1-478E-A658-8AC1D821EBE4}">
            <xm:f>NOT(ISERROR(SEARCH("-",I29)))</xm:f>
            <xm:f>"-"</xm:f>
            <x14:dxf>
              <fill>
                <patternFill>
                  <bgColor rgb="FF00B050"/>
                </patternFill>
              </fill>
            </x14:dxf>
          </x14:cfRule>
          <xm:sqref>I29:I63</xm:sqref>
        </x14:conditionalFormatting>
        <x14:conditionalFormatting xmlns:xm="http://schemas.microsoft.com/office/excel/2006/main">
          <x14:cfRule type="containsText" priority="49" operator="containsText" id="{BA5C804C-61DE-4F25-B4C9-AE12CAD0B38D}">
            <xm:f>NOT(ISERROR(SEARCH("-",I64)))</xm:f>
            <xm:f>"-"</xm:f>
            <x14:dxf>
              <fill>
                <patternFill>
                  <bgColor rgb="FF00B050"/>
                </patternFill>
              </fill>
            </x14:dxf>
          </x14:cfRule>
          <xm:sqref>I64:I110</xm:sqref>
        </x14:conditionalFormatting>
        <x14:conditionalFormatting xmlns:xm="http://schemas.microsoft.com/office/excel/2006/main">
          <x14:cfRule type="containsText" priority="47" operator="containsText" id="{6B8EC7E9-C67A-41F5-A411-E4282488BDB4}">
            <xm:f>NOT(ISERROR(SEARCH("-",I111)))</xm:f>
            <xm:f>"-"</xm:f>
            <x14:dxf>
              <fill>
                <patternFill>
                  <bgColor rgb="FF00B050"/>
                </patternFill>
              </fill>
            </x14:dxf>
          </x14:cfRule>
          <xm:sqref>I111:I112</xm:sqref>
        </x14:conditionalFormatting>
        <x14:conditionalFormatting xmlns:xm="http://schemas.microsoft.com/office/excel/2006/main">
          <x14:cfRule type="containsText" priority="45" operator="containsText" id="{E0877FCA-F615-44A1-A70E-78501610AC3D}">
            <xm:f>NOT(ISERROR(SEARCH("-",I113)))</xm:f>
            <xm:f>"-"</xm:f>
            <x14:dxf>
              <fill>
                <patternFill>
                  <bgColor rgb="FF00B050"/>
                </patternFill>
              </fill>
            </x14:dxf>
          </x14:cfRule>
          <xm:sqref>I113:I120</xm:sqref>
        </x14:conditionalFormatting>
        <x14:conditionalFormatting xmlns:xm="http://schemas.microsoft.com/office/excel/2006/main">
          <x14:cfRule type="containsText" priority="43" operator="containsText" id="{2295092D-3B07-44F1-A597-2963D20E25F8}">
            <xm:f>NOT(ISERROR(SEARCH("-",I121)))</xm:f>
            <xm:f>"-"</xm:f>
            <x14:dxf>
              <fill>
                <patternFill>
                  <bgColor rgb="FF00B050"/>
                </patternFill>
              </fill>
            </x14:dxf>
          </x14:cfRule>
          <xm:sqref>I121:I136</xm:sqref>
        </x14:conditionalFormatting>
        <x14:conditionalFormatting xmlns:xm="http://schemas.microsoft.com/office/excel/2006/main">
          <x14:cfRule type="containsText" priority="41" operator="containsText" id="{886ACAB6-BE4F-433C-879D-F385758D118B}">
            <xm:f>NOT(ISERROR(SEARCH("-",I137)))</xm:f>
            <xm:f>"-"</xm:f>
            <x14:dxf>
              <fill>
                <patternFill>
                  <bgColor rgb="FF00B050"/>
                </patternFill>
              </fill>
            </x14:dxf>
          </x14:cfRule>
          <xm:sqref>I137:I154</xm:sqref>
        </x14:conditionalFormatting>
        <x14:conditionalFormatting xmlns:xm="http://schemas.microsoft.com/office/excel/2006/main">
          <x14:cfRule type="containsText" priority="39" operator="containsText" id="{B20AB126-D540-4747-A904-2E5BD6DBE861}">
            <xm:f>NOT(ISERROR(SEARCH("-",I155)))</xm:f>
            <xm:f>"-"</xm:f>
            <x14:dxf>
              <fill>
                <patternFill>
                  <bgColor rgb="FF00B050"/>
                </patternFill>
              </fill>
            </x14:dxf>
          </x14:cfRule>
          <xm:sqref>I155:I159</xm:sqref>
        </x14:conditionalFormatting>
        <x14:conditionalFormatting xmlns:xm="http://schemas.microsoft.com/office/excel/2006/main">
          <x14:cfRule type="containsText" priority="37" operator="containsText" id="{64F755EF-CE63-4FC9-AEC7-96E97BB198CD}">
            <xm:f>NOT(ISERROR(SEARCH("-",I160)))</xm:f>
            <xm:f>"-"</xm:f>
            <x14:dxf>
              <fill>
                <patternFill>
                  <bgColor rgb="FF00B050"/>
                </patternFill>
              </fill>
            </x14:dxf>
          </x14:cfRule>
          <xm:sqref>I160:I166</xm:sqref>
        </x14:conditionalFormatting>
        <x14:conditionalFormatting xmlns:xm="http://schemas.microsoft.com/office/excel/2006/main">
          <x14:cfRule type="containsText" priority="35" operator="containsText" id="{48040EF3-AE43-4BD3-A438-DB07621025BB}">
            <xm:f>NOT(ISERROR(SEARCH("-",I167)))</xm:f>
            <xm:f>"-"</xm:f>
            <x14:dxf>
              <fill>
                <patternFill>
                  <bgColor rgb="FF00B050"/>
                </patternFill>
              </fill>
            </x14:dxf>
          </x14:cfRule>
          <xm:sqref>I167:I207</xm:sqref>
        </x14:conditionalFormatting>
        <x14:conditionalFormatting xmlns:xm="http://schemas.microsoft.com/office/excel/2006/main">
          <x14:cfRule type="containsText" priority="33" operator="containsText" id="{533B8152-2430-4744-829A-264D531C76D0}">
            <xm:f>NOT(ISERROR(SEARCH("-",I208)))</xm:f>
            <xm:f>"-"</xm:f>
            <x14:dxf>
              <fill>
                <patternFill>
                  <bgColor rgb="FF00B050"/>
                </patternFill>
              </fill>
            </x14:dxf>
          </x14:cfRule>
          <xm:sqref>I208:I215</xm:sqref>
        </x14:conditionalFormatting>
        <x14:conditionalFormatting xmlns:xm="http://schemas.microsoft.com/office/excel/2006/main">
          <x14:cfRule type="containsText" priority="31" operator="containsText" id="{4EC77F60-A187-44DA-B2DD-6C9DE76B829D}">
            <xm:f>NOT(ISERROR(SEARCH("-",I216)))</xm:f>
            <xm:f>"-"</xm:f>
            <x14:dxf>
              <fill>
                <patternFill>
                  <bgColor rgb="FF00B050"/>
                </patternFill>
              </fill>
            </x14:dxf>
          </x14:cfRule>
          <xm:sqref>I216:I221</xm:sqref>
        </x14:conditionalFormatting>
        <x14:conditionalFormatting xmlns:xm="http://schemas.microsoft.com/office/excel/2006/main">
          <x14:cfRule type="containsText" priority="29" operator="containsText" id="{EBE6737F-4AF3-42D1-8A3F-0210D814E3C4}">
            <xm:f>NOT(ISERROR(SEARCH("-",I222)))</xm:f>
            <xm:f>"-"</xm:f>
            <x14:dxf>
              <fill>
                <patternFill>
                  <bgColor rgb="FF00B050"/>
                </patternFill>
              </fill>
            </x14:dxf>
          </x14:cfRule>
          <xm:sqref>I222:I223</xm:sqref>
        </x14:conditionalFormatting>
        <x14:conditionalFormatting xmlns:xm="http://schemas.microsoft.com/office/excel/2006/main">
          <x14:cfRule type="containsText" priority="27" operator="containsText" id="{DE571ABE-2D2A-4FEB-B3B7-D71355F9ED3B}">
            <xm:f>NOT(ISERROR(SEARCH("-",I224)))</xm:f>
            <xm:f>"-"</xm:f>
            <x14:dxf>
              <fill>
                <patternFill>
                  <bgColor rgb="FF00B050"/>
                </patternFill>
              </fill>
            </x14:dxf>
          </x14:cfRule>
          <xm:sqref>I224:I228</xm:sqref>
        </x14:conditionalFormatting>
        <x14:conditionalFormatting xmlns:xm="http://schemas.microsoft.com/office/excel/2006/main">
          <x14:cfRule type="containsText" priority="25" operator="containsText" id="{83B47D29-52C8-4628-B0D6-99ABEE8DB762}">
            <xm:f>NOT(ISERROR(SEARCH("-",I229)))</xm:f>
            <xm:f>"-"</xm:f>
            <x14:dxf>
              <fill>
                <patternFill>
                  <bgColor rgb="FF00B050"/>
                </patternFill>
              </fill>
            </x14:dxf>
          </x14:cfRule>
          <xm:sqref>I229:I230</xm:sqref>
        </x14:conditionalFormatting>
        <x14:conditionalFormatting xmlns:xm="http://schemas.microsoft.com/office/excel/2006/main">
          <x14:cfRule type="containsText" priority="23" operator="containsText" id="{04B63AB4-C7FB-4B00-92CC-6A5977217774}">
            <xm:f>NOT(ISERROR(SEARCH("-",I231)))</xm:f>
            <xm:f>"-"</xm:f>
            <x14:dxf>
              <fill>
                <patternFill>
                  <bgColor rgb="FF00B050"/>
                </patternFill>
              </fill>
            </x14:dxf>
          </x14:cfRule>
          <xm:sqref>I231:I251</xm:sqref>
        </x14:conditionalFormatting>
        <x14:conditionalFormatting xmlns:xm="http://schemas.microsoft.com/office/excel/2006/main">
          <x14:cfRule type="containsText" priority="21" operator="containsText" id="{659255D0-DA2A-4A98-BD70-698023A16A27}">
            <xm:f>NOT(ISERROR(SEARCH("-",I252)))</xm:f>
            <xm:f>"-"</xm:f>
            <x14:dxf>
              <fill>
                <patternFill>
                  <bgColor rgb="FF00B050"/>
                </patternFill>
              </fill>
            </x14:dxf>
          </x14:cfRule>
          <xm:sqref>I252:I263</xm:sqref>
        </x14:conditionalFormatting>
        <x14:conditionalFormatting xmlns:xm="http://schemas.microsoft.com/office/excel/2006/main">
          <x14:cfRule type="containsText" priority="19" operator="containsText" id="{D5D7B4A6-4982-48EB-A376-963EF6F51CB8}">
            <xm:f>NOT(ISERROR(SEARCH("-",I264)))</xm:f>
            <xm:f>"-"</xm:f>
            <x14:dxf>
              <fill>
                <patternFill>
                  <bgColor rgb="FF00B050"/>
                </patternFill>
              </fill>
            </x14:dxf>
          </x14:cfRule>
          <xm:sqref>I264:I307</xm:sqref>
        </x14:conditionalFormatting>
        <x14:conditionalFormatting xmlns:xm="http://schemas.microsoft.com/office/excel/2006/main">
          <x14:cfRule type="containsText" priority="17" operator="containsText" id="{3C35BA98-63C6-4E20-A33E-355F1898AB11}">
            <xm:f>NOT(ISERROR(SEARCH("-",I308)))</xm:f>
            <xm:f>"-"</xm:f>
            <x14:dxf>
              <fill>
                <patternFill>
                  <bgColor rgb="FF00B050"/>
                </patternFill>
              </fill>
            </x14:dxf>
          </x14:cfRule>
          <xm:sqref>I308:I324</xm:sqref>
        </x14:conditionalFormatting>
        <x14:conditionalFormatting xmlns:xm="http://schemas.microsoft.com/office/excel/2006/main">
          <x14:cfRule type="containsText" priority="15" operator="containsText" id="{8F663F47-7F1E-4111-9954-B130BAE919C3}">
            <xm:f>NOT(ISERROR(SEARCH("-",I325)))</xm:f>
            <xm:f>"-"</xm:f>
            <x14:dxf>
              <fill>
                <patternFill>
                  <bgColor rgb="FF00B050"/>
                </patternFill>
              </fill>
            </x14:dxf>
          </x14:cfRule>
          <xm:sqref>I325:I362</xm:sqref>
        </x14:conditionalFormatting>
        <x14:conditionalFormatting xmlns:xm="http://schemas.microsoft.com/office/excel/2006/main">
          <x14:cfRule type="containsText" priority="13" operator="containsText" id="{4062C901-5D39-48F6-A527-D3D54E44CEF8}">
            <xm:f>NOT(ISERROR(SEARCH("-",I363)))</xm:f>
            <xm:f>"-"</xm:f>
            <x14:dxf>
              <fill>
                <patternFill>
                  <bgColor rgb="FF00B050"/>
                </patternFill>
              </fill>
            </x14:dxf>
          </x14:cfRule>
          <xm:sqref>I363:I369</xm:sqref>
        </x14:conditionalFormatting>
        <x14:conditionalFormatting xmlns:xm="http://schemas.microsoft.com/office/excel/2006/main">
          <x14:cfRule type="containsText" priority="11" operator="containsText" id="{5CD91A84-7DBE-409C-A8F3-3E32911D0A4A}">
            <xm:f>NOT(ISERROR(SEARCH("-",I370)))</xm:f>
            <xm:f>"-"</xm:f>
            <x14:dxf>
              <fill>
                <patternFill>
                  <bgColor rgb="FF00B050"/>
                </patternFill>
              </fill>
            </x14:dxf>
          </x14:cfRule>
          <xm:sqref>I370</xm:sqref>
        </x14:conditionalFormatting>
        <x14:conditionalFormatting xmlns:xm="http://schemas.microsoft.com/office/excel/2006/main">
          <x14:cfRule type="containsText" priority="8" operator="containsText" id="{2A3FED2E-FD8F-4A79-A479-B76E064BEF9C}">
            <xm:f>NOT(ISERROR(SEARCH("-",I371)))</xm:f>
            <xm:f>"-"</xm:f>
            <x14:dxf>
              <fill>
                <patternFill>
                  <bgColor rgb="FF00B050"/>
                </patternFill>
              </fill>
            </x14:dxf>
          </x14:cfRule>
          <xm:sqref>I371:I504</xm:sqref>
        </x14:conditionalFormatting>
        <x14:conditionalFormatting xmlns:xm="http://schemas.microsoft.com/office/excel/2006/main">
          <x14:cfRule type="containsText" priority="6" operator="containsText" id="{84977E97-C87E-4B79-AE45-E9181596E3B3}">
            <xm:f>NOT(ISERROR(SEARCH("-",I505)))</xm:f>
            <xm:f>"-"</xm:f>
            <x14:dxf>
              <fill>
                <patternFill>
                  <bgColor rgb="FF00B050"/>
                </patternFill>
              </fill>
            </x14:dxf>
          </x14:cfRule>
          <xm:sqref>I505:I509</xm:sqref>
        </x14:conditionalFormatting>
        <x14:conditionalFormatting xmlns:xm="http://schemas.microsoft.com/office/excel/2006/main">
          <x14:cfRule type="containsText" priority="4" operator="containsText" id="{6B7DF81E-E2E7-4BEE-86E7-0A87ABB5FE70}">
            <xm:f>NOT(ISERROR(SEARCH("-",I510)))</xm:f>
            <xm:f>"-"</xm:f>
            <x14:dxf>
              <fill>
                <patternFill>
                  <bgColor rgb="FF00B050"/>
                </patternFill>
              </fill>
            </x14:dxf>
          </x14:cfRule>
          <xm:sqref>I510:I515</xm:sqref>
        </x14:conditionalFormatting>
        <x14:conditionalFormatting xmlns:xm="http://schemas.microsoft.com/office/excel/2006/main">
          <x14:cfRule type="containsText" priority="2" operator="containsText" id="{C0760FD5-2BF3-4127-A17A-8F8E21F32084}">
            <xm:f>NOT(ISERROR(SEARCH("-",I516)))</xm:f>
            <xm:f>"-"</xm:f>
            <x14:dxf>
              <fill>
                <patternFill>
                  <bgColor rgb="FF00B050"/>
                </patternFill>
              </fill>
            </x14:dxf>
          </x14:cfRule>
          <xm:sqref>I516:I545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3"/>
  <sheetViews>
    <sheetView tabSelected="1" zoomScale="85" zoomScaleNormal="85" workbookViewId="0">
      <selection activeCell="F2" sqref="F2"/>
    </sheetView>
  </sheetViews>
  <sheetFormatPr baseColWidth="10" defaultRowHeight="15" x14ac:dyDescent="0.25"/>
  <cols>
    <col min="2" max="2" width="8.85546875" style="218" bestFit="1" customWidth="1"/>
    <col min="3" max="3" width="7.85546875" style="218" customWidth="1"/>
    <col min="4" max="4" width="27.7109375" style="215" bestFit="1" customWidth="1"/>
    <col min="5" max="5" width="64.5703125" style="215" bestFit="1" customWidth="1"/>
    <col min="6" max="6" width="60.7109375" style="215" bestFit="1" customWidth="1"/>
    <col min="7" max="7" width="6.7109375" customWidth="1"/>
    <col min="8" max="8" width="21.28515625" bestFit="1" customWidth="1"/>
    <col min="9" max="9" width="9.140625" customWidth="1"/>
    <col min="10" max="11" width="13.42578125" customWidth="1"/>
  </cols>
  <sheetData>
    <row r="1" spans="1:11" x14ac:dyDescent="0.25">
      <c r="A1" s="212"/>
      <c r="B1" s="216"/>
      <c r="C1" s="217"/>
      <c r="D1" s="214"/>
      <c r="E1" s="214"/>
      <c r="F1" s="214"/>
      <c r="G1" s="212"/>
      <c r="H1" s="212"/>
      <c r="I1" s="212"/>
      <c r="J1" s="212"/>
      <c r="K1" s="212"/>
    </row>
    <row r="2" spans="1:11" x14ac:dyDescent="0.25">
      <c r="A2" s="212"/>
      <c r="B2" s="216"/>
      <c r="C2" s="217"/>
      <c r="D2" s="214"/>
      <c r="E2" s="214"/>
      <c r="F2" s="214"/>
      <c r="G2" s="212"/>
      <c r="H2" s="212"/>
      <c r="I2" s="212"/>
      <c r="J2" s="212"/>
      <c r="K2" s="212"/>
    </row>
    <row r="3" spans="1:11" x14ac:dyDescent="0.25">
      <c r="A3" s="212"/>
      <c r="B3" s="216"/>
      <c r="C3" s="217"/>
      <c r="D3" s="214"/>
      <c r="E3" s="214"/>
      <c r="F3" s="214"/>
      <c r="G3" s="212"/>
      <c r="H3" s="212"/>
      <c r="I3" s="212"/>
      <c r="J3" s="212"/>
      <c r="K3" s="212"/>
    </row>
    <row r="4" spans="1:11" x14ac:dyDescent="0.25">
      <c r="A4" s="212"/>
      <c r="B4" s="216"/>
      <c r="C4" s="217"/>
      <c r="D4" s="214"/>
      <c r="E4" s="214"/>
      <c r="F4" s="214"/>
      <c r="G4" s="212"/>
      <c r="H4" s="212"/>
      <c r="I4" s="212"/>
      <c r="J4" s="212"/>
      <c r="K4" s="212"/>
    </row>
    <row r="5" spans="1:11" s="224" customFormat="1" ht="18.75" x14ac:dyDescent="0.3">
      <c r="A5" s="222"/>
      <c r="B5" s="223" t="s">
        <v>918</v>
      </c>
      <c r="C5" s="221" t="s">
        <v>0</v>
      </c>
      <c r="D5" s="221" t="s">
        <v>14</v>
      </c>
      <c r="E5" s="221" t="s">
        <v>919</v>
      </c>
      <c r="F5" s="221" t="s">
        <v>920</v>
      </c>
      <c r="G5" s="221" t="s">
        <v>921</v>
      </c>
      <c r="H5" s="221" t="s">
        <v>922</v>
      </c>
      <c r="I5" s="221" t="s">
        <v>923</v>
      </c>
      <c r="J5" s="221" t="s">
        <v>924</v>
      </c>
      <c r="K5" s="221" t="s">
        <v>925</v>
      </c>
    </row>
    <row r="6" spans="1:11" ht="18.75" x14ac:dyDescent="0.25">
      <c r="A6" s="213"/>
      <c r="B6" s="225"/>
      <c r="C6" s="226"/>
      <c r="D6" s="219"/>
      <c r="E6" s="219"/>
      <c r="F6" s="219"/>
      <c r="G6" s="219"/>
      <c r="H6" s="219"/>
      <c r="I6" s="219"/>
      <c r="J6" s="219"/>
      <c r="K6" s="219"/>
    </row>
    <row r="7" spans="1:11" ht="18.75" x14ac:dyDescent="0.25">
      <c r="A7" s="213"/>
      <c r="B7" s="227">
        <v>44238</v>
      </c>
      <c r="C7" s="228" t="s">
        <v>6</v>
      </c>
      <c r="D7" s="220" t="s">
        <v>284</v>
      </c>
      <c r="E7" s="220" t="s">
        <v>290</v>
      </c>
      <c r="F7" s="220"/>
      <c r="G7" s="220">
        <v>5</v>
      </c>
      <c r="H7" s="219" t="s">
        <v>926</v>
      </c>
      <c r="I7" s="219" t="s">
        <v>926</v>
      </c>
      <c r="J7" s="219"/>
      <c r="K7" s="219"/>
    </row>
    <row r="8" spans="1:11" ht="18.75" x14ac:dyDescent="0.25">
      <c r="A8" s="213"/>
      <c r="B8" s="227"/>
      <c r="C8" s="228"/>
      <c r="D8" s="220" t="s">
        <v>419</v>
      </c>
      <c r="E8" s="220" t="s">
        <v>424</v>
      </c>
      <c r="F8" s="220"/>
      <c r="G8" s="220">
        <v>5</v>
      </c>
      <c r="H8" s="219" t="s">
        <v>926</v>
      </c>
      <c r="I8" s="219" t="s">
        <v>926</v>
      </c>
      <c r="J8" s="219"/>
      <c r="K8" s="219"/>
    </row>
    <row r="9" spans="1:11" ht="18.75" x14ac:dyDescent="0.25">
      <c r="A9" s="213"/>
      <c r="B9" s="227">
        <v>44097</v>
      </c>
      <c r="C9" s="228" t="s">
        <v>6</v>
      </c>
      <c r="D9" s="220" t="s">
        <v>927</v>
      </c>
      <c r="E9" s="220" t="s">
        <v>928</v>
      </c>
      <c r="F9" s="220" t="s">
        <v>929</v>
      </c>
      <c r="G9" s="220">
        <v>2</v>
      </c>
      <c r="H9" s="219" t="s">
        <v>926</v>
      </c>
      <c r="I9" s="219" t="s">
        <v>926</v>
      </c>
      <c r="J9" s="219"/>
      <c r="K9" s="219"/>
    </row>
    <row r="10" spans="1:11" ht="18.75" x14ac:dyDescent="0.25">
      <c r="A10" s="213"/>
      <c r="B10" s="227"/>
      <c r="C10" s="228"/>
      <c r="D10" s="220" t="s">
        <v>25</v>
      </c>
      <c r="E10" s="220" t="s">
        <v>29</v>
      </c>
      <c r="F10" s="220"/>
      <c r="G10" s="220">
        <v>17</v>
      </c>
      <c r="H10" s="219" t="s">
        <v>926</v>
      </c>
      <c r="I10" s="219" t="s">
        <v>930</v>
      </c>
      <c r="J10" s="219"/>
      <c r="K10" s="219"/>
    </row>
    <row r="11" spans="1:11" ht="18.75" x14ac:dyDescent="0.25">
      <c r="A11" s="213"/>
      <c r="B11" s="227"/>
      <c r="C11" s="228"/>
      <c r="D11" s="220" t="s">
        <v>25</v>
      </c>
      <c r="E11" s="220" t="s">
        <v>29</v>
      </c>
      <c r="F11" s="220"/>
      <c r="G11" s="220">
        <v>5</v>
      </c>
      <c r="H11" s="219" t="s">
        <v>926</v>
      </c>
      <c r="I11" s="219" t="s">
        <v>930</v>
      </c>
      <c r="J11" s="219"/>
      <c r="K11" s="219"/>
    </row>
    <row r="12" spans="1:11" ht="18.75" x14ac:dyDescent="0.25">
      <c r="A12" s="213"/>
      <c r="B12" s="227"/>
      <c r="C12" s="228"/>
      <c r="D12" s="220" t="s">
        <v>25</v>
      </c>
      <c r="E12" s="220" t="s">
        <v>29</v>
      </c>
      <c r="F12" s="220"/>
      <c r="G12" s="220"/>
      <c r="H12" s="219" t="s">
        <v>926</v>
      </c>
      <c r="I12" s="219" t="s">
        <v>926</v>
      </c>
      <c r="J12" s="219"/>
      <c r="K12" s="219"/>
    </row>
    <row r="13" spans="1:11" ht="18.75" x14ac:dyDescent="0.25">
      <c r="A13" s="213"/>
      <c r="B13" s="227"/>
      <c r="C13" s="228"/>
      <c r="D13" s="220" t="s">
        <v>931</v>
      </c>
      <c r="E13" s="220" t="s">
        <v>310</v>
      </c>
      <c r="F13" s="220"/>
      <c r="G13" s="220"/>
      <c r="H13" s="219" t="s">
        <v>926</v>
      </c>
      <c r="I13" s="219" t="s">
        <v>926</v>
      </c>
      <c r="J13" s="219"/>
      <c r="K13" s="219"/>
    </row>
    <row r="14" spans="1:11" ht="18.75" x14ac:dyDescent="0.25">
      <c r="A14" s="213"/>
      <c r="B14" s="227"/>
      <c r="C14" s="228"/>
      <c r="D14" s="220" t="s">
        <v>932</v>
      </c>
      <c r="E14" s="220" t="s">
        <v>323</v>
      </c>
      <c r="F14" s="220"/>
      <c r="G14" s="220"/>
      <c r="H14" s="219" t="s">
        <v>926</v>
      </c>
      <c r="I14" s="219" t="s">
        <v>926</v>
      </c>
      <c r="J14" s="219"/>
      <c r="K14" s="219"/>
    </row>
    <row r="15" spans="1:11" ht="18.75" x14ac:dyDescent="0.25">
      <c r="A15" s="213"/>
      <c r="B15" s="227"/>
      <c r="C15" s="228"/>
      <c r="D15" s="220" t="s">
        <v>25</v>
      </c>
      <c r="E15" s="220" t="s">
        <v>40</v>
      </c>
      <c r="F15" s="220"/>
      <c r="G15" s="220"/>
      <c r="H15" s="219" t="s">
        <v>926</v>
      </c>
      <c r="I15" s="219" t="s">
        <v>926</v>
      </c>
      <c r="J15" s="219"/>
      <c r="K15" s="219"/>
    </row>
    <row r="16" spans="1:11" ht="18.75" x14ac:dyDescent="0.25">
      <c r="A16" s="213"/>
      <c r="B16" s="227"/>
      <c r="C16" s="228"/>
      <c r="D16" s="220" t="s">
        <v>25</v>
      </c>
      <c r="E16" s="220" t="s">
        <v>29</v>
      </c>
      <c r="F16" s="220"/>
      <c r="G16" s="220">
        <v>5</v>
      </c>
      <c r="H16" s="219" t="s">
        <v>926</v>
      </c>
      <c r="I16" s="219" t="s">
        <v>930</v>
      </c>
      <c r="J16" s="219"/>
      <c r="K16" s="219"/>
    </row>
    <row r="17" spans="1:11" ht="18.75" x14ac:dyDescent="0.25">
      <c r="A17" s="213"/>
      <c r="B17" s="227">
        <v>44234</v>
      </c>
      <c r="C17" s="228" t="s">
        <v>6</v>
      </c>
      <c r="D17" s="220" t="s">
        <v>933</v>
      </c>
      <c r="E17" s="220" t="s">
        <v>455</v>
      </c>
      <c r="F17" s="220"/>
      <c r="G17" s="220">
        <v>3</v>
      </c>
      <c r="H17" s="219" t="s">
        <v>926</v>
      </c>
      <c r="I17" s="219" t="s">
        <v>930</v>
      </c>
      <c r="J17" s="219"/>
      <c r="K17" s="219"/>
    </row>
    <row r="18" spans="1:11" ht="18.75" x14ac:dyDescent="0.25">
      <c r="A18" s="213"/>
      <c r="B18" s="227"/>
      <c r="C18" s="228"/>
      <c r="D18" s="220"/>
      <c r="E18" s="220"/>
      <c r="F18" s="220"/>
      <c r="G18" s="220"/>
      <c r="H18" s="219" t="s">
        <v>926</v>
      </c>
      <c r="I18" s="219" t="s">
        <v>926</v>
      </c>
      <c r="J18" s="219"/>
      <c r="K18" s="219"/>
    </row>
    <row r="19" spans="1:11" ht="18.75" x14ac:dyDescent="0.25">
      <c r="A19" s="213"/>
      <c r="B19" s="227">
        <v>44230</v>
      </c>
      <c r="C19" s="228" t="s">
        <v>6</v>
      </c>
      <c r="D19" s="220" t="s">
        <v>21</v>
      </c>
      <c r="E19" s="220" t="s">
        <v>22</v>
      </c>
      <c r="F19" s="220"/>
      <c r="G19" s="220">
        <v>2</v>
      </c>
      <c r="H19" s="219" t="s">
        <v>926</v>
      </c>
      <c r="I19" s="219" t="s">
        <v>926</v>
      </c>
      <c r="J19" s="219"/>
      <c r="K19" s="219"/>
    </row>
    <row r="20" spans="1:11" ht="18.75" x14ac:dyDescent="0.25">
      <c r="A20" s="213"/>
      <c r="B20" s="227"/>
      <c r="C20" s="228" t="s">
        <v>934</v>
      </c>
      <c r="D20" s="220" t="s">
        <v>935</v>
      </c>
      <c r="E20" s="220" t="s">
        <v>159</v>
      </c>
      <c r="F20" s="220"/>
      <c r="G20" s="220">
        <v>5</v>
      </c>
      <c r="H20" s="219" t="s">
        <v>926</v>
      </c>
      <c r="I20" s="219" t="s">
        <v>926</v>
      </c>
      <c r="J20" s="219"/>
      <c r="K20" s="219"/>
    </row>
    <row r="21" spans="1:11" ht="18.75" x14ac:dyDescent="0.25">
      <c r="A21" s="213"/>
      <c r="B21" s="227">
        <v>44160</v>
      </c>
      <c r="C21" s="228" t="s">
        <v>6</v>
      </c>
      <c r="D21" s="220" t="s">
        <v>857</v>
      </c>
      <c r="E21" s="220" t="s">
        <v>866</v>
      </c>
      <c r="F21" s="220" t="s">
        <v>867</v>
      </c>
      <c r="G21" s="220">
        <v>1</v>
      </c>
      <c r="H21" s="219" t="s">
        <v>926</v>
      </c>
      <c r="I21" s="219" t="s">
        <v>926</v>
      </c>
      <c r="J21" s="219"/>
      <c r="K21" s="219"/>
    </row>
    <row r="22" spans="1:11" ht="18.75" x14ac:dyDescent="0.25">
      <c r="A22" s="213"/>
      <c r="B22" s="227">
        <v>44158</v>
      </c>
      <c r="C22" s="228" t="s">
        <v>6</v>
      </c>
      <c r="D22" s="220" t="s">
        <v>238</v>
      </c>
      <c r="E22" s="220" t="s">
        <v>244</v>
      </c>
      <c r="F22" s="220"/>
      <c r="G22" s="220">
        <v>5</v>
      </c>
      <c r="H22" s="219" t="s">
        <v>926</v>
      </c>
      <c r="I22" s="219" t="s">
        <v>926</v>
      </c>
      <c r="J22" s="219"/>
      <c r="K22" s="219"/>
    </row>
    <row r="23" spans="1:11" ht="18.75" x14ac:dyDescent="0.25">
      <c r="A23" s="213"/>
      <c r="B23" s="227">
        <v>44154</v>
      </c>
      <c r="C23" s="228" t="s">
        <v>6</v>
      </c>
      <c r="D23" s="220" t="s">
        <v>936</v>
      </c>
      <c r="E23" s="229" t="s">
        <v>937</v>
      </c>
      <c r="F23" s="230" t="s">
        <v>938</v>
      </c>
      <c r="G23" s="220">
        <v>5</v>
      </c>
      <c r="H23" s="219" t="s">
        <v>930</v>
      </c>
      <c r="I23" s="219" t="s">
        <v>930</v>
      </c>
      <c r="J23" s="219"/>
      <c r="K23" s="219"/>
    </row>
  </sheetData>
  <conditionalFormatting sqref="H5">
    <cfRule type="containsText" dxfId="14" priority="2" operator="containsText" text="non">
      <formula>NOT(ISERROR(SEARCH("non",H5)))</formula>
    </cfRule>
    <cfRule type="iconSet" priority="3">
      <iconSet>
        <cfvo type="percent" val="0"/>
        <cfvo type="percent" val="33"/>
        <cfvo type="percent" val="67"/>
      </iconSet>
    </cfRule>
  </conditionalFormatting>
  <conditionalFormatting sqref="I5:I23">
    <cfRule type="containsText" dxfId="13" priority="1" operator="containsText" text="non">
      <formula>NOT(ISERROR(SEARCH("non",I5)))</formula>
    </cfRule>
  </conditionalFormatting>
  <conditionalFormatting sqref="H6:H23">
    <cfRule type="containsText" dxfId="12" priority="4" operator="containsText" text="non">
      <formula>NOT(ISERROR(SEARCH("non",H6)))</formula>
    </cfRule>
    <cfRule type="iconSet" priority="5">
      <iconSet>
        <cfvo type="percent" val="0"/>
        <cfvo type="percent" val="33"/>
        <cfvo type="percent" val="67"/>
      </iconSet>
    </cfRule>
  </conditionalFormatting>
  <dataValidations count="17">
    <dataValidation type="list" allowBlank="1" showInputMessage="1" showErrorMessage="1" sqref="E7">
      <formula1>piecesclippeuse</formula1>
    </dataValidation>
    <dataValidation type="list" allowBlank="1" showInputMessage="1" showErrorMessage="1" sqref="E8">
      <formula1>piecescta</formula1>
    </dataValidation>
    <dataValidation type="list" allowBlank="1" showInputMessage="1" showErrorMessage="1" sqref="E14">
      <formula1>piecescl</formula1>
    </dataValidation>
    <dataValidation type="list" allowBlank="1" showInputMessage="1" showErrorMessage="1" sqref="E15:E16 E10:E12">
      <formula1>piecesautoclave</formula1>
    </dataValidation>
    <dataValidation type="list" allowBlank="1" showInputMessage="1" showErrorMessage="1" sqref="E17">
      <formula1>piecesegoutoire</formula1>
    </dataValidation>
    <dataValidation type="list" allowBlank="1" showInputMessage="1" showErrorMessage="1" sqref="E18:E19">
      <formula1>piecesadoucisseur</formula1>
    </dataValidation>
    <dataValidation type="list" allowBlank="1" showInputMessage="1" showErrorMessage="1" sqref="E21">
      <formula1>piecespedi</formula1>
    </dataValidation>
    <dataValidation type="list" allowBlank="1" showInputMessage="1" showErrorMessage="1" sqref="H6:I23">
      <formula1>listeouinon</formula1>
    </dataValidation>
    <dataValidation type="list" allowBlank="1" showInputMessage="1" showErrorMessage="1" sqref="C6:C23">
      <formula1>tech</formula1>
    </dataValidation>
    <dataValidation type="list" allowBlank="1" showInputMessage="1" showErrorMessage="1" sqref="B6:B23">
      <formula1>listedate</formula1>
    </dataValidation>
    <dataValidation type="list" allowBlank="1" showInputMessage="1" showErrorMessage="1" sqref="E9">
      <formula1>piecesrs</formula1>
    </dataValidation>
    <dataValidation type="list" allowBlank="1" showInputMessage="1" showErrorMessage="1" sqref="D9">
      <formula1>autrepieces</formula1>
    </dataValidation>
    <dataValidation type="list" allowBlank="1" showInputMessage="1" showErrorMessage="1" sqref="E13">
      <formula1>piecesmw</formula1>
    </dataValidation>
    <dataValidation type="list" allowBlank="1" showInputMessage="1" showErrorMessage="1" sqref="E20">
      <formula1>piecesbcc</formula1>
    </dataValidation>
    <dataValidation type="list" allowBlank="1" showInputMessage="1" showErrorMessage="1" sqref="D23 D6">
      <formula1>listecom</formula1>
    </dataValidation>
    <dataValidation type="list" allowBlank="1" showInputMessage="1" showErrorMessage="1" sqref="E22">
      <formula1>piecescdl</formula1>
    </dataValidation>
    <dataValidation type="list" allowBlank="1" showInputMessage="1" showErrorMessage="1" sqref="D10:D22 D7:D8">
      <formula1>toutstock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66675</xdr:colOff>
                <xdr:row>4</xdr:row>
                <xdr:rowOff>38100</xdr:rowOff>
              </from>
              <to>
                <xdr:col>0</xdr:col>
                <xdr:colOff>676275</xdr:colOff>
                <xdr:row>6</xdr:row>
                <xdr:rowOff>28575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total système</vt:lpstr>
      <vt:lpstr>commande</vt:lpstr>
    </vt:vector>
  </TitlesOfParts>
  <Company>Nutrition et Santé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MOLINE</dc:creator>
  <cp:lastModifiedBy>maison</cp:lastModifiedBy>
  <dcterms:created xsi:type="dcterms:W3CDTF">2020-11-30T08:43:51Z</dcterms:created>
  <dcterms:modified xsi:type="dcterms:W3CDTF">2021-02-24T17:06:32Z</dcterms:modified>
</cp:coreProperties>
</file>