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comments7.xml" ContentType="application/vnd.openxmlformats-officedocument.spreadsheetml.comments+xml"/>
  <Override PartName="/xl/drawings/drawing6.xml" ContentType="application/vnd.openxmlformats-officedocument.drawing+xml"/>
  <Override PartName="/xl/ctrlProps/ctrlProp1.xml" ContentType="application/vnd.ms-excel.controlproperties+xml"/>
  <Override PartName="/xl/tables/table8.xml" ContentType="application/vnd.openxmlformats-officedocument.spreadsheetml.table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0730" windowHeight="11760" activeTab="2"/>
  </bookViews>
  <sheets>
    <sheet name="Informations" sheetId="11" r:id="rId1"/>
    <sheet name="Menu" sheetId="13" r:id="rId2"/>
    <sheet name="Boissons" sheetId="6" r:id="rId3"/>
    <sheet name="Matériel" sheetId="2" r:id="rId4"/>
    <sheet name="Mobilier" sheetId="7" r:id="rId5"/>
    <sheet name="Personnel" sheetId="8" r:id="rId6"/>
    <sheet name="Logistique" sheetId="9" r:id="rId7"/>
    <sheet name="Recap" sheetId="10" r:id="rId8"/>
    <sheet name="Costing" sheetId="12" r:id="rId9"/>
    <sheet name="Entrées" sheetId="18" r:id="rId10"/>
    <sheet name="Plats" sheetId="19" r:id="rId11"/>
    <sheet name="Desserts" sheetId="20" r:id="rId12"/>
  </sheets>
  <externalReferences>
    <externalReference r:id="rId13"/>
    <externalReference r:id="rId14"/>
  </externalReferences>
  <definedNames>
    <definedName name="Boissons" localSheetId="2">Boissons!$A$5:$G$10</definedName>
    <definedName name="Informations" localSheetId="0">Informations!$A$2:$C$19</definedName>
    <definedName name="_xlnm.Print_Area" localSheetId="2">Boissons!$A$5:$C$10</definedName>
    <definedName name="_xlnm.Print_Area" localSheetId="6">Logistique!$A:$C</definedName>
    <definedName name="_xlnm.Print_Area" localSheetId="3">Matériel!$A:$B</definedName>
    <definedName name="_xlnm.Print_Area" localSheetId="4">Mobilier!$A:$C</definedName>
    <definedName name="_xlnm.Print_Area" localSheetId="5">Personnel!$B:$G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8" l="1"/>
  <c r="B10" i="8"/>
  <c r="D10" i="8"/>
  <c r="G10" i="8"/>
  <c r="H10" i="8"/>
  <c r="I10" i="8" s="1"/>
  <c r="C6" i="9"/>
  <c r="E6" i="9"/>
  <c r="I6" i="9"/>
  <c r="J6" i="9" s="1"/>
  <c r="K6" i="9" s="1"/>
  <c r="B9" i="8"/>
  <c r="H9" i="8" s="1"/>
  <c r="D9" i="8"/>
  <c r="F9" i="8"/>
  <c r="G9" i="8" s="1"/>
  <c r="F11" i="6"/>
  <c r="F12" i="6"/>
  <c r="A30" i="6"/>
  <c r="A31" i="6"/>
  <c r="A32" i="6"/>
  <c r="E32" i="6" s="1"/>
  <c r="B19" i="6"/>
  <c r="D7" i="6"/>
  <c r="D8" i="6"/>
  <c r="D9" i="6"/>
  <c r="D10" i="6"/>
  <c r="D11" i="6"/>
  <c r="D12" i="6"/>
  <c r="D15" i="6"/>
  <c r="D16" i="6"/>
  <c r="D19" i="6"/>
  <c r="I9" i="8" l="1"/>
  <c r="G12" i="6"/>
  <c r="G11" i="6"/>
  <c r="D32" i="6"/>
  <c r="I19" i="6"/>
  <c r="I14" i="6"/>
  <c r="I15" i="6"/>
  <c r="J15" i="6" s="1"/>
  <c r="I16" i="6"/>
  <c r="J16" i="6" s="1"/>
  <c r="J17" i="6" l="1"/>
  <c r="E21" i="12" l="1"/>
  <c r="J15" i="13"/>
  <c r="E18" i="12"/>
  <c r="F18" i="12"/>
  <c r="B5" i="10" l="1"/>
  <c r="E4" i="9"/>
  <c r="E5" i="9"/>
  <c r="C4" i="9"/>
  <c r="B6" i="8"/>
  <c r="H6" i="8" s="1"/>
  <c r="D4" i="8"/>
  <c r="D5" i="8"/>
  <c r="D6" i="8"/>
  <c r="D7" i="8"/>
  <c r="D8" i="8"/>
  <c r="B8" i="8"/>
  <c r="H8" i="8" s="1"/>
  <c r="F8" i="8"/>
  <c r="G8" i="8" s="1"/>
  <c r="T6" i="8"/>
  <c r="T7" i="8"/>
  <c r="T8" i="8"/>
  <c r="S11" i="8"/>
  <c r="S12" i="8"/>
  <c r="S13" i="8"/>
  <c r="S10" i="8"/>
  <c r="T10" i="8" s="1"/>
  <c r="M10" i="8"/>
  <c r="B7" i="8"/>
  <c r="H7" i="8" s="1"/>
  <c r="B5" i="8"/>
  <c r="H5" i="8" s="1"/>
  <c r="M6" i="8"/>
  <c r="B4" i="8"/>
  <c r="H4" i="8" s="1"/>
  <c r="M8" i="8"/>
  <c r="M7" i="8"/>
  <c r="M5" i="8"/>
  <c r="M13" i="8"/>
  <c r="M12" i="8"/>
  <c r="M11" i="8"/>
  <c r="F7" i="8"/>
  <c r="Q5" i="8"/>
  <c r="T5" i="8" s="1"/>
  <c r="F4" i="8"/>
  <c r="G4" i="8" s="1"/>
  <c r="F5" i="8"/>
  <c r="G5" i="8" s="1"/>
  <c r="F6" i="8"/>
  <c r="G6" i="8" s="1"/>
  <c r="H6" i="7"/>
  <c r="D4" i="2"/>
  <c r="B4" i="2"/>
  <c r="F14" i="6"/>
  <c r="F6" i="6"/>
  <c r="F7" i="6"/>
  <c r="F8" i="6"/>
  <c r="F9" i="6"/>
  <c r="F10" i="6"/>
  <c r="F15" i="6"/>
  <c r="F16" i="6"/>
  <c r="F19" i="6"/>
  <c r="I6" i="6"/>
  <c r="I7" i="6"/>
  <c r="I8" i="6"/>
  <c r="I9" i="6"/>
  <c r="I10" i="6"/>
  <c r="J8" i="6" l="1"/>
  <c r="E7" i="9"/>
  <c r="I4" i="8"/>
  <c r="I8" i="8"/>
  <c r="I7" i="8"/>
  <c r="I6" i="8"/>
  <c r="I5" i="8"/>
  <c r="G7" i="8"/>
  <c r="E4" i="2"/>
  <c r="J10" i="6"/>
  <c r="J9" i="6"/>
  <c r="J7" i="6"/>
  <c r="G7" i="6"/>
  <c r="F23" i="12" l="1"/>
  <c r="B7" i="10"/>
  <c r="K7" i="6"/>
  <c r="L7" i="6" s="1"/>
  <c r="I11" i="8"/>
  <c r="J13" i="6"/>
  <c r="I5" i="7"/>
  <c r="E4" i="7"/>
  <c r="E5" i="7"/>
  <c r="C4" i="7"/>
  <c r="C5" i="7"/>
  <c r="I4" i="7"/>
  <c r="F22" i="12" l="1"/>
  <c r="B6" i="10"/>
  <c r="I6" i="7"/>
  <c r="E6" i="7"/>
  <c r="J5" i="7"/>
  <c r="K5" i="7" s="1"/>
  <c r="J6" i="7" l="1"/>
  <c r="K6" i="7" s="1"/>
  <c r="O48" i="2"/>
  <c r="O49" i="2"/>
  <c r="O50" i="2"/>
  <c r="O51" i="2"/>
  <c r="O52" i="2"/>
  <c r="O53" i="2"/>
  <c r="O54" i="2"/>
  <c r="O56" i="2"/>
  <c r="O57" i="2"/>
  <c r="O59" i="2"/>
  <c r="O71" i="2"/>
  <c r="O72" i="2"/>
  <c r="O73" i="2"/>
  <c r="O74" i="2"/>
  <c r="O75" i="2"/>
  <c r="O76" i="2"/>
  <c r="O77" i="2"/>
  <c r="O68" i="2"/>
  <c r="O69" i="2"/>
  <c r="O78" i="2"/>
  <c r="O80" i="2"/>
  <c r="P5" i="2"/>
  <c r="P6" i="2"/>
  <c r="E5" i="2" l="1"/>
  <c r="B4" i="10" s="1"/>
  <c r="D24" i="6"/>
  <c r="D25" i="6"/>
  <c r="D26" i="6"/>
  <c r="J19" i="6" s="1"/>
  <c r="J20" i="6" s="1"/>
  <c r="J21" i="6" s="1"/>
  <c r="D27" i="6"/>
  <c r="F17" i="12" l="1"/>
  <c r="B8" i="6"/>
  <c r="B7" i="6"/>
  <c r="B15" i="6"/>
  <c r="B16" i="6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1" i="2"/>
  <c r="P22" i="2"/>
  <c r="P23" i="2"/>
  <c r="P24" i="2"/>
  <c r="P25" i="2"/>
  <c r="P26" i="2"/>
  <c r="P27" i="2"/>
  <c r="P28" i="2"/>
  <c r="P29" i="2"/>
  <c r="P30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7" i="2"/>
  <c r="P48" i="2"/>
  <c r="P49" i="2"/>
  <c r="P50" i="2"/>
  <c r="P51" i="2"/>
  <c r="P52" i="2"/>
  <c r="P53" i="2"/>
  <c r="P54" i="2"/>
  <c r="P55" i="2"/>
  <c r="P56" i="2"/>
  <c r="P57" i="2"/>
  <c r="P58" i="2"/>
  <c r="P61" i="2"/>
  <c r="P70" i="2"/>
  <c r="P62" i="2"/>
  <c r="P63" i="2"/>
  <c r="P64" i="2"/>
  <c r="P65" i="2"/>
  <c r="P71" i="2"/>
  <c r="P66" i="2"/>
  <c r="P72" i="2"/>
  <c r="P73" i="2"/>
  <c r="P67" i="2"/>
  <c r="P74" i="2"/>
  <c r="P75" i="2"/>
  <c r="P76" i="2"/>
  <c r="P77" i="2"/>
  <c r="P68" i="2"/>
  <c r="P69" i="2"/>
  <c r="P78" i="2"/>
  <c r="C29" i="19"/>
  <c r="C71" i="19"/>
  <c r="C42" i="19"/>
  <c r="C15" i="19"/>
  <c r="C38" i="19"/>
  <c r="C35" i="19"/>
  <c r="C39" i="19"/>
  <c r="C52" i="19"/>
  <c r="C66" i="19"/>
  <c r="C37" i="19"/>
  <c r="C14" i="19"/>
  <c r="C65" i="19"/>
  <c r="C45" i="19"/>
  <c r="C89" i="19"/>
  <c r="C67" i="19"/>
  <c r="C64" i="19"/>
  <c r="C58" i="19"/>
  <c r="C26" i="19"/>
  <c r="C12" i="19"/>
  <c r="C86" i="19"/>
  <c r="C4" i="19"/>
  <c r="C69" i="19"/>
  <c r="C49" i="19"/>
  <c r="C20" i="19"/>
  <c r="C40" i="19"/>
  <c r="C85" i="19"/>
  <c r="C79" i="19"/>
  <c r="C81" i="19"/>
  <c r="C25" i="19"/>
  <c r="C82" i="19"/>
  <c r="C24" i="19"/>
  <c r="C51" i="19"/>
  <c r="C36" i="19"/>
  <c r="C16" i="19"/>
  <c r="C11" i="19"/>
  <c r="C13" i="19"/>
  <c r="C55" i="19"/>
  <c r="C53" i="19"/>
  <c r="C6" i="19"/>
  <c r="C50" i="19"/>
  <c r="C70" i="19"/>
  <c r="C74" i="19"/>
  <c r="C47" i="19"/>
  <c r="C5" i="19"/>
  <c r="C83" i="19"/>
  <c r="C60" i="19"/>
  <c r="C3" i="19"/>
  <c r="C84" i="19"/>
  <c r="C34" i="19"/>
  <c r="C78" i="19"/>
  <c r="C2" i="19"/>
  <c r="C57" i="19"/>
  <c r="C7" i="19"/>
  <c r="C73" i="19"/>
  <c r="C18" i="19"/>
  <c r="C44" i="19"/>
  <c r="C17" i="19"/>
  <c r="C54" i="19"/>
  <c r="C21" i="19"/>
  <c r="C80" i="19"/>
  <c r="C23" i="19"/>
  <c r="C22" i="19"/>
  <c r="C31" i="19"/>
  <c r="C10" i="19"/>
  <c r="C87" i="19"/>
  <c r="C43" i="19"/>
  <c r="C33" i="19"/>
  <c r="C68" i="19"/>
  <c r="C9" i="19"/>
  <c r="C8" i="19"/>
  <c r="C62" i="19"/>
  <c r="C88" i="19"/>
  <c r="C90" i="19"/>
  <c r="C72" i="19"/>
  <c r="C41" i="19"/>
  <c r="C46" i="19"/>
  <c r="C28" i="19"/>
  <c r="C59" i="19"/>
  <c r="C63" i="19"/>
  <c r="C76" i="19"/>
  <c r="C19" i="19"/>
  <c r="C77" i="19"/>
  <c r="C56" i="19"/>
  <c r="C61" i="19"/>
  <c r="C75" i="19"/>
  <c r="C27" i="19"/>
  <c r="C30" i="19"/>
  <c r="B30" i="19"/>
  <c r="B29" i="19"/>
  <c r="B71" i="19"/>
  <c r="B42" i="19"/>
  <c r="B15" i="19"/>
  <c r="B38" i="19"/>
  <c r="B35" i="19"/>
  <c r="B39" i="19"/>
  <c r="B52" i="19"/>
  <c r="B66" i="19"/>
  <c r="B37" i="19"/>
  <c r="B14" i="19"/>
  <c r="B65" i="19"/>
  <c r="B45" i="19"/>
  <c r="B32" i="19"/>
  <c r="B89" i="19"/>
  <c r="B67" i="19"/>
  <c r="B64" i="19"/>
  <c r="B58" i="19"/>
  <c r="B26" i="19"/>
  <c r="B12" i="19"/>
  <c r="B86" i="19"/>
  <c r="B4" i="19"/>
  <c r="B69" i="19"/>
  <c r="B49" i="19"/>
  <c r="B20" i="19"/>
  <c r="B40" i="19"/>
  <c r="B85" i="19"/>
  <c r="B79" i="19"/>
  <c r="B81" i="19"/>
  <c r="B25" i="19"/>
  <c r="B82" i="19"/>
  <c r="B24" i="19"/>
  <c r="B51" i="19"/>
  <c r="B36" i="19"/>
  <c r="B16" i="19"/>
  <c r="B11" i="19"/>
  <c r="B13" i="19"/>
  <c r="B48" i="19"/>
  <c r="B55" i="19"/>
  <c r="B53" i="19"/>
  <c r="B6" i="19"/>
  <c r="B50" i="19"/>
  <c r="B70" i="19"/>
  <c r="B74" i="19"/>
  <c r="B47" i="19"/>
  <c r="B5" i="19"/>
  <c r="B83" i="19"/>
  <c r="B60" i="19"/>
  <c r="B3" i="19"/>
  <c r="B84" i="19"/>
  <c r="B34" i="19"/>
  <c r="B78" i="19"/>
  <c r="B2" i="19"/>
  <c r="B57" i="19"/>
  <c r="B7" i="19"/>
  <c r="B73" i="19"/>
  <c r="B18" i="19"/>
  <c r="B44" i="19"/>
  <c r="B17" i="19"/>
  <c r="B54" i="19"/>
  <c r="B21" i="19"/>
  <c r="B80" i="19"/>
  <c r="B23" i="19"/>
  <c r="B22" i="19"/>
  <c r="B31" i="19"/>
  <c r="B10" i="19"/>
  <c r="B87" i="19"/>
  <c r="B43" i="19"/>
  <c r="B33" i="19"/>
  <c r="B68" i="19"/>
  <c r="B9" i="19"/>
  <c r="B8" i="19"/>
  <c r="B62" i="19"/>
  <c r="B88" i="19"/>
  <c r="B90" i="19"/>
  <c r="B72" i="19"/>
  <c r="B41" i="19"/>
  <c r="B46" i="19"/>
  <c r="B28" i="19"/>
  <c r="B59" i="19"/>
  <c r="B63" i="19"/>
  <c r="B76" i="19"/>
  <c r="B19" i="19"/>
  <c r="B77" i="19"/>
  <c r="B56" i="19"/>
  <c r="B61" i="19"/>
  <c r="B75" i="19"/>
  <c r="B27" i="19"/>
  <c r="C98" i="19"/>
  <c r="B105" i="18"/>
  <c r="C105" i="18"/>
  <c r="B106" i="18"/>
  <c r="C106" i="18"/>
  <c r="B107" i="18"/>
  <c r="C107" i="18"/>
  <c r="B108" i="18"/>
  <c r="C108" i="18"/>
  <c r="B109" i="18"/>
  <c r="C109" i="18"/>
  <c r="B110" i="18"/>
  <c r="C110" i="18"/>
  <c r="B111" i="18"/>
  <c r="C111" i="18"/>
  <c r="B112" i="18"/>
  <c r="C112" i="18"/>
  <c r="B113" i="18"/>
  <c r="C113" i="18"/>
  <c r="B114" i="18"/>
  <c r="C114" i="18"/>
  <c r="B115" i="18"/>
  <c r="C115" i="18"/>
  <c r="B116" i="18"/>
  <c r="C116" i="18"/>
  <c r="B117" i="18"/>
  <c r="C117" i="18"/>
  <c r="B118" i="18"/>
  <c r="C118" i="18"/>
  <c r="B119" i="18"/>
  <c r="C119" i="18"/>
  <c r="B120" i="18"/>
  <c r="C120" i="18"/>
  <c r="B121" i="18"/>
  <c r="C121" i="18"/>
  <c r="B122" i="18"/>
  <c r="C122" i="18"/>
  <c r="B123" i="18"/>
  <c r="C123" i="18"/>
  <c r="B124" i="18"/>
  <c r="C124" i="18"/>
  <c r="B125" i="18"/>
  <c r="C125" i="18"/>
  <c r="B126" i="18"/>
  <c r="C126" i="18"/>
  <c r="B127" i="18"/>
  <c r="C127" i="18"/>
  <c r="B98" i="18"/>
  <c r="C98" i="18"/>
  <c r="B99" i="18"/>
  <c r="C99" i="18"/>
  <c r="B100" i="18"/>
  <c r="C100" i="18"/>
  <c r="B101" i="18"/>
  <c r="C101" i="18"/>
  <c r="B102" i="18"/>
  <c r="C102" i="18"/>
  <c r="B103" i="18"/>
  <c r="C103" i="18"/>
  <c r="B104" i="18"/>
  <c r="C104" i="18"/>
  <c r="B165" i="19"/>
  <c r="C165" i="19"/>
  <c r="B166" i="19"/>
  <c r="C166" i="19"/>
  <c r="B167" i="19"/>
  <c r="C16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187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185" i="19"/>
  <c r="B3" i="20"/>
  <c r="C3" i="20"/>
  <c r="B4" i="20"/>
  <c r="C4" i="20"/>
  <c r="B5" i="20"/>
  <c r="C5" i="20"/>
  <c r="B6" i="20"/>
  <c r="C6" i="20"/>
  <c r="B7" i="20"/>
  <c r="C7" i="20"/>
  <c r="B8" i="20"/>
  <c r="C8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B39" i="20"/>
  <c r="C39" i="20"/>
  <c r="B40" i="20"/>
  <c r="C40" i="20"/>
  <c r="B41" i="20"/>
  <c r="C41" i="20"/>
  <c r="B42" i="20"/>
  <c r="C42" i="20"/>
  <c r="B43" i="20"/>
  <c r="C43" i="20"/>
  <c r="B44" i="20"/>
  <c r="C44" i="20"/>
  <c r="B45" i="20"/>
  <c r="C45" i="20"/>
  <c r="B46" i="20"/>
  <c r="C46" i="20"/>
  <c r="B47" i="20"/>
  <c r="C47" i="20"/>
  <c r="B48" i="20"/>
  <c r="C48" i="20"/>
  <c r="B49" i="20"/>
  <c r="C49" i="20"/>
  <c r="B50" i="20"/>
  <c r="C50" i="20"/>
  <c r="B51" i="20"/>
  <c r="C51" i="20"/>
  <c r="B52" i="20"/>
  <c r="C52" i="20"/>
  <c r="B53" i="20"/>
  <c r="C53" i="20"/>
  <c r="B54" i="20"/>
  <c r="C54" i="20"/>
  <c r="B55" i="20"/>
  <c r="C55" i="20"/>
  <c r="B56" i="20"/>
  <c r="C56" i="20"/>
  <c r="B57" i="20"/>
  <c r="C57" i="20"/>
  <c r="B58" i="20"/>
  <c r="C58" i="20"/>
  <c r="B59" i="20"/>
  <c r="C59" i="20"/>
  <c r="B60" i="20"/>
  <c r="C60" i="20"/>
  <c r="C2" i="20"/>
  <c r="B2" i="20"/>
  <c r="B284" i="19"/>
  <c r="C284" i="19"/>
  <c r="B285" i="19"/>
  <c r="C285" i="19"/>
  <c r="B286" i="19"/>
  <c r="C286" i="19"/>
  <c r="B287" i="19"/>
  <c r="C287" i="19"/>
  <c r="B288" i="19"/>
  <c r="C288" i="19"/>
  <c r="B289" i="19"/>
  <c r="C289" i="19"/>
  <c r="B290" i="19"/>
  <c r="C290" i="19"/>
  <c r="B291" i="19"/>
  <c r="C291" i="19"/>
  <c r="B292" i="19"/>
  <c r="C292" i="19"/>
  <c r="B293" i="19"/>
  <c r="C293" i="19"/>
  <c r="B294" i="19"/>
  <c r="C294" i="19"/>
  <c r="B295" i="19"/>
  <c r="C295" i="19"/>
  <c r="B296" i="19"/>
  <c r="C296" i="19"/>
  <c r="B297" i="19"/>
  <c r="C297" i="19"/>
  <c r="B298" i="19"/>
  <c r="C298" i="19"/>
  <c r="B299" i="19"/>
  <c r="C299" i="19"/>
  <c r="B300" i="19"/>
  <c r="C300" i="19"/>
  <c r="B301" i="19"/>
  <c r="C301" i="19"/>
  <c r="B302" i="19"/>
  <c r="C302" i="19"/>
  <c r="B303" i="19"/>
  <c r="C303" i="19"/>
  <c r="B304" i="19"/>
  <c r="C304" i="19"/>
  <c r="B305" i="19"/>
  <c r="C305" i="19"/>
  <c r="B306" i="19"/>
  <c r="C306" i="19"/>
  <c r="B307" i="19"/>
  <c r="C307" i="19"/>
  <c r="B308" i="19"/>
  <c r="C308" i="19"/>
  <c r="B309" i="19"/>
  <c r="C309" i="19"/>
  <c r="B310" i="19"/>
  <c r="C310" i="19"/>
  <c r="B311" i="19"/>
  <c r="C311" i="19"/>
  <c r="B312" i="19"/>
  <c r="C312" i="19"/>
  <c r="B313" i="19"/>
  <c r="C313" i="19"/>
  <c r="B314" i="19"/>
  <c r="C314" i="19"/>
  <c r="B315" i="19"/>
  <c r="C315" i="19"/>
  <c r="B316" i="19"/>
  <c r="C316" i="19"/>
  <c r="B317" i="19"/>
  <c r="C317" i="19"/>
  <c r="B318" i="19"/>
  <c r="C318" i="19"/>
  <c r="B319" i="19"/>
  <c r="C319" i="19"/>
  <c r="B320" i="19"/>
  <c r="C320" i="19"/>
  <c r="B321" i="19"/>
  <c r="C321" i="19"/>
  <c r="B322" i="19"/>
  <c r="C322" i="19"/>
  <c r="B323" i="19"/>
  <c r="C323" i="19"/>
  <c r="B324" i="19"/>
  <c r="C324" i="19"/>
  <c r="B325" i="19"/>
  <c r="C325" i="19"/>
  <c r="B326" i="19"/>
  <c r="C326" i="19"/>
  <c r="B327" i="19"/>
  <c r="C327" i="19"/>
  <c r="B328" i="19"/>
  <c r="C328" i="19"/>
  <c r="B329" i="19"/>
  <c r="C329" i="19"/>
  <c r="B330" i="19"/>
  <c r="C330" i="19"/>
  <c r="B331" i="19"/>
  <c r="C331" i="19"/>
  <c r="B332" i="19"/>
  <c r="C332" i="19"/>
  <c r="B333" i="19"/>
  <c r="C333" i="19"/>
  <c r="B334" i="19"/>
  <c r="C334" i="19"/>
  <c r="B335" i="19"/>
  <c r="C335" i="19"/>
  <c r="B336" i="19"/>
  <c r="C336" i="19"/>
  <c r="B337" i="19"/>
  <c r="C337" i="19"/>
  <c r="B338" i="19"/>
  <c r="C338" i="19"/>
  <c r="B339" i="19"/>
  <c r="C339" i="19"/>
  <c r="B340" i="19"/>
  <c r="C340" i="19"/>
  <c r="B341" i="19"/>
  <c r="C341" i="19"/>
  <c r="B342" i="19"/>
  <c r="C342" i="19"/>
  <c r="B343" i="19"/>
  <c r="C343" i="19"/>
  <c r="B344" i="19"/>
  <c r="C344" i="19"/>
  <c r="B345" i="19"/>
  <c r="C345" i="19"/>
  <c r="B346" i="19"/>
  <c r="C346" i="19"/>
  <c r="B347" i="19"/>
  <c r="C347" i="19"/>
  <c r="B348" i="19"/>
  <c r="C348" i="19"/>
  <c r="B349" i="19"/>
  <c r="C349" i="19"/>
  <c r="B350" i="19"/>
  <c r="C350" i="19"/>
  <c r="B351" i="19"/>
  <c r="C351" i="19"/>
  <c r="B352" i="19"/>
  <c r="C352" i="19"/>
  <c r="B353" i="19"/>
  <c r="C353" i="19"/>
  <c r="B354" i="19"/>
  <c r="C354" i="19"/>
  <c r="B355" i="19"/>
  <c r="C355" i="19"/>
  <c r="B356" i="19"/>
  <c r="C356" i="19"/>
  <c r="B357" i="19"/>
  <c r="C357" i="19"/>
  <c r="B358" i="19"/>
  <c r="C358" i="19"/>
  <c r="B359" i="19"/>
  <c r="C359" i="19"/>
  <c r="B360" i="19"/>
  <c r="C360" i="19"/>
  <c r="B361" i="19"/>
  <c r="C361" i="19"/>
  <c r="B362" i="19"/>
  <c r="C362" i="19"/>
  <c r="B363" i="19"/>
  <c r="C363" i="19"/>
  <c r="B364" i="19"/>
  <c r="C364" i="19"/>
  <c r="B365" i="19"/>
  <c r="C365" i="19"/>
  <c r="B366" i="19"/>
  <c r="C366" i="19"/>
  <c r="B367" i="19"/>
  <c r="C367" i="19"/>
  <c r="B368" i="19"/>
  <c r="C368" i="19"/>
  <c r="B369" i="19"/>
  <c r="C369" i="19"/>
  <c r="B370" i="19"/>
  <c r="C370" i="19"/>
  <c r="B371" i="19"/>
  <c r="C371" i="19"/>
  <c r="B372" i="19"/>
  <c r="C372" i="19"/>
  <c r="B373" i="19"/>
  <c r="C373" i="19"/>
  <c r="B374" i="19"/>
  <c r="C374" i="19"/>
  <c r="B375" i="19"/>
  <c r="C375" i="19"/>
  <c r="C283" i="19"/>
  <c r="B283" i="19"/>
  <c r="B244" i="19"/>
  <c r="C244" i="19"/>
  <c r="B245" i="19"/>
  <c r="C245" i="19"/>
  <c r="B246" i="19"/>
  <c r="C246" i="19"/>
  <c r="B247" i="19"/>
  <c r="C247" i="19"/>
  <c r="B248" i="19"/>
  <c r="C248" i="19"/>
  <c r="B249" i="19"/>
  <c r="C249" i="19"/>
  <c r="B250" i="19"/>
  <c r="C250" i="19"/>
  <c r="B251" i="19"/>
  <c r="C251" i="19"/>
  <c r="B252" i="19"/>
  <c r="C252" i="19"/>
  <c r="B253" i="19"/>
  <c r="C253" i="19"/>
  <c r="B254" i="19"/>
  <c r="C254" i="19"/>
  <c r="B255" i="19"/>
  <c r="C255" i="19"/>
  <c r="B256" i="19"/>
  <c r="C256" i="19"/>
  <c r="B257" i="19"/>
  <c r="C257" i="19"/>
  <c r="B258" i="19"/>
  <c r="C258" i="19"/>
  <c r="B259" i="19"/>
  <c r="C259" i="19"/>
  <c r="B260" i="19"/>
  <c r="C260" i="19"/>
  <c r="B261" i="19"/>
  <c r="C261" i="19"/>
  <c r="B262" i="19"/>
  <c r="C262" i="19"/>
  <c r="B263" i="19"/>
  <c r="C263" i="19"/>
  <c r="B264" i="19"/>
  <c r="C264" i="19"/>
  <c r="B265" i="19"/>
  <c r="C265" i="19"/>
  <c r="B266" i="19"/>
  <c r="C266" i="19"/>
  <c r="B267" i="19"/>
  <c r="C267" i="19"/>
  <c r="B268" i="19"/>
  <c r="C268" i="19"/>
  <c r="B269" i="19"/>
  <c r="C269" i="19"/>
  <c r="B270" i="19"/>
  <c r="C270" i="19"/>
  <c r="B271" i="19"/>
  <c r="C271" i="19"/>
  <c r="B272" i="19"/>
  <c r="C272" i="19"/>
  <c r="B273" i="19"/>
  <c r="C273" i="19"/>
  <c r="B274" i="19"/>
  <c r="C274" i="19"/>
  <c r="B275" i="19"/>
  <c r="C275" i="19"/>
  <c r="B276" i="19"/>
  <c r="C276" i="19"/>
  <c r="B277" i="19"/>
  <c r="C277" i="19"/>
  <c r="B278" i="19"/>
  <c r="C278" i="19"/>
  <c r="B279" i="19"/>
  <c r="C279" i="19"/>
  <c r="B280" i="19"/>
  <c r="C280" i="19"/>
  <c r="B281" i="19"/>
  <c r="C281" i="19"/>
  <c r="B213" i="19"/>
  <c r="C213" i="19"/>
  <c r="B214" i="19"/>
  <c r="C214" i="19"/>
  <c r="B215" i="19"/>
  <c r="C215" i="19"/>
  <c r="B216" i="19"/>
  <c r="C216" i="19"/>
  <c r="B217" i="19"/>
  <c r="C217" i="19"/>
  <c r="B218" i="19"/>
  <c r="C218" i="19"/>
  <c r="B219" i="19"/>
  <c r="C219" i="19"/>
  <c r="B220" i="19"/>
  <c r="C220" i="19"/>
  <c r="B221" i="19"/>
  <c r="C221" i="19"/>
  <c r="B222" i="19"/>
  <c r="C222" i="19"/>
  <c r="B223" i="19"/>
  <c r="C223" i="19"/>
  <c r="B224" i="19"/>
  <c r="C224" i="19"/>
  <c r="B225" i="19"/>
  <c r="C225" i="19"/>
  <c r="B226" i="19"/>
  <c r="C226" i="19"/>
  <c r="B227" i="19"/>
  <c r="C227" i="19"/>
  <c r="B228" i="19"/>
  <c r="C228" i="19"/>
  <c r="B229" i="19"/>
  <c r="C229" i="19"/>
  <c r="B230" i="19"/>
  <c r="C230" i="19"/>
  <c r="B231" i="19"/>
  <c r="C231" i="19"/>
  <c r="B232" i="19"/>
  <c r="C232" i="19"/>
  <c r="B233" i="19"/>
  <c r="C233" i="19"/>
  <c r="B234" i="19"/>
  <c r="C234" i="19"/>
  <c r="B235" i="19"/>
  <c r="C235" i="19"/>
  <c r="B236" i="19"/>
  <c r="C236" i="19"/>
  <c r="B237" i="19"/>
  <c r="C237" i="19"/>
  <c r="B238" i="19"/>
  <c r="C238" i="19"/>
  <c r="B239" i="19"/>
  <c r="C239" i="19"/>
  <c r="B240" i="19"/>
  <c r="C240" i="19"/>
  <c r="B241" i="19"/>
  <c r="C241" i="19"/>
  <c r="B242" i="19"/>
  <c r="C242" i="19"/>
  <c r="B243" i="19"/>
  <c r="C243" i="19"/>
  <c r="C212" i="19"/>
  <c r="B212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46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C115" i="19"/>
  <c r="C117" i="19"/>
  <c r="C104" i="19"/>
  <c r="C95" i="19"/>
  <c r="C100" i="19"/>
  <c r="C106" i="19"/>
  <c r="C120" i="19"/>
  <c r="C109" i="19"/>
  <c r="C103" i="19"/>
  <c r="C97" i="19"/>
  <c r="C105" i="19"/>
  <c r="C102" i="19"/>
  <c r="C108" i="19"/>
  <c r="C118" i="19"/>
  <c r="C113" i="19"/>
  <c r="C99" i="19"/>
  <c r="C96" i="19"/>
  <c r="C107" i="19"/>
  <c r="C93" i="19"/>
  <c r="C112" i="19"/>
  <c r="C92" i="19"/>
  <c r="C94" i="19"/>
  <c r="C111" i="19"/>
  <c r="C135" i="19"/>
  <c r="C114" i="19"/>
  <c r="C144" i="19"/>
  <c r="C123" i="19"/>
  <c r="C141" i="19"/>
  <c r="C121" i="19"/>
  <c r="C132" i="19"/>
  <c r="C133" i="19"/>
  <c r="C137" i="19"/>
  <c r="C116" i="19"/>
  <c r="C131" i="19"/>
  <c r="C130" i="19"/>
  <c r="C143" i="19"/>
  <c r="C140" i="19"/>
  <c r="C142" i="19"/>
  <c r="C119" i="19"/>
  <c r="C125" i="19"/>
  <c r="C126" i="19"/>
  <c r="C122" i="19"/>
  <c r="C128" i="19"/>
  <c r="C138" i="19"/>
  <c r="C139" i="19"/>
  <c r="C124" i="19"/>
  <c r="C129" i="19"/>
  <c r="C134" i="19"/>
  <c r="C127" i="19"/>
  <c r="C136" i="19"/>
  <c r="C101" i="19"/>
  <c r="C110" i="19"/>
  <c r="B110" i="19"/>
  <c r="B115" i="19"/>
  <c r="B117" i="19"/>
  <c r="B104" i="19"/>
  <c r="B95" i="19"/>
  <c r="B100" i="19"/>
  <c r="B106" i="19"/>
  <c r="B120" i="19"/>
  <c r="B109" i="19"/>
  <c r="B98" i="19"/>
  <c r="B103" i="19"/>
  <c r="B97" i="19"/>
  <c r="B105" i="19"/>
  <c r="B102" i="19"/>
  <c r="B108" i="19"/>
  <c r="B118" i="19"/>
  <c r="B113" i="19"/>
  <c r="B99" i="19"/>
  <c r="B96" i="19"/>
  <c r="B107" i="19"/>
  <c r="B93" i="19"/>
  <c r="B112" i="19"/>
  <c r="B92" i="19"/>
  <c r="B94" i="19"/>
  <c r="B111" i="19"/>
  <c r="B135" i="19"/>
  <c r="B114" i="19"/>
  <c r="B144" i="19"/>
  <c r="B123" i="19"/>
  <c r="B141" i="19"/>
  <c r="B121" i="19"/>
  <c r="B132" i="19"/>
  <c r="B133" i="19"/>
  <c r="B137" i="19"/>
  <c r="B116" i="19"/>
  <c r="B131" i="19"/>
  <c r="B130" i="19"/>
  <c r="B143" i="19"/>
  <c r="B140" i="19"/>
  <c r="B142" i="19"/>
  <c r="B119" i="19"/>
  <c r="B125" i="19"/>
  <c r="B126" i="19"/>
  <c r="B122" i="19"/>
  <c r="B128" i="19"/>
  <c r="B138" i="19"/>
  <c r="B139" i="19"/>
  <c r="B124" i="19"/>
  <c r="B129" i="19"/>
  <c r="B134" i="19"/>
  <c r="B127" i="19"/>
  <c r="B136" i="19"/>
  <c r="B101" i="19"/>
  <c r="C2" i="18"/>
  <c r="C3" i="18"/>
  <c r="C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2" i="18"/>
  <c r="P80" i="2" l="1"/>
  <c r="P59" i="2"/>
  <c r="P45" i="2"/>
  <c r="N79" i="2" s="1"/>
  <c r="H4" i="2" s="1"/>
  <c r="C48" i="19"/>
  <c r="C32" i="19"/>
  <c r="P81" i="2" l="1"/>
  <c r="H5" i="2"/>
  <c r="E17" i="12" s="1"/>
  <c r="R19" i="8" l="1"/>
  <c r="J20" i="12" l="1"/>
  <c r="J16" i="12"/>
  <c r="J11" i="12"/>
  <c r="J8" i="12"/>
  <c r="J7" i="12"/>
  <c r="J6" i="12"/>
  <c r="J5" i="12"/>
  <c r="A7" i="10" l="1"/>
  <c r="A2" i="10"/>
  <c r="I5" i="9" l="1"/>
  <c r="I4" i="9"/>
  <c r="I7" i="9" s="1"/>
  <c r="E23" i="12" s="1"/>
  <c r="C2" i="6"/>
  <c r="I4" i="2" l="1"/>
  <c r="C4" i="2"/>
  <c r="J4" i="2" l="1"/>
  <c r="I5" i="2"/>
  <c r="J5" i="2" s="1"/>
  <c r="F3" i="12"/>
  <c r="B3" i="12"/>
  <c r="B2" i="13" l="1"/>
  <c r="H21" i="12" l="1"/>
  <c r="I6" i="13"/>
  <c r="I8" i="13"/>
  <c r="I10" i="13"/>
  <c r="I9" i="13"/>
  <c r="I12" i="13"/>
  <c r="E2" i="13"/>
  <c r="B2" i="10" s="1"/>
  <c r="I14" i="13" l="1"/>
  <c r="A29" i="6"/>
  <c r="G9" i="6"/>
  <c r="K9" i="6" s="1"/>
  <c r="L9" i="6" s="1"/>
  <c r="B12" i="6" l="1"/>
  <c r="E3" i="12"/>
  <c r="I15" i="13"/>
  <c r="E30" i="6"/>
  <c r="D30" i="6"/>
  <c r="B10" i="6" s="1"/>
  <c r="E29" i="6"/>
  <c r="D29" i="6"/>
  <c r="B9" i="6" s="1"/>
  <c r="D31" i="6"/>
  <c r="B11" i="6" s="1"/>
  <c r="E31" i="6"/>
  <c r="G8" i="6"/>
  <c r="G10" i="6"/>
  <c r="K10" i="6" s="1"/>
  <c r="L10" i="6" s="1"/>
  <c r="G13" i="6" l="1"/>
  <c r="K8" i="6"/>
  <c r="L8" i="6" s="1"/>
  <c r="G21" i="12"/>
  <c r="I21" i="12" s="1"/>
  <c r="J21" i="12" s="1"/>
  <c r="I17" i="13"/>
  <c r="G2" i="13"/>
  <c r="H2" i="13" s="1"/>
  <c r="I2" i="13" s="1"/>
  <c r="J2" i="13" s="1"/>
  <c r="B28" i="12" l="1"/>
  <c r="B27" i="12"/>
  <c r="C23" i="12"/>
  <c r="H18" i="12"/>
  <c r="L12" i="12"/>
  <c r="B9" i="12"/>
  <c r="E7" i="12"/>
  <c r="L6" i="12"/>
  <c r="E4" i="12"/>
  <c r="L3" i="12"/>
  <c r="F4" i="12"/>
  <c r="C3" i="12"/>
  <c r="J5" i="9"/>
  <c r="K5" i="9" s="1"/>
  <c r="C5" i="9"/>
  <c r="J4" i="9"/>
  <c r="R45" i="8"/>
  <c r="S45" i="8" s="1"/>
  <c r="P45" i="8"/>
  <c r="R44" i="8"/>
  <c r="S44" i="8" s="1"/>
  <c r="P44" i="8"/>
  <c r="P43" i="8"/>
  <c r="R42" i="8"/>
  <c r="S42" i="8" s="1"/>
  <c r="P42" i="8"/>
  <c r="S40" i="8"/>
  <c r="P40" i="8"/>
  <c r="S39" i="8"/>
  <c r="P39" i="8"/>
  <c r="S38" i="8"/>
  <c r="P38" i="8"/>
  <c r="S37" i="8"/>
  <c r="P37" i="8"/>
  <c r="S36" i="8"/>
  <c r="R34" i="8"/>
  <c r="S34" i="8" s="1"/>
  <c r="P34" i="8"/>
  <c r="R33" i="8"/>
  <c r="S33" i="8" s="1"/>
  <c r="P33" i="8"/>
  <c r="R32" i="8"/>
  <c r="S32" i="8" s="1"/>
  <c r="P32" i="8"/>
  <c r="R31" i="8"/>
  <c r="S31" i="8" s="1"/>
  <c r="P31" i="8"/>
  <c r="R30" i="8"/>
  <c r="S30" i="8" s="1"/>
  <c r="P30" i="8"/>
  <c r="R28" i="8"/>
  <c r="S28" i="8" s="1"/>
  <c r="P28" i="8"/>
  <c r="R27" i="8"/>
  <c r="S27" i="8" s="1"/>
  <c r="P27" i="8"/>
  <c r="R26" i="8"/>
  <c r="S26" i="8" s="1"/>
  <c r="P26" i="8"/>
  <c r="R25" i="8"/>
  <c r="S25" i="8" s="1"/>
  <c r="P25" i="8"/>
  <c r="R24" i="8"/>
  <c r="S24" i="8" s="1"/>
  <c r="P24" i="8"/>
  <c r="R23" i="8"/>
  <c r="S23" i="8" s="1"/>
  <c r="P23" i="8"/>
  <c r="R22" i="8"/>
  <c r="S22" i="8" s="1"/>
  <c r="P22" i="8"/>
  <c r="R21" i="8"/>
  <c r="S21" i="8" s="1"/>
  <c r="T13" i="8"/>
  <c r="T12" i="8"/>
  <c r="T11" i="8"/>
  <c r="N21" i="8"/>
  <c r="P21" i="8" s="1"/>
  <c r="E9" i="12"/>
  <c r="G19" i="6"/>
  <c r="G16" i="6"/>
  <c r="K16" i="6" s="1"/>
  <c r="L16" i="6" s="1"/>
  <c r="G15" i="6"/>
  <c r="K15" i="6" l="1"/>
  <c r="G17" i="6"/>
  <c r="K19" i="6"/>
  <c r="G20" i="6"/>
  <c r="K4" i="9"/>
  <c r="J7" i="9"/>
  <c r="K7" i="9" s="1"/>
  <c r="S46" i="8"/>
  <c r="T45" i="8"/>
  <c r="K13" i="6"/>
  <c r="T42" i="8"/>
  <c r="T38" i="8"/>
  <c r="T39" i="8"/>
  <c r="T37" i="8"/>
  <c r="T40" i="8"/>
  <c r="T24" i="8"/>
  <c r="T27" i="8"/>
  <c r="T31" i="8"/>
  <c r="T34" i="8"/>
  <c r="T22" i="8"/>
  <c r="T25" i="8"/>
  <c r="T28" i="8"/>
  <c r="T32" i="8"/>
  <c r="T44" i="8"/>
  <c r="T23" i="8"/>
  <c r="T26" i="8"/>
  <c r="T30" i="8"/>
  <c r="T33" i="8"/>
  <c r="J4" i="7"/>
  <c r="N36" i="8"/>
  <c r="P36" i="8" s="1"/>
  <c r="P46" i="8" s="1"/>
  <c r="T21" i="8"/>
  <c r="H23" i="12"/>
  <c r="G18" i="12"/>
  <c r="I18" i="12" s="1"/>
  <c r="J18" i="12" s="1"/>
  <c r="F13" i="12"/>
  <c r="H13" i="12" s="1"/>
  <c r="G23" i="12"/>
  <c r="F7" i="12"/>
  <c r="H3" i="12"/>
  <c r="E19" i="12"/>
  <c r="G12" i="12"/>
  <c r="G2" i="6"/>
  <c r="G3" i="12"/>
  <c r="U46" i="8" l="1"/>
  <c r="V46" i="8" s="1"/>
  <c r="E22" i="12"/>
  <c r="G21" i="6"/>
  <c r="B3" i="10" s="1"/>
  <c r="B8" i="10" s="1"/>
  <c r="B9" i="10" s="1"/>
  <c r="K20" i="6"/>
  <c r="L20" i="6" s="1"/>
  <c r="L19" i="6"/>
  <c r="L15" i="6"/>
  <c r="K17" i="6"/>
  <c r="L17" i="6" s="1"/>
  <c r="L13" i="6"/>
  <c r="E13" i="12"/>
  <c r="G13" i="12" s="1"/>
  <c r="I13" i="12" s="1"/>
  <c r="K4" i="7"/>
  <c r="T36" i="8"/>
  <c r="E14" i="12"/>
  <c r="G14" i="12" s="1"/>
  <c r="I3" i="12"/>
  <c r="J3" i="12" s="1"/>
  <c r="I23" i="12"/>
  <c r="J23" i="12" s="1"/>
  <c r="H14" i="12"/>
  <c r="F9" i="12"/>
  <c r="G17" i="12"/>
  <c r="G19" i="12" s="1"/>
  <c r="G9" i="12"/>
  <c r="E10" i="12"/>
  <c r="B10" i="10" l="1"/>
  <c r="K21" i="6"/>
  <c r="L21" i="6" s="1"/>
  <c r="T46" i="8"/>
  <c r="G15" i="12"/>
  <c r="I14" i="12"/>
  <c r="J14" i="12" s="1"/>
  <c r="H22" i="12"/>
  <c r="H24" i="12" s="1"/>
  <c r="F24" i="12"/>
  <c r="J13" i="12"/>
  <c r="E15" i="12"/>
  <c r="F12" i="12"/>
  <c r="H12" i="12" s="1"/>
  <c r="I12" i="12" s="1"/>
  <c r="J12" i="12" s="1"/>
  <c r="H17" i="12"/>
  <c r="H19" i="12" s="1"/>
  <c r="F19" i="12"/>
  <c r="F10" i="12"/>
  <c r="H9" i="12"/>
  <c r="H10" i="12" s="1"/>
  <c r="G10" i="12"/>
  <c r="G6" i="12"/>
  <c r="G7" i="12" s="1"/>
  <c r="H6" i="12"/>
  <c r="E24" i="12" l="1"/>
  <c r="E25" i="12" s="1"/>
  <c r="G22" i="12"/>
  <c r="G24" i="12" s="1"/>
  <c r="I15" i="12"/>
  <c r="I17" i="12"/>
  <c r="J17" i="12" s="1"/>
  <c r="I9" i="12"/>
  <c r="J9" i="12" s="1"/>
  <c r="F15" i="12"/>
  <c r="F25" i="12" s="1"/>
  <c r="H15" i="12"/>
  <c r="G4" i="12"/>
  <c r="I6" i="12"/>
  <c r="H7" i="12"/>
  <c r="H4" i="12"/>
  <c r="I22" i="12" l="1"/>
  <c r="J22" i="12" s="1"/>
  <c r="G25" i="12"/>
  <c r="I19" i="12"/>
  <c r="J19" i="12" s="1"/>
  <c r="I10" i="12"/>
  <c r="J10" i="12" s="1"/>
  <c r="J15" i="12"/>
  <c r="H25" i="12"/>
  <c r="I4" i="12"/>
  <c r="J4" i="12" s="1"/>
  <c r="I7" i="12"/>
  <c r="I24" i="12" l="1"/>
  <c r="J24" i="12" s="1"/>
  <c r="I25" i="12" l="1"/>
  <c r="J25" i="12" s="1"/>
</calcChain>
</file>

<file path=xl/comments1.xml><?xml version="1.0" encoding="utf-8"?>
<comments xmlns="http://schemas.openxmlformats.org/spreadsheetml/2006/main">
  <authors>
    <author>Teixeira Dos Santos Fernandes, Susana-GMVD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Cellule obligatoire, message d'erreur. 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 xml:space="preserve">Insérer date sous forme de jj.mm.aaa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Teixeira Dos Santos Fernandes, Susana-GMVD</author>
    <author>Susana Fernandes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Automatique, prend le nb de personnes dans la page "Informations"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Selon choix du client copier/coller les cellules correspondantes dans le tableau à droite: Colonne F. Le prix de revient se fera automatiquement dans la colonne G
Ensuite Copier la colonne F dans le Word</t>
        </r>
      </text>
    </comment>
    <comment ref="H6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Selon choix du client copier/coller les cellules correspondantes dans le tableau à droite: Colonne F. Le prix de revient se fera automatiquement dans la colonne G
Ensuite Copier la colonne F dans le Word</t>
        </r>
      </text>
    </comment>
    <comment ref="I6" authorId="1">
      <text>
        <r>
          <rPr>
            <b/>
            <sz val="9"/>
            <color indexed="81"/>
            <rFont val="Tahoma"/>
            <family val="2"/>
          </rPr>
          <t xml:space="preserve">Reprend le Costing fait par Thierry
</t>
        </r>
      </text>
    </comment>
  </commentList>
</comments>
</file>

<file path=xl/comments3.xml><?xml version="1.0" encoding="utf-8"?>
<comments xmlns="http://schemas.openxmlformats.org/spreadsheetml/2006/main">
  <authors>
    <author>Teixeira Dos Santos Fernandes, Susana-GMVD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Automatique, "Informations" Nb de convives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Entrée mannuelle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Automatique, formule quantités forfait et quantités vendues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6" authorId="0">
      <text>
        <r>
          <rPr>
            <b/>
            <sz val="9"/>
            <color indexed="81"/>
            <rFont val="Tahoma"/>
            <family val="2"/>
          </rPr>
          <t>Choix entre le menu déroulant ou copier-coller la désignation dans le tableau des boissons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B4" authorId="1">
      <text>
        <r>
          <rPr>
            <b/>
            <sz val="9"/>
            <color indexed="81"/>
            <rFont val="Tahoma"/>
            <family val="2"/>
          </rPr>
          <t>Correspond à "Informations" Nb de convives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Susana Fernandes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Copier, Coller avec liasion dans le Word seulement à partir de la ligne 4</t>
        </r>
      </text>
    </comment>
  </commentList>
</comments>
</file>

<file path=xl/comments6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B4" authorId="1">
      <text>
        <r>
          <rPr>
            <b/>
            <sz val="9"/>
            <color indexed="81"/>
            <rFont val="Tahoma"/>
            <family val="2"/>
          </rPr>
          <t>Copier, coller dans le tableau au besoin Colonne M:T dans les colonnes B:I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 xml:space="preserve">Si dépassement des heures incluses du forfait, répondre par "Non". Le calcul se fera automatiquement </t>
        </r>
      </text>
    </comment>
  </commentList>
</comments>
</file>

<file path=xl/comments7.xml><?xml version="1.0" encoding="utf-8"?>
<comments xmlns="http://schemas.openxmlformats.org/spreadsheetml/2006/main">
  <authors>
    <author>Susana Fernandes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Faire un choix svp!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Susana Fernandes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supprime définitivement les lignes dont le montant = 0.00</t>
        </r>
      </text>
    </comment>
  </commentList>
</comments>
</file>

<file path=xl/comments9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G13" authorId="0">
      <text>
        <r>
          <rPr>
            <sz val="9"/>
            <color indexed="81"/>
            <rFont val="Tahoma"/>
            <family val="2"/>
          </rPr>
          <t>Montant à insérer dans le Upload Charges marchandises</t>
        </r>
      </text>
    </comment>
    <comment ref="H25" authorId="1">
      <text>
        <r>
          <rPr>
            <b/>
            <sz val="9"/>
            <color indexed="81"/>
            <rFont val="Tahoma"/>
            <family val="2"/>
          </rPr>
          <t>S'affiche en rouge si différent du montant total dans Récap; vérifier avant de finaliser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1">
      <text>
        <r>
          <rPr>
            <b/>
            <sz val="9"/>
            <color indexed="81"/>
            <rFont val="Tahoma"/>
            <family val="2"/>
          </rPr>
          <t>Nom et date En relation avec Informations</t>
        </r>
      </text>
    </comment>
  </commentList>
</comments>
</file>

<file path=xl/sharedStrings.xml><?xml version="1.0" encoding="utf-8"?>
<sst xmlns="http://schemas.openxmlformats.org/spreadsheetml/2006/main" count="516" uniqueCount="307">
  <si>
    <t>PA</t>
  </si>
  <si>
    <t>Quantité</t>
  </si>
  <si>
    <t>Marge</t>
  </si>
  <si>
    <t>Totaux</t>
  </si>
  <si>
    <t>Total Achat</t>
  </si>
  <si>
    <t>Désignation</t>
  </si>
  <si>
    <t xml:space="preserve">Nom du client </t>
  </si>
  <si>
    <t>Date de livraison</t>
  </si>
  <si>
    <t>Route des Fleurs 12</t>
  </si>
  <si>
    <t>CH - 1002 Lausanne</t>
  </si>
  <si>
    <t>Fournisseur</t>
  </si>
  <si>
    <t>Déroulement</t>
  </si>
  <si>
    <t xml:space="preserve">Lieu </t>
  </si>
  <si>
    <t>E-Secure</t>
  </si>
  <si>
    <t>11h00 - Livraison</t>
  </si>
  <si>
    <t>12h00 - Arrivée des convives</t>
  </si>
  <si>
    <t xml:space="preserve">14h00 - fin de l'événement </t>
  </si>
  <si>
    <t>14h00 - Reprise du matériel</t>
  </si>
  <si>
    <t>vendredi, 25 septembre 2020</t>
  </si>
  <si>
    <t>vendredi, 26 juin 2020</t>
  </si>
  <si>
    <t>Nombre de convives</t>
  </si>
  <si>
    <t>personnes</t>
  </si>
  <si>
    <t>Personne de contact sur place</t>
  </si>
  <si>
    <t>Mme Kathia Baptista 079/545 05 55</t>
  </si>
  <si>
    <t>Boissons sans alcool</t>
  </si>
  <si>
    <t>Morges, Vieilles Vignes, La Côte AOC, 2015</t>
  </si>
  <si>
    <t>Sauvignon blanc. La Côte AOC, 2016</t>
  </si>
  <si>
    <t>Gamaret-Garanoir, La Côte AOC, 2017</t>
  </si>
  <si>
    <t>Morges Pinot noir, La Côte AOC, 2014</t>
  </si>
  <si>
    <t>Coca-Cola 1.5l PET</t>
  </si>
  <si>
    <t>Coca-Cola Light 1.5l PET</t>
  </si>
  <si>
    <t>Coca-Cola Zéro 1.5l PET</t>
  </si>
  <si>
    <t xml:space="preserve">Thé froid 1.5l PET            </t>
  </si>
  <si>
    <t>Thé froid Citron 5dl PET</t>
  </si>
  <si>
    <t>Thé froid Pêche 5dl PET</t>
  </si>
  <si>
    <t>Jus de pomme De La Région, 1l</t>
  </si>
  <si>
    <t xml:space="preserve">Jus d'orange 1l brique             </t>
  </si>
  <si>
    <t>Bière Carlsberg 25cl</t>
  </si>
  <si>
    <t>Forfait thé et café</t>
  </si>
  <si>
    <t>Vins rouges</t>
  </si>
  <si>
    <t>Eaux minérales</t>
  </si>
  <si>
    <t>Bières</t>
  </si>
  <si>
    <t>Boissons chaudes</t>
  </si>
  <si>
    <t>Boissons avec alcool</t>
  </si>
  <si>
    <t>Quantité départ</t>
  </si>
  <si>
    <t>Unité</t>
  </si>
  <si>
    <t>Bouteilles</t>
  </si>
  <si>
    <t>Forfaits</t>
  </si>
  <si>
    <t>Forfait boissons</t>
  </si>
  <si>
    <t>Marge
%</t>
  </si>
  <si>
    <t>Vins Blancs</t>
  </si>
  <si>
    <t>Marge 
CHF</t>
  </si>
  <si>
    <t xml:space="preserve">Quantité </t>
  </si>
  <si>
    <t>Tarif</t>
  </si>
  <si>
    <t>Total CHF</t>
  </si>
  <si>
    <t>Forfait</t>
  </si>
  <si>
    <t>Matériel</t>
  </si>
  <si>
    <t>Mobilier</t>
  </si>
  <si>
    <t>Total</t>
  </si>
  <si>
    <t>Sous-total</t>
  </si>
  <si>
    <t>Table mange-debout</t>
  </si>
  <si>
    <t>Housse table mange-debout</t>
  </si>
  <si>
    <t>Heures</t>
  </si>
  <si>
    <t>De</t>
  </si>
  <si>
    <t>A</t>
  </si>
  <si>
    <t>-</t>
  </si>
  <si>
    <t>Livraison</t>
  </si>
  <si>
    <t>Installation et rangement</t>
  </si>
  <si>
    <t>Boissons</t>
  </si>
  <si>
    <t>Logistique</t>
  </si>
  <si>
    <t>Total TTC</t>
  </si>
  <si>
    <t>Montant HT</t>
  </si>
  <si>
    <t>Personnel</t>
  </si>
  <si>
    <t>Prix achat TTC</t>
  </si>
  <si>
    <t>Prix vente TTC</t>
  </si>
  <si>
    <t>Total achat TTC</t>
  </si>
  <si>
    <t>Total vente TTC</t>
  </si>
  <si>
    <t>Diff.</t>
  </si>
  <si>
    <t>Marchandise 0811</t>
  </si>
  <si>
    <t>À entrer</t>
  </si>
  <si>
    <t>formule</t>
  </si>
  <si>
    <t>pièces</t>
  </si>
  <si>
    <t>frs</t>
  </si>
  <si>
    <t>Marchandises 0812</t>
  </si>
  <si>
    <t>Boissons chaudes 0813</t>
  </si>
  <si>
    <t>Boissons froides 0814</t>
  </si>
  <si>
    <t>Matériel 0815</t>
  </si>
  <si>
    <t>forfait</t>
  </si>
  <si>
    <t>Service 0816</t>
  </si>
  <si>
    <t>Total TTC - CHF</t>
  </si>
  <si>
    <t>Date:</t>
  </si>
  <si>
    <t>Nom:</t>
  </si>
  <si>
    <t xml:space="preserve">Maîtres d'hôtel </t>
  </si>
  <si>
    <t xml:space="preserve">Chefs de cuisine </t>
  </si>
  <si>
    <t xml:space="preserve">Food-runner, Débarasseurs self-service, sans formation </t>
  </si>
  <si>
    <t>Serveurs, chefs de rang, avec form. de 2 ans</t>
  </si>
  <si>
    <t>Serveurs, chefs de rangs, avec form. de 3 ans</t>
  </si>
  <si>
    <t>Cuisiniers, chefs de partie avec form. de 2 ans</t>
  </si>
  <si>
    <t xml:space="preserve">Cuisiniers, chefs de partie avec form. de 3 ans </t>
  </si>
  <si>
    <t>Aides de cuisine, polyvalents, caissières</t>
  </si>
  <si>
    <t>Base de données</t>
  </si>
  <si>
    <t>Calcul frais de personnel</t>
  </si>
  <si>
    <t>*si dépassement heures forfaitaires</t>
  </si>
  <si>
    <t>PA
Heures normales</t>
  </si>
  <si>
    <t>PA
Heures 110% 23h00-06h00</t>
  </si>
  <si>
    <t>Hotelis</t>
  </si>
  <si>
    <t>Serveurs payrolling - 25.-</t>
  </si>
  <si>
    <t>Serveurs payrolling - 30.-</t>
  </si>
  <si>
    <t>Cuisiniers payroling - 25.-</t>
  </si>
  <si>
    <t>Cuisiniers payroling - 30.-</t>
  </si>
  <si>
    <t>Polyvalents payrolling - 20.-</t>
  </si>
  <si>
    <t>Contrat occasionnel Migros</t>
  </si>
  <si>
    <t>Serveurs 25.-</t>
  </si>
  <si>
    <t>Serveurs 30.-</t>
  </si>
  <si>
    <t>Cuisiniers 30.-</t>
  </si>
  <si>
    <t>Cuisiniers 25.-</t>
  </si>
  <si>
    <t>Aides de cuisine, polyvalents 20.-</t>
  </si>
  <si>
    <t>Serveuses extra Migros (Dudu, Véronique)</t>
  </si>
  <si>
    <t>Heures forfaitaires</t>
  </si>
  <si>
    <t>Oui</t>
  </si>
  <si>
    <t>Non</t>
  </si>
  <si>
    <t>Frais de personnel</t>
  </si>
  <si>
    <t>Vins</t>
  </si>
  <si>
    <t>A facturer</t>
  </si>
  <si>
    <t>Boissons comprises dans le forfait</t>
  </si>
  <si>
    <t>Par personne</t>
  </si>
  <si>
    <t>Quantité finale</t>
  </si>
  <si>
    <t>Litres</t>
  </si>
  <si>
    <t>Responsable de service</t>
  </si>
  <si>
    <t>Total PA Heures normales</t>
  </si>
  <si>
    <t>Nb Heures Normales</t>
  </si>
  <si>
    <t>Total PA Heures 110%</t>
  </si>
  <si>
    <t>Nb heures 110%</t>
  </si>
  <si>
    <t>Total PA heures</t>
  </si>
  <si>
    <t>Cuisinier</t>
  </si>
  <si>
    <t xml:space="preserve">Contrat Migros </t>
  </si>
  <si>
    <t>Heures normales</t>
  </si>
  <si>
    <t>Madame Kathia Baptista</t>
  </si>
  <si>
    <t>TVA 7.7% incluse</t>
  </si>
  <si>
    <t>eaux minérales</t>
  </si>
  <si>
    <t>Boissons sucrées</t>
  </si>
  <si>
    <t>Coca-Cola 4.5dl PET</t>
  </si>
  <si>
    <t>Coca-Cola Zéro 4.5dl PET</t>
  </si>
  <si>
    <t xml:space="preserve">Prix de revient </t>
  </si>
  <si>
    <t>Salade de rucolla et Grana Padano</t>
  </si>
  <si>
    <t>Légumes</t>
  </si>
  <si>
    <t>Dessert</t>
  </si>
  <si>
    <t>Salade de fruits</t>
  </si>
  <si>
    <t>Intitulé</t>
  </si>
  <si>
    <t>Prix de revient</t>
  </si>
  <si>
    <t>Salade de tomates et mozzarella</t>
  </si>
  <si>
    <t>Tartare d'avocat et wakamé</t>
  </si>
  <si>
    <t>Viande</t>
  </si>
  <si>
    <t>Haut de cuisse basquaise</t>
  </si>
  <si>
    <t>Sauté de porc au citron</t>
  </si>
  <si>
    <t>Poisson</t>
  </si>
  <si>
    <t>Filet de truite aux herbes</t>
  </si>
  <si>
    <t>Végétarien</t>
  </si>
  <si>
    <t>Féculents</t>
  </si>
  <si>
    <t>Pommes persillées</t>
  </si>
  <si>
    <t>Quinoa aux légumes</t>
  </si>
  <si>
    <t>Riz basmati</t>
  </si>
  <si>
    <t>Courgettes sautées</t>
  </si>
  <si>
    <t>Jardinière de légumes</t>
  </si>
  <si>
    <t>Pois croquant</t>
  </si>
  <si>
    <t>Desserts</t>
  </si>
  <si>
    <t>Crumble aux fruits</t>
  </si>
  <si>
    <t>Personnes</t>
  </si>
  <si>
    <t>Menu n°1</t>
  </si>
  <si>
    <t>Total PA</t>
  </si>
  <si>
    <t>Total PA/PAX</t>
  </si>
  <si>
    <t>PA+Coefficient</t>
  </si>
  <si>
    <t>Plat principal</t>
  </si>
  <si>
    <t>Entrée</t>
  </si>
  <si>
    <t>Forfait boissons?</t>
  </si>
  <si>
    <t>Matériel?</t>
  </si>
  <si>
    <t>Frais de logistique?</t>
  </si>
  <si>
    <t>Boissons sans alcool (upload charges marchandises)</t>
  </si>
  <si>
    <t>Mobilier?</t>
  </si>
  <si>
    <t>Choix du client</t>
  </si>
  <si>
    <t>PA+Coefficient+TVA</t>
  </si>
  <si>
    <t>&lt;-- Viande/poisson</t>
  </si>
  <si>
    <t>&lt;-- Féculent</t>
  </si>
  <si>
    <t>&lt;-- Légumes</t>
  </si>
  <si>
    <t>Personnel de service ?</t>
  </si>
  <si>
    <t>Vaisselle</t>
  </si>
  <si>
    <t>Bol</t>
  </si>
  <si>
    <t>Couverts</t>
  </si>
  <si>
    <t>Verres</t>
  </si>
  <si>
    <t>Verre cocktail</t>
  </si>
  <si>
    <t>Verre à whisky</t>
  </si>
  <si>
    <t xml:space="preserve">Verre Bombe </t>
  </si>
  <si>
    <t>verre à biere</t>
  </si>
  <si>
    <t>verrine disco</t>
  </si>
  <si>
    <t>verrine ballon</t>
  </si>
  <si>
    <t>Nappage</t>
  </si>
  <si>
    <t>Linge de service</t>
  </si>
  <si>
    <t>Linge de cuisine</t>
  </si>
  <si>
    <t>Chauffage de terrasse à gaz</t>
  </si>
  <si>
    <t>Chandelier 5 branches</t>
  </si>
  <si>
    <t>Bol à punch 37 cm</t>
  </si>
  <si>
    <t>Parasol</t>
  </si>
  <si>
    <t>Seau à champagne</t>
  </si>
  <si>
    <t>Plateau de service antidérapant</t>
  </si>
  <si>
    <t>Foyer à gaz</t>
  </si>
  <si>
    <t>Crème catalane</t>
  </si>
  <si>
    <t>Entrées</t>
  </si>
  <si>
    <t>Plats principaux</t>
  </si>
  <si>
    <t>Heures 110% - dès 23h00</t>
  </si>
  <si>
    <t>Garnitures</t>
  </si>
  <si>
    <t>Hotelis - payrolling</t>
  </si>
  <si>
    <t>Type plat</t>
  </si>
  <si>
    <t>De saison</t>
  </si>
  <si>
    <t>Eau minérale sans gaz, 5dl PET</t>
  </si>
  <si>
    <t>Eau minérale avec gaz, 5dl PET</t>
  </si>
  <si>
    <t>Eau minérale sans gaz, 1.5l PET</t>
  </si>
  <si>
    <t>Eau minérale avec gaz, 1.5l PET</t>
  </si>
  <si>
    <t>PV</t>
  </si>
  <si>
    <t>DL/pax</t>
  </si>
  <si>
    <t>Capacité</t>
  </si>
  <si>
    <t>Soft drinks 1.5l</t>
  </si>
  <si>
    <t>Soft drinks 0.45l/0.5l</t>
  </si>
  <si>
    <t>Romanette citron 5dl PET</t>
  </si>
  <si>
    <t>Romanette citron 1.5l PET</t>
  </si>
  <si>
    <t>Rivella 5dl PET</t>
  </si>
  <si>
    <t>Redbull 250 ml</t>
  </si>
  <si>
    <t>PA/unité</t>
  </si>
  <si>
    <t>PA Total</t>
  </si>
  <si>
    <t>Colonne1</t>
  </si>
  <si>
    <t>Colonne2</t>
  </si>
  <si>
    <r>
      <t xml:space="preserve">Forfait repas
</t>
    </r>
    <r>
      <rPr>
        <sz val="11"/>
        <color theme="1"/>
        <rFont val="Roboto"/>
      </rPr>
      <t>Assiettes, couverts, verres</t>
    </r>
  </si>
  <si>
    <t>Sous-total (vaisselle, couverts, verrerie)</t>
  </si>
  <si>
    <t>Sous-total Nappage</t>
  </si>
  <si>
    <t>Divers</t>
  </si>
  <si>
    <t>Sous-total Divers</t>
  </si>
  <si>
    <t>Nappe 160x160 cm</t>
  </si>
  <si>
    <t>Jupe de table 170x70 cm</t>
  </si>
  <si>
    <r>
      <t xml:space="preserve">Nappe </t>
    </r>
    <r>
      <rPr>
        <sz val="11"/>
        <rFont val="Calibri"/>
        <family val="2"/>
      </rPr>
      <t>ø</t>
    </r>
    <r>
      <rPr>
        <sz val="11"/>
        <rFont val="Roboto"/>
      </rPr>
      <t xml:space="preserve">250 cm </t>
    </r>
  </si>
  <si>
    <t>Molleton ø180 cm</t>
  </si>
  <si>
    <t>Nappe 150x250 cm</t>
  </si>
  <si>
    <t>Nappe 200x200 cm</t>
  </si>
  <si>
    <t>Nappe 250x250 cm</t>
  </si>
  <si>
    <t>Nappe 150x500 cm</t>
  </si>
  <si>
    <t>Serviettes 50x50 cm - noir</t>
  </si>
  <si>
    <t>Table ronde - ø150 cm</t>
  </si>
  <si>
    <t>Table rectangulaire 183x75 cm</t>
  </si>
  <si>
    <t>Sel, poivre</t>
  </si>
  <si>
    <t>Vestiaire, 50 cintres et numéros</t>
  </si>
  <si>
    <t>Housse de chaise</t>
  </si>
  <si>
    <t>Housse de chaise, jersey</t>
  </si>
  <si>
    <t>Jupe de table - blanc</t>
  </si>
  <si>
    <t>Fine dine assiette creuse gourmet 26 cm</t>
  </si>
  <si>
    <t>Fine dine assiette plate 31 cm</t>
  </si>
  <si>
    <t>Fine dine assiette plate 27 cm</t>
  </si>
  <si>
    <t>Fine dine assiette plate 22 cm</t>
  </si>
  <si>
    <t xml:space="preserve">Fine dine assiette plate 16 cm   </t>
  </si>
  <si>
    <t>Bol à soupe / à salade  14 cm</t>
  </si>
  <si>
    <t>Fine dine tasse 20 cl + s/t</t>
  </si>
  <si>
    <t>Fine dine soucoupe 15 cm</t>
  </si>
  <si>
    <t>Fine dine tasse 9 cl + s/t</t>
  </si>
  <si>
    <t>Fine dine soucoupe 13 cm</t>
  </si>
  <si>
    <t>Gourmet saladier 21cm</t>
  </si>
  <si>
    <t>Gourmet saladier 14cm</t>
  </si>
  <si>
    <t>Atlantis 3010 couteau table mono vertical</t>
  </si>
  <si>
    <t>Atlantis fourchette table</t>
  </si>
  <si>
    <t>Atlantis 3010 couteau dessert mono vertical</t>
  </si>
  <si>
    <t>Atlantis fourchette dessert</t>
  </si>
  <si>
    <t>Atlantis cuillere dessert</t>
  </si>
  <si>
    <t>Petite fourchette</t>
  </si>
  <si>
    <t>Cabernet verre tulipe 47cl</t>
  </si>
  <si>
    <t>Cabernet verre tulipe 35cl</t>
  </si>
  <si>
    <t>Cabernet verre tulipe 25cl</t>
  </si>
  <si>
    <t>Elegance flute champ 16cl</t>
  </si>
  <si>
    <t>Elegance flute champ 17cl</t>
  </si>
  <si>
    <t>PV/unité</t>
  </si>
  <si>
    <t>Serviettes 50x50 cm - tissu blanc</t>
  </si>
  <si>
    <t>Gourmet assiette carrée 27cm</t>
  </si>
  <si>
    <t>Gourmet assiette carrée 24cm</t>
  </si>
  <si>
    <t>Atlantis cuillère moka</t>
  </si>
  <si>
    <t>Atlantis cuillère café</t>
  </si>
  <si>
    <t>Cuillère et fourchette de service</t>
  </si>
  <si>
    <t>Atlantis cuillère table</t>
  </si>
  <si>
    <t>Bain-marie de table</t>
  </si>
  <si>
    <t>Table ronde - ø180 cm, 10 pax</t>
  </si>
  <si>
    <t>Verre à eau tumbler bombé</t>
  </si>
  <si>
    <t>Verre viticole, 21cl</t>
  </si>
  <si>
    <t>Marge CHF</t>
  </si>
  <si>
    <t>Ajouter/
supprimer lignes</t>
  </si>
  <si>
    <t>responsable de service dès 23h00</t>
  </si>
  <si>
    <t>personnes de service dès 23h00</t>
  </si>
  <si>
    <t>cuisinier dès 23h00</t>
  </si>
  <si>
    <t>personne de service</t>
  </si>
  <si>
    <t>responsables de service</t>
  </si>
  <si>
    <t>personnes de service</t>
  </si>
  <si>
    <t>aides de cuisine</t>
  </si>
  <si>
    <t>cuisiniers</t>
  </si>
  <si>
    <t>responsable de service</t>
  </si>
  <si>
    <t>aide de cuisine</t>
  </si>
  <si>
    <t>cuisinier</t>
  </si>
  <si>
    <t>aide de cuisine dès 23h00</t>
  </si>
  <si>
    <t>personne de service dès 23h00</t>
  </si>
  <si>
    <t>responsables de service dès 23h00</t>
  </si>
  <si>
    <t>aides de cuisine dès 23h00</t>
  </si>
  <si>
    <t>cuisiniers dès 23h00</t>
  </si>
  <si>
    <t>Frais de personnel de production</t>
  </si>
  <si>
    <t>Frais de personnel de service</t>
  </si>
  <si>
    <t>Total Boissons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</si>
</sst>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 ;_ * \-#,##0.00_ ;_ * &quot;-&quot;??_ ;_ @_ "/>
    <numFmt numFmtId="165" formatCode="_(&quot;CHF&quot;* #,##0.00_);_(&quot;CHF&quot;* \(#,##0.00\);_(&quot;CHF&quot;* &quot;-&quot;??_);_(@_)"/>
    <numFmt numFmtId="166" formatCode="_(* #,##0.00_);_(* \(#,##0.00\);_(* &quot;-&quot;??_);_(@_)"/>
    <numFmt numFmtId="167" formatCode="&quot;CHF&quot;\ #,##0.00"/>
    <numFmt numFmtId="168" formatCode="[$-F800]dddd\,\ mmmm\ dd\,\ yyyy"/>
  </numFmts>
  <fonts count="39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theme="1"/>
      <name val="Roboto"/>
    </font>
    <font>
      <sz val="11"/>
      <color theme="1"/>
      <name val="Roboto"/>
    </font>
    <font>
      <b/>
      <sz val="11"/>
      <name val="Roboto"/>
    </font>
    <font>
      <sz val="11"/>
      <name val="Roboto"/>
    </font>
    <font>
      <u/>
      <sz val="11"/>
      <color theme="1"/>
      <name val="Roboto"/>
    </font>
    <font>
      <b/>
      <sz val="11"/>
      <color theme="0"/>
      <name val="Roboto"/>
    </font>
    <font>
      <sz val="12"/>
      <color theme="1"/>
      <name val="Roboto"/>
    </font>
    <font>
      <b/>
      <sz val="12"/>
      <color theme="1"/>
      <name val="Roboto"/>
    </font>
    <font>
      <b/>
      <sz val="11"/>
      <color rgb="FFE36C0A"/>
      <name val="Roboto"/>
    </font>
    <font>
      <b/>
      <sz val="11"/>
      <color theme="1" tint="0.499984740745262"/>
      <name val="Roboto"/>
    </font>
    <font>
      <b/>
      <i/>
      <sz val="11"/>
      <color theme="5"/>
      <name val="Roboto"/>
    </font>
    <font>
      <i/>
      <sz val="11"/>
      <color theme="1"/>
      <name val="Roboto"/>
    </font>
    <font>
      <sz val="11"/>
      <color theme="6" tint="-0.249977111117893"/>
      <name val="Roboto"/>
    </font>
    <font>
      <sz val="11"/>
      <color theme="0" tint="-0.249977111117893"/>
      <name val="Roboto"/>
    </font>
    <font>
      <sz val="11"/>
      <color theme="0"/>
      <name val="Roboto"/>
    </font>
    <font>
      <b/>
      <sz val="12"/>
      <color rgb="FFE36C0A"/>
      <name val="Roboto"/>
    </font>
    <font>
      <b/>
      <i/>
      <sz val="11"/>
      <name val="Roboto"/>
    </font>
    <font>
      <sz val="11"/>
      <color rgb="FF000000"/>
      <name val="Roboto"/>
    </font>
    <font>
      <b/>
      <i/>
      <sz val="11"/>
      <color theme="1"/>
      <name val="Roboto"/>
    </font>
    <font>
      <i/>
      <sz val="11"/>
      <name val="Roboto"/>
    </font>
    <font>
      <b/>
      <sz val="10"/>
      <name val="Arial"/>
      <family val="2"/>
    </font>
    <font>
      <sz val="11"/>
      <name val="Calibri"/>
      <family val="2"/>
    </font>
    <font>
      <b/>
      <i/>
      <sz val="11"/>
      <color theme="0"/>
      <name val="Roboto"/>
    </font>
    <font>
      <i/>
      <sz val="11"/>
      <color theme="0"/>
      <name val="Roboto"/>
    </font>
    <font>
      <b/>
      <i/>
      <sz val="11"/>
      <color rgb="FF000000"/>
      <name val="Roboto"/>
    </font>
    <font>
      <b/>
      <i/>
      <sz val="12"/>
      <color theme="1"/>
      <name val="Roboto"/>
    </font>
    <font>
      <b/>
      <sz val="14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395">
    <xf numFmtId="0" fontId="0" fillId="0" borderId="0" xfId="0"/>
    <xf numFmtId="0" fontId="5" fillId="0" borderId="0" xfId="0" applyFont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166" fontId="5" fillId="0" borderId="10" xfId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6" fontId="5" fillId="7" borderId="10" xfId="1" applyFont="1" applyFill="1" applyBorder="1" applyAlignment="1">
      <alignment horizontal="center" vertical="center"/>
    </xf>
    <xf numFmtId="10" fontId="5" fillId="0" borderId="0" xfId="0" applyNumberFormat="1" applyFont="1" applyAlignment="1">
      <alignment vertical="center"/>
    </xf>
    <xf numFmtId="2" fontId="5" fillId="0" borderId="0" xfId="0" applyNumberFormat="1" applyFont="1" applyBorder="1" applyAlignment="1">
      <alignment vertical="center"/>
    </xf>
    <xf numFmtId="166" fontId="6" fillId="9" borderId="10" xfId="1" applyFont="1" applyFill="1" applyBorder="1" applyAlignment="1">
      <alignment horizontal="center" vertical="center"/>
    </xf>
    <xf numFmtId="166" fontId="5" fillId="10" borderId="10" xfId="1" applyFont="1" applyFill="1" applyBorder="1" applyAlignment="1">
      <alignment horizontal="center" vertical="center"/>
    </xf>
    <xf numFmtId="0" fontId="2" fillId="0" borderId="10" xfId="3" applyFont="1" applyBorder="1" applyAlignment="1">
      <alignment vertical="center"/>
    </xf>
    <xf numFmtId="10" fontId="6" fillId="9" borderId="10" xfId="1" applyNumberFormat="1" applyFont="1" applyFill="1" applyBorder="1" applyAlignment="1">
      <alignment horizontal="right" vertical="center"/>
    </xf>
    <xf numFmtId="0" fontId="2" fillId="7" borderId="10" xfId="0" applyFont="1" applyFill="1" applyBorder="1" applyAlignment="1">
      <alignment vertical="center" wrapText="1"/>
    </xf>
    <xf numFmtId="0" fontId="2" fillId="7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166" fontId="5" fillId="0" borderId="0" xfId="1" applyFont="1" applyAlignment="1">
      <alignment vertical="center"/>
    </xf>
    <xf numFmtId="0" fontId="5" fillId="0" borderId="13" xfId="0" applyFont="1" applyBorder="1" applyAlignment="1">
      <alignment vertical="center"/>
    </xf>
    <xf numFmtId="14" fontId="5" fillId="0" borderId="14" xfId="0" applyNumberFormat="1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1" fillId="0" borderId="0" xfId="0" applyFont="1"/>
    <xf numFmtId="166" fontId="3" fillId="5" borderId="10" xfId="1" applyFont="1" applyFill="1" applyBorder="1" applyAlignment="1">
      <alignment horizontal="center" vertical="center"/>
    </xf>
    <xf numFmtId="166" fontId="7" fillId="6" borderId="10" xfId="1" applyFont="1" applyFill="1" applyBorder="1" applyAlignment="1">
      <alignment horizontal="center" vertical="center"/>
    </xf>
    <xf numFmtId="166" fontId="6" fillId="9" borderId="10" xfId="1" applyFont="1" applyFill="1" applyBorder="1" applyAlignment="1">
      <alignment horizontal="right" vertical="center"/>
    </xf>
    <xf numFmtId="0" fontId="3" fillId="5" borderId="10" xfId="1" applyNumberFormat="1" applyFont="1" applyFill="1" applyBorder="1" applyAlignment="1">
      <alignment horizontal="center" vertical="center" wrapText="1"/>
    </xf>
    <xf numFmtId="0" fontId="7" fillId="6" borderId="10" xfId="1" applyNumberFormat="1" applyFont="1" applyFill="1" applyBorder="1" applyAlignment="1">
      <alignment horizontal="center" vertical="center"/>
    </xf>
    <xf numFmtId="0" fontId="5" fillId="7" borderId="10" xfId="1" applyNumberFormat="1" applyFont="1" applyFill="1" applyBorder="1" applyAlignment="1">
      <alignment horizontal="center" vertical="center" wrapText="1"/>
    </xf>
    <xf numFmtId="0" fontId="6" fillId="9" borderId="10" xfId="1" applyNumberFormat="1" applyFont="1" applyFill="1" applyBorder="1" applyAlignment="1">
      <alignment horizontal="center" vertical="center"/>
    </xf>
    <xf numFmtId="0" fontId="5" fillId="10" borderId="10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7" borderId="10" xfId="1" applyNumberFormat="1" applyFont="1" applyFill="1" applyBorder="1" applyAlignment="1">
      <alignment horizontal="center" vertical="center"/>
    </xf>
    <xf numFmtId="0" fontId="3" fillId="9" borderId="10" xfId="1" applyNumberFormat="1" applyFont="1" applyFill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3" fillId="5" borderId="10" xfId="1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10" fontId="6" fillId="5" borderId="10" xfId="1" applyNumberFormat="1" applyFont="1" applyFill="1" applyBorder="1" applyAlignment="1">
      <alignment horizontal="right" vertical="center"/>
    </xf>
    <xf numFmtId="10" fontId="5" fillId="0" borderId="10" xfId="1" applyNumberFormat="1" applyFont="1" applyBorder="1" applyAlignment="1">
      <alignment horizontal="right" vertical="center"/>
    </xf>
    <xf numFmtId="10" fontId="3" fillId="5" borderId="10" xfId="1" applyNumberFormat="1" applyFont="1" applyFill="1" applyBorder="1" applyAlignment="1">
      <alignment horizontal="right" vertical="center"/>
    </xf>
    <xf numFmtId="10" fontId="7" fillId="6" borderId="10" xfId="1" applyNumberFormat="1" applyFont="1" applyFill="1" applyBorder="1" applyAlignment="1">
      <alignment horizontal="right" vertical="center"/>
    </xf>
    <xf numFmtId="10" fontId="5" fillId="7" borderId="10" xfId="1" applyNumberFormat="1" applyFont="1" applyFill="1" applyBorder="1" applyAlignment="1">
      <alignment horizontal="right" vertical="center"/>
    </xf>
    <xf numFmtId="10" fontId="5" fillId="10" borderId="10" xfId="1" applyNumberFormat="1" applyFont="1" applyFill="1" applyBorder="1" applyAlignment="1">
      <alignment horizontal="right" vertical="center"/>
    </xf>
    <xf numFmtId="10" fontId="5" fillId="0" borderId="0" xfId="1" applyNumberFormat="1" applyFont="1" applyAlignment="1">
      <alignment horizontal="right" vertical="center"/>
    </xf>
    <xf numFmtId="0" fontId="2" fillId="7" borderId="10" xfId="3" applyNumberFormat="1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3" fillId="0" borderId="0" xfId="0" applyNumberFormat="1" applyFont="1" applyAlignment="1">
      <alignment horizontal="left" vertical="center"/>
    </xf>
    <xf numFmtId="168" fontId="1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168" fontId="14" fillId="0" borderId="0" xfId="0" applyNumberFormat="1" applyFont="1" applyFill="1" applyAlignment="1">
      <alignment horizontal="left" vertical="center"/>
    </xf>
    <xf numFmtId="0" fontId="17" fillId="0" borderId="20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16" xfId="0" applyFont="1" applyFill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19" xfId="0" applyFont="1" applyFill="1" applyBorder="1" applyAlignment="1" applyProtection="1">
      <alignment horizontal="center" vertical="center"/>
    </xf>
    <xf numFmtId="0" fontId="13" fillId="0" borderId="0" xfId="0" applyFont="1"/>
    <xf numFmtId="0" fontId="17" fillId="0" borderId="11" xfId="0" applyFont="1" applyFill="1" applyBorder="1" applyAlignment="1" applyProtection="1">
      <alignment horizontal="center" vertical="center"/>
    </xf>
    <xf numFmtId="0" fontId="17" fillId="0" borderId="21" xfId="0" applyFont="1" applyFill="1" applyBorder="1" applyAlignment="1" applyProtection="1">
      <alignment horizontal="center" vertical="center"/>
    </xf>
    <xf numFmtId="167" fontId="14" fillId="0" borderId="0" xfId="0" applyNumberFormat="1" applyFont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</xf>
    <xf numFmtId="2" fontId="15" fillId="0" borderId="0" xfId="0" applyNumberFormat="1" applyFont="1" applyBorder="1" applyAlignment="1" applyProtection="1">
      <alignment horizontal="center" vertical="center"/>
    </xf>
    <xf numFmtId="167" fontId="15" fillId="0" borderId="0" xfId="0" applyNumberFormat="1" applyFont="1" applyBorder="1" applyAlignment="1" applyProtection="1">
      <alignment horizontal="right" vertical="center"/>
    </xf>
    <xf numFmtId="167" fontId="15" fillId="0" borderId="0" xfId="0" applyNumberFormat="1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2" fontId="13" fillId="0" borderId="5" xfId="0" applyNumberFormat="1" applyFont="1" applyBorder="1" applyAlignment="1" applyProtection="1">
      <alignment horizontal="center" vertical="center"/>
    </xf>
    <xf numFmtId="167" fontId="13" fillId="0" borderId="5" xfId="0" applyNumberFormat="1" applyFont="1" applyBorder="1" applyAlignment="1" applyProtection="1">
      <alignment horizontal="right" vertical="center"/>
    </xf>
    <xf numFmtId="9" fontId="13" fillId="0" borderId="5" xfId="2" applyFont="1" applyBorder="1" applyAlignment="1" applyProtection="1">
      <alignment horizontal="right" vertical="center"/>
    </xf>
    <xf numFmtId="165" fontId="13" fillId="0" borderId="0" xfId="0" applyNumberFormat="1" applyFont="1" applyAlignment="1" applyProtection="1">
      <alignment vertical="center"/>
      <protection locked="0"/>
    </xf>
    <xf numFmtId="165" fontId="21" fillId="0" borderId="0" xfId="0" applyNumberFormat="1" applyFont="1" applyFill="1" applyAlignment="1" applyProtection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2" fillId="0" borderId="0" xfId="0" applyFont="1" applyFill="1" applyBorder="1" applyAlignment="1" applyProtection="1">
      <alignment horizontal="left" vertical="center"/>
      <protection locked="0"/>
    </xf>
    <xf numFmtId="167" fontId="24" fillId="0" borderId="0" xfId="0" applyNumberFormat="1" applyFont="1" applyFill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165" fontId="13" fillId="0" borderId="0" xfId="0" applyNumberFormat="1" applyFont="1" applyFill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7" fontId="25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165" fontId="21" fillId="0" borderId="0" xfId="0" applyNumberFormat="1" applyFont="1" applyFill="1" applyAlignment="1" applyProtection="1">
      <alignment horizontal="center" vertical="center"/>
      <protection locked="0"/>
    </xf>
    <xf numFmtId="0" fontId="26" fillId="0" borderId="0" xfId="0" applyFont="1" applyAlignment="1">
      <alignment vertical="center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167" fontId="24" fillId="0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Border="1" applyAlignment="1" applyProtection="1">
      <alignment vertical="center" wrapText="1"/>
      <protection locked="0"/>
    </xf>
    <xf numFmtId="0" fontId="12" fillId="0" borderId="0" xfId="0" applyFont="1"/>
    <xf numFmtId="0" fontId="12" fillId="15" borderId="1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Fill="1" applyAlignment="1">
      <alignment horizontal="center"/>
    </xf>
    <xf numFmtId="0" fontId="13" fillId="0" borderId="0" xfId="0" applyFont="1" applyFill="1" applyBorder="1"/>
    <xf numFmtId="0" fontId="13" fillId="0" borderId="0" xfId="0" applyFont="1" applyFill="1"/>
    <xf numFmtId="0" fontId="26" fillId="0" borderId="0" xfId="0" applyFont="1"/>
    <xf numFmtId="0" fontId="15" fillId="0" borderId="0" xfId="0" applyFont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>
      <alignment horizontal="right" vertical="center"/>
    </xf>
    <xf numFmtId="2" fontId="15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2" fillId="18" borderId="0" xfId="0" applyFont="1" applyFill="1" applyAlignment="1">
      <alignment vertical="center"/>
    </xf>
    <xf numFmtId="0" fontId="28" fillId="3" borderId="0" xfId="0" applyFont="1" applyFill="1" applyAlignment="1">
      <alignment horizontal="left" vertical="center"/>
    </xf>
    <xf numFmtId="0" fontId="14" fillId="3" borderId="0" xfId="0" applyFont="1" applyFill="1" applyAlignment="1">
      <alignment vertical="center"/>
    </xf>
    <xf numFmtId="2" fontId="13" fillId="0" borderId="0" xfId="0" applyNumberFormat="1" applyFont="1"/>
    <xf numFmtId="0" fontId="15" fillId="4" borderId="0" xfId="0" applyFont="1" applyFill="1" applyBorder="1" applyAlignment="1">
      <alignment horizontal="center" vertical="center"/>
    </xf>
    <xf numFmtId="2" fontId="29" fillId="0" borderId="0" xfId="0" applyNumberFormat="1" applyFont="1" applyBorder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>
      <alignment horizontal="right"/>
    </xf>
    <xf numFmtId="2" fontId="14" fillId="3" borderId="0" xfId="1" applyNumberFormat="1" applyFont="1" applyFill="1" applyAlignment="1">
      <alignment horizontal="center" vertical="center"/>
    </xf>
    <xf numFmtId="166" fontId="14" fillId="3" borderId="0" xfId="1" applyFont="1" applyFill="1" applyAlignment="1">
      <alignment vertical="center"/>
    </xf>
    <xf numFmtId="1" fontId="15" fillId="0" borderId="0" xfId="0" applyNumberFormat="1" applyFont="1" applyFill="1" applyBorder="1" applyAlignment="1">
      <alignment horizontal="center" vertical="center"/>
    </xf>
    <xf numFmtId="0" fontId="12" fillId="18" borderId="0" xfId="0" applyFont="1" applyFill="1"/>
    <xf numFmtId="166" fontId="13" fillId="0" borderId="0" xfId="1" applyFont="1"/>
    <xf numFmtId="0" fontId="13" fillId="0" borderId="0" xfId="0" applyFont="1" applyAlignment="1">
      <alignment horizontal="right"/>
    </xf>
    <xf numFmtId="0" fontId="12" fillId="0" borderId="2" xfId="0" applyFont="1" applyBorder="1"/>
    <xf numFmtId="0" fontId="13" fillId="0" borderId="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0" fillId="0" borderId="18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wrapText="1"/>
    </xf>
    <xf numFmtId="0" fontId="12" fillId="15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top"/>
    </xf>
    <xf numFmtId="2" fontId="13" fillId="0" borderId="0" xfId="0" applyNumberFormat="1" applyFont="1" applyBorder="1" applyAlignment="1">
      <alignment horizontal="center" vertical="top"/>
    </xf>
    <xf numFmtId="167" fontId="13" fillId="0" borderId="0" xfId="1" applyNumberFormat="1" applyFont="1" applyBorder="1" applyAlignment="1">
      <alignment horizontal="right" vertical="top"/>
    </xf>
    <xf numFmtId="167" fontId="13" fillId="0" borderId="0" xfId="1" applyNumberFormat="1" applyFont="1" applyAlignment="1">
      <alignment horizontal="right" vertical="top"/>
    </xf>
    <xf numFmtId="2" fontId="13" fillId="0" borderId="0" xfId="0" applyNumberFormat="1" applyFont="1" applyAlignment="1">
      <alignment horizontal="center" vertical="top"/>
    </xf>
    <xf numFmtId="2" fontId="13" fillId="0" borderId="0" xfId="0" applyNumberFormat="1" applyFont="1" applyAlignment="1">
      <alignment horizontal="right" vertical="top"/>
    </xf>
    <xf numFmtId="10" fontId="13" fillId="0" borderId="0" xfId="1" applyNumberFormat="1" applyFont="1" applyAlignment="1">
      <alignment horizontal="right" vertical="top"/>
    </xf>
    <xf numFmtId="0" fontId="30" fillId="0" borderId="0" xfId="0" applyFont="1" applyBorder="1" applyAlignment="1">
      <alignment vertical="center"/>
    </xf>
    <xf numFmtId="167" fontId="30" fillId="0" borderId="0" xfId="0" applyNumberFormat="1" applyFont="1" applyBorder="1" applyAlignment="1">
      <alignment vertical="center"/>
    </xf>
    <xf numFmtId="167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30" fillId="0" borderId="5" xfId="0" applyFont="1" applyBorder="1" applyAlignment="1">
      <alignment vertical="center"/>
    </xf>
    <xf numFmtId="0" fontId="15" fillId="0" borderId="10" xfId="0" applyNumberFormat="1" applyFont="1" applyFill="1" applyBorder="1" applyAlignment="1" applyProtection="1">
      <alignment horizontal="left"/>
      <protection locked="0"/>
    </xf>
    <xf numFmtId="0" fontId="13" fillId="0" borderId="10" xfId="0" applyNumberFormat="1" applyFont="1" applyFill="1" applyBorder="1" applyProtection="1">
      <protection locked="0"/>
    </xf>
    <xf numFmtId="0" fontId="13" fillId="0" borderId="10" xfId="0" applyNumberFormat="1" applyFont="1" applyBorder="1" applyProtection="1">
      <protection locked="0"/>
    </xf>
    <xf numFmtId="0" fontId="15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  <xf numFmtId="0" fontId="15" fillId="0" borderId="10" xfId="0" applyFont="1" applyFill="1" applyBorder="1"/>
    <xf numFmtId="0" fontId="15" fillId="0" borderId="1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20" fontId="14" fillId="0" borderId="0" xfId="0" applyNumberFormat="1" applyFont="1" applyBorder="1" applyAlignment="1">
      <alignment horizontal="center" vertical="center" wrapText="1"/>
    </xf>
    <xf numFmtId="0" fontId="14" fillId="11" borderId="0" xfId="0" applyFont="1" applyFill="1" applyBorder="1" applyAlignment="1">
      <alignment vertical="center"/>
    </xf>
    <xf numFmtId="0" fontId="14" fillId="11" borderId="0" xfId="0" applyFont="1" applyFill="1" applyBorder="1" applyAlignment="1">
      <alignment vertical="center" wrapText="1"/>
    </xf>
    <xf numFmtId="0" fontId="14" fillId="14" borderId="0" xfId="0" applyFont="1" applyFill="1" applyBorder="1" applyAlignment="1">
      <alignment vertical="center"/>
    </xf>
    <xf numFmtId="0" fontId="14" fillId="14" borderId="0" xfId="0" applyFont="1" applyFill="1" applyBorder="1" applyAlignment="1">
      <alignment vertical="center" wrapText="1"/>
    </xf>
    <xf numFmtId="0" fontId="17" fillId="16" borderId="0" xfId="0" applyFont="1" applyFill="1" applyBorder="1" applyAlignment="1">
      <alignment vertical="center"/>
    </xf>
    <xf numFmtId="0" fontId="17" fillId="16" borderId="0" xfId="0" applyFont="1" applyFill="1" applyBorder="1" applyAlignment="1">
      <alignment vertical="center" wrapText="1"/>
    </xf>
    <xf numFmtId="0" fontId="14" fillId="13" borderId="0" xfId="0" applyFont="1" applyFill="1" applyBorder="1" applyAlignment="1">
      <alignment vertical="center"/>
    </xf>
    <xf numFmtId="0" fontId="14" fillId="13" borderId="0" xfId="0" applyFont="1" applyFill="1" applyBorder="1" applyAlignment="1">
      <alignment vertical="center" wrapText="1"/>
    </xf>
    <xf numFmtId="0" fontId="30" fillId="0" borderId="5" xfId="0" applyFont="1" applyBorder="1" applyAlignment="1">
      <alignment horizontal="left" vertical="center"/>
    </xf>
    <xf numFmtId="167" fontId="23" fillId="0" borderId="5" xfId="0" applyNumberFormat="1" applyFont="1" applyBorder="1" applyAlignment="1">
      <alignment vertical="center"/>
    </xf>
    <xf numFmtId="167" fontId="23" fillId="12" borderId="5" xfId="0" applyNumberFormat="1" applyFont="1" applyFill="1" applyBorder="1" applyAlignment="1">
      <alignment vertical="center"/>
    </xf>
    <xf numFmtId="20" fontId="23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7" fontId="13" fillId="0" borderId="0" xfId="1" applyNumberFormat="1" applyFont="1" applyBorder="1" applyAlignment="1">
      <alignment horizontal="right" vertical="center"/>
    </xf>
    <xf numFmtId="167" fontId="13" fillId="0" borderId="0" xfId="1" applyNumberFormat="1" applyFont="1" applyAlignment="1">
      <alignment horizontal="right" vertical="center"/>
    </xf>
    <xf numFmtId="0" fontId="13" fillId="0" borderId="0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15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2" fontId="13" fillId="2" borderId="0" xfId="0" applyNumberFormat="1" applyFont="1" applyFill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6" fontId="13" fillId="0" borderId="0" xfId="1" applyFont="1" applyAlignment="1">
      <alignment horizontal="right" vertical="center"/>
    </xf>
    <xf numFmtId="166" fontId="13" fillId="2" borderId="0" xfId="1" applyFont="1" applyFill="1" applyAlignment="1">
      <alignment horizontal="right" vertical="center"/>
    </xf>
    <xf numFmtId="166" fontId="13" fillId="12" borderId="0" xfId="0" applyNumberFormat="1" applyFont="1" applyFill="1" applyAlignment="1">
      <alignment vertical="center"/>
    </xf>
    <xf numFmtId="10" fontId="13" fillId="0" borderId="0" xfId="1" applyNumberFormat="1" applyFont="1" applyAlignment="1">
      <alignment horizontal="right" vertical="center"/>
    </xf>
    <xf numFmtId="167" fontId="13" fillId="0" borderId="0" xfId="0" applyNumberFormat="1" applyFont="1" applyAlignment="1">
      <alignment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166" fontId="13" fillId="0" borderId="0" xfId="0" applyNumberFormat="1" applyFont="1" applyAlignment="1">
      <alignment vertical="center"/>
    </xf>
    <xf numFmtId="0" fontId="19" fillId="0" borderId="0" xfId="0" applyFont="1"/>
    <xf numFmtId="166" fontId="19" fillId="0" borderId="0" xfId="1" applyFont="1" applyAlignment="1">
      <alignment horizontal="right"/>
    </xf>
    <xf numFmtId="0" fontId="18" fillId="0" borderId="0" xfId="0" applyFont="1"/>
    <xf numFmtId="167" fontId="18" fillId="0" borderId="0" xfId="1" applyNumberFormat="1" applyFont="1" applyAlignment="1">
      <alignment horizontal="right"/>
    </xf>
    <xf numFmtId="166" fontId="18" fillId="0" borderId="0" xfId="1" applyFont="1"/>
    <xf numFmtId="0" fontId="30" fillId="0" borderId="0" xfId="0" applyFont="1"/>
    <xf numFmtId="167" fontId="0" fillId="0" borderId="0" xfId="0" applyNumberFormat="1" applyAlignment="1">
      <alignment horizontal="center"/>
    </xf>
    <xf numFmtId="167" fontId="0" fillId="0" borderId="0" xfId="0" applyNumberFormat="1"/>
    <xf numFmtId="0" fontId="8" fillId="15" borderId="0" xfId="0" applyFont="1" applyFill="1"/>
    <xf numFmtId="167" fontId="8" fillId="15" borderId="0" xfId="0" applyNumberFormat="1" applyFont="1" applyFill="1" applyAlignment="1">
      <alignment horizontal="left" indent="2"/>
    </xf>
    <xf numFmtId="0" fontId="32" fillId="12" borderId="0" xfId="0" applyFont="1" applyFill="1"/>
    <xf numFmtId="0" fontId="8" fillId="12" borderId="0" xfId="0" applyFont="1" applyFill="1"/>
    <xf numFmtId="0" fontId="8" fillId="0" borderId="0" xfId="0" applyFont="1"/>
    <xf numFmtId="167" fontId="8" fillId="12" borderId="0" xfId="0" applyNumberFormat="1" applyFont="1" applyFill="1"/>
    <xf numFmtId="0" fontId="32" fillId="11" borderId="0" xfId="0" applyFont="1" applyFill="1"/>
    <xf numFmtId="0" fontId="8" fillId="11" borderId="0" xfId="0" applyFont="1" applyFill="1"/>
    <xf numFmtId="167" fontId="8" fillId="11" borderId="0" xfId="0" applyNumberFormat="1" applyFont="1" applyFill="1" applyAlignment="1">
      <alignment horizontal="left" indent="2"/>
    </xf>
    <xf numFmtId="167" fontId="8" fillId="11" borderId="0" xfId="0" applyNumberFormat="1" applyFont="1" applyFill="1" applyAlignment="1"/>
    <xf numFmtId="0" fontId="32" fillId="6" borderId="0" xfId="0" applyFont="1" applyFill="1"/>
    <xf numFmtId="0" fontId="8" fillId="6" borderId="0" xfId="0" applyFont="1" applyFill="1"/>
    <xf numFmtId="167" fontId="8" fillId="6" borderId="0" xfId="0" applyNumberFormat="1" applyFont="1" applyFill="1" applyAlignment="1">
      <alignment horizontal="left" indent="2"/>
    </xf>
    <xf numFmtId="167" fontId="8" fillId="6" borderId="0" xfId="0" applyNumberFormat="1" applyFont="1" applyFill="1"/>
    <xf numFmtId="0" fontId="32" fillId="19" borderId="0" xfId="0" applyFont="1" applyFill="1"/>
    <xf numFmtId="0" fontId="8" fillId="19" borderId="0" xfId="0" applyFont="1" applyFill="1"/>
    <xf numFmtId="167" fontId="8" fillId="19" borderId="0" xfId="0" applyNumberFormat="1" applyFont="1" applyFill="1" applyAlignment="1">
      <alignment horizontal="left" indent="2"/>
    </xf>
    <xf numFmtId="167" fontId="8" fillId="19" borderId="0" xfId="0" applyNumberFormat="1" applyFont="1" applyFill="1"/>
    <xf numFmtId="0" fontId="32" fillId="15" borderId="0" xfId="0" applyFont="1" applyFill="1"/>
    <xf numFmtId="0" fontId="32" fillId="21" borderId="0" xfId="0" applyFont="1" applyFill="1"/>
    <xf numFmtId="167" fontId="32" fillId="21" borderId="0" xfId="0" applyNumberFormat="1" applyFont="1" applyFill="1" applyAlignment="1">
      <alignment horizontal="left" indent="2"/>
    </xf>
    <xf numFmtId="0" fontId="8" fillId="21" borderId="0" xfId="0" applyFont="1" applyFill="1"/>
    <xf numFmtId="167" fontId="8" fillId="21" borderId="0" xfId="0" applyNumberFormat="1" applyFont="1" applyFill="1" applyAlignment="1"/>
    <xf numFmtId="167" fontId="8" fillId="15" borderId="0" xfId="0" applyNumberFormat="1" applyFont="1" applyFill="1"/>
    <xf numFmtId="167" fontId="8" fillId="0" borderId="0" xfId="0" applyNumberFormat="1" applyFont="1" applyAlignment="1">
      <alignment horizontal="left" indent="2"/>
    </xf>
    <xf numFmtId="0" fontId="12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2" fontId="29" fillId="0" borderId="0" xfId="0" applyNumberFormat="1" applyFont="1" applyBorder="1" applyAlignment="1" applyProtection="1">
      <alignment horizontal="center" vertical="center"/>
    </xf>
    <xf numFmtId="0" fontId="14" fillId="20" borderId="10" xfId="0" applyNumberFormat="1" applyFont="1" applyFill="1" applyBorder="1" applyAlignment="1" applyProtection="1">
      <alignment horizontal="center"/>
      <protection locked="0"/>
    </xf>
    <xf numFmtId="0" fontId="14" fillId="20" borderId="10" xfId="0" applyFont="1" applyFill="1" applyBorder="1" applyAlignment="1">
      <alignment horizontal="center" vertical="top" wrapText="1"/>
    </xf>
    <xf numFmtId="2" fontId="13" fillId="0" borderId="0" xfId="0" applyNumberFormat="1" applyFont="1" applyAlignment="1">
      <alignment vertical="center"/>
    </xf>
    <xf numFmtId="2" fontId="14" fillId="20" borderId="10" xfId="0" applyNumberFormat="1" applyFont="1" applyFill="1" applyBorder="1" applyAlignment="1" applyProtection="1">
      <alignment horizontal="center"/>
      <protection locked="0"/>
    </xf>
    <xf numFmtId="0" fontId="6" fillId="0" borderId="12" xfId="0" applyFont="1" applyBorder="1" applyAlignment="1">
      <alignment horizontal="center" vertical="center" textRotation="90"/>
    </xf>
    <xf numFmtId="166" fontId="5" fillId="0" borderId="0" xfId="1" applyFont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166" fontId="3" fillId="5" borderId="10" xfId="1" applyFont="1" applyFill="1" applyBorder="1" applyAlignment="1">
      <alignment horizontal="right" vertical="center"/>
    </xf>
    <xf numFmtId="166" fontId="7" fillId="6" borderId="10" xfId="1" applyFont="1" applyFill="1" applyBorder="1" applyAlignment="1">
      <alignment horizontal="right" vertical="center"/>
    </xf>
    <xf numFmtId="166" fontId="5" fillId="7" borderId="10" xfId="1" applyFont="1" applyFill="1" applyBorder="1" applyAlignment="1">
      <alignment horizontal="right" vertical="center"/>
    </xf>
    <xf numFmtId="166" fontId="5" fillId="10" borderId="10" xfId="1" applyFont="1" applyFill="1" applyBorder="1" applyAlignment="1">
      <alignment horizontal="right" vertical="center"/>
    </xf>
    <xf numFmtId="166" fontId="5" fillId="0" borderId="10" xfId="1" applyFont="1" applyBorder="1" applyAlignment="1">
      <alignment horizontal="right" vertical="center"/>
    </xf>
    <xf numFmtId="166" fontId="5" fillId="0" borderId="10" xfId="1" applyFont="1" applyFill="1" applyBorder="1" applyAlignment="1">
      <alignment horizontal="right" vertical="center"/>
    </xf>
    <xf numFmtId="166" fontId="5" fillId="0" borderId="0" xfId="1" applyFont="1" applyFill="1" applyAlignment="1">
      <alignment horizontal="right" vertical="center"/>
    </xf>
    <xf numFmtId="166" fontId="6" fillId="8" borderId="10" xfId="1" applyFont="1" applyFill="1" applyBorder="1" applyAlignment="1">
      <alignment horizontal="right" vertical="center"/>
    </xf>
    <xf numFmtId="166" fontId="5" fillId="8" borderId="10" xfId="1" applyFont="1" applyFill="1" applyBorder="1" applyAlignment="1">
      <alignment horizontal="right" vertical="center"/>
    </xf>
    <xf numFmtId="166" fontId="6" fillId="9" borderId="7" xfId="1" applyFont="1" applyFill="1" applyBorder="1" applyAlignment="1">
      <alignment horizontal="right" vertical="center"/>
    </xf>
    <xf numFmtId="2" fontId="13" fillId="0" borderId="0" xfId="0" applyNumberFormat="1" applyFont="1" applyAlignment="1">
      <alignment horizontal="center" vertical="center"/>
    </xf>
    <xf numFmtId="2" fontId="13" fillId="0" borderId="1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20" borderId="9" xfId="0" applyNumberFormat="1" applyFont="1" applyFill="1" applyBorder="1" applyAlignment="1" applyProtection="1">
      <alignment horizontal="center"/>
      <protection locked="0"/>
    </xf>
    <xf numFmtId="2" fontId="13" fillId="0" borderId="7" xfId="0" applyNumberFormat="1" applyFont="1" applyBorder="1" applyAlignment="1">
      <alignment vertical="center"/>
    </xf>
    <xf numFmtId="2" fontId="14" fillId="20" borderId="7" xfId="0" applyNumberFormat="1" applyFont="1" applyFill="1" applyBorder="1" applyAlignment="1" applyProtection="1">
      <alignment horizontal="center"/>
      <protection locked="0"/>
    </xf>
    <xf numFmtId="49" fontId="14" fillId="20" borderId="16" xfId="0" applyNumberFormat="1" applyFont="1" applyFill="1" applyBorder="1" applyAlignment="1" applyProtection="1">
      <alignment horizontal="center" vertical="center"/>
    </xf>
    <xf numFmtId="49" fontId="14" fillId="20" borderId="22" xfId="0" applyNumberFormat="1" applyFont="1" applyFill="1" applyBorder="1" applyAlignment="1" applyProtection="1">
      <alignment horizontal="center" vertical="center"/>
    </xf>
    <xf numFmtId="2" fontId="14" fillId="20" borderId="22" xfId="0" applyNumberFormat="1" applyFont="1" applyFill="1" applyBorder="1" applyAlignment="1" applyProtection="1">
      <alignment horizontal="center" vertical="center"/>
    </xf>
    <xf numFmtId="2" fontId="14" fillId="20" borderId="21" xfId="0" applyNumberFormat="1" applyFont="1" applyFill="1" applyBorder="1" applyAlignment="1" applyProtection="1">
      <alignment horizontal="center" vertical="center"/>
    </xf>
    <xf numFmtId="0" fontId="13" fillId="12" borderId="20" xfId="0" applyFont="1" applyFill="1" applyBorder="1" applyAlignment="1">
      <alignment horizontal="left" vertical="center"/>
    </xf>
    <xf numFmtId="0" fontId="0" fillId="12" borderId="15" xfId="0" applyFill="1" applyBorder="1" applyAlignment="1">
      <alignment horizontal="left"/>
    </xf>
    <xf numFmtId="0" fontId="13" fillId="12" borderId="23" xfId="0" applyFont="1" applyFill="1" applyBorder="1" applyAlignment="1">
      <alignment horizontal="left" vertical="center"/>
    </xf>
    <xf numFmtId="2" fontId="13" fillId="12" borderId="19" xfId="0" applyNumberFormat="1" applyFont="1" applyFill="1" applyBorder="1" applyAlignment="1">
      <alignment horizontal="right" vertical="center"/>
    </xf>
    <xf numFmtId="0" fontId="12" fillId="2" borderId="8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top" wrapText="1"/>
    </xf>
    <xf numFmtId="2" fontId="13" fillId="2" borderId="10" xfId="0" applyNumberFormat="1" applyFont="1" applyFill="1" applyBorder="1" applyAlignment="1">
      <alignment horizontal="center" vertical="center"/>
    </xf>
    <xf numFmtId="2" fontId="12" fillId="2" borderId="7" xfId="0" applyNumberFormat="1" applyFont="1" applyFill="1" applyBorder="1" applyAlignment="1">
      <alignment vertical="center"/>
    </xf>
    <xf numFmtId="0" fontId="12" fillId="2" borderId="9" xfId="0" applyFont="1" applyFill="1" applyBorder="1" applyAlignment="1">
      <alignment horizontal="left" vertical="center"/>
    </xf>
    <xf numFmtId="2" fontId="12" fillId="2" borderId="10" xfId="0" applyNumberFormat="1" applyFont="1" applyFill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2" fillId="2" borderId="7" xfId="0" applyNumberFormat="1" applyFont="1" applyFill="1" applyBorder="1" applyAlignment="1">
      <alignment horizontal="center" vertical="center"/>
    </xf>
    <xf numFmtId="2" fontId="13" fillId="2" borderId="7" xfId="0" applyNumberFormat="1" applyFont="1" applyFill="1" applyBorder="1" applyAlignment="1">
      <alignment horizontal="center" vertical="center"/>
    </xf>
    <xf numFmtId="167" fontId="30" fillId="0" borderId="0" xfId="0" applyNumberFormat="1" applyFont="1"/>
    <xf numFmtId="10" fontId="12" fillId="0" borderId="5" xfId="0" applyNumberFormat="1" applyFont="1" applyBorder="1"/>
    <xf numFmtId="0" fontId="30" fillId="0" borderId="0" xfId="0" applyFont="1" applyBorder="1" applyAlignment="1">
      <alignment horizontal="left" vertical="center"/>
    </xf>
    <xf numFmtId="0" fontId="12" fillId="17" borderId="0" xfId="0" applyFont="1" applyFill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167" fontId="30" fillId="0" borderId="0" xfId="0" applyNumberFormat="1" applyFont="1" applyAlignment="1">
      <alignment horizontal="right" vertical="top"/>
    </xf>
    <xf numFmtId="2" fontId="12" fillId="0" borderId="5" xfId="0" applyNumberFormat="1" applyFont="1" applyBorder="1" applyAlignment="1">
      <alignment horizontal="center" vertical="top"/>
    </xf>
    <xf numFmtId="2" fontId="12" fillId="0" borderId="5" xfId="0" applyNumberFormat="1" applyFont="1" applyBorder="1" applyAlignment="1">
      <alignment horizontal="right" vertical="top"/>
    </xf>
    <xf numFmtId="10" fontId="13" fillId="0" borderId="0" xfId="2" applyNumberFormat="1" applyFont="1" applyAlignment="1">
      <alignment horizontal="right" vertical="top"/>
    </xf>
    <xf numFmtId="0" fontId="23" fillId="0" borderId="0" xfId="0" applyFont="1" applyAlignment="1">
      <alignment horizontal="center" vertical="center" wrapText="1"/>
    </xf>
    <xf numFmtId="167" fontId="30" fillId="0" borderId="0" xfId="0" applyNumberFormat="1" applyFont="1" applyAlignment="1">
      <alignment horizontal="right" vertical="center"/>
    </xf>
    <xf numFmtId="0" fontId="17" fillId="0" borderId="0" xfId="0" applyFont="1" applyBorder="1" applyAlignment="1">
      <alignment vertical="center" wrapText="1"/>
    </xf>
    <xf numFmtId="20" fontId="26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66" fontId="13" fillId="0" borderId="0" xfId="1" applyFont="1" applyAlignment="1">
      <alignment horizontal="right" vertical="top"/>
    </xf>
    <xf numFmtId="167" fontId="15" fillId="0" borderId="0" xfId="0" applyNumberFormat="1" applyFont="1" applyFill="1" applyAlignment="1">
      <alignment horizontal="right"/>
    </xf>
    <xf numFmtId="0" fontId="28" fillId="0" borderId="0" xfId="0" applyFont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36" fillId="0" borderId="0" xfId="0" applyFont="1" applyAlignment="1" applyProtection="1">
      <alignment horizontal="center" vertical="center"/>
    </xf>
    <xf numFmtId="167" fontId="28" fillId="0" borderId="0" xfId="0" applyNumberFormat="1" applyFont="1" applyFill="1" applyAlignment="1">
      <alignment horizontal="right"/>
    </xf>
    <xf numFmtId="0" fontId="17" fillId="0" borderId="0" xfId="0" applyFont="1" applyFill="1" applyBorder="1" applyAlignment="1">
      <alignment horizontal="center" vertical="center" wrapText="1"/>
    </xf>
    <xf numFmtId="167" fontId="14" fillId="3" borderId="0" xfId="0" applyNumberFormat="1" applyFont="1" applyFill="1" applyAlignment="1">
      <alignment vertical="center"/>
    </xf>
    <xf numFmtId="0" fontId="28" fillId="0" borderId="0" xfId="0" applyFont="1" applyFill="1" applyAlignment="1">
      <alignment horizontal="right"/>
    </xf>
    <xf numFmtId="2" fontId="36" fillId="0" borderId="0" xfId="0" applyNumberFormat="1" applyFont="1" applyAlignment="1" applyProtection="1">
      <alignment horizontal="center" vertical="center"/>
      <protection locked="0"/>
    </xf>
    <xf numFmtId="2" fontId="14" fillId="3" borderId="0" xfId="0" applyNumberFormat="1" applyFont="1" applyFill="1" applyAlignment="1">
      <alignment vertical="center"/>
    </xf>
    <xf numFmtId="1" fontId="14" fillId="3" borderId="0" xfId="0" applyNumberFormat="1" applyFont="1" applyFill="1" applyAlignment="1">
      <alignment vertical="center"/>
    </xf>
    <xf numFmtId="166" fontId="15" fillId="0" borderId="0" xfId="1" applyFont="1" applyAlignment="1">
      <alignment vertical="center"/>
    </xf>
    <xf numFmtId="166" fontId="28" fillId="0" borderId="0" xfId="0" applyNumberFormat="1" applyFont="1" applyAlignment="1">
      <alignment vertical="center"/>
    </xf>
    <xf numFmtId="166" fontId="13" fillId="0" borderId="0" xfId="1" applyFont="1" applyAlignment="1">
      <alignment horizontal="center" vertical="top"/>
    </xf>
    <xf numFmtId="166" fontId="12" fillId="0" borderId="5" xfId="0" applyNumberFormat="1" applyFont="1" applyBorder="1"/>
    <xf numFmtId="0" fontId="12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167" fontId="26" fillId="0" borderId="0" xfId="1" applyNumberFormat="1" applyFont="1" applyAlignment="1">
      <alignment horizontal="right" vertical="top"/>
    </xf>
    <xf numFmtId="10" fontId="12" fillId="0" borderId="5" xfId="0" applyNumberFormat="1" applyFont="1" applyBorder="1" applyAlignment="1">
      <alignment horizontal="right" vertical="top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20" fontId="35" fillId="0" borderId="0" xfId="0" applyNumberFormat="1" applyFont="1" applyBorder="1" applyAlignment="1">
      <alignment horizontal="center" vertical="center" wrapText="1"/>
    </xf>
    <xf numFmtId="2" fontId="26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7" fontId="26" fillId="0" borderId="0" xfId="1" applyNumberFormat="1" applyFont="1" applyBorder="1" applyAlignment="1">
      <alignment horizontal="right" vertical="center"/>
    </xf>
    <xf numFmtId="0" fontId="12" fillId="17" borderId="17" xfId="0" applyFont="1" applyFill="1" applyBorder="1" applyAlignment="1">
      <alignment vertical="center"/>
    </xf>
    <xf numFmtId="20" fontId="23" fillId="0" borderId="0" xfId="0" quotePrefix="1" applyNumberFormat="1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2" fontId="26" fillId="0" borderId="27" xfId="0" applyNumberFormat="1" applyFont="1" applyBorder="1" applyAlignment="1">
      <alignment horizontal="center" vertical="center"/>
    </xf>
    <xf numFmtId="0" fontId="17" fillId="0" borderId="28" xfId="0" applyFont="1" applyBorder="1" applyAlignment="1">
      <alignment vertical="center" wrapText="1"/>
    </xf>
    <xf numFmtId="2" fontId="26" fillId="0" borderId="29" xfId="0" applyNumberFormat="1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26" fillId="0" borderId="28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24" xfId="0" applyFont="1" applyBorder="1" applyAlignment="1">
      <alignment vertical="center"/>
    </xf>
    <xf numFmtId="0" fontId="26" fillId="0" borderId="25" xfId="0" applyFont="1" applyBorder="1" applyAlignment="1">
      <alignment vertical="center"/>
    </xf>
    <xf numFmtId="21" fontId="26" fillId="0" borderId="0" xfId="0" applyNumberFormat="1" applyFont="1" applyAlignment="1">
      <alignment horizontal="center" vertical="center"/>
    </xf>
    <xf numFmtId="21" fontId="26" fillId="0" borderId="0" xfId="0" applyNumberFormat="1" applyFont="1" applyAlignment="1">
      <alignment vertical="center"/>
    </xf>
    <xf numFmtId="0" fontId="31" fillId="0" borderId="5" xfId="2" applyNumberFormat="1" applyFont="1" applyBorder="1" applyAlignment="1">
      <alignment horizontal="right" vertical="center"/>
    </xf>
    <xf numFmtId="0" fontId="13" fillId="0" borderId="0" xfId="0" applyNumberFormat="1" applyFont="1" applyAlignment="1">
      <alignment horizontal="right" vertical="top"/>
    </xf>
    <xf numFmtId="0" fontId="30" fillId="0" borderId="5" xfId="0" applyFont="1" applyBorder="1" applyAlignment="1">
      <alignment horizontal="center" vertical="top"/>
    </xf>
    <xf numFmtId="10" fontId="30" fillId="0" borderId="5" xfId="0" applyNumberFormat="1" applyFont="1" applyBorder="1" applyAlignment="1">
      <alignment horizontal="right" vertical="top"/>
    </xf>
    <xf numFmtId="2" fontId="30" fillId="0" borderId="5" xfId="0" applyNumberFormat="1" applyFont="1" applyBorder="1" applyAlignment="1">
      <alignment horizontal="right" vertical="top"/>
    </xf>
    <xf numFmtId="0" fontId="37" fillId="0" borderId="2" xfId="0" applyFont="1" applyBorder="1"/>
    <xf numFmtId="167" fontId="37" fillId="0" borderId="2" xfId="1" applyNumberFormat="1" applyFont="1" applyBorder="1" applyAlignment="1">
      <alignment horizontal="right"/>
    </xf>
    <xf numFmtId="0" fontId="23" fillId="0" borderId="0" xfId="0" applyFont="1"/>
    <xf numFmtId="167" fontId="23" fillId="0" borderId="0" xfId="1" applyNumberFormat="1" applyFont="1" applyAlignment="1">
      <alignment horizontal="right"/>
    </xf>
    <xf numFmtId="166" fontId="15" fillId="0" borderId="0" xfId="1" applyFont="1" applyAlignment="1">
      <alignment horizontal="center" vertical="center"/>
    </xf>
    <xf numFmtId="167" fontId="28" fillId="0" borderId="0" xfId="0" applyNumberFormat="1" applyFont="1" applyAlignment="1">
      <alignment vertical="center"/>
    </xf>
    <xf numFmtId="0" fontId="13" fillId="0" borderId="5" xfId="0" applyFont="1" applyBorder="1"/>
    <xf numFmtId="167" fontId="28" fillId="0" borderId="5" xfId="0" applyNumberFormat="1" applyFont="1" applyBorder="1" applyAlignment="1">
      <alignment vertical="center"/>
    </xf>
    <xf numFmtId="0" fontId="30" fillId="0" borderId="5" xfId="0" applyFont="1" applyBorder="1"/>
    <xf numFmtId="0" fontId="13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167" fontId="14" fillId="3" borderId="0" xfId="0" applyNumberFormat="1" applyFont="1" applyFill="1" applyAlignment="1">
      <alignment horizontal="right" vertical="center"/>
    </xf>
    <xf numFmtId="10" fontId="13" fillId="0" borderId="0" xfId="2" applyNumberFormat="1" applyFont="1" applyAlignment="1">
      <alignment horizontal="right"/>
    </xf>
    <xf numFmtId="10" fontId="30" fillId="0" borderId="0" xfId="0" applyNumberFormat="1" applyFont="1" applyAlignment="1">
      <alignment horizontal="right"/>
    </xf>
    <xf numFmtId="10" fontId="14" fillId="3" borderId="0" xfId="2" applyNumberFormat="1" applyFont="1" applyFill="1" applyAlignment="1">
      <alignment horizontal="right" vertical="center"/>
    </xf>
    <xf numFmtId="10" fontId="28" fillId="0" borderId="0" xfId="0" applyNumberFormat="1" applyFont="1" applyAlignment="1">
      <alignment horizontal="right" vertical="center"/>
    </xf>
    <xf numFmtId="166" fontId="28" fillId="0" borderId="5" xfId="1" applyFont="1" applyBorder="1" applyAlignment="1">
      <alignment vertical="center"/>
    </xf>
    <xf numFmtId="166" fontId="15" fillId="0" borderId="0" xfId="1" applyFont="1" applyFill="1" applyBorder="1" applyAlignment="1">
      <alignment vertical="center"/>
    </xf>
    <xf numFmtId="166" fontId="14" fillId="0" borderId="0" xfId="1" applyFont="1" applyBorder="1" applyAlignment="1">
      <alignment horizontal="center" vertical="center" wrapText="1"/>
    </xf>
    <xf numFmtId="164" fontId="13" fillId="0" borderId="0" xfId="1" applyNumberFormat="1" applyFont="1"/>
    <xf numFmtId="164" fontId="14" fillId="3" borderId="0" xfId="1" applyNumberFormat="1" applyFont="1" applyFill="1" applyAlignment="1">
      <alignment vertical="center"/>
    </xf>
    <xf numFmtId="164" fontId="30" fillId="0" borderId="5" xfId="1" applyNumberFormat="1" applyFont="1" applyBorder="1"/>
    <xf numFmtId="10" fontId="28" fillId="0" borderId="5" xfId="2" applyNumberFormat="1" applyFont="1" applyBorder="1" applyAlignment="1">
      <alignment horizontal="right" vertical="center"/>
    </xf>
    <xf numFmtId="164" fontId="30" fillId="0" borderId="0" xfId="0" applyNumberFormat="1" applyFont="1"/>
    <xf numFmtId="167" fontId="13" fillId="0" borderId="0" xfId="1" applyNumberFormat="1" applyFont="1"/>
    <xf numFmtId="164" fontId="28" fillId="0" borderId="0" xfId="0" applyNumberFormat="1" applyFont="1" applyAlignment="1">
      <alignment vertical="center"/>
    </xf>
    <xf numFmtId="1" fontId="28" fillId="0" borderId="0" xfId="0" applyNumberFormat="1" applyFont="1" applyFill="1" applyAlignment="1">
      <alignment horizontal="center" vertical="center"/>
    </xf>
    <xf numFmtId="1" fontId="28" fillId="0" borderId="0" xfId="0" applyNumberFormat="1" applyFont="1" applyAlignment="1">
      <alignment vertical="center"/>
    </xf>
    <xf numFmtId="0" fontId="12" fillId="0" borderId="0" xfId="0" applyNumberFormat="1" applyFont="1" applyBorder="1" applyAlignment="1">
      <alignment vertical="center" wrapText="1"/>
    </xf>
    <xf numFmtId="168" fontId="13" fillId="0" borderId="0" xfId="0" applyNumberFormat="1" applyFont="1" applyAlignment="1">
      <alignment horizontal="left" vertical="center"/>
    </xf>
    <xf numFmtId="0" fontId="12" fillId="17" borderId="0" xfId="0" applyFont="1" applyFill="1" applyBorder="1" applyAlignment="1" applyProtection="1">
      <alignment horizontal="center" vertical="center"/>
    </xf>
    <xf numFmtId="0" fontId="12" fillId="0" borderId="2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27" xfId="0" applyFont="1" applyBorder="1" applyAlignment="1">
      <alignment horizontal="center" vertical="top"/>
    </xf>
    <xf numFmtId="0" fontId="27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4" fillId="0" borderId="3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 wrapText="1"/>
    </xf>
    <xf numFmtId="0" fontId="14" fillId="0" borderId="6" xfId="0" applyFont="1" applyFill="1" applyBorder="1" applyAlignment="1">
      <alignment horizontal="center" wrapText="1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textRotation="90"/>
    </xf>
    <xf numFmtId="166" fontId="5" fillId="0" borderId="0" xfId="1" applyFont="1" applyAlignment="1">
      <alignment horizontal="right" vertic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1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numFmt numFmtId="167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theme="6" tint="0.7999816888943144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rgb="FFFFFF00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theme="7" tint="0.59999389629810485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theme="9" tint="0.79998168889431442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&quot;CHF&quot;\ #,##0.00"/>
      <fill>
        <patternFill patternType="solid">
          <fgColor indexed="64"/>
          <bgColor theme="5" tint="0.79998168889431442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67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  <numFmt numFmtId="167" formatCode="&quot;CHF&quot;\ 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_(* #,##0.00_);_(* \(#,##0.00\);_(* &quot;-&quot;??_);_(@_)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_(* #,##0.00_);_(* \(#,##0.00\);_(* &quot;-&quot;??_);_(@_)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</dxf>
    <dxf>
      <numFmt numFmtId="167" formatCode="&quot;CHF&quot;\ #,##0.0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numFmt numFmtId="2" formatCode="0.0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</font>
    </dxf>
    <dxf>
      <font>
        <b/>
        <i/>
        <strike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5" tint="0.79998168889431442"/>
        </patternFill>
      </fill>
      <alignment horizontal="left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7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67" formatCode="&quot;CHF&quot;\ 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67" formatCode="&quot;CHF&quot;\ 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271798</xdr:colOff>
      <xdr:row>6</xdr:row>
      <xdr:rowOff>28576</xdr:rowOff>
    </xdr:from>
    <xdr:to>
      <xdr:col>12</xdr:col>
      <xdr:colOff>2186324</xdr:colOff>
      <xdr:row>10</xdr:row>
      <xdr:rowOff>38100</xdr:rowOff>
    </xdr:to>
    <xdr:sp macro="[0]!Feuil2.AjouterLigne_Boissons" textlink="">
      <xdr:nvSpPr>
        <xdr:cNvPr id="2" name="Rectangle 1"/>
        <xdr:cNvSpPr>
          <a:spLocks noChangeAspect="1"/>
        </xdr:cNvSpPr>
      </xdr:nvSpPr>
      <xdr:spPr>
        <a:xfrm>
          <a:off x="14121148" y="1400176"/>
          <a:ext cx="1914526" cy="771524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n>
                <a:noFill/>
              </a:ln>
              <a:solidFill>
                <a:schemeClr val="bg1"/>
              </a:solidFill>
            </a:rPr>
            <a:t>+ Ajouter</a:t>
          </a:r>
          <a:r>
            <a:rPr lang="fr-FR" sz="1600" b="1" baseline="0">
              <a:ln>
                <a:noFill/>
              </a:ln>
              <a:solidFill>
                <a:schemeClr val="bg1"/>
              </a:solidFill>
            </a:rPr>
            <a:t> lignes</a:t>
          </a:r>
          <a:br>
            <a:rPr lang="fr-FR" sz="1600" b="1" baseline="0">
              <a:ln>
                <a:noFill/>
              </a:ln>
              <a:solidFill>
                <a:schemeClr val="bg1"/>
              </a:solidFill>
            </a:rPr>
          </a:br>
          <a:r>
            <a:rPr lang="fr-FR" sz="1600" b="1" baseline="0">
              <a:ln>
                <a:noFill/>
              </a:ln>
              <a:solidFill>
                <a:schemeClr val="bg1"/>
              </a:solidFill>
            </a:rPr>
            <a:t>en dessous</a:t>
          </a:r>
          <a:endParaRPr lang="fr-FR" sz="1600" b="1">
            <a:ln>
              <a:noFill/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361950</xdr:colOff>
      <xdr:row>14</xdr:row>
      <xdr:rowOff>104776</xdr:rowOff>
    </xdr:from>
    <xdr:to>
      <xdr:col>12</xdr:col>
      <xdr:colOff>2172750</xdr:colOff>
      <xdr:row>17</xdr:row>
      <xdr:rowOff>76200</xdr:rowOff>
    </xdr:to>
    <xdr:sp macro="[0]!Feuil2.SupprimerLigne_Boissons" textlink="">
      <xdr:nvSpPr>
        <xdr:cNvPr id="3" name="Rectangle 2"/>
        <xdr:cNvSpPr>
          <a:spLocks noChangeAspect="1"/>
        </xdr:cNvSpPr>
      </xdr:nvSpPr>
      <xdr:spPr>
        <a:xfrm>
          <a:off x="13963650" y="3190876"/>
          <a:ext cx="1810800" cy="542924"/>
        </a:xfrm>
        <a:prstGeom prst="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7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Supprimer</a:t>
          </a:r>
          <a:r>
            <a:rPr lang="fr-FR" sz="1400" b="1" baseline="0"/>
            <a:t> lignes de la sélection</a:t>
          </a:r>
          <a:endParaRPr lang="fr-FR" sz="1400" b="1"/>
        </a:p>
      </xdr:txBody>
    </xdr:sp>
    <xdr:clientData/>
  </xdr:twoCellAnchor>
  <xdr:oneCellAnchor>
    <xdr:from>
      <xdr:col>12</xdr:col>
      <xdr:colOff>1076325</xdr:colOff>
      <xdr:row>13</xdr:row>
      <xdr:rowOff>142875</xdr:rowOff>
    </xdr:from>
    <xdr:ext cx="184731" cy="264560"/>
    <xdr:sp macro="" textlink="">
      <xdr:nvSpPr>
        <xdr:cNvPr id="12" name="ZoneTexte 11"/>
        <xdr:cNvSpPr txBox="1"/>
      </xdr:nvSpPr>
      <xdr:spPr>
        <a:xfrm>
          <a:off x="1467802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2762250</xdr:colOff>
      <xdr:row>15</xdr:row>
      <xdr:rowOff>28575</xdr:rowOff>
    </xdr:from>
    <xdr:to>
      <xdr:col>12</xdr:col>
      <xdr:colOff>2867025</xdr:colOff>
      <xdr:row>15</xdr:row>
      <xdr:rowOff>152400</xdr:rowOff>
    </xdr:to>
    <xdr:sp macro="" textlink="">
      <xdr:nvSpPr>
        <xdr:cNvPr id="20" name="Rectangle 6"/>
        <xdr:cNvSpPr>
          <a:spLocks noChangeArrowheads="1"/>
        </xdr:cNvSpPr>
      </xdr:nvSpPr>
      <xdr:spPr bwMode="auto">
        <a:xfrm>
          <a:off x="3686175" y="34671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3009900</xdr:colOff>
      <xdr:row>5</xdr:row>
      <xdr:rowOff>28575</xdr:rowOff>
    </xdr:from>
    <xdr:to>
      <xdr:col>12</xdr:col>
      <xdr:colOff>3162300</xdr:colOff>
      <xdr:row>5</xdr:row>
      <xdr:rowOff>152400</xdr:rowOff>
    </xdr:to>
    <xdr:sp macro="" textlink="">
      <xdr:nvSpPr>
        <xdr:cNvPr id="21" name="Oval 7"/>
        <xdr:cNvSpPr>
          <a:spLocks noChangeArrowheads="1"/>
        </xdr:cNvSpPr>
      </xdr:nvSpPr>
      <xdr:spPr bwMode="auto">
        <a:xfrm>
          <a:off x="3933825" y="18192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6</xdr:row>
      <xdr:rowOff>19050</xdr:rowOff>
    </xdr:from>
    <xdr:to>
      <xdr:col>12</xdr:col>
      <xdr:colOff>3162300</xdr:colOff>
      <xdr:row>6</xdr:row>
      <xdr:rowOff>142875</xdr:rowOff>
    </xdr:to>
    <xdr:sp macro="" textlink="">
      <xdr:nvSpPr>
        <xdr:cNvPr id="22" name="Oval 8"/>
        <xdr:cNvSpPr>
          <a:spLocks noChangeArrowheads="1"/>
        </xdr:cNvSpPr>
      </xdr:nvSpPr>
      <xdr:spPr bwMode="auto">
        <a:xfrm>
          <a:off x="3933825" y="19716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7</xdr:row>
      <xdr:rowOff>9525</xdr:rowOff>
    </xdr:from>
    <xdr:to>
      <xdr:col>12</xdr:col>
      <xdr:colOff>3162300</xdr:colOff>
      <xdr:row>7</xdr:row>
      <xdr:rowOff>133350</xdr:rowOff>
    </xdr:to>
    <xdr:sp macro="" textlink="">
      <xdr:nvSpPr>
        <xdr:cNvPr id="23" name="Oval 9"/>
        <xdr:cNvSpPr>
          <a:spLocks noChangeArrowheads="1"/>
        </xdr:cNvSpPr>
      </xdr:nvSpPr>
      <xdr:spPr bwMode="auto">
        <a:xfrm>
          <a:off x="3933825" y="21240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8</xdr:row>
      <xdr:rowOff>28575</xdr:rowOff>
    </xdr:from>
    <xdr:to>
      <xdr:col>12</xdr:col>
      <xdr:colOff>3162300</xdr:colOff>
      <xdr:row>8</xdr:row>
      <xdr:rowOff>152400</xdr:rowOff>
    </xdr:to>
    <xdr:sp macro="" textlink="">
      <xdr:nvSpPr>
        <xdr:cNvPr id="24" name="Oval 11"/>
        <xdr:cNvSpPr>
          <a:spLocks noChangeArrowheads="1"/>
        </xdr:cNvSpPr>
      </xdr:nvSpPr>
      <xdr:spPr bwMode="auto">
        <a:xfrm>
          <a:off x="3933825" y="230505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2762250</xdr:colOff>
      <xdr:row>16</xdr:row>
      <xdr:rowOff>19050</xdr:rowOff>
    </xdr:from>
    <xdr:to>
      <xdr:col>12</xdr:col>
      <xdr:colOff>2867025</xdr:colOff>
      <xdr:row>16</xdr:row>
      <xdr:rowOff>142875</xdr:rowOff>
    </xdr:to>
    <xdr:sp macro="" textlink="">
      <xdr:nvSpPr>
        <xdr:cNvPr id="25" name="Rectangle 12"/>
        <xdr:cNvSpPr>
          <a:spLocks noChangeArrowheads="1"/>
        </xdr:cNvSpPr>
      </xdr:nvSpPr>
      <xdr:spPr bwMode="auto">
        <a:xfrm>
          <a:off x="3686175" y="36195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2762250</xdr:colOff>
      <xdr:row>17</xdr:row>
      <xdr:rowOff>9525</xdr:rowOff>
    </xdr:from>
    <xdr:to>
      <xdr:col>12</xdr:col>
      <xdr:colOff>2867025</xdr:colOff>
      <xdr:row>17</xdr:row>
      <xdr:rowOff>133350</xdr:rowOff>
    </xdr:to>
    <xdr:sp macro="" textlink="">
      <xdr:nvSpPr>
        <xdr:cNvPr id="26" name="Rectangle 13"/>
        <xdr:cNvSpPr>
          <a:spLocks noChangeArrowheads="1"/>
        </xdr:cNvSpPr>
      </xdr:nvSpPr>
      <xdr:spPr bwMode="auto">
        <a:xfrm>
          <a:off x="3686175" y="37719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2762250</xdr:colOff>
      <xdr:row>18</xdr:row>
      <xdr:rowOff>0</xdr:rowOff>
    </xdr:from>
    <xdr:to>
      <xdr:col>12</xdr:col>
      <xdr:colOff>2867025</xdr:colOff>
      <xdr:row>18</xdr:row>
      <xdr:rowOff>123825</xdr:rowOff>
    </xdr:to>
    <xdr:sp macro="" textlink="">
      <xdr:nvSpPr>
        <xdr:cNvPr id="27" name="Rectangle 14"/>
        <xdr:cNvSpPr>
          <a:spLocks noChangeArrowheads="1"/>
        </xdr:cNvSpPr>
      </xdr:nvSpPr>
      <xdr:spPr bwMode="auto">
        <a:xfrm>
          <a:off x="3686175" y="39243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3152775</xdr:colOff>
      <xdr:row>4</xdr:row>
      <xdr:rowOff>47625</xdr:rowOff>
    </xdr:from>
    <xdr:to>
      <xdr:col>12</xdr:col>
      <xdr:colOff>3305175</xdr:colOff>
      <xdr:row>4</xdr:row>
      <xdr:rowOff>171450</xdr:rowOff>
    </xdr:to>
    <xdr:sp macro="" textlink="">
      <xdr:nvSpPr>
        <xdr:cNvPr id="28" name="Oval 15"/>
        <xdr:cNvSpPr>
          <a:spLocks noChangeArrowheads="1"/>
        </xdr:cNvSpPr>
      </xdr:nvSpPr>
      <xdr:spPr bwMode="auto">
        <a:xfrm>
          <a:off x="13420725" y="125730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47</xdr:row>
      <xdr:rowOff>47625</xdr:rowOff>
    </xdr:from>
    <xdr:to>
      <xdr:col>12</xdr:col>
      <xdr:colOff>3133725</xdr:colOff>
      <xdr:row>47</xdr:row>
      <xdr:rowOff>171450</xdr:rowOff>
    </xdr:to>
    <xdr:sp macro="" textlink="">
      <xdr:nvSpPr>
        <xdr:cNvPr id="29" name="Oval 16"/>
        <xdr:cNvSpPr>
          <a:spLocks noChangeArrowheads="1"/>
        </xdr:cNvSpPr>
      </xdr:nvSpPr>
      <xdr:spPr bwMode="auto">
        <a:xfrm>
          <a:off x="3905250" y="893445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46</xdr:row>
      <xdr:rowOff>47625</xdr:rowOff>
    </xdr:from>
    <xdr:to>
      <xdr:col>12</xdr:col>
      <xdr:colOff>3133725</xdr:colOff>
      <xdr:row>46</xdr:row>
      <xdr:rowOff>171450</xdr:rowOff>
    </xdr:to>
    <xdr:sp macro="" textlink="">
      <xdr:nvSpPr>
        <xdr:cNvPr id="30" name="Oval 17"/>
        <xdr:cNvSpPr>
          <a:spLocks noChangeArrowheads="1"/>
        </xdr:cNvSpPr>
      </xdr:nvSpPr>
      <xdr:spPr bwMode="auto">
        <a:xfrm>
          <a:off x="3905250" y="87534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46</xdr:row>
      <xdr:rowOff>47625</xdr:rowOff>
    </xdr:from>
    <xdr:to>
      <xdr:col>12</xdr:col>
      <xdr:colOff>3133725</xdr:colOff>
      <xdr:row>46</xdr:row>
      <xdr:rowOff>171450</xdr:rowOff>
    </xdr:to>
    <xdr:sp macro="" textlink="">
      <xdr:nvSpPr>
        <xdr:cNvPr id="31" name="Oval 18"/>
        <xdr:cNvSpPr>
          <a:spLocks noChangeArrowheads="1"/>
        </xdr:cNvSpPr>
      </xdr:nvSpPr>
      <xdr:spPr bwMode="auto">
        <a:xfrm>
          <a:off x="3905250" y="87534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3076575</xdr:colOff>
      <xdr:row>33</xdr:row>
      <xdr:rowOff>161925</xdr:rowOff>
    </xdr:from>
    <xdr:to>
      <xdr:col>12</xdr:col>
      <xdr:colOff>3152775</xdr:colOff>
      <xdr:row>34</xdr:row>
      <xdr:rowOff>180975</xdr:rowOff>
    </xdr:to>
    <xdr:sp macro="" textlink="">
      <xdr:nvSpPr>
        <xdr:cNvPr id="32" name="Rectangle 19"/>
        <xdr:cNvSpPr>
          <a:spLocks noChangeArrowheads="1"/>
        </xdr:cNvSpPr>
      </xdr:nvSpPr>
      <xdr:spPr bwMode="auto">
        <a:xfrm>
          <a:off x="4000500" y="6791325"/>
          <a:ext cx="7620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3086100</xdr:colOff>
      <xdr:row>35</xdr:row>
      <xdr:rowOff>47625</xdr:rowOff>
    </xdr:from>
    <xdr:to>
      <xdr:col>12</xdr:col>
      <xdr:colOff>3162300</xdr:colOff>
      <xdr:row>36</xdr:row>
      <xdr:rowOff>0</xdr:rowOff>
    </xdr:to>
    <xdr:sp macro="" textlink="">
      <xdr:nvSpPr>
        <xdr:cNvPr id="33" name="Rectangle 21"/>
        <xdr:cNvSpPr>
          <a:spLocks noChangeArrowheads="1"/>
        </xdr:cNvSpPr>
      </xdr:nvSpPr>
      <xdr:spPr bwMode="auto">
        <a:xfrm>
          <a:off x="4010025" y="7058025"/>
          <a:ext cx="762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2990850</xdr:colOff>
      <xdr:row>69</xdr:row>
      <xdr:rowOff>38100</xdr:rowOff>
    </xdr:from>
    <xdr:to>
      <xdr:col>12</xdr:col>
      <xdr:colOff>3143250</xdr:colOff>
      <xdr:row>69</xdr:row>
      <xdr:rowOff>161925</xdr:rowOff>
    </xdr:to>
    <xdr:sp macro="" textlink="">
      <xdr:nvSpPr>
        <xdr:cNvPr id="34" name="Oval 22"/>
        <xdr:cNvSpPr>
          <a:spLocks noChangeArrowheads="1"/>
        </xdr:cNvSpPr>
      </xdr:nvSpPr>
      <xdr:spPr bwMode="auto">
        <a:xfrm>
          <a:off x="3914775" y="115728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2990850</xdr:colOff>
      <xdr:row>62</xdr:row>
      <xdr:rowOff>47625</xdr:rowOff>
    </xdr:from>
    <xdr:to>
      <xdr:col>12</xdr:col>
      <xdr:colOff>3143250</xdr:colOff>
      <xdr:row>62</xdr:row>
      <xdr:rowOff>171450</xdr:rowOff>
    </xdr:to>
    <xdr:sp macro="" textlink="">
      <xdr:nvSpPr>
        <xdr:cNvPr id="35" name="Oval 23"/>
        <xdr:cNvSpPr>
          <a:spLocks noChangeArrowheads="1"/>
        </xdr:cNvSpPr>
      </xdr:nvSpPr>
      <xdr:spPr bwMode="auto">
        <a:xfrm>
          <a:off x="3914775" y="1196340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2933700</xdr:colOff>
      <xdr:row>61</xdr:row>
      <xdr:rowOff>57150</xdr:rowOff>
    </xdr:from>
    <xdr:to>
      <xdr:col>12</xdr:col>
      <xdr:colOff>3143250</xdr:colOff>
      <xdr:row>61</xdr:row>
      <xdr:rowOff>133350</xdr:rowOff>
    </xdr:to>
    <xdr:sp macro="" textlink="">
      <xdr:nvSpPr>
        <xdr:cNvPr id="36" name="Rectangle 24"/>
        <xdr:cNvSpPr>
          <a:spLocks noChangeArrowheads="1"/>
        </xdr:cNvSpPr>
      </xdr:nvSpPr>
      <xdr:spPr bwMode="auto">
        <a:xfrm>
          <a:off x="3857625" y="11782425"/>
          <a:ext cx="20955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2990850</xdr:colOff>
      <xdr:row>60</xdr:row>
      <xdr:rowOff>38100</xdr:rowOff>
    </xdr:from>
    <xdr:to>
      <xdr:col>12</xdr:col>
      <xdr:colOff>3143250</xdr:colOff>
      <xdr:row>60</xdr:row>
      <xdr:rowOff>161925</xdr:rowOff>
    </xdr:to>
    <xdr:sp macro="" textlink="">
      <xdr:nvSpPr>
        <xdr:cNvPr id="37" name="Oval 27"/>
        <xdr:cNvSpPr>
          <a:spLocks noChangeArrowheads="1"/>
        </xdr:cNvSpPr>
      </xdr:nvSpPr>
      <xdr:spPr bwMode="auto">
        <a:xfrm>
          <a:off x="3914775" y="113823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544500</xdr:colOff>
      <xdr:row>1</xdr:row>
      <xdr:rowOff>5953</xdr:rowOff>
    </xdr:from>
    <xdr:to>
      <xdr:col>10</xdr:col>
      <xdr:colOff>746100</xdr:colOff>
      <xdr:row>2</xdr:row>
      <xdr:rowOff>30956</xdr:rowOff>
    </xdr:to>
    <xdr:sp macro="[0]!Feuil3.Ajouter_lignesMatériel" textlink="">
      <xdr:nvSpPr>
        <xdr:cNvPr id="2" name="Croix 1"/>
        <xdr:cNvSpPr>
          <a:spLocks noChangeAspect="1"/>
        </xdr:cNvSpPr>
      </xdr:nvSpPr>
      <xdr:spPr>
        <a:xfrm>
          <a:off x="94218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544500</xdr:colOff>
      <xdr:row>2</xdr:row>
      <xdr:rowOff>152400</xdr:rowOff>
    </xdr:from>
    <xdr:to>
      <xdr:col>10</xdr:col>
      <xdr:colOff>744521</xdr:colOff>
      <xdr:row>3</xdr:row>
      <xdr:rowOff>7619</xdr:rowOff>
    </xdr:to>
    <xdr:sp macro="[0]!Feuil3.SupprimerLignes_Matériel" textlink="">
      <xdr:nvSpPr>
        <xdr:cNvPr id="3" name="Rectangle 2"/>
        <xdr:cNvSpPr>
          <a:spLocks noChangeAspect="1"/>
        </xdr:cNvSpPr>
      </xdr:nvSpPr>
      <xdr:spPr>
        <a:xfrm>
          <a:off x="94218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544500</xdr:colOff>
      <xdr:row>1</xdr:row>
      <xdr:rowOff>5953</xdr:rowOff>
    </xdr:from>
    <xdr:to>
      <xdr:col>11</xdr:col>
      <xdr:colOff>746100</xdr:colOff>
      <xdr:row>2</xdr:row>
      <xdr:rowOff>30956</xdr:rowOff>
    </xdr:to>
    <xdr:sp macro="[0]!Feuil4.Ajouter_lignesMobilier" textlink="">
      <xdr:nvSpPr>
        <xdr:cNvPr id="5" name="Croix 4"/>
        <xdr:cNvSpPr>
          <a:spLocks noChangeAspect="1"/>
        </xdr:cNvSpPr>
      </xdr:nvSpPr>
      <xdr:spPr>
        <a:xfrm>
          <a:off x="94218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544500</xdr:colOff>
      <xdr:row>2</xdr:row>
      <xdr:rowOff>152400</xdr:rowOff>
    </xdr:from>
    <xdr:to>
      <xdr:col>11</xdr:col>
      <xdr:colOff>744521</xdr:colOff>
      <xdr:row>3</xdr:row>
      <xdr:rowOff>7619</xdr:rowOff>
    </xdr:to>
    <xdr:sp macro="[0]!Feuil4.SuppressionLignes_Mobilier" textlink="">
      <xdr:nvSpPr>
        <xdr:cNvPr id="6" name="Rectangle 5"/>
        <xdr:cNvSpPr>
          <a:spLocks noChangeAspect="1"/>
        </xdr:cNvSpPr>
      </xdr:nvSpPr>
      <xdr:spPr>
        <a:xfrm>
          <a:off x="94218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544500</xdr:colOff>
      <xdr:row>2</xdr:row>
      <xdr:rowOff>5953</xdr:rowOff>
    </xdr:from>
    <xdr:to>
      <xdr:col>11</xdr:col>
      <xdr:colOff>746100</xdr:colOff>
      <xdr:row>3</xdr:row>
      <xdr:rowOff>30956</xdr:rowOff>
    </xdr:to>
    <xdr:sp macro="[0]!Feuil5.Ajouter_lignesPersonnel" textlink="">
      <xdr:nvSpPr>
        <xdr:cNvPr id="2" name="Croix 1"/>
        <xdr:cNvSpPr>
          <a:spLocks noChangeAspect="1"/>
        </xdr:cNvSpPr>
      </xdr:nvSpPr>
      <xdr:spPr>
        <a:xfrm>
          <a:off x="100314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544500</xdr:colOff>
      <xdr:row>3</xdr:row>
      <xdr:rowOff>152400</xdr:rowOff>
    </xdr:from>
    <xdr:to>
      <xdr:col>11</xdr:col>
      <xdr:colOff>744521</xdr:colOff>
      <xdr:row>4</xdr:row>
      <xdr:rowOff>7619</xdr:rowOff>
    </xdr:to>
    <xdr:sp macro="[0]!Feuil5.SuppressionLignes_Personnel" textlink="">
      <xdr:nvSpPr>
        <xdr:cNvPr id="3" name="Rectangle 2"/>
        <xdr:cNvSpPr>
          <a:spLocks noChangeAspect="1"/>
        </xdr:cNvSpPr>
      </xdr:nvSpPr>
      <xdr:spPr>
        <a:xfrm>
          <a:off x="100314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573055</xdr:colOff>
      <xdr:row>3</xdr:row>
      <xdr:rowOff>28575</xdr:rowOff>
    </xdr:from>
    <xdr:to>
      <xdr:col>11</xdr:col>
      <xdr:colOff>774655</xdr:colOff>
      <xdr:row>4</xdr:row>
      <xdr:rowOff>53578</xdr:rowOff>
    </xdr:to>
    <xdr:sp macro="[0]!Feuil6.Ajouter_lignesLogistique" textlink="">
      <xdr:nvSpPr>
        <xdr:cNvPr id="2" name="Croix 1"/>
        <xdr:cNvSpPr>
          <a:spLocks noChangeAspect="1"/>
        </xdr:cNvSpPr>
      </xdr:nvSpPr>
      <xdr:spPr>
        <a:xfrm>
          <a:off x="11269630" y="800100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573055</xdr:colOff>
      <xdr:row>4</xdr:row>
      <xdr:rowOff>175022</xdr:rowOff>
    </xdr:from>
    <xdr:to>
      <xdr:col>11</xdr:col>
      <xdr:colOff>773076</xdr:colOff>
      <xdr:row>5</xdr:row>
      <xdr:rowOff>30241</xdr:rowOff>
    </xdr:to>
    <xdr:sp macro="[0]!Feuil6.SuppressionLignes_Logistique" textlink="">
      <xdr:nvSpPr>
        <xdr:cNvPr id="3" name="Rectangle 2"/>
        <xdr:cNvSpPr>
          <a:spLocks noChangeAspect="1"/>
        </xdr:cNvSpPr>
      </xdr:nvSpPr>
      <xdr:spPr>
        <a:xfrm>
          <a:off x="11269630" y="1137047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1</xdr:row>
          <xdr:rowOff>171450</xdr:rowOff>
        </xdr:from>
        <xdr:to>
          <xdr:col>5</xdr:col>
          <xdr:colOff>466725</xdr:colOff>
          <xdr:row>5</xdr:row>
          <xdr:rowOff>95250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Supprimer lignes vides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(!!Définitif!!)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vd/sites/dlig/gastro/sp/Catering%20Services/Costing_ba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MVD_Catering/Offres%20menus%202020/Costing%20menu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ing"/>
      <sheetName val="Salé"/>
      <sheetName val="Sucré"/>
      <sheetName val="Boisson, vins"/>
      <sheetName val="Matériel"/>
      <sheetName val="Assortiment_base"/>
      <sheetName val="Feuil1"/>
      <sheetName val="Feuil2"/>
    </sheetNames>
    <sheetDataSet>
      <sheetData sheetId="0"/>
      <sheetData sheetId="1"/>
      <sheetData sheetId="2">
        <row r="1">
          <cell r="A1" t="str">
            <v>Cocktail Sucré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</row>
        <row r="2">
          <cell r="A2" t="str">
            <v>Pain party long mi-blanc, 10 à 12 personnes</v>
          </cell>
          <cell r="B2" t="str">
            <v>Pain base de farine blanche</v>
          </cell>
          <cell r="C2">
            <v>7.1</v>
          </cell>
          <cell r="D2">
            <v>19</v>
          </cell>
          <cell r="E2" t="str">
            <v>Centrale</v>
          </cell>
        </row>
        <row r="3">
          <cell r="A3" t="str">
            <v>Pain party long crusta, 10 à 12 personnes, 1 kg</v>
          </cell>
          <cell r="B3" t="str">
            <v>Pain à base de farine de blé avec seigle, épeautre, graine de tournesol</v>
          </cell>
          <cell r="C3">
            <v>7.4</v>
          </cell>
          <cell r="D3">
            <v>21</v>
          </cell>
          <cell r="E3" t="str">
            <v>Centrale</v>
          </cell>
        </row>
        <row r="4">
          <cell r="A4" t="str">
            <v>Ballon mi blanc</v>
          </cell>
          <cell r="B4" t="str">
            <v>Ballon à base de farine mi-blanche</v>
          </cell>
          <cell r="C4">
            <v>0.37</v>
          </cell>
          <cell r="D4">
            <v>0.8</v>
          </cell>
          <cell r="E4" t="str">
            <v>Centrale</v>
          </cell>
        </row>
        <row r="5">
          <cell r="A5" t="str">
            <v>Ballon paysan</v>
          </cell>
          <cell r="B5" t="str">
            <v>Ballon à base de farine de froment et seigle</v>
          </cell>
          <cell r="C5">
            <v>0.53</v>
          </cell>
          <cell r="D5">
            <v>0.9</v>
          </cell>
          <cell r="E5" t="str">
            <v>Centrale</v>
          </cell>
        </row>
        <row r="6">
          <cell r="A6" t="str">
            <v>Petit pain carré rustique</v>
          </cell>
          <cell r="B6">
            <v>0</v>
          </cell>
          <cell r="C6">
            <v>0.34</v>
          </cell>
          <cell r="D6">
            <v>0.8</v>
          </cell>
          <cell r="E6" t="str">
            <v>PHENE</v>
          </cell>
        </row>
        <row r="7">
          <cell r="A7" t="str">
            <v>Pain pointe mi-blanc</v>
          </cell>
          <cell r="B7">
            <v>0</v>
          </cell>
          <cell r="C7">
            <v>0.41</v>
          </cell>
          <cell r="D7">
            <v>1</v>
          </cell>
          <cell r="E7" t="str">
            <v>Centrale</v>
          </cell>
        </row>
        <row r="8">
          <cell r="A8" t="str">
            <v>Pain multigrains</v>
          </cell>
          <cell r="B8">
            <v>0</v>
          </cell>
          <cell r="C8">
            <v>0.55000000000000004</v>
          </cell>
          <cell r="D8">
            <v>1.5</v>
          </cell>
          <cell r="E8" t="str">
            <v>Centrale</v>
          </cell>
        </row>
        <row r="9">
          <cell r="A9" t="str">
            <v>Ballon mi-blanc (roll blanc)</v>
          </cell>
          <cell r="B9">
            <v>0</v>
          </cell>
          <cell r="C9">
            <v>0.35</v>
          </cell>
          <cell r="D9">
            <v>1</v>
          </cell>
          <cell r="E9" t="str">
            <v>POULY</v>
          </cell>
        </row>
        <row r="10">
          <cell r="A10" t="str">
            <v>Pain en forme de grappe mi-blanc, environ 15 personnes</v>
          </cell>
          <cell r="B10" t="str">
            <v>Pain à base de farine mi blanche, décoré</v>
          </cell>
          <cell r="C10">
            <v>12.24</v>
          </cell>
          <cell r="D10">
            <v>28</v>
          </cell>
          <cell r="E10" t="str">
            <v>Centrale</v>
          </cell>
        </row>
        <row r="11">
          <cell r="A11" t="str">
            <v>Pain en forme de grappe paysanne, environ 15 personnes</v>
          </cell>
          <cell r="B11" t="str">
            <v>Pain à base de farine de froment et seigle</v>
          </cell>
          <cell r="C11">
            <v>12.24</v>
          </cell>
          <cell r="D11">
            <v>26</v>
          </cell>
          <cell r="E11" t="str">
            <v>Centrale</v>
          </cell>
        </row>
        <row r="12">
          <cell r="A12" t="str">
            <v>Plat de fruits</v>
          </cell>
          <cell r="B12">
            <v>0</v>
          </cell>
          <cell r="C12">
            <v>15</v>
          </cell>
          <cell r="D12">
            <v>32</v>
          </cell>
          <cell r="E12" t="str">
            <v>Centrale</v>
          </cell>
        </row>
        <row r="13">
          <cell r="A13" t="str">
            <v>Mini brochette de fruits exotiques, plateau de 30 pièces</v>
          </cell>
          <cell r="B13" t="str">
            <v>Ananas, kiwi, mangue</v>
          </cell>
          <cell r="C13">
            <v>13</v>
          </cell>
          <cell r="D13">
            <v>32.5</v>
          </cell>
          <cell r="E13" t="str">
            <v>Sylvain and Co</v>
          </cell>
        </row>
        <row r="14">
          <cell r="A14" t="str">
            <v>Assortiment de petits fours "Envies sucrées", plateau de 53 pièces</v>
          </cell>
          <cell r="B14" t="str">
            <v>Tartelette au chocolat, flan abricot, carré pomme-cassis, mini-éclair café, mini-éclair au chocolat, rectangle pistache, financier framboise, carré opéra, tartelette citron</v>
          </cell>
          <cell r="C14">
            <v>40.35</v>
          </cell>
          <cell r="D14">
            <v>105</v>
          </cell>
          <cell r="E14" t="str">
            <v>PHENE</v>
          </cell>
        </row>
        <row r="15">
          <cell r="A15" t="str">
            <v>Assortiment de petits fours "Haute couture", plateau de 48 pièces</v>
          </cell>
          <cell r="B15" t="str">
            <v>Monts Blancs, lingots chocolat caramel, financiers croquants, mokas café spéculoos, Saint-Honoré, lingots citron, tatin pomme coings, tartelettes au chocolat</v>
          </cell>
          <cell r="C15">
            <v>57.6</v>
          </cell>
          <cell r="D15">
            <v>158</v>
          </cell>
          <cell r="E15" t="str">
            <v>PHENE</v>
          </cell>
        </row>
        <row r="16">
          <cell r="A16" t="str">
            <v>Assortiment de petits fours "Tradition", plateau de 48 pièces</v>
          </cell>
          <cell r="B16" t="str">
            <v>Sablés au chocolat, fraisiers, opéras, éclairs au chocolat, financiers à la framboise, almondines au citron, tartelettes au caramel</v>
          </cell>
          <cell r="C16">
            <v>37.57</v>
          </cell>
          <cell r="D16">
            <v>125</v>
          </cell>
          <cell r="E16" t="str">
            <v>PHENE</v>
          </cell>
        </row>
        <row r="17">
          <cell r="A17" t="str">
            <v xml:space="preserve">Assortiment de petits fours "Prestige", plateau de 48 pièces </v>
          </cell>
          <cell r="B17" t="str">
            <v>carrés chocolat, sablés dôme framboise, éclairs mara, cheesecakes, gâteaux au chocolat/caramel, almondines, lingots marron, coupelles chocolat/fruits rouges</v>
          </cell>
          <cell r="C17">
            <v>43.09</v>
          </cell>
          <cell r="D17">
            <v>105</v>
          </cell>
          <cell r="E17" t="str">
            <v>PHENE</v>
          </cell>
        </row>
        <row r="18">
          <cell r="A18" t="str">
            <v>Assortiment de Mini Choux, plateau de 54 pièces</v>
          </cell>
          <cell r="B18" t="str">
            <v>Chocolat, vanille, pistache, nougat, cassis et noisette</v>
          </cell>
          <cell r="C18">
            <v>36.720000000000006</v>
          </cell>
          <cell r="D18">
            <v>90</v>
          </cell>
          <cell r="E18" t="str">
            <v>BOLAY</v>
          </cell>
        </row>
        <row r="19">
          <cell r="A19" t="str">
            <v>Pop Mini Eclairs, plateau de 24 pièces</v>
          </cell>
          <cell r="B19" t="str">
            <v>Citron meringué, framboise-cassis, crème brûlée, chocolat-orange</v>
          </cell>
          <cell r="C19">
            <v>20.16</v>
          </cell>
          <cell r="D19">
            <v>50</v>
          </cell>
          <cell r="E19" t="str">
            <v>BOLAY</v>
          </cell>
        </row>
        <row r="20">
          <cell r="A20" t="str">
            <v>Petits Fours Harmonie des Saveurs, plateau de 50 pièces</v>
          </cell>
          <cell r="B20" t="str">
            <v>Tartelette ananas exotique; Entremet citron noisettes; Chou vanille; Tartelette chocolat thé fruits rouges; Mousseux café; Chou noisette caracrakine; Macaron passion framboise; Crémeux vanille griotte; Dunette pomme caramel</v>
          </cell>
          <cell r="C20">
            <v>42.5</v>
          </cell>
          <cell r="D20">
            <v>120</v>
          </cell>
          <cell r="E20" t="str">
            <v>BOLAY</v>
          </cell>
        </row>
        <row r="21">
          <cell r="A21" t="str">
            <v>Assortiment de Sucettes Pâtissières, plateau de 48 pièces</v>
          </cell>
          <cell r="B21" t="str">
            <v>Sucette chocolat gingembre passion, Sucette chocolat lait ci-tron vert, Sucette chocolat vanille, Sucette cannelle groseille, Sucette chocolat café, Sucette vanille griotte</v>
          </cell>
          <cell r="C21">
            <v>45.599999999999994</v>
          </cell>
          <cell r="D21">
            <v>126</v>
          </cell>
          <cell r="E21" t="str">
            <v>BOLAY</v>
          </cell>
        </row>
        <row r="22">
          <cell r="A22" t="str">
            <v>Bande truffé chocolat framboise</v>
          </cell>
          <cell r="B22" t="str">
            <v>Biscuit amande cacao, ganache, chocolat noir, framboises</v>
          </cell>
          <cell r="C22">
            <v>22.22</v>
          </cell>
          <cell r="D22">
            <v>55</v>
          </cell>
          <cell r="E22" t="str">
            <v>PHENE</v>
          </cell>
        </row>
        <row r="23">
          <cell r="A23" t="str">
            <v xml:space="preserve">Bande Tiramisu </v>
          </cell>
          <cell r="B23" t="str">
            <v>Biscuit amande imbibé d'un sirop café et de mousse mascarpone</v>
          </cell>
          <cell r="C23">
            <v>23.33</v>
          </cell>
          <cell r="D23">
            <v>60</v>
          </cell>
          <cell r="E23" t="str">
            <v>PHENE</v>
          </cell>
        </row>
        <row r="24">
          <cell r="A24" t="str">
            <v>Bande Opéra</v>
          </cell>
          <cell r="B24" t="str">
            <v>Biscuit amande imbibé de café, crème au beurre salé, ganache chocolat, glaçage chocolat</v>
          </cell>
          <cell r="C24">
            <v>21.98</v>
          </cell>
          <cell r="D24">
            <v>55</v>
          </cell>
          <cell r="E24" t="str">
            <v>PHENE</v>
          </cell>
        </row>
        <row r="25">
          <cell r="A25" t="str">
            <v>Bande fruits rouges</v>
          </cell>
          <cell r="B25" t="str">
            <v>Mousse fruits rouges, génoise imbibée de sirop, gélifié de framboises</v>
          </cell>
          <cell r="C25">
            <v>16.48</v>
          </cell>
          <cell r="D25">
            <v>45</v>
          </cell>
          <cell r="E25" t="str">
            <v>PHENE</v>
          </cell>
        </row>
        <row r="26">
          <cell r="A26" t="str">
            <v>Bande exotique</v>
          </cell>
          <cell r="B26" t="str">
            <v>Mousse mangue passion, génoise imbibée de sirop, gélifié de mangue passion</v>
          </cell>
          <cell r="C26">
            <v>16.48</v>
          </cell>
          <cell r="D26">
            <v>45</v>
          </cell>
          <cell r="E26" t="str">
            <v>PHENE</v>
          </cell>
        </row>
        <row r="27">
          <cell r="A27" t="str">
            <v>Bande poire caramel</v>
          </cell>
          <cell r="B27" t="str">
            <v>Succès amande, bavaroise caramel au beurre salé, cubes de poires, biscuit chocolat</v>
          </cell>
          <cell r="C27">
            <v>15.93</v>
          </cell>
          <cell r="D27">
            <v>40</v>
          </cell>
          <cell r="E27" t="str">
            <v>PHENE</v>
          </cell>
        </row>
        <row r="28">
          <cell r="A28" t="str">
            <v>Café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 t="str">
            <v>Croissants pur beurre</v>
          </cell>
          <cell r="B29">
            <v>0</v>
          </cell>
          <cell r="C29">
            <v>0.73</v>
          </cell>
          <cell r="D29">
            <v>1.3</v>
          </cell>
          <cell r="E29" t="str">
            <v>POULY</v>
          </cell>
        </row>
        <row r="30">
          <cell r="A30" t="str">
            <v>Pain au chocolat</v>
          </cell>
          <cell r="B30">
            <v>0</v>
          </cell>
          <cell r="C30">
            <v>1.17</v>
          </cell>
          <cell r="D30">
            <v>1.5</v>
          </cell>
          <cell r="E30" t="str">
            <v>POULY</v>
          </cell>
        </row>
        <row r="31">
          <cell r="A31" t="str">
            <v>Pain aux raisins</v>
          </cell>
          <cell r="B31">
            <v>0</v>
          </cell>
          <cell r="C31">
            <v>1.22</v>
          </cell>
          <cell r="D31">
            <v>2.4</v>
          </cell>
          <cell r="E31" t="str">
            <v>POULY</v>
          </cell>
        </row>
        <row r="32">
          <cell r="A32" t="str">
            <v>Mini croissants pur beurre</v>
          </cell>
          <cell r="B32">
            <v>0</v>
          </cell>
          <cell r="C32">
            <v>0.83</v>
          </cell>
          <cell r="D32">
            <v>1.1000000000000001</v>
          </cell>
          <cell r="E32" t="str">
            <v>POULY</v>
          </cell>
        </row>
        <row r="33">
          <cell r="A33" t="str">
            <v>Mini pain au chocolat</v>
          </cell>
          <cell r="B33">
            <v>0</v>
          </cell>
          <cell r="C33">
            <v>0.83</v>
          </cell>
          <cell r="D33">
            <v>1.3</v>
          </cell>
          <cell r="E33" t="str">
            <v>POULY</v>
          </cell>
        </row>
        <row r="34">
          <cell r="A34" t="str">
            <v>Mini pain aux raisins</v>
          </cell>
          <cell r="B34">
            <v>0</v>
          </cell>
          <cell r="C34">
            <v>0.9</v>
          </cell>
          <cell r="D34">
            <v>1.7</v>
          </cell>
          <cell r="E34" t="str">
            <v>POULY</v>
          </cell>
        </row>
        <row r="35">
          <cell r="A35" t="str">
            <v>Croissants pur beurre</v>
          </cell>
          <cell r="B35">
            <v>0</v>
          </cell>
          <cell r="C35">
            <v>0.71</v>
          </cell>
          <cell r="D35">
            <v>1.3</v>
          </cell>
          <cell r="E35" t="str">
            <v>PHENE</v>
          </cell>
        </row>
        <row r="36">
          <cell r="A36" t="str">
            <v>Pain au chocolat</v>
          </cell>
          <cell r="B36">
            <v>0</v>
          </cell>
          <cell r="C36">
            <v>0.77</v>
          </cell>
          <cell r="D36">
            <v>1.5</v>
          </cell>
          <cell r="E36" t="str">
            <v>PHENE</v>
          </cell>
        </row>
        <row r="37">
          <cell r="A37" t="str">
            <v>Pain aux raisins</v>
          </cell>
          <cell r="B37">
            <v>0</v>
          </cell>
          <cell r="C37">
            <v>1.24</v>
          </cell>
          <cell r="D37">
            <v>2.4</v>
          </cell>
          <cell r="E37" t="str">
            <v>PHENE</v>
          </cell>
        </row>
        <row r="38">
          <cell r="A38" t="str">
            <v>Mini tresse au beurre</v>
          </cell>
          <cell r="B38">
            <v>0</v>
          </cell>
          <cell r="C38">
            <v>1.1599999999999999</v>
          </cell>
          <cell r="D38">
            <v>2.4</v>
          </cell>
          <cell r="E38" t="str">
            <v>BOLAY</v>
          </cell>
        </row>
        <row r="39">
          <cell r="A39" t="str">
            <v>Mini croissants pur beurre</v>
          </cell>
          <cell r="B39">
            <v>0</v>
          </cell>
          <cell r="C39">
            <v>0.39</v>
          </cell>
          <cell r="D39">
            <v>1.1000000000000001</v>
          </cell>
          <cell r="E39" t="str">
            <v>PHENE</v>
          </cell>
        </row>
        <row r="40">
          <cell r="A40" t="str">
            <v>Mini pain au chocolat</v>
          </cell>
          <cell r="B40">
            <v>0</v>
          </cell>
          <cell r="C40">
            <v>0.38</v>
          </cell>
          <cell r="D40">
            <v>1.3</v>
          </cell>
          <cell r="E40" t="str">
            <v>PHENE</v>
          </cell>
        </row>
        <row r="41">
          <cell r="A41" t="str">
            <v>Mini pain aux raisins</v>
          </cell>
          <cell r="B41">
            <v>0</v>
          </cell>
          <cell r="C41">
            <v>0.48</v>
          </cell>
          <cell r="D41">
            <v>1.7</v>
          </cell>
          <cell r="E41" t="str">
            <v>PHENE</v>
          </cell>
        </row>
        <row r="42">
          <cell r="A42">
            <v>0</v>
          </cell>
          <cell r="B42" t="str">
            <v>Boissons</v>
          </cell>
          <cell r="C42">
            <v>0</v>
          </cell>
          <cell r="D42">
            <v>0</v>
          </cell>
          <cell r="E42">
            <v>0</v>
          </cell>
        </row>
        <row r="43">
          <cell r="A43" t="str">
            <v>Pain en forme de grappe mi-blanc, environ 15 personnes</v>
          </cell>
          <cell r="B43" t="str">
            <v>Pain à base de farine mi blanche, décoré</v>
          </cell>
          <cell r="C43">
            <v>12.24</v>
          </cell>
          <cell r="D43">
            <v>28</v>
          </cell>
          <cell r="E43" t="str">
            <v>Centrale</v>
          </cell>
        </row>
        <row r="44">
          <cell r="A44" t="str">
            <v>Pain en forme de grappe paysanne, environ 15 personnes</v>
          </cell>
          <cell r="B44" t="str">
            <v>Pain à base de farine de froment et seigle</v>
          </cell>
          <cell r="C44">
            <v>12.24</v>
          </cell>
          <cell r="D44">
            <v>26</v>
          </cell>
          <cell r="E44" t="str">
            <v>Centrale</v>
          </cell>
        </row>
        <row r="45">
          <cell r="A45" t="str">
            <v>Pain pointe mi-blanc</v>
          </cell>
          <cell r="B45">
            <v>0</v>
          </cell>
          <cell r="C45">
            <v>0.41</v>
          </cell>
          <cell r="D45">
            <v>1</v>
          </cell>
          <cell r="E45" t="str">
            <v>Centrale</v>
          </cell>
        </row>
        <row r="46">
          <cell r="A46" t="str">
            <v>Pain multigrains</v>
          </cell>
          <cell r="B46">
            <v>0</v>
          </cell>
          <cell r="C46">
            <v>0.55000000000000004</v>
          </cell>
          <cell r="D46">
            <v>1.5</v>
          </cell>
          <cell r="E46" t="str">
            <v>Centrale</v>
          </cell>
        </row>
        <row r="47">
          <cell r="A47" t="str">
            <v>Petit pain carré rustique</v>
          </cell>
          <cell r="B47">
            <v>0</v>
          </cell>
          <cell r="C47">
            <v>0.34</v>
          </cell>
          <cell r="D47">
            <v>0.8</v>
          </cell>
          <cell r="E47" t="str">
            <v>PHENE</v>
          </cell>
        </row>
        <row r="48">
          <cell r="A48" t="str">
            <v>Café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 t="str">
            <v>Croissants pur beurre</v>
          </cell>
          <cell r="B49">
            <v>0</v>
          </cell>
          <cell r="C49">
            <v>0.71</v>
          </cell>
          <cell r="D49">
            <v>1.3</v>
          </cell>
          <cell r="E49" t="str">
            <v>PHENE</v>
          </cell>
        </row>
        <row r="50">
          <cell r="A50" t="str">
            <v>Pain au chocolat</v>
          </cell>
          <cell r="B50">
            <v>0</v>
          </cell>
          <cell r="C50">
            <v>0.77</v>
          </cell>
          <cell r="D50">
            <v>1.5</v>
          </cell>
          <cell r="E50" t="str">
            <v>PHENE</v>
          </cell>
        </row>
        <row r="51">
          <cell r="A51" t="str">
            <v>Pain aux raisins</v>
          </cell>
          <cell r="B51">
            <v>0</v>
          </cell>
          <cell r="C51">
            <v>1.24</v>
          </cell>
          <cell r="D51">
            <v>2.4</v>
          </cell>
          <cell r="E51" t="str">
            <v>PHENE</v>
          </cell>
        </row>
        <row r="52">
          <cell r="A52" t="str">
            <v>Mini tresse au beurre</v>
          </cell>
          <cell r="B52">
            <v>0</v>
          </cell>
          <cell r="C52">
            <v>1.1599999999999999</v>
          </cell>
          <cell r="D52">
            <v>2.4</v>
          </cell>
          <cell r="E52" t="str">
            <v>BOLAY</v>
          </cell>
        </row>
        <row r="53">
          <cell r="A53" t="str">
            <v>Mini croissants pur beurre</v>
          </cell>
          <cell r="B53">
            <v>0</v>
          </cell>
          <cell r="C53">
            <v>0.39</v>
          </cell>
          <cell r="D53">
            <v>1.1000000000000001</v>
          </cell>
          <cell r="E53" t="str">
            <v>PHENE</v>
          </cell>
        </row>
        <row r="54">
          <cell r="A54" t="str">
            <v>Mini pain au chocolat</v>
          </cell>
          <cell r="B54">
            <v>0</v>
          </cell>
          <cell r="C54">
            <v>0.38</v>
          </cell>
          <cell r="D54">
            <v>1.3</v>
          </cell>
          <cell r="E54" t="str">
            <v>PHENE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ing"/>
      <sheetName val="Entrées"/>
      <sheetName val="Plat"/>
      <sheetName val="Dessert"/>
      <sheetName val="personnel"/>
      <sheetName val="Costing menu (003)"/>
    </sheetNames>
    <sheetDataSet>
      <sheetData sheetId="0"/>
      <sheetData sheetId="1">
        <row r="1">
          <cell r="B1" t="str">
            <v>Intitulé</v>
          </cell>
        </row>
      </sheetData>
      <sheetData sheetId="2">
        <row r="1">
          <cell r="B1" t="str">
            <v>Atriaux, sauce au vin rouge</v>
          </cell>
        </row>
      </sheetData>
      <sheetData sheetId="3">
        <row r="1">
          <cell r="B1" t="str">
            <v>Baba à la vanille, citron vert et yuzu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5" name="Base_données_Boissons" displayName="Base_données_Boissons" ref="N5:S36" totalsRowShown="0" headerRowDxfId="160" tableBorderDxfId="159">
  <autoFilter ref="N5:S36"/>
  <tableColumns count="6">
    <tableColumn id="1" name="Désignation" dataDxfId="158"/>
    <tableColumn id="2" name="PA" dataDxfId="157"/>
    <tableColumn id="3" name="PV" dataDxfId="156"/>
    <tableColumn id="4" name="DL/pax" dataDxfId="155"/>
    <tableColumn id="5" name="Capacité" dataDxfId="154"/>
    <tableColumn id="6" name="Unité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id="17" name="Boissons_2" displayName="Boissons_2" ref="A5:L20" totalsRowShown="0" headerRowDxfId="153" headerRowCellStyle="Milliers">
  <autoFilter ref="A5:L20"/>
  <tableColumns count="12">
    <tableColumn id="1" name="Désignation" dataDxfId="152"/>
    <tableColumn id="2" name="Quantité départ" dataDxfId="151"/>
    <tableColumn id="3" name="Quantité finale" dataDxfId="150"/>
    <tableColumn id="4" name="A facturer" dataDxfId="149">
      <calculatedColumnFormula>IF($B$1="Non",Boissons_2[[#This Row],[Quantité finale]],0)</calculatedColumnFormula>
    </tableColumn>
    <tableColumn id="5" name="Unité" dataDxfId="148"/>
    <tableColumn id="6" name="Tarif" dataDxfId="147"/>
    <tableColumn id="7" name="Total" dataDxfId="146"/>
    <tableColumn id="8" name="Colonne1" dataDxfId="145"/>
    <tableColumn id="9" name="PA" dataDxfId="144"/>
    <tableColumn id="10" name="Total Achat" dataDxfId="143" dataCellStyle="Milliers"/>
    <tableColumn id="11" name="Marge _x000a_CHF" dataDxfId="142" dataCellStyle="Milliers"/>
    <tableColumn id="12" name="Marge_x000a_%" dataDxfId="141" dataCellStyle="Pourcentage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0" name="BaseDonnées" displayName="BaseDonnées" ref="L4:P81" totalsRowCount="1" totalsRowDxfId="138" headerRowBorderDxfId="140" tableBorderDxfId="139" totalsRowBorderDxfId="137">
  <autoFilter ref="L4:P80"/>
  <tableColumns count="5">
    <tableColumn id="1" name="Quantité" totalsRowLabel="Total PA" dataDxfId="136" totalsRowDxfId="135"/>
    <tableColumn id="2" name="Vaisselle" totalsRowDxfId="134"/>
    <tableColumn id="3" name="PA/unité" dataDxfId="133" totalsRowDxfId="132"/>
    <tableColumn id="5" name="PV/unité" dataDxfId="131" totalsRowDxfId="130">
      <calculatedColumnFormula>ROUNDUP(+BaseDonnées[[#This Row],[PA/unité]]*2,0)</calculatedColumnFormula>
    </tableColumn>
    <tableColumn id="4" name="PA Total" totalsRowFunction="sum" dataDxfId="129" totalsRowDxfId="1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Matériel" displayName="Matériel" ref="A3:J5" totalsRowCount="1" headerRowDxfId="127" totalsRowDxfId="126">
  <autoFilter ref="A3:J4"/>
  <tableColumns count="10">
    <tableColumn id="1" name="Désignation" totalsRowLabel="Sous-total" dataDxfId="125" totalsRowDxfId="124"/>
    <tableColumn id="2" name="Quantité " totalsRowDxfId="123"/>
    <tableColumn id="3" name="Unité" dataDxfId="122" totalsRowDxfId="121">
      <calculatedColumnFormula>+IF(B4=1,"Pièce","Pièces")</calculatedColumnFormula>
    </tableColumn>
    <tableColumn id="4" name="Tarif" dataDxfId="120" totalsRowDxfId="119">
      <calculatedColumnFormula>+IF($B$1="Oui",+IFERROR(IFERROR(VLOOKUP(Matériel[[#This Row],[Désignation]],BaseDonnées[[#All],[Vaisselle]:[PA Total]],3,FALSE),""),""),0)</calculatedColumnFormula>
    </tableColumn>
    <tableColumn id="5" name="Total CHF" totalsRowFunction="sum" dataDxfId="118" totalsRowDxfId="117">
      <calculatedColumnFormula>Matériel[[#This Row],[Quantité ]]*Matériel[[#This Row],[Tarif]]</calculatedColumnFormula>
    </tableColumn>
    <tableColumn id="6" name="Colonne1" totalsRowDxfId="116"/>
    <tableColumn id="7" name="Colonne2" totalsRowDxfId="115"/>
    <tableColumn id="8" name="Total Achat" totalsRowFunction="sum" totalsRowDxfId="114" dataCellStyle="Milliers">
      <calculatedColumnFormula>+IF($B$1="Oui",+IFERROR(IFERROR(VLOOKUP(Matériel[[#This Row],[Désignation]],BaseDonnées[[#All],[Vaisselle]:[PA Total]],2,FALSE),""),""),0)</calculatedColumnFormula>
    </tableColumn>
    <tableColumn id="9" name="Marge _x000a_CHF" totalsRowFunction="custom" dataDxfId="113" totalsRowDxfId="112" dataCellStyle="Milliers">
      <calculatedColumnFormula>+Matériel[[#This Row],[Total CHF]]-Matériel[[#This Row],[Total Achat]]</calculatedColumnFormula>
      <totalsRowFormula>+Matériel[[#Totals],[Total CHF]]-Matériel[[#Totals],[Total Achat]]</totalsRowFormula>
    </tableColumn>
    <tableColumn id="10" name="Marge_x000a_%" totalsRowFunction="custom" dataDxfId="111" totalsRowDxfId="110">
      <calculatedColumnFormula>Matériel[[#This Row],[Marge 
CHF]]/Matériel[[#This Row],[Total CHF]]</calculatedColumnFormula>
      <totalsRowFormula>Matériel[[#Totals],[Marge 
CHF]]/Matériel[[#Totals],[Total CHF]]</totalsRow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1" name="Mobilier" displayName="Mobilier" ref="A3:K6" totalsRowCount="1" headerRowDxfId="109">
  <autoFilter ref="A3:K5"/>
  <tableColumns count="11">
    <tableColumn id="1" name="Désignation" totalsRowLabel="Sous-total" totalsRowDxfId="108"/>
    <tableColumn id="2" name="Quantité " dataDxfId="107" totalsRowDxfId="106"/>
    <tableColumn id="3" name="Unité" dataDxfId="105" totalsRowDxfId="104">
      <calculatedColumnFormula>+IF(Mobilier[[#This Row],[Désignation]]&gt;1,"Pièces","Pièce")</calculatedColumnFormula>
    </tableColumn>
    <tableColumn id="4" name="Tarif" dataDxfId="103" totalsRowDxfId="102"/>
    <tableColumn id="5" name="Total CHF" totalsRowFunction="custom" dataDxfId="101" totalsRowDxfId="100" dataCellStyle="Milliers">
      <calculatedColumnFormula>Mobilier[[#This Row],[Quantité ]]*Mobilier[Tarif]</calculatedColumnFormula>
      <totalsRowFormula>IF($B$1="Oui",SUBTOTAL(109,Mobilier[Total CHF]),0)</totalsRowFormula>
    </tableColumn>
    <tableColumn id="6" name="Colonne1" dataDxfId="99" totalsRowDxfId="98" dataCellStyle="Milliers"/>
    <tableColumn id="7" name="Colonne2" dataDxfId="97" totalsRowDxfId="96"/>
    <tableColumn id="8" name="PA" totalsRowFunction="custom" dataDxfId="95" totalsRowDxfId="94">
      <totalsRowFormula>IF($B$1="Oui",SUBTOTAL(109,Mobilier[PA]),0)</totalsRowFormula>
    </tableColumn>
    <tableColumn id="9" name="Total Achat" totalsRowFunction="custom" dataDxfId="93" totalsRowDxfId="92">
      <calculatedColumnFormula>+Mobilier[[#This Row],[Quantité ]]*Mobilier[[#This Row],[PA]]</calculatedColumnFormula>
      <totalsRowFormula>IF($B$1="Oui",SUBTOTAL(109,Mobilier[Total Achat]),0)</totalsRowFormula>
    </tableColumn>
    <tableColumn id="10" name="Marge CHF" totalsRowFunction="custom" dataDxfId="91" totalsRowDxfId="90">
      <calculatedColumnFormula>+Mobilier[[#This Row],[Total CHF]]-Mobilier[[#This Row],[Total Achat]]</calculatedColumnFormula>
      <totalsRowFormula>IF($B$1="Oui",Mobilier[[#Totals],[Total CHF]]-Mobilier[[#Totals],[Total Achat]],0)</totalsRowFormula>
    </tableColumn>
    <tableColumn id="11" name="Marge_x000a_%" totalsRowFunction="custom" dataDxfId="89" totalsRowDxfId="88" dataCellStyle="Milliers">
      <calculatedColumnFormula>+Mobilier[[#This Row],[Marge CHF]]/Mobilier[[#This Row],[Total CHF]]</calculatedColumnFormula>
      <totalsRowFormula>IF($B$1="Oui",(Mobilier[[#Totals],[Marge CHF]]/Mobilier[[#Totals],[Total Achat]]),0)</totalsRowFormula>
    </tableColumn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id="13" name="Personnel" displayName="Personnel" ref="A3:I11" totalsRowCount="1" headerRowDxfId="87">
  <autoFilter ref="A3:I10"/>
  <tableColumns count="9">
    <tableColumn id="9" name="Colonne1" totalsRowLabel="Sous-total" dataDxfId="86" totalsRowDxfId="85"/>
    <tableColumn id="1" name="Désignation" dataDxfId="84" totalsRowDxfId="83">
      <calculatedColumnFormula>+IF($A4&gt;1,"aides de cuisine","aide de cuisine")</calculatedColumnFormula>
    </tableColumn>
    <tableColumn id="2" name="De" dataDxfId="82" totalsRowDxfId="81"/>
    <tableColumn id="3" name="Colonne2" dataDxfId="80" totalsRowDxfId="79">
      <calculatedColumnFormula>+$D$1</calculatedColumnFormula>
    </tableColumn>
    <tableColumn id="4" name="A" dataDxfId="78" totalsRowDxfId="77"/>
    <tableColumn id="5" name="Quantité " dataDxfId="76" totalsRowDxfId="75">
      <calculatedColumnFormula>IF(Personnel[[#This Row],[A]]&lt;0.2,(Personnel[[#This Row],[Colonne1]]*(1+(Personnel[[#This Row],[A]]-Personnel[[#This Row],[De]]))*24),(Personnel[[#This Row],[Colonne1]]*(Personnel[[#This Row],[A]]-Personnel[[#This Row],[De]])*24))</calculatedColumnFormula>
    </tableColumn>
    <tableColumn id="6" name="Unité" dataDxfId="74" totalsRowDxfId="73">
      <calculatedColumnFormula>+IF(Personnel[[#This Row],[Quantité ]]=1,"Heure","Heures")</calculatedColumnFormula>
    </tableColumn>
    <tableColumn id="7" name="Tarif" dataDxfId="72" totalsRowDxfId="71">
      <calculatedColumnFormula>+IFERROR(IFERROR(VLOOKUP(Personnel[[#This Row],[Désignation]],$V$1:$W$16,2,FALSE),""),"")</calculatedColumnFormula>
    </tableColumn>
    <tableColumn id="8" name="Total CHF" totalsRowFunction="sum" dataDxfId="70" totalsRowDxfId="69" dataCellStyle="Milliers">
      <calculatedColumnFormula>+IF($C$1="Oui",+Personnel[[#This Row],[Quantité ]]*Personnel[[#This Row],[Tarif]],"")</calculatedColumnFormula>
    </tableColumn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id="21" name="Logistique" displayName="Logistique" ref="A3:K7" totalsRowCount="1" headerRowDxfId="68">
  <autoFilter ref="A3:K6"/>
  <tableColumns count="11">
    <tableColumn id="1" name="Désignation" totalsRowLabel="Sous-total" dataDxfId="67" totalsRowDxfId="66"/>
    <tableColumn id="2" name="Quantité " dataDxfId="65" totalsRowDxfId="64"/>
    <tableColumn id="3" name="Unité" dataDxfId="63" totalsRowDxfId="62">
      <calculatedColumnFormula>+IF(B4&gt;1,"Forfaits","Forfait")</calculatedColumnFormula>
    </tableColumn>
    <tableColumn id="4" name="Tarif" dataDxfId="61" totalsRowDxfId="60"/>
    <tableColumn id="5" name="Total CHF" totalsRowFunction="sum" dataDxfId="59" totalsRowDxfId="58" dataCellStyle="Milliers">
      <calculatedColumnFormula>+IF($B$1="Oui",Logistique[[#This Row],[Quantité ]]*Logistique[[#This Row],[Tarif]],0)</calculatedColumnFormula>
    </tableColumn>
    <tableColumn id="6" name="Colonne1" dataDxfId="57" totalsRowDxfId="56" dataCellStyle="Milliers"/>
    <tableColumn id="7" name="Colonne2" dataDxfId="55" totalsRowDxfId="54"/>
    <tableColumn id="8" name="PA" dataDxfId="53" totalsRowDxfId="52"/>
    <tableColumn id="9" name="Total Achat" totalsRowFunction="sum" dataDxfId="51" totalsRowDxfId="50">
      <calculatedColumnFormula>+IF($B$1="Oui",B4*H4,0)</calculatedColumnFormula>
    </tableColumn>
    <tableColumn id="10" name="Marge _x000a_CHF" totalsRowFunction="sum" dataDxfId="49" totalsRowDxfId="48">
      <calculatedColumnFormula>+E4-I4</calculatedColumnFormula>
    </tableColumn>
    <tableColumn id="11" name="Marge_x000a_%" totalsRowFunction="custom" dataDxfId="47" totalsRowDxfId="46" dataCellStyle="Milliers">
      <calculatedColumnFormula>+Logistique[[#This Row],[Marge 
CHF]]/Logistique[[#This Row],[Total CHF]]</calculatedColumnFormula>
      <totalsRowFormula>+Logistique[[#Totals],[Marge 
CHF]]/Logistique[[#Totals],[Total CHF]]</totalsRowFormula>
    </tableColumn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id="12" name="Récap" displayName="Récap" ref="A1:B10" totalsRowShown="0">
  <autoFilter ref="A1:B10">
    <filterColumn colId="0" hiddenButton="1"/>
    <filterColumn colId="1" hiddenButton="1"/>
  </autoFilter>
  <tableColumns count="2">
    <tableColumn id="1" name="Désignation" dataDxfId="45"/>
    <tableColumn id="2" name="Total" dataDxfId="44" dataCellStyle="Milliers"/>
  </tableColumns>
  <tableStyleInfo showFirstColumn="0" showLastColumn="0" showRowStripes="0" showColumnStripes="0"/>
</table>
</file>

<file path=xl/tables/table9.xml><?xml version="1.0" encoding="utf-8"?>
<table xmlns="http://schemas.openxmlformats.org/spreadsheetml/2006/main" id="1" name="Entrées" displayName="Entrées" ref="B1:C127" totalsRowShown="0">
  <autoFilter ref="B1:C127"/>
  <sortState ref="B2:C97">
    <sortCondition ref="B1:B97"/>
  </sortState>
  <tableColumns count="2">
    <tableColumn id="1" name="Intitulé">
      <calculatedColumnFormula>+[2]!Entrées[[#This Row],[Intitulé]]</calculatedColumnFormula>
    </tableColumn>
    <tableColumn id="2" name="Prix de revient" dataDxfId="43">
      <calculatedColumnFormula>+[2]!Entrées[[#This Row],[Prix de revient]]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" name="Viandes" displayName="Viandes" ref="B1:C90" totalsRowShown="0" headerRowDxfId="42" dataDxfId="41">
  <autoFilter ref="B1:C90"/>
  <sortState ref="A2:C90">
    <sortCondition ref="B1:B90"/>
  </sortState>
  <tableColumns count="2">
    <tableColumn id="2" name="Intitulé" dataDxfId="40">
      <calculatedColumnFormula>+[2]!Viandes[[#This Row],[Intitulé]]</calculatedColumnFormula>
    </tableColumn>
    <tableColumn id="3" name="Prix de revient" dataDxfId="39">
      <calculatedColumnFormula>+[2]!Viandes[[#This Row],[Prix de revient]]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Poissons" displayName="Poissons" ref="B91:C144" totalsRowShown="0" headerRowDxfId="38" dataDxfId="37">
  <autoFilter ref="B91:C144"/>
  <sortState ref="B92:C144">
    <sortCondition descending="1" ref="B91:B144"/>
  </sortState>
  <tableColumns count="2">
    <tableColumn id="2" name="Intitulé" dataDxfId="36">
      <calculatedColumnFormula>+[2]!Poissons[[#This Row],[Intitulé]]</calculatedColumnFormula>
    </tableColumn>
    <tableColumn id="3" name="Prix de revient" dataDxfId="35">
      <calculatedColumnFormula>+[2]!Poissons[[#This Row],[Prix de revient]]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" name="Végétarien" displayName="Végétarien" ref="B145:C185" totalsRowShown="0" headerRowDxfId="34" dataDxfId="33">
  <autoFilter ref="B145:C185"/>
  <tableColumns count="2">
    <tableColumn id="2" name="Intitulé" dataDxfId="32">
      <calculatedColumnFormula>+[2]!Végétarien[[#This Row],[Intitulé]]</calculatedColumnFormula>
    </tableColumn>
    <tableColumn id="3" name="Prix de revient" dataDxfId="31">
      <calculatedColumnFormula>+[2]!Végétarien[[#This Row],[Prix de revient]]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6" name="Féculents" displayName="Féculents" ref="B211:C281" totalsRowShown="0" headerRowDxfId="30" dataDxfId="29">
  <autoFilter ref="B211:C281"/>
  <tableColumns count="2">
    <tableColumn id="2" name="Intitulé" dataDxfId="28">
      <calculatedColumnFormula>+[2]!Féculents[[#This Row],[Intitulé]]</calculatedColumnFormula>
    </tableColumn>
    <tableColumn id="3" name="Prix de revient" dataDxfId="27">
      <calculatedColumnFormula>+[2]!Féculents[[#This Row],[Prix de revient]]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Légumes" displayName="Légumes" ref="B282:C375" totalsRowShown="0" headerRowDxfId="26" dataDxfId="25">
  <autoFilter ref="B282:C375"/>
  <tableColumns count="2">
    <tableColumn id="2" name="Intitulé" dataDxfId="24">
      <calculatedColumnFormula>+[2]!Légumes[[#This Row],[Intitulé]]</calculatedColumnFormula>
    </tableColumn>
    <tableColumn id="3" name="Prix de revient" dataDxfId="23">
      <calculatedColumnFormula>+[2]!Légumes[[#This Row],[Prix de revient]]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9" name="Saison" displayName="Saison" ref="B186:C210" totalsRowShown="0">
  <autoFilter ref="B186:C210"/>
  <tableColumns count="2">
    <tableColumn id="2" name="Intitulé" dataDxfId="22">
      <calculatedColumnFormula>+[2]!Saison[[#This Row],[Intitulé]]</calculatedColumnFormula>
    </tableColumn>
    <tableColumn id="3" name="Prix de revient" dataDxfId="21">
      <calculatedColumnFormula>+[2]!Saison[[#This Row],[Prix de revient]]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" name="Desserts" displayName="Desserts" ref="B1:C60" totalsRowShown="0">
  <autoFilter ref="B1:C60"/>
  <tableColumns count="2">
    <tableColumn id="2" name="Intitulé">
      <calculatedColumnFormula>+[2]!Desserts[[#This Row],[Colonne1]]</calculatedColumnFormula>
    </tableColumn>
    <tableColumn id="3" name="Prix de revient" dataDxfId="20">
      <calculatedColumnFormula>+[2]!Desserts[[#This Row],[Colonne2]]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5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7.xml"/><Relationship Id="rId4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8.xml"/><Relationship Id="rId5" Type="http://schemas.openxmlformats.org/officeDocument/2006/relationships/table" Target="../tables/table8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71"/>
  <sheetViews>
    <sheetView workbookViewId="0">
      <selection activeCell="E4" sqref="E4"/>
    </sheetView>
  </sheetViews>
  <sheetFormatPr baseColWidth="10" defaultRowHeight="14.25"/>
  <cols>
    <col min="1" max="1" width="27.7109375" style="70" bestFit="1" customWidth="1"/>
    <col min="2" max="2" width="6.7109375" style="70" customWidth="1"/>
    <col min="3" max="3" width="21.85546875" style="70" customWidth="1"/>
    <col min="4" max="16384" width="11.42578125" style="70"/>
  </cols>
  <sheetData>
    <row r="1" spans="1:13" s="49" customFormat="1" ht="15">
      <c r="A1" s="64"/>
      <c r="B1" s="64"/>
      <c r="C1" s="65"/>
      <c r="D1" s="57"/>
      <c r="E1" s="66"/>
      <c r="F1" s="64"/>
      <c r="G1" s="66"/>
      <c r="H1" s="64"/>
      <c r="I1" s="64"/>
      <c r="J1" s="64"/>
      <c r="K1" s="48"/>
    </row>
    <row r="2" spans="1:13" s="49" customFormat="1" ht="15">
      <c r="A2" s="50" t="s">
        <v>6</v>
      </c>
      <c r="B2" s="51" t="s">
        <v>137</v>
      </c>
      <c r="C2" s="51"/>
      <c r="D2" s="51"/>
      <c r="E2" s="66"/>
      <c r="F2" s="64"/>
      <c r="G2" s="66"/>
      <c r="H2" s="64"/>
      <c r="I2" s="64"/>
      <c r="L2" s="52"/>
      <c r="M2" s="55"/>
    </row>
    <row r="3" spans="1:13" s="49" customFormat="1" ht="15">
      <c r="A3" s="50"/>
      <c r="B3" s="50"/>
      <c r="C3" s="51"/>
      <c r="D3" s="51"/>
      <c r="E3" s="66"/>
      <c r="F3" s="64"/>
      <c r="G3" s="66"/>
      <c r="H3" s="64"/>
      <c r="I3" s="64"/>
      <c r="L3" s="52"/>
      <c r="M3" s="55"/>
    </row>
    <row r="4" spans="1:13" s="49" customFormat="1" ht="15">
      <c r="A4" s="50" t="s">
        <v>20</v>
      </c>
      <c r="B4" s="53">
        <v>100</v>
      </c>
      <c r="C4" s="51" t="s">
        <v>21</v>
      </c>
      <c r="D4" s="51"/>
      <c r="E4" s="66"/>
      <c r="F4" s="64"/>
      <c r="G4" s="66"/>
      <c r="H4" s="64"/>
      <c r="I4" s="64"/>
      <c r="L4" s="52"/>
      <c r="M4" s="55"/>
    </row>
    <row r="5" spans="1:13" s="49" customFormat="1" ht="15">
      <c r="A5" s="50"/>
      <c r="B5" s="50"/>
      <c r="C5" s="51"/>
      <c r="D5" s="51"/>
      <c r="E5" s="66"/>
      <c r="F5" s="64"/>
      <c r="G5" s="66"/>
      <c r="H5" s="64"/>
      <c r="I5" s="64"/>
      <c r="J5" s="67"/>
      <c r="K5" s="52"/>
      <c r="L5" s="52"/>
      <c r="M5" s="55"/>
    </row>
    <row r="6" spans="1:13" s="49" customFormat="1" ht="15">
      <c r="A6" s="48" t="s">
        <v>7</v>
      </c>
      <c r="B6" s="373">
        <v>43987</v>
      </c>
      <c r="C6" s="373"/>
      <c r="D6" s="54"/>
      <c r="E6" s="54"/>
      <c r="F6" s="64"/>
      <c r="G6" s="66"/>
      <c r="H6" s="64"/>
      <c r="I6" s="64"/>
      <c r="J6" s="67"/>
      <c r="K6" s="55"/>
      <c r="L6" s="55"/>
      <c r="M6" s="55"/>
    </row>
    <row r="7" spans="1:13" s="49" customFormat="1" ht="15">
      <c r="A7" s="48"/>
      <c r="D7" s="56"/>
      <c r="E7" s="57"/>
      <c r="F7" s="64"/>
      <c r="G7" s="66"/>
      <c r="H7" s="64"/>
      <c r="I7" s="64"/>
      <c r="J7" s="67"/>
      <c r="K7" s="55"/>
      <c r="L7" s="55"/>
      <c r="M7" s="55"/>
    </row>
    <row r="8" spans="1:13" s="49" customFormat="1" ht="15">
      <c r="A8" s="48" t="s">
        <v>12</v>
      </c>
      <c r="B8" s="48" t="s">
        <v>13</v>
      </c>
      <c r="C8" s="48"/>
      <c r="D8" s="57"/>
      <c r="E8" s="57"/>
      <c r="F8" s="64"/>
      <c r="G8" s="66"/>
      <c r="H8" s="64"/>
      <c r="I8" s="64"/>
      <c r="J8" s="67"/>
      <c r="K8" s="55"/>
      <c r="L8" s="55"/>
      <c r="M8" s="55"/>
    </row>
    <row r="9" spans="1:13" s="49" customFormat="1" ht="15">
      <c r="B9" s="49" t="s">
        <v>8</v>
      </c>
      <c r="D9" s="57"/>
      <c r="E9" s="57"/>
      <c r="F9" s="64"/>
      <c r="G9" s="66"/>
      <c r="H9" s="64"/>
      <c r="I9" s="64"/>
      <c r="J9" s="67"/>
      <c r="K9" s="52"/>
      <c r="L9" s="58"/>
      <c r="M9" s="55"/>
    </row>
    <row r="10" spans="1:13" s="49" customFormat="1">
      <c r="B10" s="49" t="s">
        <v>9</v>
      </c>
      <c r="D10" s="54"/>
      <c r="E10" s="51"/>
      <c r="F10" s="64"/>
      <c r="G10" s="66"/>
      <c r="H10" s="64"/>
      <c r="I10" s="64"/>
      <c r="J10" s="67"/>
      <c r="K10" s="55"/>
      <c r="L10" s="55"/>
      <c r="M10" s="55"/>
    </row>
    <row r="11" spans="1:13" s="49" customFormat="1">
      <c r="D11" s="57"/>
      <c r="E11" s="57"/>
      <c r="F11" s="64"/>
      <c r="G11" s="66"/>
      <c r="H11" s="64"/>
      <c r="I11" s="64"/>
      <c r="J11" s="67"/>
      <c r="K11" s="55"/>
      <c r="L11" s="55"/>
      <c r="M11" s="55"/>
    </row>
    <row r="12" spans="1:13" s="49" customFormat="1" ht="15">
      <c r="A12" s="48" t="s">
        <v>11</v>
      </c>
      <c r="B12" s="59" t="s">
        <v>18</v>
      </c>
      <c r="C12" s="59"/>
      <c r="D12" s="57"/>
      <c r="E12" s="51"/>
      <c r="F12" s="64"/>
      <c r="G12" s="66"/>
      <c r="H12" s="64"/>
      <c r="I12" s="64"/>
      <c r="J12" s="67"/>
      <c r="K12" s="55"/>
      <c r="L12" s="55"/>
      <c r="M12" s="55"/>
    </row>
    <row r="13" spans="1:13" s="49" customFormat="1">
      <c r="B13" s="49" t="s">
        <v>14</v>
      </c>
      <c r="D13" s="57"/>
      <c r="E13" s="51"/>
      <c r="F13" s="64"/>
      <c r="G13" s="66"/>
      <c r="H13" s="64"/>
      <c r="I13" s="64"/>
      <c r="J13" s="67"/>
      <c r="K13" s="55"/>
      <c r="L13" s="58"/>
      <c r="M13" s="55"/>
    </row>
    <row r="14" spans="1:13" s="49" customFormat="1">
      <c r="B14" s="49" t="s">
        <v>15</v>
      </c>
      <c r="D14" s="57"/>
      <c r="E14" s="66"/>
      <c r="F14" s="64"/>
      <c r="G14" s="66"/>
      <c r="H14" s="64"/>
      <c r="I14" s="64"/>
      <c r="J14" s="67"/>
      <c r="K14" s="55"/>
      <c r="L14" s="55"/>
      <c r="M14" s="55"/>
    </row>
    <row r="15" spans="1:13" s="49" customFormat="1" ht="15">
      <c r="B15" s="49" t="s">
        <v>16</v>
      </c>
      <c r="D15" s="57"/>
      <c r="E15" s="66"/>
      <c r="F15" s="64"/>
      <c r="G15" s="66"/>
      <c r="H15" s="68"/>
      <c r="I15" s="64"/>
      <c r="J15" s="67"/>
      <c r="K15" s="55"/>
      <c r="L15" s="55"/>
      <c r="M15" s="55"/>
    </row>
    <row r="16" spans="1:13" s="49" customFormat="1" ht="15">
      <c r="B16" s="59" t="s">
        <v>19</v>
      </c>
      <c r="C16" s="59"/>
      <c r="D16" s="57"/>
      <c r="E16" s="66"/>
      <c r="F16" s="64"/>
      <c r="G16" s="66"/>
      <c r="H16" s="68"/>
      <c r="I16" s="64"/>
      <c r="J16" s="67"/>
      <c r="K16" s="55"/>
      <c r="L16" s="55"/>
      <c r="M16" s="55"/>
    </row>
    <row r="17" spans="1:10" s="49" customFormat="1" ht="15">
      <c r="B17" s="49" t="s">
        <v>17</v>
      </c>
      <c r="D17" s="57"/>
      <c r="E17" s="66"/>
      <c r="F17" s="64"/>
      <c r="G17" s="66"/>
      <c r="H17" s="68"/>
      <c r="I17" s="64"/>
      <c r="J17" s="64"/>
    </row>
    <row r="18" spans="1:10" s="49" customFormat="1" ht="15">
      <c r="A18" s="64"/>
      <c r="B18" s="64"/>
      <c r="C18" s="60"/>
      <c r="D18" s="57"/>
      <c r="E18" s="66"/>
      <c r="F18" s="64"/>
      <c r="I18" s="64"/>
      <c r="J18" s="64"/>
    </row>
    <row r="19" spans="1:10" s="49" customFormat="1" ht="15">
      <c r="A19" s="48" t="s">
        <v>22</v>
      </c>
      <c r="B19" s="49" t="s">
        <v>23</v>
      </c>
      <c r="D19" s="54"/>
      <c r="E19" s="54"/>
      <c r="F19" s="64"/>
      <c r="G19" s="68"/>
      <c r="H19" s="64"/>
      <c r="I19" s="64"/>
      <c r="J19" s="64"/>
    </row>
    <row r="69" spans="10:11" ht="15">
      <c r="J69" s="69">
        <v>1</v>
      </c>
      <c r="K69" s="61" t="s">
        <v>119</v>
      </c>
    </row>
    <row r="70" spans="10:11" ht="15">
      <c r="J70" s="71">
        <v>2</v>
      </c>
      <c r="K70" s="62" t="s">
        <v>120</v>
      </c>
    </row>
    <row r="71" spans="10:11" ht="15">
      <c r="J71" s="72">
        <v>3</v>
      </c>
      <c r="K71" s="63"/>
    </row>
  </sheetData>
  <sheetProtection formatColumns="0" formatRows="0" insertColumns="0" insertRows="0" deleteColumns="0" deleteRows="0" sort="0" autoFilter="0"/>
  <protectedRanges>
    <protectedRange sqref="A1:C24" name="iNFORMATIONS CLIENTS"/>
  </protectedRanges>
  <mergeCells count="1">
    <mergeCell ref="B6:C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3"/>
  <sheetViews>
    <sheetView workbookViewId="0">
      <selection activeCell="J15" sqref="J15"/>
    </sheetView>
  </sheetViews>
  <sheetFormatPr baseColWidth="10" defaultRowHeight="18" customHeight="1"/>
  <cols>
    <col min="1" max="1" width="18" style="49" customWidth="1"/>
    <col min="2" max="2" width="5.28515625" style="49" customWidth="1"/>
    <col min="3" max="3" width="36.5703125" style="49" customWidth="1"/>
    <col min="4" max="4" width="10" style="49" customWidth="1"/>
    <col min="5" max="5" width="15.42578125" style="49" customWidth="1"/>
    <col min="6" max="6" width="10.28515625" style="49" customWidth="1"/>
    <col min="7" max="7" width="16.42578125" style="49" customWidth="1"/>
    <col min="8" max="8" width="35" style="49" customWidth="1"/>
    <col min="9" max="9" width="19.5703125" style="49" customWidth="1"/>
    <col min="10" max="10" width="15.85546875" style="49" customWidth="1"/>
    <col min="11" max="12" width="11.42578125" style="49" customWidth="1"/>
    <col min="13" max="16384" width="11.42578125" style="49"/>
  </cols>
  <sheetData>
    <row r="1" spans="1:12" ht="18" customHeight="1">
      <c r="A1" s="78"/>
      <c r="B1" s="78"/>
      <c r="C1" s="78"/>
      <c r="D1" s="78"/>
      <c r="E1" s="78"/>
      <c r="F1" s="78"/>
      <c r="G1" s="73" t="s">
        <v>0</v>
      </c>
      <c r="H1" s="79" t="s">
        <v>4</v>
      </c>
      <c r="I1" s="79" t="s">
        <v>51</v>
      </c>
      <c r="J1" s="79" t="s">
        <v>49</v>
      </c>
    </row>
    <row r="2" spans="1:12" ht="29.25" customHeight="1" thickBot="1">
      <c r="A2" s="103" t="s">
        <v>168</v>
      </c>
      <c r="B2" s="74">
        <f>+Informations!B4</f>
        <v>100</v>
      </c>
      <c r="C2" s="75" t="s">
        <v>167</v>
      </c>
      <c r="D2" s="75">
        <v>27</v>
      </c>
      <c r="E2" s="76">
        <f>+B2*D2</f>
        <v>2700</v>
      </c>
      <c r="F2" s="77"/>
      <c r="G2" s="80">
        <f>I17</f>
        <v>24.15</v>
      </c>
      <c r="H2" s="81">
        <f>+G2*B2</f>
        <v>2415</v>
      </c>
      <c r="I2" s="81">
        <f>+E2-H2</f>
        <v>285</v>
      </c>
      <c r="J2" s="82">
        <f>+I2/E2</f>
        <v>0.10555555555555556</v>
      </c>
    </row>
    <row r="3" spans="1:12" ht="18" customHeight="1" thickTop="1">
      <c r="A3" s="78"/>
      <c r="B3" s="78"/>
      <c r="C3" s="83"/>
      <c r="D3" s="83"/>
      <c r="E3" s="78"/>
      <c r="F3" s="78"/>
      <c r="G3" s="78"/>
      <c r="H3" s="78"/>
      <c r="I3" s="78"/>
      <c r="J3" s="78"/>
    </row>
    <row r="4" spans="1:12" ht="18" customHeight="1">
      <c r="A4" s="78"/>
      <c r="B4" s="78"/>
      <c r="G4" s="374" t="s">
        <v>179</v>
      </c>
      <c r="H4" s="374"/>
      <c r="I4" s="374"/>
      <c r="L4" s="78"/>
    </row>
    <row r="5" spans="1:12" ht="15">
      <c r="A5" s="78"/>
      <c r="B5" s="78"/>
      <c r="I5" s="84" t="s">
        <v>143</v>
      </c>
    </row>
    <row r="6" spans="1:12" ht="18" customHeight="1">
      <c r="A6" s="85" t="s">
        <v>206</v>
      </c>
      <c r="B6" s="49" t="s">
        <v>65</v>
      </c>
      <c r="C6" s="86" t="s">
        <v>150</v>
      </c>
      <c r="D6" s="86"/>
      <c r="E6" s="86"/>
      <c r="G6" s="87" t="s">
        <v>173</v>
      </c>
      <c r="H6" s="86" t="s">
        <v>144</v>
      </c>
      <c r="I6" s="88">
        <f>IFERROR(IFERROR(VLOOKUP(H6,Entrées[],2,FALSE),0),0)*$B$2</f>
        <v>165</v>
      </c>
    </row>
    <row r="7" spans="1:12" ht="14.25">
      <c r="A7" s="85"/>
      <c r="B7" s="49" t="s">
        <v>65</v>
      </c>
      <c r="C7" s="86" t="s">
        <v>151</v>
      </c>
      <c r="D7" s="86"/>
      <c r="E7" s="86"/>
      <c r="G7" s="87"/>
      <c r="H7" s="89"/>
      <c r="I7" s="88"/>
    </row>
    <row r="8" spans="1:12" ht="18" customHeight="1">
      <c r="A8" s="85"/>
      <c r="B8" s="49" t="s">
        <v>65</v>
      </c>
      <c r="C8" s="86" t="s">
        <v>144</v>
      </c>
      <c r="D8" s="86"/>
      <c r="E8" s="86"/>
      <c r="G8" s="87" t="s">
        <v>172</v>
      </c>
      <c r="H8" s="86" t="s">
        <v>153</v>
      </c>
      <c r="I8" s="88">
        <f>IFERROR(IFERROR(VLOOKUP(H8,Plats!B1:C210,2,FALSE),0),0)*$B$2</f>
        <v>328</v>
      </c>
      <c r="J8" s="49" t="s">
        <v>181</v>
      </c>
    </row>
    <row r="9" spans="1:12" ht="14.25">
      <c r="A9" s="85"/>
      <c r="C9" s="86"/>
      <c r="D9" s="86"/>
      <c r="E9" s="86"/>
      <c r="G9" s="87"/>
      <c r="H9" s="86" t="s">
        <v>160</v>
      </c>
      <c r="I9" s="88">
        <f>IFERROR(IFERROR(VLOOKUP(H9,Féculents[#All],2,FALSE),0),0)*$B$2</f>
        <v>64</v>
      </c>
      <c r="J9" s="49" t="s">
        <v>182</v>
      </c>
    </row>
    <row r="10" spans="1:12" ht="18" customHeight="1">
      <c r="A10" s="85" t="s">
        <v>207</v>
      </c>
      <c r="B10" s="49" t="s">
        <v>65</v>
      </c>
      <c r="C10" s="86" t="s">
        <v>153</v>
      </c>
      <c r="D10" s="86"/>
      <c r="E10" s="86"/>
      <c r="G10" s="87"/>
      <c r="H10" s="86" t="s">
        <v>164</v>
      </c>
      <c r="I10" s="88">
        <f>IFERROR(IFERROR(VLOOKUP(H10,Légumes[#All],2,FALSE),0),0)*$B$2</f>
        <v>56.000000000000007</v>
      </c>
      <c r="J10" s="49" t="s">
        <v>183</v>
      </c>
    </row>
    <row r="11" spans="1:12" ht="18" customHeight="1">
      <c r="A11" s="85"/>
      <c r="B11" s="49" t="s">
        <v>65</v>
      </c>
      <c r="C11" s="86" t="s">
        <v>154</v>
      </c>
      <c r="D11" s="86"/>
      <c r="E11" s="86"/>
      <c r="G11" s="87"/>
      <c r="H11" s="89"/>
      <c r="I11" s="88"/>
    </row>
    <row r="12" spans="1:12" ht="18" customHeight="1">
      <c r="A12" s="85"/>
      <c r="B12" s="49" t="s">
        <v>65</v>
      </c>
      <c r="C12" s="86" t="s">
        <v>156</v>
      </c>
      <c r="D12" s="86"/>
      <c r="E12" s="86"/>
      <c r="G12" s="87" t="s">
        <v>146</v>
      </c>
      <c r="H12" s="86" t="s">
        <v>147</v>
      </c>
      <c r="I12" s="88">
        <f>IFERROR(IFERROR(VLOOKUP(H12,Desserts[],2,FALSE),0),0)*$B$2</f>
        <v>77</v>
      </c>
    </row>
    <row r="13" spans="1:12" ht="14.25">
      <c r="A13" s="85"/>
      <c r="C13" s="86"/>
      <c r="D13" s="86"/>
      <c r="E13" s="86"/>
      <c r="G13" s="87"/>
      <c r="H13" s="90"/>
      <c r="I13" s="91"/>
    </row>
    <row r="14" spans="1:12" ht="14.25">
      <c r="A14" s="85" t="s">
        <v>209</v>
      </c>
      <c r="B14" s="49" t="s">
        <v>65</v>
      </c>
      <c r="C14" s="86" t="s">
        <v>161</v>
      </c>
      <c r="D14" s="86"/>
      <c r="E14" s="86"/>
      <c r="G14" s="87"/>
      <c r="H14" s="92" t="s">
        <v>169</v>
      </c>
      <c r="I14" s="93">
        <f>SUM(I6:I12)</f>
        <v>690</v>
      </c>
    </row>
    <row r="15" spans="1:12" ht="14.25">
      <c r="A15" s="85"/>
      <c r="B15" s="49" t="s">
        <v>65</v>
      </c>
      <c r="C15" s="86" t="s">
        <v>160</v>
      </c>
      <c r="D15" s="86"/>
      <c r="E15" s="86"/>
      <c r="G15" s="87"/>
      <c r="H15" s="92" t="s">
        <v>171</v>
      </c>
      <c r="I15" s="93">
        <f>+I14*3.5</f>
        <v>2415</v>
      </c>
      <c r="J15" s="201">
        <f>+I15-I14</f>
        <v>1725</v>
      </c>
    </row>
    <row r="16" spans="1:12" ht="14.25">
      <c r="A16" s="85"/>
      <c r="B16" s="49" t="s">
        <v>65</v>
      </c>
      <c r="C16" s="86" t="s">
        <v>159</v>
      </c>
      <c r="D16" s="86"/>
      <c r="E16" s="86"/>
      <c r="G16" s="87"/>
      <c r="H16" s="92" t="s">
        <v>180</v>
      </c>
      <c r="I16" s="93"/>
    </row>
    <row r="17" spans="1:10" ht="14.25">
      <c r="A17" s="85"/>
      <c r="C17" s="86"/>
      <c r="D17" s="86"/>
      <c r="E17" s="86"/>
      <c r="H17" s="94" t="s">
        <v>170</v>
      </c>
      <c r="I17" s="95">
        <f>+I15/B2</f>
        <v>24.15</v>
      </c>
    </row>
    <row r="18" spans="1:10" ht="14.25">
      <c r="A18" s="85"/>
      <c r="B18" s="49" t="s">
        <v>65</v>
      </c>
      <c r="C18" s="86" t="s">
        <v>163</v>
      </c>
      <c r="D18" s="86"/>
      <c r="E18" s="86"/>
    </row>
    <row r="19" spans="1:10" ht="14.25">
      <c r="A19" s="85"/>
      <c r="B19" s="49" t="s">
        <v>65</v>
      </c>
      <c r="C19" s="86" t="s">
        <v>162</v>
      </c>
      <c r="D19" s="86"/>
      <c r="E19" s="86"/>
    </row>
    <row r="20" spans="1:10" ht="14.25">
      <c r="A20" s="85"/>
      <c r="B20" s="49" t="s">
        <v>65</v>
      </c>
      <c r="C20" s="86" t="s">
        <v>164</v>
      </c>
      <c r="D20" s="86"/>
      <c r="E20" s="86"/>
    </row>
    <row r="21" spans="1:10" ht="14.25">
      <c r="A21" s="85"/>
      <c r="C21" s="86"/>
      <c r="D21" s="86"/>
      <c r="E21" s="86"/>
    </row>
    <row r="22" spans="1:10" ht="14.25">
      <c r="A22" s="85" t="s">
        <v>165</v>
      </c>
      <c r="B22" s="49" t="s">
        <v>65</v>
      </c>
      <c r="C22" s="86" t="s">
        <v>147</v>
      </c>
      <c r="D22" s="86"/>
      <c r="E22" s="86"/>
    </row>
    <row r="23" spans="1:10" ht="14.25">
      <c r="A23" s="85"/>
      <c r="B23" s="49" t="s">
        <v>65</v>
      </c>
      <c r="C23" s="86" t="s">
        <v>205</v>
      </c>
      <c r="D23" s="86"/>
      <c r="E23" s="86"/>
    </row>
    <row r="24" spans="1:10" ht="18" customHeight="1">
      <c r="A24" s="85"/>
      <c r="B24" s="49" t="s">
        <v>65</v>
      </c>
      <c r="C24" s="86" t="s">
        <v>166</v>
      </c>
      <c r="D24" s="86"/>
      <c r="E24" s="86"/>
    </row>
    <row r="25" spans="1:10" ht="18" customHeight="1">
      <c r="A25" s="85"/>
      <c r="B25" s="96"/>
    </row>
    <row r="26" spans="1:10" ht="18" customHeight="1">
      <c r="A26" s="85"/>
    </row>
    <row r="27" spans="1:10" ht="18" customHeight="1">
      <c r="A27" s="97"/>
      <c r="C27" s="91"/>
      <c r="D27" s="78"/>
      <c r="H27" s="78"/>
      <c r="I27" s="78"/>
      <c r="J27" s="78"/>
    </row>
    <row r="28" spans="1:10" ht="18" customHeight="1">
      <c r="D28" s="98"/>
      <c r="E28" s="83"/>
      <c r="H28" s="99"/>
    </row>
    <row r="29" spans="1:10" ht="18" customHeight="1">
      <c r="D29" s="100"/>
      <c r="E29" s="78"/>
      <c r="F29" s="78"/>
      <c r="G29" s="78"/>
      <c r="H29" s="99"/>
    </row>
    <row r="30" spans="1:10" ht="18" customHeight="1">
      <c r="D30" s="101"/>
      <c r="E30" s="78"/>
      <c r="F30" s="78"/>
    </row>
    <row r="31" spans="1:10" ht="18" customHeight="1">
      <c r="D31" s="78"/>
      <c r="E31" s="78"/>
      <c r="F31" s="78"/>
    </row>
    <row r="32" spans="1:10" ht="18" customHeight="1">
      <c r="D32" s="78"/>
      <c r="E32" s="78"/>
      <c r="F32" s="78"/>
    </row>
    <row r="33" spans="1:11" ht="18" customHeight="1">
      <c r="D33" s="78"/>
      <c r="E33" s="78"/>
      <c r="F33" s="78"/>
    </row>
    <row r="34" spans="1:11" ht="18" customHeight="1">
      <c r="D34" s="78"/>
      <c r="E34" s="78"/>
      <c r="F34" s="78"/>
    </row>
    <row r="35" spans="1:11" ht="18" customHeight="1">
      <c r="D35" s="78"/>
      <c r="E35" s="78"/>
      <c r="F35" s="78"/>
    </row>
    <row r="36" spans="1:11" ht="18" customHeight="1">
      <c r="D36" s="83"/>
      <c r="E36" s="78"/>
      <c r="F36" s="78"/>
    </row>
    <row r="37" spans="1:11" ht="18" customHeight="1">
      <c r="D37" s="78"/>
      <c r="E37" s="78"/>
      <c r="F37" s="78"/>
    </row>
    <row r="38" spans="1:11" ht="18" customHeight="1">
      <c r="B38" s="102"/>
      <c r="D38" s="78"/>
      <c r="E38" s="78"/>
      <c r="F38" s="78"/>
    </row>
    <row r="39" spans="1:11" ht="18" customHeight="1">
      <c r="B39" s="102"/>
      <c r="D39" s="78"/>
      <c r="E39" s="78"/>
      <c r="F39" s="78"/>
    </row>
    <row r="40" spans="1:11" ht="18" customHeight="1">
      <c r="A40" s="87"/>
      <c r="B40" s="86"/>
      <c r="C40" s="78"/>
      <c r="D40" s="78"/>
      <c r="E40" s="78"/>
      <c r="F40" s="78"/>
    </row>
    <row r="41" spans="1:11" ht="18" customHeight="1">
      <c r="A41" s="87"/>
      <c r="B41" s="86"/>
      <c r="C41" s="78"/>
      <c r="D41" s="78"/>
      <c r="E41" s="78"/>
      <c r="F41" s="78"/>
      <c r="H41" s="78"/>
      <c r="I41" s="78"/>
      <c r="J41" s="78"/>
      <c r="K41" s="78"/>
    </row>
    <row r="42" spans="1:11" ht="18" customHeight="1">
      <c r="A42" s="85"/>
      <c r="E42" s="78"/>
      <c r="F42" s="78"/>
    </row>
    <row r="43" spans="1:11" ht="18" customHeight="1">
      <c r="A43" s="85"/>
      <c r="F43" s="78"/>
      <c r="G43" s="78"/>
    </row>
  </sheetData>
  <sheetProtection formatCells="0" formatColumns="0" formatRows="0" insertColumns="0" insertRows="0" insertHyperlinks="0" deleteColumns="0" deleteRows="0" sort="0" autoFilter="0" pivotTables="0"/>
  <protectedRanges>
    <protectedRange sqref="H12 H6 H8:H10 A6:A26 C13:E15 C17:E24 C6:E9" name="Mise en page Word"/>
  </protectedRanges>
  <mergeCells count="1">
    <mergeCell ref="G4:I4"/>
  </mergeCells>
  <conditionalFormatting sqref="J2">
    <cfRule type="cellIs" dxfId="19" priority="30" operator="lessThan">
      <formula>0.25</formula>
    </cfRule>
  </conditionalFormatting>
  <conditionalFormatting sqref="B40:B41 C6:E24">
    <cfRule type="cellIs" dxfId="18" priority="29" operator="equal">
      <formula>0</formula>
    </cfRule>
  </conditionalFormatting>
  <conditionalFormatting sqref="C20:C21">
    <cfRule type="cellIs" dxfId="17" priority="28" operator="equal">
      <formula>0</formula>
    </cfRule>
  </conditionalFormatting>
  <conditionalFormatting sqref="H6">
    <cfRule type="cellIs" dxfId="16" priority="5" operator="equal">
      <formula>0</formula>
    </cfRule>
  </conditionalFormatting>
  <conditionalFormatting sqref="H12">
    <cfRule type="cellIs" dxfId="15" priority="11" operator="equal">
      <formula>0</formula>
    </cfRule>
  </conditionalFormatting>
  <conditionalFormatting sqref="H8">
    <cfRule type="cellIs" dxfId="14" priority="9" operator="equal">
      <formula>0</formula>
    </cfRule>
  </conditionalFormatting>
  <conditionalFormatting sqref="H10">
    <cfRule type="cellIs" dxfId="13" priority="1" operator="equal">
      <formula>0</formula>
    </cfRule>
  </conditionalFormatting>
  <conditionalFormatting sqref="H9">
    <cfRule type="cellIs" dxfId="12" priority="2" operator="equal">
      <formula>0</formula>
    </cfRule>
  </conditionalFormatting>
  <dataValidations count="6">
    <dataValidation type="list" allowBlank="1" showInputMessage="1" showErrorMessage="1" sqref="B25">
      <formula1>$H$28:$H$29</formula1>
    </dataValidation>
    <dataValidation type="list" allowBlank="1" showInputMessage="1" showErrorMessage="1" sqref="H12">
      <formula1>$C$22:$C$24</formula1>
    </dataValidation>
    <dataValidation type="list" allowBlank="1" showInputMessage="1" showErrorMessage="1" sqref="H10">
      <formula1>$C$18:$C$20</formula1>
    </dataValidation>
    <dataValidation type="list" allowBlank="1" showInputMessage="1" showErrorMessage="1" sqref="H9">
      <formula1>$C$14:$C$16</formula1>
    </dataValidation>
    <dataValidation type="list" allowBlank="1" showInputMessage="1" showErrorMessage="1" sqref="H8">
      <formula1>$C$10:$C$12</formula1>
    </dataValidation>
    <dataValidation type="list" allowBlank="1" showInputMessage="1" showErrorMessage="1" sqref="H6">
      <formula1>$C$6:$C$8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>
          <x14:formula1>
            <xm:f>Entrées!$B:$B</xm:f>
          </x14:formula1>
          <xm:sqref>H7</xm:sqref>
        </x14:dataValidation>
        <x14:dataValidation type="list" allowBlank="1" showInputMessage="1" showErrorMessage="1">
          <x14:formula1>
            <xm:f>Plats!$B$283:$B$355</xm:f>
          </x14:formula1>
          <xm:sqref>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36"/>
  <sheetViews>
    <sheetView tabSelected="1" workbookViewId="0">
      <selection activeCell="A10" sqref="A10"/>
    </sheetView>
  </sheetViews>
  <sheetFormatPr baseColWidth="10" defaultRowHeight="14.25"/>
  <cols>
    <col min="1" max="1" width="46" style="70" customWidth="1"/>
    <col min="2" max="2" width="17.7109375" style="70" customWidth="1"/>
    <col min="3" max="3" width="17" style="70" customWidth="1"/>
    <col min="4" max="4" width="12.5703125" style="70" customWidth="1"/>
    <col min="5" max="5" width="12.140625" style="70" customWidth="1"/>
    <col min="6" max="6" width="15" style="70" customWidth="1"/>
    <col min="7" max="7" width="16.7109375" style="109" customWidth="1"/>
    <col min="8" max="8" width="12.140625" style="108" customWidth="1"/>
    <col min="9" max="9" width="12.140625" style="70" customWidth="1"/>
    <col min="10" max="10" width="15.28515625" style="133" customWidth="1"/>
    <col min="11" max="11" width="14.5703125" style="133" customWidth="1"/>
    <col min="12" max="12" width="16.42578125" style="353" customWidth="1"/>
    <col min="13" max="13" width="36.5703125" style="70" customWidth="1"/>
    <col min="14" max="14" width="44.5703125" style="70" customWidth="1"/>
    <col min="15" max="16" width="8.140625" style="70" customWidth="1"/>
    <col min="17" max="17" width="10" style="70" customWidth="1"/>
    <col min="18" max="18" width="11.5703125" style="70" customWidth="1"/>
    <col min="19" max="19" width="10.85546875" style="70" bestFit="1" customWidth="1"/>
    <col min="20" max="16384" width="11.42578125" style="70"/>
  </cols>
  <sheetData>
    <row r="1" spans="1:19" ht="15.75" thickBot="1">
      <c r="A1" s="104" t="s">
        <v>174</v>
      </c>
      <c r="B1" s="105" t="s">
        <v>119</v>
      </c>
      <c r="F1" s="106"/>
      <c r="G1" s="107"/>
      <c r="M1" s="110"/>
      <c r="N1" s="110" t="s">
        <v>119</v>
      </c>
    </row>
    <row r="2" spans="1:19" ht="15.75" customHeight="1">
      <c r="A2" s="378" t="s">
        <v>48</v>
      </c>
      <c r="B2" s="378"/>
      <c r="C2" s="379">
        <f>IF(B1="Oui",+Informations!B4,0)</f>
        <v>100</v>
      </c>
      <c r="D2" s="379"/>
      <c r="E2" s="111" t="s">
        <v>47</v>
      </c>
      <c r="F2" s="112">
        <v>14</v>
      </c>
      <c r="G2" s="113">
        <f>+C2*F2</f>
        <v>1400</v>
      </c>
      <c r="H2" s="113"/>
      <c r="I2" s="114"/>
      <c r="J2" s="361"/>
      <c r="L2" s="134"/>
      <c r="M2" s="110" t="s">
        <v>120</v>
      </c>
    </row>
    <row r="3" spans="1:19" ht="15.75" customHeight="1" thickBot="1">
      <c r="A3" s="141"/>
      <c r="B3" s="141"/>
      <c r="C3" s="111"/>
      <c r="D3" s="111"/>
      <c r="E3" s="111"/>
      <c r="F3" s="112"/>
      <c r="G3" s="113"/>
      <c r="H3" s="113"/>
      <c r="I3" s="115"/>
      <c r="J3" s="361"/>
      <c r="K3" s="361"/>
      <c r="L3" s="134"/>
      <c r="N3" s="110"/>
    </row>
    <row r="4" spans="1:19" s="108" customFormat="1" ht="15.75" customHeight="1" thickBot="1">
      <c r="A4" s="382" t="s">
        <v>68</v>
      </c>
      <c r="B4" s="383"/>
      <c r="C4" s="384"/>
      <c r="D4" s="142"/>
      <c r="E4" s="116"/>
      <c r="F4" s="112"/>
      <c r="G4" s="113"/>
      <c r="H4" s="113"/>
      <c r="I4" s="117"/>
      <c r="J4" s="361"/>
      <c r="K4" s="361"/>
      <c r="L4" s="354"/>
      <c r="N4" s="375" t="s">
        <v>100</v>
      </c>
      <c r="O4" s="376"/>
      <c r="P4" s="376"/>
      <c r="Q4" s="376"/>
      <c r="R4" s="376"/>
      <c r="S4" s="377"/>
    </row>
    <row r="5" spans="1:19" ht="30">
      <c r="A5" s="118" t="s">
        <v>5</v>
      </c>
      <c r="B5" s="119" t="s">
        <v>44</v>
      </c>
      <c r="C5" s="119" t="s">
        <v>126</v>
      </c>
      <c r="D5" s="119" t="s">
        <v>123</v>
      </c>
      <c r="E5" s="119" t="s">
        <v>45</v>
      </c>
      <c r="F5" s="119" t="s">
        <v>53</v>
      </c>
      <c r="G5" s="120" t="s">
        <v>58</v>
      </c>
      <c r="H5" s="305" t="s">
        <v>228</v>
      </c>
      <c r="I5" s="119" t="s">
        <v>0</v>
      </c>
      <c r="J5" s="362" t="s">
        <v>4</v>
      </c>
      <c r="K5" s="362" t="s">
        <v>51</v>
      </c>
      <c r="L5" s="120" t="s">
        <v>49</v>
      </c>
      <c r="M5" s="121"/>
      <c r="N5" s="239" t="s">
        <v>5</v>
      </c>
      <c r="O5" s="239" t="s">
        <v>0</v>
      </c>
      <c r="P5" s="239" t="s">
        <v>217</v>
      </c>
      <c r="Q5" s="239" t="s">
        <v>218</v>
      </c>
      <c r="R5" s="240" t="s">
        <v>219</v>
      </c>
      <c r="S5" s="239" t="s">
        <v>45</v>
      </c>
    </row>
    <row r="6" spans="1:19" ht="15">
      <c r="A6" s="123" t="s">
        <v>24</v>
      </c>
      <c r="B6" s="124"/>
      <c r="C6" s="124"/>
      <c r="D6" s="310"/>
      <c r="E6" s="124"/>
      <c r="F6" s="309" t="str">
        <f>IFERROR(IFERROR(VLOOKUP(A6,Base_données_Boissons[],3,FALSE),""),"")</f>
        <v/>
      </c>
      <c r="G6" s="306"/>
      <c r="H6" s="56"/>
      <c r="I6" s="309" t="str">
        <f>IFERROR(IFERROR(VLOOKUP(Boissons!$A6,Base_données_Boissons[#All],2,FALSE),""),"")</f>
        <v/>
      </c>
      <c r="J6" s="130"/>
      <c r="K6" s="130"/>
      <c r="L6" s="355"/>
      <c r="M6" s="56"/>
      <c r="N6" s="122" t="s">
        <v>50</v>
      </c>
      <c r="O6" s="122"/>
      <c r="P6" s="122"/>
      <c r="Q6" s="122"/>
      <c r="R6" s="122"/>
      <c r="S6" s="122"/>
    </row>
    <row r="7" spans="1:19" ht="15">
      <c r="A7" s="104" t="s">
        <v>215</v>
      </c>
      <c r="B7" s="116">
        <f>+MROUND(($D$27*1.5)/2,1)</f>
        <v>10</v>
      </c>
      <c r="C7" s="126">
        <v>100</v>
      </c>
      <c r="D7" s="131">
        <f>IF($B$1="Non",Boissons_2[[#This Row],[Quantité finale]],0)</f>
        <v>0</v>
      </c>
      <c r="E7" s="116" t="s">
        <v>46</v>
      </c>
      <c r="F7" s="241">
        <f>IFERROR(IFERROR(VLOOKUP(A7,Base_données_Boissons[],3,FALSE),""),"")</f>
        <v>4</v>
      </c>
      <c r="G7" s="128">
        <f>Boissons!$D7*Boissons!$F7</f>
        <v>0</v>
      </c>
      <c r="H7" s="128"/>
      <c r="I7" s="241">
        <f>IFERROR(IFERROR(VLOOKUP(Boissons!$A7,Base_données_Boissons[#All],2,FALSE),""),"")</f>
        <v>0.71</v>
      </c>
      <c r="J7" s="311">
        <f>IF(Boissons!$D7=0,Boissons!$C7*Boissons!$I7,Boissons!$D7*Boissons!$I7)</f>
        <v>71</v>
      </c>
      <c r="K7" s="363">
        <f>Boissons!$G7-Boissons!$J7</f>
        <v>-71</v>
      </c>
      <c r="L7" s="356" t="e">
        <f>+Boissons!$K7/Boissons!$G7</f>
        <v>#DIV/0!</v>
      </c>
      <c r="M7" s="109"/>
      <c r="N7" s="104" t="s">
        <v>26</v>
      </c>
      <c r="O7" s="125">
        <v>13.3</v>
      </c>
      <c r="P7" s="125">
        <v>27</v>
      </c>
    </row>
    <row r="8" spans="1:19" ht="15">
      <c r="A8" s="104" t="s">
        <v>215</v>
      </c>
      <c r="B8" s="116">
        <f>+MROUND(($D$27*1.5)/2,1)</f>
        <v>10</v>
      </c>
      <c r="C8" s="126">
        <v>54</v>
      </c>
      <c r="D8" s="131">
        <f>IF($B$1="Non",Boissons_2[[#This Row],[Quantité finale]],0)</f>
        <v>0</v>
      </c>
      <c r="E8" s="116" t="s">
        <v>46</v>
      </c>
      <c r="F8" s="241">
        <f>IFERROR(IFERROR(VLOOKUP(A8,Base_données_Boissons[],3,FALSE),""),"")</f>
        <v>4</v>
      </c>
      <c r="G8" s="128">
        <f>Boissons!$D8*Boissons!$F8</f>
        <v>0</v>
      </c>
      <c r="H8" s="128"/>
      <c r="I8" s="241">
        <f>IFERROR(IFERROR(VLOOKUP(Boissons!$A8,Base_données_Boissons[#All],2,FALSE),""),"")</f>
        <v>0.71</v>
      </c>
      <c r="J8" s="311">
        <f>IF(Boissons!$D8=0,Boissons!$C8*Boissons!$I8,Boissons!$D8*Boissons!$I8)</f>
        <v>38.339999999999996</v>
      </c>
      <c r="K8" s="363">
        <f>Boissons!$G8-Boissons!$J8</f>
        <v>-38.339999999999996</v>
      </c>
      <c r="L8" s="356" t="e">
        <f>+Boissons!$K8/Boissons!$G8</f>
        <v>#DIV/0!</v>
      </c>
      <c r="M8" s="109"/>
      <c r="N8" s="104" t="s">
        <v>25</v>
      </c>
      <c r="O8" s="125">
        <v>9.9</v>
      </c>
      <c r="P8" s="125">
        <v>27</v>
      </c>
    </row>
    <row r="9" spans="1:19" ht="15">
      <c r="A9" s="104" t="s">
        <v>32</v>
      </c>
      <c r="B9" s="116">
        <f>+MROUND(VLOOKUP(Boissons_2[[#This Row],[Désignation]],$A$24:$E$321,4,0)*1.5,1)</f>
        <v>11</v>
      </c>
      <c r="C9" s="126">
        <v>54</v>
      </c>
      <c r="D9" s="131">
        <f>IF($B$1="Non",Boissons_2[[#This Row],[Quantité finale]],0)</f>
        <v>0</v>
      </c>
      <c r="E9" s="116" t="s">
        <v>46</v>
      </c>
      <c r="F9" s="241">
        <f>IFERROR(IFERROR(VLOOKUP(A9,Base_données_Boissons[],3,FALSE),""),"")</f>
        <v>5</v>
      </c>
      <c r="G9" s="128">
        <f>Boissons!$D9*Boissons!$F9</f>
        <v>0</v>
      </c>
      <c r="H9" s="128"/>
      <c r="I9" s="241">
        <f>IFERROR(IFERROR(VLOOKUP(Boissons!$A9,Base_données_Boissons[#All],2,FALSE),""),"")</f>
        <v>0.85</v>
      </c>
      <c r="J9" s="311">
        <f>IF(Boissons!$D9=0,Boissons!$C9*Boissons!$I9,Boissons!$D9*Boissons!$I9)</f>
        <v>45.9</v>
      </c>
      <c r="K9" s="363">
        <f>Boissons!$G9-Boissons!$J9</f>
        <v>-45.9</v>
      </c>
      <c r="L9" s="356" t="e">
        <f>+Boissons!$K9/Boissons!$G9</f>
        <v>#DIV/0!</v>
      </c>
      <c r="M9" s="109"/>
      <c r="N9" s="122" t="s">
        <v>39</v>
      </c>
      <c r="O9" s="122"/>
      <c r="P9" s="122"/>
      <c r="Q9" s="122"/>
      <c r="R9" s="122"/>
      <c r="S9" s="122"/>
    </row>
    <row r="10" spans="1:19" ht="15">
      <c r="A10" s="104" t="s">
        <v>223</v>
      </c>
      <c r="B10" s="116">
        <f>+MROUND(VLOOKUP(Boissons_2[[#This Row],[Désignation]],$A$24:$E$321,4,0)*1.5,1)</f>
        <v>11</v>
      </c>
      <c r="C10" s="126">
        <v>5</v>
      </c>
      <c r="D10" s="131">
        <f>IF($B$1="Non",Boissons_2[[#This Row],[Quantité finale]],0)</f>
        <v>0</v>
      </c>
      <c r="E10" s="116" t="s">
        <v>46</v>
      </c>
      <c r="F10" s="241">
        <f>IFERROR(IFERROR(VLOOKUP(A10,Base_données_Boissons[],3,FALSE),""),"")</f>
        <v>5</v>
      </c>
      <c r="G10" s="128">
        <f>Boissons!$D10*Boissons!$F10</f>
        <v>0</v>
      </c>
      <c r="H10" s="56"/>
      <c r="I10" s="241">
        <f>IFERROR(IFERROR(VLOOKUP(Boissons!$A10,Base_données_Boissons[#All],2,FALSE),""),"")</f>
        <v>1.08</v>
      </c>
      <c r="J10" s="311">
        <f>IF(Boissons!$D10=0,Boissons!$C10*Boissons!$I10,Boissons!$D10*Boissons!$I10)</f>
        <v>5.4</v>
      </c>
      <c r="K10" s="363">
        <f>Boissons!$G10-Boissons!$J10</f>
        <v>-5.4</v>
      </c>
      <c r="L10" s="356" t="e">
        <f>+Boissons!$K10/Boissons!$G10</f>
        <v>#DIV/0!</v>
      </c>
      <c r="M10" s="109"/>
      <c r="N10" s="104" t="s">
        <v>27</v>
      </c>
      <c r="O10" s="125">
        <v>13.1</v>
      </c>
      <c r="P10" s="125">
        <v>29</v>
      </c>
    </row>
    <row r="11" spans="1:19" ht="15">
      <c r="A11" s="50" t="s">
        <v>141</v>
      </c>
      <c r="B11" s="116">
        <f>+MROUND(VLOOKUP(Boissons_2[[#This Row],[Désignation]],$A$24:$E$321,4,0)*1.5,1)</f>
        <v>33</v>
      </c>
      <c r="C11" s="126"/>
      <c r="D11" s="131">
        <f>IF($B$1="Non",Boissons_2[[#This Row],[Quantité finale]],0)</f>
        <v>0</v>
      </c>
      <c r="E11" s="116" t="s">
        <v>46</v>
      </c>
      <c r="F11" s="241">
        <f>IFERROR(IFERROR(VLOOKUP(A11,Base_données_Boissons[],3,FALSE),""),"")</f>
        <v>4</v>
      </c>
      <c r="G11" s="128">
        <f>Boissons!$D11*Boissons!$F11</f>
        <v>0</v>
      </c>
      <c r="H11" s="300"/>
      <c r="I11" s="127"/>
      <c r="J11" s="348"/>
      <c r="K11" s="368"/>
      <c r="L11" s="356"/>
      <c r="M11" s="56"/>
      <c r="N11" s="104" t="s">
        <v>28</v>
      </c>
      <c r="O11" s="125">
        <v>9.75</v>
      </c>
      <c r="P11" s="125">
        <v>29</v>
      </c>
    </row>
    <row r="12" spans="1:19" ht="15">
      <c r="A12" s="50" t="s">
        <v>35</v>
      </c>
      <c r="B12" s="116">
        <f>+MROUND(VLOOKUP(Boissons_2[[#This Row],[Désignation]],$A$24:$E$321,4,0)*1.5,1)</f>
        <v>15</v>
      </c>
      <c r="C12" s="126"/>
      <c r="D12" s="131">
        <f>IF($B$1="Non",Boissons_2[[#This Row],[Quantité finale]],0)</f>
        <v>0</v>
      </c>
      <c r="E12" s="116" t="s">
        <v>46</v>
      </c>
      <c r="F12" s="241">
        <f>IFERROR(IFERROR(VLOOKUP(A12,Base_données_Boissons[],3,FALSE),""),"")</f>
        <v>4.5</v>
      </c>
      <c r="G12" s="128">
        <f>Boissons!$D12*Boissons!$F12</f>
        <v>0</v>
      </c>
      <c r="H12" s="300"/>
      <c r="I12" s="127"/>
      <c r="J12" s="348"/>
      <c r="K12" s="368"/>
      <c r="L12" s="356"/>
      <c r="M12" s="109"/>
      <c r="N12" s="122" t="s">
        <v>40</v>
      </c>
      <c r="O12" s="122"/>
      <c r="P12" s="122"/>
      <c r="Q12" s="122"/>
      <c r="R12" s="122"/>
      <c r="S12" s="122"/>
    </row>
    <row r="13" spans="1:19" ht="15">
      <c r="A13" s="301" t="s">
        <v>59</v>
      </c>
      <c r="B13" s="302"/>
      <c r="C13" s="302"/>
      <c r="D13" s="370"/>
      <c r="E13" s="302"/>
      <c r="F13" s="303"/>
      <c r="G13" s="304">
        <f>SUBTOTAL(109,Boissons!$G$7:$G$12)</f>
        <v>0</v>
      </c>
      <c r="H13" s="307"/>
      <c r="I13" s="308"/>
      <c r="J13" s="312">
        <f>SUBTOTAL(109,Boissons!$J$6:$J$10)</f>
        <v>160.64000000000001</v>
      </c>
      <c r="K13" s="367">
        <f>+Boissons!$G$13-Boissons!$J$13</f>
        <v>-160.64000000000001</v>
      </c>
      <c r="L13" s="357" t="e">
        <f>+Boissons!$K$13/Boissons!$G$13</f>
        <v>#DIV/0!</v>
      </c>
      <c r="M13" s="109"/>
      <c r="N13" s="104" t="s">
        <v>215</v>
      </c>
      <c r="O13" s="125">
        <v>0.71</v>
      </c>
      <c r="P13" s="125">
        <v>4</v>
      </c>
    </row>
    <row r="14" spans="1:19" ht="15">
      <c r="A14" s="123" t="s">
        <v>43</v>
      </c>
      <c r="B14" s="124"/>
      <c r="C14" s="124"/>
      <c r="D14" s="310"/>
      <c r="E14" s="124"/>
      <c r="F14" s="309" t="str">
        <f>IFERROR(IFERROR(VLOOKUP(A14,Base_données_Boissons[],3,FALSE),""),"")</f>
        <v/>
      </c>
      <c r="G14" s="306"/>
      <c r="H14" s="128"/>
      <c r="I14" s="129" t="str">
        <f>IFERROR(IFERROR(VLOOKUP(Boissons!$A14,Base_données_Boissons[#All],2,FALSE),""),"")</f>
        <v/>
      </c>
      <c r="J14" s="130"/>
      <c r="K14" s="364"/>
      <c r="L14" s="358"/>
      <c r="M14" s="109"/>
      <c r="N14" s="104" t="s">
        <v>216</v>
      </c>
      <c r="O14" s="125">
        <v>0.71</v>
      </c>
      <c r="P14" s="125">
        <v>4</v>
      </c>
    </row>
    <row r="15" spans="1:19" ht="15">
      <c r="A15" s="50" t="s">
        <v>25</v>
      </c>
      <c r="B15" s="116">
        <f>MROUND((+D24/2)*1.5,1)</f>
        <v>21</v>
      </c>
      <c r="C15" s="126">
        <v>12</v>
      </c>
      <c r="D15" s="131">
        <f>IF($B$1="Non",Boissons_2[[#This Row],[Quantité finale]],0)</f>
        <v>0</v>
      </c>
      <c r="E15" s="116" t="s">
        <v>46</v>
      </c>
      <c r="F15" s="241">
        <f>IFERROR(IFERROR(VLOOKUP(A15,Base_données_Boissons[],3,FALSE),""),"")</f>
        <v>27</v>
      </c>
      <c r="G15" s="128">
        <f>Boissons!$D15*Boissons!$F15</f>
        <v>0</v>
      </c>
      <c r="H15" s="128"/>
      <c r="I15" s="241">
        <f>IFERROR(IFERROR(VLOOKUP(Boissons!$A15,Base_données_Boissons[#All],2,FALSE),""),"")</f>
        <v>9.9</v>
      </c>
      <c r="J15" s="311">
        <f>+Boissons!$C15*Boissons!$I15</f>
        <v>118.80000000000001</v>
      </c>
      <c r="K15" s="363">
        <f>G15-J15</f>
        <v>-118.80000000000001</v>
      </c>
      <c r="L15" s="356" t="e">
        <f>+Boissons!$K15/Boissons!$G15</f>
        <v>#DIV/0!</v>
      </c>
      <c r="M15" s="56"/>
      <c r="N15" s="132" t="s">
        <v>220</v>
      </c>
      <c r="O15" s="132"/>
      <c r="P15" s="132"/>
      <c r="Q15" s="132"/>
      <c r="R15" s="132"/>
      <c r="S15" s="132"/>
    </row>
    <row r="16" spans="1:19" ht="15">
      <c r="A16" s="50" t="s">
        <v>27</v>
      </c>
      <c r="B16" s="116">
        <f>MROUND((+D24/2)*1.5,1)</f>
        <v>21</v>
      </c>
      <c r="C16" s="126">
        <v>12</v>
      </c>
      <c r="D16" s="131">
        <f>IF($B$1="Non",Boissons_2[[#This Row],[Quantité finale]],0)</f>
        <v>0</v>
      </c>
      <c r="E16" s="116" t="s">
        <v>46</v>
      </c>
      <c r="F16" s="241">
        <f>IFERROR(IFERROR(VLOOKUP(A16,Base_données_Boissons[],3,FALSE),""),"")</f>
        <v>29</v>
      </c>
      <c r="G16" s="128">
        <f>Boissons!$D16*Boissons!$F16</f>
        <v>0</v>
      </c>
      <c r="H16" s="128"/>
      <c r="I16" s="241">
        <f>IFERROR(IFERROR(VLOOKUP(Boissons!$A16,Base_données_Boissons[#All],2,FALSE),""),"")</f>
        <v>13.1</v>
      </c>
      <c r="J16" s="311">
        <f>+Boissons!$C16*Boissons!$I16</f>
        <v>157.19999999999999</v>
      </c>
      <c r="K16" s="363">
        <f>G16-J16</f>
        <v>-157.19999999999999</v>
      </c>
      <c r="L16" s="356" t="e">
        <f>+Boissons!$K16/Boissons!$G16</f>
        <v>#DIV/0!</v>
      </c>
      <c r="M16" s="109"/>
      <c r="N16" s="104" t="s">
        <v>29</v>
      </c>
      <c r="O16" s="125">
        <v>1.51</v>
      </c>
      <c r="P16" s="125">
        <v>5</v>
      </c>
      <c r="Q16" s="70">
        <v>0.1</v>
      </c>
      <c r="R16" s="70">
        <v>1.5</v>
      </c>
      <c r="S16" s="134" t="s">
        <v>46</v>
      </c>
    </row>
    <row r="17" spans="1:19" ht="15">
      <c r="A17" s="301" t="s">
        <v>59</v>
      </c>
      <c r="B17" s="301"/>
      <c r="C17" s="301"/>
      <c r="D17" s="371"/>
      <c r="E17" s="301"/>
      <c r="F17" s="301"/>
      <c r="G17" s="349">
        <f>SUBTOTAL(109,Boissons!$G$14:$G$16)</f>
        <v>0</v>
      </c>
      <c r="H17" s="301"/>
      <c r="I17" s="301"/>
      <c r="J17" s="312">
        <f>SUBTOTAL(109,Boissons!$J$14:$J$16)</f>
        <v>276</v>
      </c>
      <c r="K17" s="369">
        <f>SUBTOTAL(109,Boissons!$K$14:$K$16)</f>
        <v>-276</v>
      </c>
      <c r="L17" s="359" t="e">
        <f>+Boissons!$K$17/Boissons!$G$17</f>
        <v>#DIV/0!</v>
      </c>
      <c r="M17" s="109"/>
      <c r="N17" s="104" t="s">
        <v>30</v>
      </c>
      <c r="O17" s="125">
        <v>1.51</v>
      </c>
      <c r="P17" s="125">
        <v>5</v>
      </c>
      <c r="Q17" s="70">
        <v>0.1</v>
      </c>
      <c r="R17" s="70">
        <v>1.5</v>
      </c>
      <c r="S17" s="134" t="s">
        <v>46</v>
      </c>
    </row>
    <row r="18" spans="1:19" ht="15">
      <c r="A18" s="123" t="s">
        <v>42</v>
      </c>
      <c r="B18" s="124"/>
      <c r="C18" s="124"/>
      <c r="D18" s="310"/>
      <c r="E18" s="124"/>
      <c r="F18" s="309"/>
      <c r="G18" s="306"/>
      <c r="H18" s="128"/>
      <c r="I18" s="129"/>
      <c r="J18" s="130"/>
      <c r="K18" s="364"/>
      <c r="L18" s="358"/>
      <c r="M18" s="109"/>
      <c r="N18" s="104" t="s">
        <v>31</v>
      </c>
      <c r="O18" s="125">
        <v>1.51</v>
      </c>
      <c r="P18" s="125">
        <v>5</v>
      </c>
      <c r="Q18" s="70">
        <v>0.1</v>
      </c>
      <c r="R18" s="70">
        <v>1.5</v>
      </c>
      <c r="S18" s="134" t="s">
        <v>46</v>
      </c>
    </row>
    <row r="19" spans="1:19" ht="15">
      <c r="A19" s="50" t="s">
        <v>38</v>
      </c>
      <c r="B19" s="116">
        <f>+Informations!B4</f>
        <v>100</v>
      </c>
      <c r="C19" s="126">
        <v>40</v>
      </c>
      <c r="D19" s="131">
        <f>IF($B$1="Non",Boissons_2[[#This Row],[Quantité finale]],0)</f>
        <v>0</v>
      </c>
      <c r="E19" s="116" t="s">
        <v>47</v>
      </c>
      <c r="F19" s="241">
        <f>IFERROR(IFERROR(VLOOKUP(A19,Base_données_Boissons[],3,FALSE),""),"")</f>
        <v>3.5</v>
      </c>
      <c r="G19" s="128">
        <f>Boissons!$D19*Boissons!$F19</f>
        <v>0</v>
      </c>
      <c r="H19" s="128"/>
      <c r="I19" s="241">
        <f>IFERROR(IFERROR(VLOOKUP(Boissons!$A19,Base_données_Boissons[#All],2,FALSE),""),"")</f>
        <v>1</v>
      </c>
      <c r="J19" s="311">
        <f>IF(Boissons!$D19=0,Boissons!$C19*Boissons!$I19,Boissons!$D19*Boissons!$I19)</f>
        <v>40</v>
      </c>
      <c r="K19" s="363">
        <f>G19-J19</f>
        <v>-40</v>
      </c>
      <c r="L19" s="356" t="e">
        <f>+Boissons!$K19/Boissons!$G19</f>
        <v>#DIV/0!</v>
      </c>
      <c r="M19" s="109"/>
      <c r="N19" s="104" t="s">
        <v>32</v>
      </c>
      <c r="O19" s="125">
        <v>0.85</v>
      </c>
      <c r="P19" s="125">
        <v>5</v>
      </c>
      <c r="Q19" s="70">
        <v>0.1</v>
      </c>
      <c r="R19" s="70">
        <v>1.5</v>
      </c>
      <c r="S19" s="134" t="s">
        <v>46</v>
      </c>
    </row>
    <row r="20" spans="1:19" ht="15">
      <c r="A20" s="301" t="s">
        <v>59</v>
      </c>
      <c r="B20" s="301"/>
      <c r="C20" s="301"/>
      <c r="D20" s="371"/>
      <c r="E20" s="301"/>
      <c r="F20" s="301"/>
      <c r="G20" s="349">
        <f>SUBTOTAL(109,Boissons!$G$18:$G$19)</f>
        <v>0</v>
      </c>
      <c r="H20" s="301"/>
      <c r="I20" s="301"/>
      <c r="J20" s="312">
        <f>SUBTOTAL(109,Boissons!$J$18:$J$19)</f>
        <v>40</v>
      </c>
      <c r="K20" s="369">
        <f>SUBTOTAL(109,Boissons!$K$18:$K$19)</f>
        <v>-40</v>
      </c>
      <c r="L20" s="359" t="e">
        <f>+Boissons!$K$20/Boissons!$G$20</f>
        <v>#DIV/0!</v>
      </c>
      <c r="M20" s="109"/>
      <c r="N20" s="104" t="s">
        <v>35</v>
      </c>
      <c r="O20" s="125">
        <v>2.0499999999999998</v>
      </c>
      <c r="P20" s="125">
        <v>4.5</v>
      </c>
      <c r="Q20" s="70">
        <v>0.1</v>
      </c>
      <c r="R20" s="70">
        <v>1</v>
      </c>
      <c r="S20" s="134" t="s">
        <v>127</v>
      </c>
    </row>
    <row r="21" spans="1:19" ht="15.75" thickBot="1">
      <c r="A21" s="352" t="s">
        <v>306</v>
      </c>
      <c r="B21" s="350"/>
      <c r="C21" s="350"/>
      <c r="D21" s="350"/>
      <c r="E21" s="350"/>
      <c r="F21" s="350"/>
      <c r="G21" s="351">
        <f>SUBTOTAL(109,Boissons!$G$13:'Boissons'!$G$17:'Boissons'!$G$2:$G$20)</f>
        <v>1400</v>
      </c>
      <c r="H21" s="109"/>
      <c r="I21" s="350"/>
      <c r="J21" s="360">
        <f>SUM(J13,J17,J20)</f>
        <v>476.64</v>
      </c>
      <c r="K21" s="365">
        <f>SUM(K13,K17,K20)</f>
        <v>-476.64</v>
      </c>
      <c r="L21" s="366">
        <f>+K21/G21</f>
        <v>-0.34045714285714285</v>
      </c>
      <c r="M21" s="109"/>
      <c r="N21" s="104" t="s">
        <v>36</v>
      </c>
      <c r="O21" s="125">
        <v>0.98</v>
      </c>
      <c r="P21" s="125">
        <v>4.5</v>
      </c>
      <c r="Q21" s="70">
        <v>0.1</v>
      </c>
      <c r="R21" s="70">
        <v>1</v>
      </c>
      <c r="S21" s="134" t="s">
        <v>127</v>
      </c>
    </row>
    <row r="22" spans="1:19" ht="15.75" thickTop="1">
      <c r="G22" s="70"/>
      <c r="H22" s="109"/>
      <c r="L22" s="134"/>
      <c r="M22" s="109"/>
      <c r="N22" s="104" t="s">
        <v>223</v>
      </c>
      <c r="O22" s="125">
        <v>1.08</v>
      </c>
      <c r="P22" s="125">
        <v>5</v>
      </c>
      <c r="Q22" s="70">
        <v>0.1</v>
      </c>
      <c r="R22" s="70">
        <v>1.5</v>
      </c>
      <c r="S22" s="134" t="s">
        <v>46</v>
      </c>
    </row>
    <row r="23" spans="1:19" ht="15">
      <c r="A23" s="135" t="s">
        <v>124</v>
      </c>
      <c r="B23" s="380" t="s">
        <v>125</v>
      </c>
      <c r="C23" s="381"/>
      <c r="D23" s="380" t="s">
        <v>58</v>
      </c>
      <c r="E23" s="380"/>
      <c r="G23" s="70"/>
      <c r="H23" s="109"/>
      <c r="L23" s="134"/>
      <c r="M23" s="109"/>
      <c r="N23" s="132" t="s">
        <v>221</v>
      </c>
      <c r="O23" s="132"/>
      <c r="P23" s="132"/>
      <c r="Q23" s="132"/>
      <c r="R23" s="132"/>
      <c r="S23" s="132"/>
    </row>
    <row r="24" spans="1:19" ht="15">
      <c r="A24" s="70" t="s">
        <v>122</v>
      </c>
      <c r="B24" s="136">
        <v>0.2</v>
      </c>
      <c r="C24" s="137" t="s">
        <v>127</v>
      </c>
      <c r="D24" s="138">
        <f>(+B24*Informations!$B$4)/0.7</f>
        <v>28.571428571428573</v>
      </c>
      <c r="E24" s="139" t="s">
        <v>46</v>
      </c>
      <c r="G24" s="70"/>
      <c r="H24" s="109"/>
      <c r="L24" s="134"/>
      <c r="N24" s="104" t="s">
        <v>213</v>
      </c>
      <c r="O24" s="125">
        <v>0.45</v>
      </c>
      <c r="P24" s="125">
        <v>3</v>
      </c>
    </row>
    <row r="25" spans="1:19" ht="15">
      <c r="A25" s="70" t="s">
        <v>41</v>
      </c>
      <c r="B25" s="136">
        <v>1</v>
      </c>
      <c r="C25" s="137" t="s">
        <v>46</v>
      </c>
      <c r="D25" s="139">
        <f>+B25*Informations!$B$4</f>
        <v>100</v>
      </c>
      <c r="E25" s="139" t="s">
        <v>46</v>
      </c>
      <c r="G25" s="70"/>
      <c r="H25" s="109"/>
      <c r="L25" s="134"/>
      <c r="M25" s="109"/>
      <c r="N25" s="104" t="s">
        <v>214</v>
      </c>
      <c r="O25" s="125">
        <v>0.45</v>
      </c>
      <c r="P25" s="125">
        <v>3</v>
      </c>
    </row>
    <row r="26" spans="1:19" ht="15">
      <c r="A26" s="70" t="s">
        <v>42</v>
      </c>
      <c r="B26" s="136">
        <v>1</v>
      </c>
      <c r="C26" s="137" t="s">
        <v>47</v>
      </c>
      <c r="D26" s="139">
        <f>+B26*Informations!$B$4</f>
        <v>100</v>
      </c>
      <c r="E26" s="139" t="s">
        <v>47</v>
      </c>
      <c r="G26" s="70"/>
      <c r="L26" s="134"/>
      <c r="M26" s="109"/>
      <c r="N26" s="104" t="s">
        <v>141</v>
      </c>
      <c r="O26" s="125">
        <v>0.87</v>
      </c>
      <c r="P26" s="125">
        <v>4</v>
      </c>
      <c r="Q26" s="70">
        <v>0.1</v>
      </c>
      <c r="R26" s="70">
        <v>0.45</v>
      </c>
      <c r="S26" s="134" t="s">
        <v>46</v>
      </c>
    </row>
    <row r="27" spans="1:19" ht="15">
      <c r="A27" s="70" t="s">
        <v>139</v>
      </c>
      <c r="B27" s="136">
        <v>0.2</v>
      </c>
      <c r="C27" s="137" t="s">
        <v>127</v>
      </c>
      <c r="D27" s="139">
        <f>MROUND((B27*Informations!$B$4)/1.5,1)</f>
        <v>13</v>
      </c>
      <c r="E27" s="139" t="s">
        <v>46</v>
      </c>
      <c r="L27" s="134"/>
      <c r="M27" s="109"/>
      <c r="N27" s="104" t="s">
        <v>142</v>
      </c>
      <c r="O27" s="125">
        <v>0.97</v>
      </c>
      <c r="P27" s="125">
        <v>4</v>
      </c>
      <c r="Q27" s="70">
        <v>0.1</v>
      </c>
      <c r="R27" s="70">
        <v>0.45</v>
      </c>
      <c r="S27" s="134" t="s">
        <v>46</v>
      </c>
    </row>
    <row r="28" spans="1:19" ht="15">
      <c r="A28" s="140" t="s">
        <v>140</v>
      </c>
      <c r="B28" s="136"/>
      <c r="C28" s="137"/>
      <c r="D28" s="139"/>
      <c r="E28" s="139"/>
      <c r="L28" s="134"/>
      <c r="M28" s="109"/>
      <c r="N28" s="104" t="s">
        <v>33</v>
      </c>
      <c r="O28" s="125">
        <v>0.49</v>
      </c>
      <c r="P28" s="125">
        <v>4</v>
      </c>
      <c r="Q28" s="70">
        <v>0.1</v>
      </c>
      <c r="R28" s="70">
        <v>0.5</v>
      </c>
      <c r="S28" s="134" t="s">
        <v>46</v>
      </c>
    </row>
    <row r="29" spans="1:19" ht="15" customHeight="1">
      <c r="A29" s="70" t="str">
        <f>+A9</f>
        <v xml:space="preserve">Thé froid 1.5l PET            </v>
      </c>
      <c r="B29" s="136">
        <v>0.1</v>
      </c>
      <c r="C29" s="137" t="s">
        <v>127</v>
      </c>
      <c r="D29" s="139">
        <f>MROUND((B29*Informations!$B$4)/(VLOOKUP(A29,$N$15:$S$32,5,0)),1)</f>
        <v>7</v>
      </c>
      <c r="E29" s="139" t="str">
        <f>VLOOKUP(A29,$N$6:$S$36,6,FALSE)</f>
        <v>Bouteilles</v>
      </c>
      <c r="L29" s="134"/>
      <c r="M29" s="109"/>
      <c r="N29" s="104" t="s">
        <v>34</v>
      </c>
      <c r="O29" s="125">
        <v>0.49</v>
      </c>
      <c r="P29" s="125">
        <v>4</v>
      </c>
      <c r="Q29" s="70">
        <v>0.1</v>
      </c>
      <c r="R29" s="70">
        <v>0.5</v>
      </c>
      <c r="S29" s="134" t="s">
        <v>46</v>
      </c>
    </row>
    <row r="30" spans="1:19" ht="15" customHeight="1">
      <c r="A30" s="70" t="str">
        <f>+A10</f>
        <v>Romanette citron 1.5l PET</v>
      </c>
      <c r="B30" s="136">
        <v>0.1</v>
      </c>
      <c r="C30" s="137" t="s">
        <v>127</v>
      </c>
      <c r="D30" s="139">
        <f>MROUND((B30*Informations!$B$4)/(VLOOKUP(A30,$N$15:$S$32,5,0)),1)</f>
        <v>7</v>
      </c>
      <c r="E30" s="139" t="str">
        <f>VLOOKUP(A30,$N$6:$S$36,6,FALSE)</f>
        <v>Bouteilles</v>
      </c>
      <c r="L30" s="134"/>
      <c r="M30" s="109"/>
      <c r="N30" s="104" t="s">
        <v>222</v>
      </c>
      <c r="O30" s="125">
        <v>0.82</v>
      </c>
      <c r="P30" s="125">
        <v>4</v>
      </c>
      <c r="Q30" s="70">
        <v>0.1</v>
      </c>
      <c r="R30" s="70">
        <v>0.5</v>
      </c>
      <c r="S30" s="134" t="s">
        <v>46</v>
      </c>
    </row>
    <row r="31" spans="1:19" ht="15" customHeight="1">
      <c r="A31" s="70" t="str">
        <f>+A11</f>
        <v>Coca-Cola 4.5dl PET</v>
      </c>
      <c r="B31" s="136">
        <v>0.1</v>
      </c>
      <c r="C31" s="137" t="s">
        <v>127</v>
      </c>
      <c r="D31" s="139">
        <f>MROUND((B31*Informations!$B$4)/(VLOOKUP(A31,$N$15:$S$32,5,0)),1)</f>
        <v>22</v>
      </c>
      <c r="E31" s="139" t="str">
        <f>VLOOKUP(A31,$N$6:$S$36,6,FALSE)</f>
        <v>Bouteilles</v>
      </c>
      <c r="L31" s="134"/>
      <c r="N31" s="104" t="s">
        <v>224</v>
      </c>
      <c r="O31" s="125">
        <v>1.05</v>
      </c>
      <c r="P31" s="125">
        <v>4</v>
      </c>
      <c r="Q31" s="70">
        <v>0.1</v>
      </c>
      <c r="R31" s="70">
        <v>0.5</v>
      </c>
      <c r="S31" s="134" t="s">
        <v>46</v>
      </c>
    </row>
    <row r="32" spans="1:19" ht="15">
      <c r="A32" s="70" t="str">
        <f t="shared" ref="A32" si="0">+A12</f>
        <v>Jus de pomme De La Région, 1l</v>
      </c>
      <c r="B32" s="136">
        <v>0.1</v>
      </c>
      <c r="C32" s="137" t="s">
        <v>127</v>
      </c>
      <c r="D32" s="139">
        <f>MROUND((B32*Informations!$B$4)/(VLOOKUP(A32,$N$15:$S$32,5,0)),1)</f>
        <v>10</v>
      </c>
      <c r="E32" s="139" t="str">
        <f>VLOOKUP(A32,$N$6:$S$36,6,FALSE)</f>
        <v>Litres</v>
      </c>
      <c r="L32" s="134"/>
      <c r="N32" s="104" t="s">
        <v>225</v>
      </c>
      <c r="O32" s="125">
        <v>1.28</v>
      </c>
      <c r="P32" s="125">
        <v>5</v>
      </c>
      <c r="Q32" s="70">
        <v>0.1</v>
      </c>
      <c r="R32" s="70">
        <v>0.5</v>
      </c>
      <c r="S32" s="134" t="s">
        <v>46</v>
      </c>
    </row>
    <row r="33" spans="2:19" ht="15">
      <c r="B33" s="136"/>
      <c r="C33" s="137"/>
      <c r="D33" s="139"/>
      <c r="E33" s="139"/>
      <c r="N33" s="132" t="s">
        <v>41</v>
      </c>
      <c r="O33" s="132"/>
      <c r="P33" s="132"/>
      <c r="Q33" s="132"/>
      <c r="R33" s="132"/>
      <c r="S33" s="132"/>
    </row>
    <row r="34" spans="2:19" ht="15">
      <c r="N34" s="104" t="s">
        <v>37</v>
      </c>
      <c r="O34" s="125">
        <v>0.99</v>
      </c>
      <c r="P34" s="125">
        <v>5</v>
      </c>
    </row>
    <row r="35" spans="2:19" ht="15">
      <c r="N35" s="132" t="s">
        <v>42</v>
      </c>
      <c r="O35" s="132"/>
      <c r="P35" s="132"/>
      <c r="Q35" s="132"/>
      <c r="R35" s="132"/>
      <c r="S35" s="132"/>
    </row>
    <row r="36" spans="2:19" ht="15">
      <c r="N36" s="104" t="s">
        <v>38</v>
      </c>
      <c r="O36" s="125">
        <v>1</v>
      </c>
      <c r="P36" s="125">
        <v>3.5</v>
      </c>
    </row>
  </sheetData>
  <protectedRanges>
    <protectedRange password="CC71" sqref="F19 I19 I15:I16 F15:F16 F7:F12 I7:I12" name="Plage1"/>
  </protectedRanges>
  <dataConsolidate function="product"/>
  <mergeCells count="6">
    <mergeCell ref="N4:S4"/>
    <mergeCell ref="A2:B2"/>
    <mergeCell ref="C2:D2"/>
    <mergeCell ref="B23:C23"/>
    <mergeCell ref="D23:E23"/>
    <mergeCell ref="A4:C4"/>
  </mergeCells>
  <conditionalFormatting sqref="L21">
    <cfRule type="cellIs" dxfId="11" priority="1" operator="lessThan">
      <formula>0.25</formula>
    </cfRule>
  </conditionalFormatting>
  <dataValidations count="5">
    <dataValidation type="list" allowBlank="1" showInputMessage="1" showErrorMessage="1" sqref="I4">
      <formula1>$M$1:$M$1</formula1>
    </dataValidation>
    <dataValidation type="list" allowBlank="1" showInputMessage="1" showErrorMessage="1" sqref="I3">
      <formula1>$N$1:$N$2</formula1>
    </dataValidation>
    <dataValidation type="list" allowBlank="1" showInputMessage="1" showErrorMessage="1" sqref="A29:A33">
      <formula1>$N$15:$N$29</formula1>
    </dataValidation>
    <dataValidation type="list" allowBlank="1" showInputMessage="1" showErrorMessage="1" sqref="A15:A16">
      <formula1>$N$6:$N$36</formula1>
    </dataValidation>
    <dataValidation type="list" allowBlank="1" showInputMessage="1" showErrorMessage="1" sqref="A7:A12">
      <formula1>$N$12:$N$32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81"/>
  <sheetViews>
    <sheetView zoomScaleNormal="100" workbookViewId="0">
      <selection activeCell="E20" sqref="E20"/>
    </sheetView>
  </sheetViews>
  <sheetFormatPr baseColWidth="10" defaultRowHeight="14.25"/>
  <cols>
    <col min="1" max="1" width="36" style="49" customWidth="1"/>
    <col min="2" max="2" width="11.7109375" style="49" customWidth="1"/>
    <col min="3" max="3" width="10.85546875" style="49" bestFit="1" customWidth="1"/>
    <col min="4" max="4" width="14.140625" style="49" customWidth="1"/>
    <col min="5" max="5" width="18.140625" style="49" customWidth="1"/>
    <col min="6" max="7" width="4" style="49" customWidth="1"/>
    <col min="8" max="10" width="11.42578125" style="49"/>
    <col min="11" max="11" width="18.42578125" style="49" customWidth="1"/>
    <col min="12" max="12" width="11.140625" style="169" customWidth="1"/>
    <col min="13" max="13" width="52.28515625" style="49" customWidth="1"/>
    <col min="14" max="15" width="11.5703125" style="259" customWidth="1"/>
    <col min="16" max="16" width="11.42578125" style="244"/>
    <col min="17" max="16384" width="11.42578125" style="49"/>
  </cols>
  <sheetData>
    <row r="1" spans="1:16" ht="30.75" thickBot="1">
      <c r="A1" s="48" t="s">
        <v>175</v>
      </c>
      <c r="B1" s="143" t="s">
        <v>120</v>
      </c>
      <c r="E1" s="99"/>
      <c r="F1" s="99"/>
      <c r="K1" s="315" t="s">
        <v>287</v>
      </c>
    </row>
    <row r="2" spans="1:16" ht="15">
      <c r="A2" s="385" t="s">
        <v>56</v>
      </c>
      <c r="B2" s="386"/>
      <c r="C2" s="387"/>
      <c r="D2" s="52"/>
      <c r="E2" s="52"/>
      <c r="F2" s="99"/>
      <c r="G2" s="99"/>
    </row>
    <row r="3" spans="1:16" ht="15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316" t="s">
        <v>228</v>
      </c>
      <c r="G3" s="316" t="s">
        <v>229</v>
      </c>
      <c r="H3" s="261" t="s">
        <v>4</v>
      </c>
      <c r="I3" s="261" t="s">
        <v>51</v>
      </c>
      <c r="J3" s="261" t="s">
        <v>49</v>
      </c>
      <c r="L3" s="388" t="s">
        <v>100</v>
      </c>
      <c r="M3" s="388"/>
      <c r="N3" s="388"/>
      <c r="O3" s="388"/>
      <c r="P3" s="388"/>
    </row>
    <row r="4" spans="1:16" ht="29.25" customHeight="1">
      <c r="A4" s="167" t="s">
        <v>230</v>
      </c>
      <c r="B4" s="147">
        <f>+IF(B1="Oui",+Informations!B4,0)</f>
        <v>0</v>
      </c>
      <c r="C4" s="147" t="str">
        <f t="shared" ref="C4" si="0">+IF(B4=1,"Pièce","Pièces")</f>
        <v>Pièces</v>
      </c>
      <c r="D4" s="148">
        <f>+IF($B$1="Oui",+IFERROR(IFERROR(VLOOKUP(Matériel[[#This Row],[Désignation]],BaseDonnées[[#All],[Vaisselle]:[PA Total]],3,FALSE),""),""),0)</f>
        <v>0</v>
      </c>
      <c r="E4" s="149">
        <f>Matériel[[#This Row],[Quantité ]]*Matériel[[#This Row],[Tarif]]</f>
        <v>0</v>
      </c>
      <c r="F4" s="317"/>
      <c r="G4" s="99"/>
      <c r="H4" s="313">
        <f>+IF($B$1="Oui",+IFERROR(IFERROR(VLOOKUP(Matériel[[#This Row],[Désignation]],BaseDonnées[[#All],[Vaisselle]:[PA Total]],2,FALSE),""),""),0)</f>
        <v>0</v>
      </c>
      <c r="I4" s="299">
        <f>+Matériel[[#This Row],[Total CHF]]-Matériel[[#This Row],[Total Achat]]</f>
        <v>0</v>
      </c>
      <c r="J4" s="153" t="e">
        <f>Matériel[[#This Row],[Marge 
CHF]]/Matériel[[#This Row],[Total CHF]]</f>
        <v>#DIV/0!</v>
      </c>
      <c r="L4" s="266" t="s">
        <v>1</v>
      </c>
      <c r="M4" s="267" t="s">
        <v>185</v>
      </c>
      <c r="N4" s="268" t="s">
        <v>226</v>
      </c>
      <c r="O4" s="269" t="s">
        <v>274</v>
      </c>
      <c r="P4" s="269" t="s">
        <v>227</v>
      </c>
    </row>
    <row r="5" spans="1:16" ht="15.75" thickBot="1">
      <c r="A5" s="211" t="s">
        <v>59</v>
      </c>
      <c r="B5" s="211"/>
      <c r="C5" s="211"/>
      <c r="D5" s="211"/>
      <c r="E5" s="283">
        <f>SUBTOTAL(109,Matériel[Total CHF])</f>
        <v>0</v>
      </c>
      <c r="F5" s="211"/>
      <c r="G5" s="211"/>
      <c r="H5" s="314">
        <f>SUBTOTAL(109,Matériel[Total Achat])</f>
        <v>0</v>
      </c>
      <c r="I5" s="314">
        <f>+Matériel[[#Totals],[Total CHF]]-Matériel[[#Totals],[Total Achat]]</f>
        <v>0</v>
      </c>
      <c r="J5" s="284" t="e">
        <f>Matériel[[#Totals],[Marge 
CHF]]/Matériel[[#Totals],[Total CHF]]</f>
        <v>#DIV/0!</v>
      </c>
      <c r="L5" s="262"/>
      <c r="M5" s="160" t="s">
        <v>251</v>
      </c>
      <c r="N5" s="260">
        <v>1.24</v>
      </c>
      <c r="O5" s="280"/>
      <c r="P5" s="264">
        <f t="shared" ref="P5:P67" si="1">+L5*N5</f>
        <v>0</v>
      </c>
    </row>
    <row r="6" spans="1:16" ht="15.75" thickTop="1">
      <c r="A6" s="48"/>
      <c r="L6" s="262"/>
      <c r="M6" s="160" t="s">
        <v>252</v>
      </c>
      <c r="N6" s="260">
        <v>0.78</v>
      </c>
      <c r="O6" s="280"/>
      <c r="P6" s="264">
        <f t="shared" si="1"/>
        <v>0</v>
      </c>
    </row>
    <row r="7" spans="1:16" ht="15">
      <c r="A7" s="48"/>
      <c r="L7" s="262">
        <v>50</v>
      </c>
      <c r="M7" s="160" t="s">
        <v>253</v>
      </c>
      <c r="N7" s="260">
        <v>0.59</v>
      </c>
      <c r="O7" s="280"/>
      <c r="P7" s="264">
        <f t="shared" si="1"/>
        <v>29.5</v>
      </c>
    </row>
    <row r="8" spans="1:16" ht="15">
      <c r="A8" s="48"/>
      <c r="L8" s="262">
        <v>50</v>
      </c>
      <c r="M8" s="160" t="s">
        <v>254</v>
      </c>
      <c r="N8" s="260">
        <v>0.53</v>
      </c>
      <c r="O8" s="280"/>
      <c r="P8" s="264">
        <f t="shared" si="1"/>
        <v>26.5</v>
      </c>
    </row>
    <row r="9" spans="1:16" ht="15">
      <c r="A9" s="48"/>
      <c r="L9" s="262">
        <v>50</v>
      </c>
      <c r="M9" s="160" t="s">
        <v>255</v>
      </c>
      <c r="N9" s="260">
        <v>0.49</v>
      </c>
      <c r="O9" s="280"/>
      <c r="P9" s="264">
        <f t="shared" si="1"/>
        <v>24.5</v>
      </c>
    </row>
    <row r="10" spans="1:16" ht="15">
      <c r="A10" s="48"/>
      <c r="L10" s="262"/>
      <c r="M10" s="160" t="s">
        <v>256</v>
      </c>
      <c r="N10" s="260">
        <v>0.67</v>
      </c>
      <c r="O10" s="280"/>
      <c r="P10" s="264">
        <f t="shared" si="1"/>
        <v>0</v>
      </c>
    </row>
    <row r="11" spans="1:16" ht="15">
      <c r="A11" s="48"/>
      <c r="L11" s="262">
        <v>50</v>
      </c>
      <c r="M11" s="160" t="s">
        <v>257</v>
      </c>
      <c r="N11" s="260">
        <v>0.96</v>
      </c>
      <c r="O11" s="280"/>
      <c r="P11" s="264">
        <f t="shared" si="1"/>
        <v>48</v>
      </c>
    </row>
    <row r="12" spans="1:16" ht="15">
      <c r="A12" s="48"/>
      <c r="L12" s="262"/>
      <c r="M12" s="160" t="s">
        <v>258</v>
      </c>
      <c r="N12" s="260"/>
      <c r="O12" s="280"/>
      <c r="P12" s="264">
        <f t="shared" si="1"/>
        <v>0</v>
      </c>
    </row>
    <row r="13" spans="1:16" ht="15">
      <c r="A13" s="48"/>
      <c r="L13" s="262">
        <v>50</v>
      </c>
      <c r="M13" s="160" t="s">
        <v>259</v>
      </c>
      <c r="N13" s="260">
        <v>0.96</v>
      </c>
      <c r="O13" s="280"/>
      <c r="P13" s="264">
        <f t="shared" si="1"/>
        <v>48</v>
      </c>
    </row>
    <row r="14" spans="1:16" ht="15">
      <c r="A14" s="48"/>
      <c r="L14" s="262"/>
      <c r="M14" s="160" t="s">
        <v>260</v>
      </c>
      <c r="N14" s="260">
        <v>0.45</v>
      </c>
      <c r="O14" s="280"/>
      <c r="P14" s="264">
        <f t="shared" si="1"/>
        <v>0</v>
      </c>
    </row>
    <row r="15" spans="1:16" ht="15">
      <c r="A15" s="48"/>
      <c r="L15" s="262"/>
      <c r="M15" s="160" t="s">
        <v>186</v>
      </c>
      <c r="N15" s="260">
        <v>0.53</v>
      </c>
      <c r="O15" s="280"/>
      <c r="P15" s="264">
        <f t="shared" si="1"/>
        <v>0</v>
      </c>
    </row>
    <row r="16" spans="1:16" ht="15">
      <c r="A16" s="48"/>
      <c r="L16" s="262"/>
      <c r="M16" s="160" t="s">
        <v>276</v>
      </c>
      <c r="N16" s="260">
        <v>1.38</v>
      </c>
      <c r="O16" s="280"/>
      <c r="P16" s="264">
        <f t="shared" si="1"/>
        <v>0</v>
      </c>
    </row>
    <row r="17" spans="1:16" ht="15">
      <c r="A17" s="48"/>
      <c r="L17" s="262"/>
      <c r="M17" s="160" t="s">
        <v>277</v>
      </c>
      <c r="N17" s="260">
        <v>1.32</v>
      </c>
      <c r="O17" s="280"/>
      <c r="P17" s="264">
        <f t="shared" si="1"/>
        <v>0</v>
      </c>
    </row>
    <row r="18" spans="1:16" ht="15">
      <c r="A18" s="48"/>
      <c r="L18" s="262"/>
      <c r="M18" s="160" t="s">
        <v>261</v>
      </c>
      <c r="N18" s="260">
        <v>1.32</v>
      </c>
      <c r="O18" s="280"/>
      <c r="P18" s="264">
        <f t="shared" si="1"/>
        <v>0</v>
      </c>
    </row>
    <row r="19" spans="1:16" ht="15">
      <c r="A19" s="48"/>
      <c r="L19" s="262"/>
      <c r="M19" s="160" t="s">
        <v>262</v>
      </c>
      <c r="N19" s="260">
        <v>0.87</v>
      </c>
      <c r="O19" s="280"/>
      <c r="P19" s="264">
        <f t="shared" si="1"/>
        <v>0</v>
      </c>
    </row>
    <row r="20" spans="1:16" ht="15">
      <c r="A20" s="48"/>
      <c r="L20" s="263"/>
      <c r="M20" s="242" t="s">
        <v>187</v>
      </c>
      <c r="N20" s="245"/>
      <c r="O20" s="265"/>
      <c r="P20" s="265"/>
    </row>
    <row r="21" spans="1:16" ht="15">
      <c r="A21" s="48"/>
      <c r="L21" s="262">
        <v>50</v>
      </c>
      <c r="M21" s="161" t="s">
        <v>263</v>
      </c>
      <c r="N21" s="260">
        <v>0.48</v>
      </c>
      <c r="O21" s="280"/>
      <c r="P21" s="264">
        <f t="shared" si="1"/>
        <v>24</v>
      </c>
    </row>
    <row r="22" spans="1:16" ht="15">
      <c r="A22" s="48"/>
      <c r="L22" s="262">
        <v>50</v>
      </c>
      <c r="M22" s="161" t="s">
        <v>264</v>
      </c>
      <c r="N22" s="260">
        <v>0.48</v>
      </c>
      <c r="O22" s="280"/>
      <c r="P22" s="264">
        <f t="shared" si="1"/>
        <v>24</v>
      </c>
    </row>
    <row r="23" spans="1:16" ht="15">
      <c r="A23" s="48"/>
      <c r="L23" s="262">
        <v>50</v>
      </c>
      <c r="M23" s="161" t="s">
        <v>281</v>
      </c>
      <c r="N23" s="260">
        <v>0.48</v>
      </c>
      <c r="O23" s="280"/>
      <c r="P23" s="264">
        <f t="shared" si="1"/>
        <v>24</v>
      </c>
    </row>
    <row r="24" spans="1:16" ht="15">
      <c r="A24" s="48"/>
      <c r="L24" s="262"/>
      <c r="M24" s="160" t="s">
        <v>265</v>
      </c>
      <c r="N24" s="260">
        <v>0.48</v>
      </c>
      <c r="O24" s="280"/>
      <c r="P24" s="264">
        <f t="shared" si="1"/>
        <v>0</v>
      </c>
    </row>
    <row r="25" spans="1:16" ht="15">
      <c r="A25" s="48"/>
      <c r="L25" s="262">
        <v>50</v>
      </c>
      <c r="M25" s="160" t="s">
        <v>266</v>
      </c>
      <c r="N25" s="260">
        <v>0.48</v>
      </c>
      <c r="O25" s="280"/>
      <c r="P25" s="264">
        <f t="shared" si="1"/>
        <v>24</v>
      </c>
    </row>
    <row r="26" spans="1:16" ht="15">
      <c r="A26" s="48"/>
      <c r="L26" s="262">
        <v>50</v>
      </c>
      <c r="M26" s="160" t="s">
        <v>267</v>
      </c>
      <c r="N26" s="260">
        <v>0.48</v>
      </c>
      <c r="O26" s="280"/>
      <c r="P26" s="264">
        <f t="shared" si="1"/>
        <v>24</v>
      </c>
    </row>
    <row r="27" spans="1:16" ht="15">
      <c r="A27" s="48"/>
      <c r="L27" s="262">
        <v>50</v>
      </c>
      <c r="M27" s="160" t="s">
        <v>279</v>
      </c>
      <c r="N27" s="260">
        <v>0.48</v>
      </c>
      <c r="O27" s="280"/>
      <c r="P27" s="264">
        <f t="shared" si="1"/>
        <v>24</v>
      </c>
    </row>
    <row r="28" spans="1:16">
      <c r="L28" s="262">
        <v>50</v>
      </c>
      <c r="M28" s="160" t="s">
        <v>278</v>
      </c>
      <c r="N28" s="260">
        <v>0.48</v>
      </c>
      <c r="O28" s="280"/>
      <c r="P28" s="264">
        <f t="shared" si="1"/>
        <v>24</v>
      </c>
    </row>
    <row r="29" spans="1:16">
      <c r="L29" s="262"/>
      <c r="M29" s="161" t="s">
        <v>268</v>
      </c>
      <c r="N29" s="260">
        <v>0.48</v>
      </c>
      <c r="O29" s="280"/>
      <c r="P29" s="264">
        <f t="shared" si="1"/>
        <v>0</v>
      </c>
    </row>
    <row r="30" spans="1:16">
      <c r="L30" s="262"/>
      <c r="M30" s="160" t="s">
        <v>280</v>
      </c>
      <c r="N30" s="260">
        <v>1.8</v>
      </c>
      <c r="O30" s="280"/>
      <c r="P30" s="264">
        <f t="shared" si="1"/>
        <v>0</v>
      </c>
    </row>
    <row r="31" spans="1:16" ht="15">
      <c r="L31" s="263"/>
      <c r="M31" s="242" t="s">
        <v>188</v>
      </c>
      <c r="N31" s="245"/>
      <c r="O31" s="265"/>
      <c r="P31" s="265"/>
    </row>
    <row r="32" spans="1:16">
      <c r="L32" s="262"/>
      <c r="M32" s="161" t="s">
        <v>269</v>
      </c>
      <c r="N32" s="260">
        <v>0.9</v>
      </c>
      <c r="O32" s="280"/>
      <c r="P32" s="264">
        <f t="shared" si="1"/>
        <v>0</v>
      </c>
    </row>
    <row r="33" spans="12:16">
      <c r="L33" s="262">
        <v>50</v>
      </c>
      <c r="M33" s="161" t="s">
        <v>270</v>
      </c>
      <c r="N33" s="260">
        <v>0.9</v>
      </c>
      <c r="O33" s="280"/>
      <c r="P33" s="264">
        <f t="shared" si="1"/>
        <v>45</v>
      </c>
    </row>
    <row r="34" spans="12:16">
      <c r="L34" s="262">
        <v>50</v>
      </c>
      <c r="M34" s="161" t="s">
        <v>271</v>
      </c>
      <c r="N34" s="260">
        <v>0.9</v>
      </c>
      <c r="O34" s="280"/>
      <c r="P34" s="264">
        <f t="shared" si="1"/>
        <v>45</v>
      </c>
    </row>
    <row r="35" spans="12:16">
      <c r="L35" s="262"/>
      <c r="M35" s="160" t="s">
        <v>272</v>
      </c>
      <c r="N35" s="260">
        <v>0.9</v>
      </c>
      <c r="O35" s="280"/>
      <c r="P35" s="264">
        <f t="shared" si="1"/>
        <v>0</v>
      </c>
    </row>
    <row r="36" spans="12:16">
      <c r="L36" s="262"/>
      <c r="M36" s="160" t="s">
        <v>273</v>
      </c>
      <c r="N36" s="260">
        <v>0.78</v>
      </c>
      <c r="O36" s="280"/>
      <c r="P36" s="264">
        <f t="shared" si="1"/>
        <v>0</v>
      </c>
    </row>
    <row r="37" spans="12:16">
      <c r="L37" s="262"/>
      <c r="M37" s="160" t="s">
        <v>189</v>
      </c>
      <c r="N37" s="260">
        <v>0.98</v>
      </c>
      <c r="O37" s="280"/>
      <c r="P37" s="264">
        <f t="shared" si="1"/>
        <v>0</v>
      </c>
    </row>
    <row r="38" spans="12:16">
      <c r="L38" s="262"/>
      <c r="M38" s="162" t="s">
        <v>190</v>
      </c>
      <c r="N38" s="260">
        <v>0.98</v>
      </c>
      <c r="O38" s="280"/>
      <c r="P38" s="264">
        <f t="shared" si="1"/>
        <v>0</v>
      </c>
    </row>
    <row r="39" spans="12:16">
      <c r="L39" s="262"/>
      <c r="M39" s="162" t="s">
        <v>191</v>
      </c>
      <c r="N39" s="260">
        <v>0.74</v>
      </c>
      <c r="O39" s="280"/>
      <c r="P39" s="264">
        <f t="shared" si="1"/>
        <v>0</v>
      </c>
    </row>
    <row r="40" spans="12:16">
      <c r="L40" s="262">
        <v>50</v>
      </c>
      <c r="M40" s="162" t="s">
        <v>284</v>
      </c>
      <c r="N40" s="260">
        <v>0.74</v>
      </c>
      <c r="O40" s="280"/>
      <c r="P40" s="264">
        <f t="shared" si="1"/>
        <v>37</v>
      </c>
    </row>
    <row r="41" spans="12:16">
      <c r="L41" s="262"/>
      <c r="M41" s="162" t="s">
        <v>192</v>
      </c>
      <c r="N41" s="260">
        <v>0.65</v>
      </c>
      <c r="O41" s="280"/>
      <c r="P41" s="264">
        <f t="shared" si="1"/>
        <v>0</v>
      </c>
    </row>
    <row r="42" spans="12:16">
      <c r="L42" s="262">
        <v>50</v>
      </c>
      <c r="M42" s="162" t="s">
        <v>285</v>
      </c>
      <c r="N42" s="260">
        <v>0.65</v>
      </c>
      <c r="O42" s="280"/>
      <c r="P42" s="264">
        <f t="shared" si="1"/>
        <v>32.5</v>
      </c>
    </row>
    <row r="43" spans="12:16">
      <c r="L43" s="262"/>
      <c r="M43" s="162" t="s">
        <v>193</v>
      </c>
      <c r="N43" s="260">
        <v>0.59</v>
      </c>
      <c r="O43" s="280"/>
      <c r="P43" s="264">
        <f t="shared" si="1"/>
        <v>0</v>
      </c>
    </row>
    <row r="44" spans="12:16">
      <c r="L44" s="262"/>
      <c r="M44" s="161" t="s">
        <v>194</v>
      </c>
      <c r="N44" s="260">
        <v>0.59</v>
      </c>
      <c r="O44" s="280"/>
      <c r="P44" s="264">
        <f t="shared" si="1"/>
        <v>0</v>
      </c>
    </row>
    <row r="45" spans="12:16" ht="15">
      <c r="L45" s="274" t="s">
        <v>231</v>
      </c>
      <c r="M45" s="278"/>
      <c r="N45" s="279"/>
      <c r="O45" s="281"/>
      <c r="P45" s="277">
        <f>+SUBTOTAL(9,P5:P44)</f>
        <v>504</v>
      </c>
    </row>
    <row r="46" spans="12:16" ht="15">
      <c r="L46" s="263"/>
      <c r="M46" s="242" t="s">
        <v>195</v>
      </c>
      <c r="N46" s="245"/>
      <c r="O46" s="265"/>
      <c r="P46" s="265"/>
    </row>
    <row r="47" spans="12:16" ht="15">
      <c r="L47" s="262"/>
      <c r="M47" s="159" t="s">
        <v>237</v>
      </c>
      <c r="N47" s="260">
        <v>26.9</v>
      </c>
      <c r="O47" s="280">
        <v>30</v>
      </c>
      <c r="P47" s="264">
        <f t="shared" si="1"/>
        <v>0</v>
      </c>
    </row>
    <row r="48" spans="12:16">
      <c r="L48" s="262"/>
      <c r="M48" s="159" t="s">
        <v>238</v>
      </c>
      <c r="N48" s="260">
        <v>6.89</v>
      </c>
      <c r="O48" s="280">
        <f>ROUNDUP(+BaseDonnées[[#This Row],[PA/unité]]*2,0)</f>
        <v>14</v>
      </c>
      <c r="P48" s="264">
        <f t="shared" si="1"/>
        <v>0</v>
      </c>
    </row>
    <row r="49" spans="12:16">
      <c r="L49" s="262"/>
      <c r="M49" s="159" t="s">
        <v>236</v>
      </c>
      <c r="N49" s="260">
        <v>35</v>
      </c>
      <c r="O49" s="280">
        <f>ROUNDUP(+BaseDonnées[[#This Row],[PA/unité]]*2,0)</f>
        <v>70</v>
      </c>
      <c r="P49" s="264">
        <f t="shared" si="1"/>
        <v>0</v>
      </c>
    </row>
    <row r="50" spans="12:16">
      <c r="L50" s="262"/>
      <c r="M50" s="163" t="s">
        <v>235</v>
      </c>
      <c r="N50" s="260">
        <v>12.88</v>
      </c>
      <c r="O50" s="280">
        <f>ROUNDUP(+BaseDonnées[[#This Row],[PA/unité]]*2,0)</f>
        <v>26</v>
      </c>
      <c r="P50" s="264">
        <f t="shared" si="1"/>
        <v>0</v>
      </c>
    </row>
    <row r="51" spans="12:16">
      <c r="L51" s="262"/>
      <c r="M51" s="163" t="s">
        <v>239</v>
      </c>
      <c r="N51" s="260">
        <v>17.5</v>
      </c>
      <c r="O51" s="280">
        <f>ROUNDUP(+BaseDonnées[[#This Row],[PA/unité]]*2,0)</f>
        <v>35</v>
      </c>
      <c r="P51" s="264">
        <f t="shared" si="1"/>
        <v>0</v>
      </c>
    </row>
    <row r="52" spans="12:16">
      <c r="L52" s="262"/>
      <c r="M52" s="163" t="s">
        <v>240</v>
      </c>
      <c r="N52" s="260">
        <v>17.149999999999999</v>
      </c>
      <c r="O52" s="280">
        <f>ROUNDUP(+BaseDonnées[[#This Row],[PA/unité]]*2,0)</f>
        <v>35</v>
      </c>
      <c r="P52" s="264">
        <f t="shared" si="1"/>
        <v>0</v>
      </c>
    </row>
    <row r="53" spans="12:16">
      <c r="L53" s="262"/>
      <c r="M53" s="163" t="s">
        <v>241</v>
      </c>
      <c r="N53" s="260">
        <v>20.58</v>
      </c>
      <c r="O53" s="280">
        <f>ROUNDUP(+BaseDonnées[[#This Row],[PA/unité]]*2,0)</f>
        <v>42</v>
      </c>
      <c r="P53" s="264">
        <f t="shared" si="1"/>
        <v>0</v>
      </c>
    </row>
    <row r="54" spans="12:16">
      <c r="L54" s="262"/>
      <c r="M54" s="163" t="s">
        <v>242</v>
      </c>
      <c r="N54" s="260">
        <v>41.8</v>
      </c>
      <c r="O54" s="280">
        <f>ROUNDUP(+BaseDonnées[[#This Row],[PA/unité]]*2,0)</f>
        <v>84</v>
      </c>
      <c r="P54" s="264">
        <f t="shared" si="1"/>
        <v>0</v>
      </c>
    </row>
    <row r="55" spans="12:16">
      <c r="L55" s="262"/>
      <c r="M55" s="163" t="s">
        <v>275</v>
      </c>
      <c r="N55" s="260">
        <v>1.47</v>
      </c>
      <c r="O55" s="280">
        <v>2</v>
      </c>
      <c r="P55" s="264">
        <f t="shared" si="1"/>
        <v>0</v>
      </c>
    </row>
    <row r="56" spans="12:16">
      <c r="L56" s="262"/>
      <c r="M56" s="163" t="s">
        <v>196</v>
      </c>
      <c r="N56" s="260">
        <v>1.8</v>
      </c>
      <c r="O56" s="280">
        <f>ROUNDUP(+BaseDonnées[[#This Row],[PA/unité]]*2,0)</f>
        <v>4</v>
      </c>
      <c r="P56" s="264">
        <f t="shared" si="1"/>
        <v>0</v>
      </c>
    </row>
    <row r="57" spans="12:16">
      <c r="L57" s="262"/>
      <c r="M57" s="163" t="s">
        <v>197</v>
      </c>
      <c r="N57" s="260">
        <v>1.9</v>
      </c>
      <c r="O57" s="280">
        <f>ROUNDUP(+BaseDonnées[[#This Row],[PA/unité]]*2,0)</f>
        <v>4</v>
      </c>
      <c r="P57" s="264">
        <f t="shared" si="1"/>
        <v>0</v>
      </c>
    </row>
    <row r="58" spans="12:16">
      <c r="L58" s="262"/>
      <c r="M58" s="163" t="s">
        <v>243</v>
      </c>
      <c r="N58" s="260">
        <v>1.55</v>
      </c>
      <c r="O58" s="280">
        <v>2</v>
      </c>
      <c r="P58" s="264">
        <f t="shared" si="1"/>
        <v>0</v>
      </c>
    </row>
    <row r="59" spans="12:16" ht="15">
      <c r="L59" s="274" t="s">
        <v>232</v>
      </c>
      <c r="M59" s="275"/>
      <c r="N59" s="276"/>
      <c r="O59" s="282">
        <f>ROUNDUP(+BaseDonnées[[#This Row],[PA/unité]]*2,0)</f>
        <v>0</v>
      </c>
      <c r="P59" s="277">
        <f>+SUBTOTAL(109,P47:P58)</f>
        <v>0</v>
      </c>
    </row>
    <row r="60" spans="12:16" ht="15">
      <c r="L60" s="263"/>
      <c r="M60" s="243" t="s">
        <v>233</v>
      </c>
      <c r="N60" s="245"/>
      <c r="O60" s="265"/>
      <c r="P60" s="265"/>
    </row>
    <row r="61" spans="12:16">
      <c r="L61" s="262"/>
      <c r="M61" s="164" t="s">
        <v>283</v>
      </c>
      <c r="N61" s="260">
        <v>28.5</v>
      </c>
      <c r="O61" s="280">
        <v>25</v>
      </c>
      <c r="P61" s="264">
        <f t="shared" si="1"/>
        <v>0</v>
      </c>
    </row>
    <row r="62" spans="12:16">
      <c r="L62" s="262"/>
      <c r="M62" s="164" t="s">
        <v>245</v>
      </c>
      <c r="N62" s="260">
        <v>13.4</v>
      </c>
      <c r="O62" s="280">
        <v>20</v>
      </c>
      <c r="P62" s="264">
        <f t="shared" si="1"/>
        <v>0</v>
      </c>
    </row>
    <row r="63" spans="12:16">
      <c r="L63" s="262"/>
      <c r="M63" s="163" t="s">
        <v>60</v>
      </c>
      <c r="N63" s="260">
        <v>14.5</v>
      </c>
      <c r="O63" s="280">
        <v>35</v>
      </c>
      <c r="P63" s="264">
        <f t="shared" si="1"/>
        <v>0</v>
      </c>
    </row>
    <row r="64" spans="12:16">
      <c r="L64" s="262"/>
      <c r="M64" s="163" t="s">
        <v>61</v>
      </c>
      <c r="N64" s="260">
        <v>14</v>
      </c>
      <c r="O64" s="280">
        <v>25</v>
      </c>
      <c r="P64" s="264">
        <f t="shared" si="1"/>
        <v>0</v>
      </c>
    </row>
    <row r="65" spans="12:16">
      <c r="L65" s="262"/>
      <c r="M65" s="163" t="s">
        <v>282</v>
      </c>
      <c r="N65" s="260">
        <v>20</v>
      </c>
      <c r="O65" s="280">
        <v>25</v>
      </c>
      <c r="P65" s="264">
        <f t="shared" si="1"/>
        <v>0</v>
      </c>
    </row>
    <row r="66" spans="12:16">
      <c r="L66" s="262"/>
      <c r="M66" s="163" t="s">
        <v>246</v>
      </c>
      <c r="N66" s="260">
        <v>2</v>
      </c>
      <c r="O66" s="280">
        <v>5</v>
      </c>
      <c r="P66" s="264">
        <f t="shared" si="1"/>
        <v>0</v>
      </c>
    </row>
    <row r="67" spans="12:16">
      <c r="L67" s="262"/>
      <c r="M67" s="163" t="s">
        <v>247</v>
      </c>
      <c r="N67" s="260">
        <v>34.6</v>
      </c>
      <c r="O67" s="280">
        <v>50</v>
      </c>
      <c r="P67" s="264">
        <f t="shared" si="1"/>
        <v>0</v>
      </c>
    </row>
    <row r="68" spans="12:16">
      <c r="L68" s="262"/>
      <c r="M68" s="163" t="s">
        <v>202</v>
      </c>
      <c r="N68" s="260">
        <v>8.5</v>
      </c>
      <c r="O68" s="280">
        <f>ROUNDUP(+BaseDonnées[[#This Row],[PA/unité]]*2,0)</f>
        <v>17</v>
      </c>
      <c r="P68" s="264">
        <f t="shared" ref="P68:P78" si="2">+L68*N68</f>
        <v>0</v>
      </c>
    </row>
    <row r="69" spans="12:16">
      <c r="L69" s="262"/>
      <c r="M69" s="166" t="s">
        <v>203</v>
      </c>
      <c r="N69" s="260">
        <v>7</v>
      </c>
      <c r="O69" s="280">
        <f>ROUNDUP(+BaseDonnées[[#This Row],[PA/unité]]*2,0)</f>
        <v>14</v>
      </c>
      <c r="P69" s="264">
        <f t="shared" si="2"/>
        <v>0</v>
      </c>
    </row>
    <row r="70" spans="12:16">
      <c r="L70" s="262"/>
      <c r="M70" s="164" t="s">
        <v>244</v>
      </c>
      <c r="N70" s="260">
        <v>19.95</v>
      </c>
      <c r="O70" s="280">
        <v>20</v>
      </c>
      <c r="P70" s="264">
        <f t="shared" ref="P70:P77" si="3">+L70*N70</f>
        <v>0</v>
      </c>
    </row>
    <row r="71" spans="12:16">
      <c r="L71" s="262"/>
      <c r="M71" s="163" t="s">
        <v>198</v>
      </c>
      <c r="N71" s="260">
        <v>149</v>
      </c>
      <c r="O71" s="280">
        <f>ROUNDUP(+BaseDonnées[[#This Row],[PA/unité]]*2,0)</f>
        <v>298</v>
      </c>
      <c r="P71" s="264">
        <f t="shared" si="3"/>
        <v>0</v>
      </c>
    </row>
    <row r="72" spans="12:16">
      <c r="L72" s="262"/>
      <c r="M72" s="163" t="s">
        <v>199</v>
      </c>
      <c r="N72" s="260">
        <v>25</v>
      </c>
      <c r="O72" s="280">
        <f>ROUNDUP(+BaseDonnées[[#This Row],[PA/unité]]*2,0)</f>
        <v>50</v>
      </c>
      <c r="P72" s="264">
        <f t="shared" si="3"/>
        <v>0</v>
      </c>
    </row>
    <row r="73" spans="12:16">
      <c r="L73" s="262"/>
      <c r="M73" s="163" t="s">
        <v>200</v>
      </c>
      <c r="N73" s="260">
        <v>19.95</v>
      </c>
      <c r="O73" s="280">
        <f>ROUNDUP(+BaseDonnées[[#This Row],[PA/unité]]*2,0)</f>
        <v>40</v>
      </c>
      <c r="P73" s="264">
        <f t="shared" si="3"/>
        <v>0</v>
      </c>
    </row>
    <row r="74" spans="12:16">
      <c r="L74" s="262"/>
      <c r="M74" s="165" t="s">
        <v>248</v>
      </c>
      <c r="N74" s="260">
        <v>9</v>
      </c>
      <c r="O74" s="280">
        <f>ROUNDUP(+BaseDonnées[[#This Row],[PA/unité]]*2,0)</f>
        <v>18</v>
      </c>
      <c r="P74" s="264">
        <f t="shared" si="3"/>
        <v>0</v>
      </c>
    </row>
    <row r="75" spans="12:16">
      <c r="L75" s="262"/>
      <c r="M75" s="165" t="s">
        <v>249</v>
      </c>
      <c r="N75" s="260">
        <v>4.9000000000000004</v>
      </c>
      <c r="O75" s="280">
        <f>ROUNDUP(+BaseDonnées[[#This Row],[PA/unité]]*2,0)</f>
        <v>10</v>
      </c>
      <c r="P75" s="264">
        <f t="shared" si="3"/>
        <v>0</v>
      </c>
    </row>
    <row r="76" spans="12:16">
      <c r="L76" s="262"/>
      <c r="M76" s="163" t="s">
        <v>250</v>
      </c>
      <c r="N76" s="260">
        <v>35</v>
      </c>
      <c r="O76" s="280">
        <f>ROUNDUP(+BaseDonnées[[#This Row],[PA/unité]]*2,0)</f>
        <v>70</v>
      </c>
      <c r="P76" s="264">
        <f t="shared" si="3"/>
        <v>0</v>
      </c>
    </row>
    <row r="77" spans="12:16">
      <c r="L77" s="262"/>
      <c r="M77" s="163" t="s">
        <v>201</v>
      </c>
      <c r="N77" s="260">
        <v>48</v>
      </c>
      <c r="O77" s="280">
        <f>ROUNDUP(+BaseDonnées[[#This Row],[PA/unité]]*2,0)</f>
        <v>96</v>
      </c>
      <c r="P77" s="264">
        <f t="shared" si="3"/>
        <v>0</v>
      </c>
    </row>
    <row r="78" spans="12:16">
      <c r="L78" s="262"/>
      <c r="M78" s="166" t="s">
        <v>204</v>
      </c>
      <c r="N78" s="260">
        <v>40</v>
      </c>
      <c r="O78" s="280">
        <f>ROUNDUP(+BaseDonnées[[#This Row],[PA/unité]]*2,0)</f>
        <v>80</v>
      </c>
      <c r="P78" s="264">
        <f t="shared" si="2"/>
        <v>0</v>
      </c>
    </row>
    <row r="79" spans="12:16" ht="29.25">
      <c r="L79" s="262"/>
      <c r="M79" s="167" t="s">
        <v>230</v>
      </c>
      <c r="N79" s="260">
        <f>+P45</f>
        <v>504</v>
      </c>
      <c r="O79" s="280">
        <v>15</v>
      </c>
      <c r="P79" s="264"/>
    </row>
    <row r="80" spans="12:16" ht="15">
      <c r="L80" s="274" t="s">
        <v>234</v>
      </c>
      <c r="M80" s="275"/>
      <c r="N80" s="276"/>
      <c r="O80" s="282">
        <f>ROUNDUP(+BaseDonnées[[#This Row],[PA/unité]]*2,0)</f>
        <v>0</v>
      </c>
      <c r="P80" s="277">
        <f>+SUBTOTAL(109,P61:P78)</f>
        <v>0</v>
      </c>
    </row>
    <row r="81" spans="12:16">
      <c r="L81" s="270" t="s">
        <v>169</v>
      </c>
      <c r="M81" s="271"/>
      <c r="N81" s="272"/>
      <c r="O81" s="272"/>
      <c r="P81" s="273">
        <f>SUBTOTAL(109,BaseDonnées[PA Total])</f>
        <v>504</v>
      </c>
    </row>
  </sheetData>
  <mergeCells count="2">
    <mergeCell ref="A2:C2"/>
    <mergeCell ref="L3:P3"/>
  </mergeCells>
  <conditionalFormatting sqref="J5">
    <cfRule type="cellIs" dxfId="10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7"/>
  <sheetViews>
    <sheetView workbookViewId="0">
      <selection activeCell="E38" sqref="E38"/>
    </sheetView>
  </sheetViews>
  <sheetFormatPr baseColWidth="10" defaultRowHeight="14.25"/>
  <cols>
    <col min="1" max="1" width="36" style="49" customWidth="1"/>
    <col min="2" max="2" width="11.7109375" style="49" customWidth="1"/>
    <col min="3" max="3" width="9.7109375" style="49" customWidth="1"/>
    <col min="4" max="4" width="14.140625" style="49" customWidth="1"/>
    <col min="5" max="5" width="18.140625" style="49" customWidth="1"/>
    <col min="6" max="7" width="3.42578125" style="49" customWidth="1"/>
    <col min="8" max="11" width="11.42578125" style="49"/>
    <col min="12" max="12" width="17.85546875" style="49" customWidth="1"/>
    <col min="13" max="16384" width="11.42578125" style="49"/>
  </cols>
  <sheetData>
    <row r="1" spans="1:12" ht="45.75" thickBot="1">
      <c r="A1" s="48" t="s">
        <v>178</v>
      </c>
      <c r="B1" s="143" t="s">
        <v>119</v>
      </c>
      <c r="L1" s="315" t="s">
        <v>287</v>
      </c>
    </row>
    <row r="2" spans="1:12" ht="15">
      <c r="A2" s="385" t="s">
        <v>57</v>
      </c>
      <c r="B2" s="389"/>
      <c r="C2" s="387"/>
      <c r="F2" s="99"/>
      <c r="G2" s="99"/>
    </row>
    <row r="3" spans="1:12" ht="15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316" t="s">
        <v>228</v>
      </c>
      <c r="G3" s="316" t="s">
        <v>229</v>
      </c>
      <c r="H3" s="261" t="s">
        <v>0</v>
      </c>
      <c r="I3" s="261" t="s">
        <v>4</v>
      </c>
      <c r="J3" s="261" t="s">
        <v>286</v>
      </c>
      <c r="K3" s="261" t="s">
        <v>49</v>
      </c>
    </row>
    <row r="4" spans="1:12" ht="15">
      <c r="A4" s="167" t="s">
        <v>60</v>
      </c>
      <c r="B4" s="147">
        <v>10</v>
      </c>
      <c r="C4" s="147" t="str">
        <f>+IF(Mobilier[[#This Row],[Désignation]]&gt;1,"Pièces","Pièce")</f>
        <v>Pièces</v>
      </c>
      <c r="D4" s="148">
        <v>35</v>
      </c>
      <c r="E4" s="149">
        <f>Mobilier[[#This Row],[Quantité ]]*Mobilier[Tarif]</f>
        <v>350</v>
      </c>
      <c r="F4" s="317"/>
      <c r="G4" s="99"/>
      <c r="H4" s="151">
        <v>34</v>
      </c>
      <c r="I4" s="152">
        <f>+Mobilier[[#This Row],[Quantité ]]*Mobilier[[#This Row],[PA]]</f>
        <v>340</v>
      </c>
      <c r="J4" s="152">
        <f>+Mobilier[[#This Row],[Total CHF]]-Mobilier[[#This Row],[Total Achat]]</f>
        <v>10</v>
      </c>
      <c r="K4" s="292">
        <f>+Mobilier[[#This Row],[Marge CHF]]/Mobilier[[#This Row],[Total CHF]]</f>
        <v>2.8571428571428571E-2</v>
      </c>
    </row>
    <row r="5" spans="1:12" ht="15">
      <c r="A5" s="167" t="s">
        <v>61</v>
      </c>
      <c r="B5" s="147">
        <v>4</v>
      </c>
      <c r="C5" s="147" t="str">
        <f>+IF(Mobilier[[#This Row],[Désignation]]&gt;1,"Pièces","Pièce")</f>
        <v>Pièces</v>
      </c>
      <c r="D5" s="148">
        <v>25</v>
      </c>
      <c r="E5" s="149">
        <f>Mobilier[[#This Row],[Quantité ]]*Mobilier[Tarif]</f>
        <v>100</v>
      </c>
      <c r="F5" s="150"/>
      <c r="H5" s="151">
        <v>14</v>
      </c>
      <c r="I5" s="152">
        <f>+Mobilier[[#This Row],[Quantité ]]*Mobilier[[#This Row],[PA]]</f>
        <v>56</v>
      </c>
      <c r="J5" s="152">
        <f>+Mobilier[[#This Row],[Total CHF]]-Mobilier[[#This Row],[Total Achat]]</f>
        <v>44</v>
      </c>
      <c r="K5" s="292">
        <f>+Mobilier[[#This Row],[Marge CHF]]/Mobilier[[#This Row],[Total CHF]]</f>
        <v>0.44</v>
      </c>
    </row>
    <row r="6" spans="1:12" ht="15.75" thickBot="1">
      <c r="A6" s="211" t="s">
        <v>59</v>
      </c>
      <c r="B6" s="288"/>
      <c r="C6" s="288"/>
      <c r="D6" s="288"/>
      <c r="E6" s="289">
        <f>IF($B$1="Oui",SUBTOTAL(109,Mobilier[Total CHF]),0)</f>
        <v>450</v>
      </c>
      <c r="F6" s="288"/>
      <c r="G6" s="288"/>
      <c r="H6" s="290">
        <f>IF($B$1="Oui",SUBTOTAL(109,Mobilier[PA]),0)</f>
        <v>48</v>
      </c>
      <c r="I6" s="291">
        <f>IF($B$1="Oui",SUBTOTAL(109,Mobilier[Total Achat]),0)</f>
        <v>396</v>
      </c>
      <c r="J6" s="291">
        <f>IF($B$1="Oui",Mobilier[[#Totals],[Total CHF]]-Mobilier[[#Totals],[Total Achat]],0)</f>
        <v>54</v>
      </c>
      <c r="K6" s="318">
        <f>IF($B$1="Oui",(Mobilier[[#Totals],[Marge CHF]]/Mobilier[[#Totals],[Total Achat]]),0)</f>
        <v>0.13636363636363635</v>
      </c>
    </row>
    <row r="7" spans="1:12" ht="15" thickTop="1"/>
  </sheetData>
  <mergeCells count="1">
    <mergeCell ref="A2:C2"/>
  </mergeCells>
  <conditionalFormatting sqref="K6">
    <cfRule type="cellIs" dxfId="9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47"/>
  <sheetViews>
    <sheetView zoomScaleNormal="100" workbookViewId="0">
      <selection activeCell="F18" sqref="F18"/>
    </sheetView>
  </sheetViews>
  <sheetFormatPr baseColWidth="10" defaultRowHeight="14.25"/>
  <cols>
    <col min="1" max="1" width="2.5703125" style="168" bestFit="1" customWidth="1"/>
    <col min="2" max="2" width="37.28515625" style="49" customWidth="1"/>
    <col min="3" max="3" width="6.7109375" style="169" bestFit="1" customWidth="1"/>
    <col min="4" max="4" width="2" style="169" customWidth="1"/>
    <col min="5" max="5" width="7.85546875" style="169" customWidth="1"/>
    <col min="6" max="7" width="9.7109375" style="49" customWidth="1"/>
    <col min="8" max="8" width="10.7109375" style="49" customWidth="1"/>
    <col min="9" max="9" width="16.140625" style="49" customWidth="1"/>
    <col min="10" max="10" width="3.28515625" style="49" customWidth="1"/>
    <col min="11" max="11" width="5.28515625" style="49" customWidth="1"/>
    <col min="12" max="12" width="17.85546875" style="169" customWidth="1"/>
    <col min="13" max="13" width="56.28515625" style="49" customWidth="1"/>
    <col min="14" max="14" width="11.28515625" style="49" customWidth="1"/>
    <col min="15" max="15" width="11.140625" style="49" customWidth="1"/>
    <col min="16" max="16" width="14.140625" style="49" bestFit="1" customWidth="1"/>
    <col min="17" max="17" width="11.42578125" style="49" customWidth="1"/>
    <col min="18" max="18" width="15.42578125" style="49" customWidth="1"/>
    <col min="19" max="19" width="12.140625" style="49" customWidth="1"/>
    <col min="20" max="20" width="14.140625" style="49" bestFit="1" customWidth="1"/>
    <col min="21" max="21" width="13" style="49" customWidth="1"/>
    <col min="22" max="22" width="15.140625" style="49" customWidth="1"/>
    <col min="23" max="23" width="6.7109375" style="49" bestFit="1" customWidth="1"/>
    <col min="24" max="24" width="2.140625" style="49" bestFit="1" customWidth="1"/>
    <col min="25" max="25" width="6.7109375" style="49" bestFit="1" customWidth="1"/>
    <col min="26" max="26" width="5" style="49" bestFit="1" customWidth="1"/>
    <col min="27" max="27" width="8" style="49" bestFit="1" customWidth="1"/>
    <col min="28" max="28" width="6.140625" style="49" bestFit="1" customWidth="1"/>
    <col min="29" max="29" width="9.5703125" style="49" bestFit="1" customWidth="1"/>
    <col min="30" max="16384" width="11.42578125" style="49"/>
  </cols>
  <sheetData>
    <row r="1" spans="1:29" ht="30.75" thickBot="1">
      <c r="B1" s="48" t="s">
        <v>184</v>
      </c>
      <c r="C1" s="143" t="s">
        <v>119</v>
      </c>
      <c r="D1" s="298" t="s">
        <v>65</v>
      </c>
      <c r="E1" s="337">
        <v>0.95833333333333337</v>
      </c>
      <c r="F1" s="338">
        <v>0.20833333333333334</v>
      </c>
      <c r="V1" s="328" t="s">
        <v>292</v>
      </c>
      <c r="W1" s="329">
        <v>53</v>
      </c>
    </row>
    <row r="2" spans="1:29" ht="45.75" thickBot="1">
      <c r="A2" s="385" t="s">
        <v>72</v>
      </c>
      <c r="B2" s="389"/>
      <c r="C2" s="389"/>
      <c r="D2" s="389"/>
      <c r="E2" s="389"/>
      <c r="F2" s="389"/>
      <c r="G2" s="387"/>
      <c r="H2" s="49" t="s">
        <v>102</v>
      </c>
      <c r="L2" s="315" t="s">
        <v>287</v>
      </c>
      <c r="V2" s="330" t="s">
        <v>293</v>
      </c>
      <c r="W2" s="331">
        <v>48</v>
      </c>
    </row>
    <row r="3" spans="1:29" ht="15.75" thickBot="1">
      <c r="A3" s="287" t="s">
        <v>228</v>
      </c>
      <c r="B3" s="287" t="s">
        <v>5</v>
      </c>
      <c r="C3" s="144" t="s">
        <v>63</v>
      </c>
      <c r="D3" s="144" t="s">
        <v>229</v>
      </c>
      <c r="E3" s="144" t="s">
        <v>64</v>
      </c>
      <c r="F3" s="119" t="s">
        <v>52</v>
      </c>
      <c r="G3" s="119" t="s">
        <v>45</v>
      </c>
      <c r="H3" s="144" t="s">
        <v>53</v>
      </c>
      <c r="I3" s="144" t="s">
        <v>54</v>
      </c>
      <c r="J3" s="144"/>
      <c r="K3" s="119"/>
      <c r="L3" s="49"/>
      <c r="M3" s="319" t="s">
        <v>100</v>
      </c>
      <c r="N3" s="320"/>
      <c r="O3" s="320"/>
      <c r="P3" s="320"/>
      <c r="Q3" s="320"/>
      <c r="R3" s="320"/>
      <c r="S3" s="320"/>
      <c r="T3" s="321"/>
      <c r="U3" s="296"/>
      <c r="V3" s="332" t="s">
        <v>294</v>
      </c>
      <c r="W3" s="331">
        <v>45</v>
      </c>
      <c r="X3" s="183"/>
      <c r="Y3" s="183"/>
      <c r="Z3" s="184"/>
      <c r="AA3" s="185"/>
      <c r="AB3" s="184"/>
      <c r="AC3" s="186"/>
    </row>
    <row r="4" spans="1:29" ht="15">
      <c r="A4" s="170">
        <v>2</v>
      </c>
      <c r="B4" s="167" t="str">
        <f>+IF($A4&gt;1,"responsables de service","responsable de service")</f>
        <v>responsables de service</v>
      </c>
      <c r="C4" s="183">
        <v>0.375</v>
      </c>
      <c r="D4" s="327" t="str">
        <f t="shared" ref="D4:D8" si="0">+$D$1</f>
        <v>-</v>
      </c>
      <c r="E4" s="183">
        <v>0.75</v>
      </c>
      <c r="F4" s="184">
        <f>IF(Personnel[[#This Row],[A]]&lt;0.2,(Personnel[[#This Row],[Colonne1]]*(1+(Personnel[[#This Row],[A]]-Personnel[[#This Row],[De]]))*24),(Personnel[[#This Row],[Colonne1]]*(Personnel[[#This Row],[A]]-Personnel[[#This Row],[De]])*24))</f>
        <v>18</v>
      </c>
      <c r="G4" s="185" t="str">
        <f>+IF(Personnel[[#This Row],[Quantité ]]=1,"Heure","Heures")</f>
        <v>Heures</v>
      </c>
      <c r="H4" s="184">
        <f>+IFERROR(IFERROR(VLOOKUP(Personnel[[#This Row],[Désignation]],$V$1:$W$16,2,FALSE),""),"")</f>
        <v>53</v>
      </c>
      <c r="I4" s="186">
        <f>+IF($C$1="Oui",+Personnel[[#This Row],[Quantité ]]*Personnel[[#This Row],[Tarif]],"")</f>
        <v>954</v>
      </c>
      <c r="J4" s="187"/>
      <c r="K4" s="188"/>
      <c r="L4" s="49"/>
      <c r="M4" s="326" t="s">
        <v>136</v>
      </c>
      <c r="N4" s="326"/>
      <c r="O4" s="326"/>
      <c r="P4" s="326"/>
      <c r="Q4" s="326"/>
      <c r="R4" s="326"/>
      <c r="S4" s="326"/>
      <c r="T4" s="326"/>
      <c r="U4" s="99"/>
      <c r="V4" s="332" t="s">
        <v>295</v>
      </c>
      <c r="W4" s="331">
        <v>53</v>
      </c>
      <c r="X4" s="322"/>
      <c r="Y4" s="322"/>
      <c r="Z4" s="323"/>
      <c r="AA4" s="324"/>
      <c r="AB4" s="323"/>
      <c r="AC4" s="325"/>
    </row>
    <row r="5" spans="1:29" ht="30">
      <c r="A5" s="170">
        <v>1</v>
      </c>
      <c r="B5" s="167" t="str">
        <f>+IF($A5&gt;1,"personnes de service","personne de service")</f>
        <v>personne de service</v>
      </c>
      <c r="C5" s="183">
        <v>0.4375</v>
      </c>
      <c r="D5" s="183" t="str">
        <f t="shared" si="0"/>
        <v>-</v>
      </c>
      <c r="E5" s="183">
        <v>0.79166666666666663</v>
      </c>
      <c r="F5" s="184">
        <f>IF(Personnel[[#This Row],[A]]&lt;0.2,(Personnel[[#This Row],[Colonne1]]*(1+(Personnel[[#This Row],[A]]-Personnel[[#This Row],[De]]))*24),(Personnel[[#This Row],[Colonne1]]*(Personnel[[#This Row],[A]]-Personnel[[#This Row],[De]])*24))</f>
        <v>8.5</v>
      </c>
      <c r="G5" s="185" t="str">
        <f>+IF(Personnel[[#This Row],[Quantité ]]=1,"Heure","Heures")</f>
        <v>Heures</v>
      </c>
      <c r="H5" s="184">
        <f>+IFERROR(IFERROR(VLOOKUP(Personnel[[#This Row],[Désignation]],$V$1:$W$16,2,FALSE),""),"")</f>
        <v>48</v>
      </c>
      <c r="I5" s="186">
        <f>+IF($C$1="Oui",+Personnel[[#This Row],[Quantité ]]*Personnel[[#This Row],[Tarif]],"")</f>
        <v>408</v>
      </c>
      <c r="J5" s="187"/>
      <c r="K5" s="189"/>
      <c r="L5" s="99"/>
      <c r="M5" s="167" t="str">
        <f>+IF($A5&gt;1,"responsables de service","responsable de service")</f>
        <v>responsable de service</v>
      </c>
      <c r="N5" s="183">
        <v>0.39583333333333331</v>
      </c>
      <c r="O5" s="183" t="s">
        <v>65</v>
      </c>
      <c r="P5" s="183">
        <v>0.75</v>
      </c>
      <c r="Q5" s="184">
        <f>IF(P5&lt;0.2,(L5*(1+(P5-N5))*24),(L5*(P5-N5)*24))</f>
        <v>0</v>
      </c>
      <c r="R5" s="185" t="s">
        <v>62</v>
      </c>
      <c r="S5" s="184">
        <v>53</v>
      </c>
      <c r="T5" s="186">
        <f>+Q5*S5</f>
        <v>0</v>
      </c>
      <c r="U5" s="295"/>
      <c r="V5" s="330" t="s">
        <v>296</v>
      </c>
      <c r="W5" s="331">
        <v>53</v>
      </c>
      <c r="X5" s="322"/>
      <c r="Y5" s="322"/>
      <c r="Z5" s="323"/>
      <c r="AA5" s="324"/>
      <c r="AB5" s="323"/>
      <c r="AC5" s="325"/>
    </row>
    <row r="6" spans="1:29" ht="15">
      <c r="A6" s="170">
        <v>2</v>
      </c>
      <c r="B6" s="167" t="str">
        <f>+IF(A6&gt;1,"personnes de service dès 23h00","personne de service dès 23h00")</f>
        <v>personnes de service dès 23h00</v>
      </c>
      <c r="C6" s="183">
        <v>0.95833333333333337</v>
      </c>
      <c r="D6" s="183" t="str">
        <f t="shared" si="0"/>
        <v>-</v>
      </c>
      <c r="E6" s="183">
        <v>8.3333333333333329E-2</v>
      </c>
      <c r="F6" s="184">
        <f>IF(Personnel[[#This Row],[A]]&lt;0.2,(Personnel[[#This Row],[Colonne1]]*(1+(Personnel[[#This Row],[A]]-Personnel[[#This Row],[De]]))*24),(Personnel[[#This Row],[Colonne1]]*(Personnel[[#This Row],[A]]-Personnel[[#This Row],[De]])*24))</f>
        <v>6</v>
      </c>
      <c r="G6" s="185" t="str">
        <f>+IF(Personnel[[#This Row],[Quantité ]]=1,"Heure","Heures")</f>
        <v>Heures</v>
      </c>
      <c r="H6" s="184">
        <f>+IFERROR(IFERROR(VLOOKUP(Personnel[[#This Row],[Désignation]],$V$1:$W$16,2,FALSE),""),"")</f>
        <v>52.8</v>
      </c>
      <c r="I6" s="186">
        <f>+IF($C$1="Oui",+Personnel[[#This Row],[Quantité ]]*Personnel[[#This Row],[Tarif]],"")</f>
        <v>316.79999999999995</v>
      </c>
      <c r="J6" s="187"/>
      <c r="K6" s="189"/>
      <c r="L6" s="295"/>
      <c r="M6" s="167" t="str">
        <f>+IF($A6&gt;1,"personnes de service","personne de service")</f>
        <v>personnes de service</v>
      </c>
      <c r="N6" s="183">
        <v>0.4375</v>
      </c>
      <c r="O6" s="183" t="s">
        <v>65</v>
      </c>
      <c r="P6" s="183">
        <v>0.99930555555555556</v>
      </c>
      <c r="Q6" s="184"/>
      <c r="R6" s="185" t="s">
        <v>62</v>
      </c>
      <c r="S6" s="184">
        <v>48</v>
      </c>
      <c r="T6" s="186">
        <f t="shared" ref="T6:T8" si="1">+Q6*S6</f>
        <v>0</v>
      </c>
      <c r="U6" s="295"/>
      <c r="V6" s="333" t="s">
        <v>291</v>
      </c>
      <c r="W6" s="331">
        <v>48</v>
      </c>
      <c r="X6" s="322"/>
      <c r="Y6" s="322"/>
      <c r="Z6" s="323"/>
      <c r="AA6" s="324"/>
      <c r="AB6" s="323"/>
      <c r="AC6" s="325"/>
    </row>
    <row r="7" spans="1:29" ht="15">
      <c r="A7" s="170">
        <v>1</v>
      </c>
      <c r="B7" s="48" t="str">
        <f>+IF($A7&gt;1,"aides de cuisine","aide de cuisine")</f>
        <v>aide de cuisine</v>
      </c>
      <c r="C7" s="183">
        <v>8.3333333333333329E-2</v>
      </c>
      <c r="D7" s="183" t="str">
        <f t="shared" si="0"/>
        <v>-</v>
      </c>
      <c r="E7" s="183">
        <v>0</v>
      </c>
      <c r="F7" s="184">
        <f>IF(Personnel[[#This Row],[A]]&lt;0.2,(Personnel[[#This Row],[Colonne1]]*(1+(Personnel[[#This Row],[A]]-Personnel[[#This Row],[De]]))*24),(Personnel[[#This Row],[Colonne1]]*(Personnel[[#This Row],[A]]-Personnel[[#This Row],[De]])*24))</f>
        <v>22</v>
      </c>
      <c r="G7" s="185" t="str">
        <f>+IF(Personnel[[#This Row],[Quantité ]]=1,"Heure","Heures")</f>
        <v>Heures</v>
      </c>
      <c r="H7" s="184">
        <f>+IFERROR(IFERROR(VLOOKUP(Personnel[[#This Row],[Désignation]],$V$1:$W$16,2,FALSE),""),"")</f>
        <v>45</v>
      </c>
      <c r="I7" s="186">
        <f>+IF($C$1="Oui",+Personnel[[#This Row],[Quantité ]]*Personnel[[#This Row],[Tarif]],"")</f>
        <v>990</v>
      </c>
      <c r="J7" s="187"/>
      <c r="K7" s="189"/>
      <c r="L7" s="295"/>
      <c r="M7" s="48" t="str">
        <f>+IF($A7&gt;1,"aides de cuisine","aide de cuisine")</f>
        <v>aide de cuisine</v>
      </c>
      <c r="N7" s="183">
        <v>0.4375</v>
      </c>
      <c r="O7" s="183" t="s">
        <v>65</v>
      </c>
      <c r="P7" s="183">
        <v>0.99930555555555556</v>
      </c>
      <c r="Q7" s="184"/>
      <c r="R7" s="185" t="s">
        <v>62</v>
      </c>
      <c r="S7" s="184">
        <v>45</v>
      </c>
      <c r="T7" s="186">
        <f t="shared" si="1"/>
        <v>0</v>
      </c>
      <c r="U7" s="296"/>
      <c r="V7" s="333" t="s">
        <v>297</v>
      </c>
      <c r="W7" s="331">
        <v>45</v>
      </c>
      <c r="X7" s="322"/>
      <c r="Y7" s="322"/>
      <c r="Z7" s="323"/>
      <c r="AA7" s="324"/>
      <c r="AB7" s="323"/>
      <c r="AC7" s="325"/>
    </row>
    <row r="8" spans="1:29" ht="15">
      <c r="A8" s="170">
        <v>2</v>
      </c>
      <c r="B8" s="167" t="str">
        <f>+IF($A8&gt;1,"personnes de service","personne de service")</f>
        <v>personnes de service</v>
      </c>
      <c r="C8" s="183">
        <v>0.125</v>
      </c>
      <c r="D8" s="183" t="str">
        <f t="shared" si="0"/>
        <v>-</v>
      </c>
      <c r="E8" s="183">
        <v>0.75</v>
      </c>
      <c r="F8" s="184">
        <f>IF(Personnel[[#This Row],[A]]&lt;0.2,(Personnel[[#This Row],[Colonne1]]*(1+(Personnel[[#This Row],[A]]-Personnel[[#This Row],[De]]))*24),(Personnel[[#This Row],[Colonne1]]*(Personnel[[#This Row],[A]]-Personnel[[#This Row],[De]])*24))</f>
        <v>30</v>
      </c>
      <c r="G8" s="188" t="str">
        <f>+IF(Personnel[[#This Row],[Quantité ]]=1,"Heure","Heures")</f>
        <v>Heures</v>
      </c>
      <c r="H8" s="184">
        <f>+IFERROR(IFERROR(VLOOKUP(Personnel[[#This Row],[Désignation]],$V$1:$W$16,2,FALSE),""),"")</f>
        <v>48</v>
      </c>
      <c r="I8" s="186">
        <f>+IF($C$1="Oui",+Personnel[[#This Row],[Quantité ]]*Personnel[[#This Row],[Tarif]],"")</f>
        <v>1440</v>
      </c>
      <c r="J8" s="187"/>
      <c r="K8" s="185"/>
      <c r="L8" s="296"/>
      <c r="M8" s="48" t="str">
        <f>+IF($A11&gt;1,"cuisiniers","cuisinier")</f>
        <v>cuisiniers</v>
      </c>
      <c r="N8" s="183">
        <v>0.4375</v>
      </c>
      <c r="O8" s="183" t="s">
        <v>65</v>
      </c>
      <c r="P8" s="183">
        <v>0.99930555555555556</v>
      </c>
      <c r="Q8" s="184"/>
      <c r="R8" s="185" t="s">
        <v>62</v>
      </c>
      <c r="S8" s="184">
        <v>53</v>
      </c>
      <c r="T8" s="186">
        <f t="shared" si="1"/>
        <v>0</v>
      </c>
      <c r="U8" s="99"/>
      <c r="V8" s="333" t="s">
        <v>298</v>
      </c>
      <c r="W8" s="331">
        <v>53</v>
      </c>
      <c r="X8" s="322"/>
      <c r="Y8" s="322"/>
      <c r="Z8" s="323"/>
      <c r="AA8" s="324"/>
      <c r="AB8" s="323"/>
      <c r="AC8" s="325"/>
    </row>
    <row r="9" spans="1:29" ht="15">
      <c r="A9" s="170">
        <v>1</v>
      </c>
      <c r="B9" s="372" t="str">
        <f>+IF($A9&gt;1,"aides de cuisine","aide de cuisine")</f>
        <v>aide de cuisine</v>
      </c>
      <c r="C9" s="183">
        <v>0.54166666666666663</v>
      </c>
      <c r="D9" s="183" t="str">
        <f>+$D$1</f>
        <v>-</v>
      </c>
      <c r="E9" s="183">
        <v>0.66666666666666663</v>
      </c>
      <c r="F9" s="184">
        <f>IF(Personnel[[#This Row],[A]]&lt;0.2,(Personnel[[#This Row],[Colonne1]]*(1+(Personnel[[#This Row],[A]]-Personnel[[#This Row],[De]]))*24),(Personnel[[#This Row],[Colonne1]]*(Personnel[[#This Row],[A]]-Personnel[[#This Row],[De]])*24))</f>
        <v>3</v>
      </c>
      <c r="G9" s="188" t="str">
        <f>+IF(Personnel[[#This Row],[Quantité ]]=1,"Heure","Heures")</f>
        <v>Heures</v>
      </c>
      <c r="H9" s="184">
        <f>+IFERROR(IFERROR(VLOOKUP(Personnel[[#This Row],[Désignation]],$V$1:$W$16,2,FALSE),""),"")</f>
        <v>45</v>
      </c>
      <c r="I9" s="186">
        <f>+IF($C$1="Oui",+Personnel[[#This Row],[Quantité ]]*Personnel[[#This Row],[Tarif]],"")</f>
        <v>135</v>
      </c>
      <c r="J9" s="156"/>
      <c r="K9" s="154"/>
      <c r="L9" s="296"/>
      <c r="M9" s="286" t="s">
        <v>208</v>
      </c>
      <c r="N9" s="286"/>
      <c r="O9" s="286"/>
      <c r="P9" s="286"/>
      <c r="Q9" s="286"/>
      <c r="R9" s="286"/>
      <c r="S9" s="286"/>
      <c r="T9" s="286"/>
      <c r="V9" s="333" t="s">
        <v>288</v>
      </c>
      <c r="W9" s="334">
        <v>58.3</v>
      </c>
      <c r="X9" s="322"/>
      <c r="Y9" s="322"/>
      <c r="Z9" s="323"/>
      <c r="AA9" s="324"/>
      <c r="AB9" s="323"/>
      <c r="AC9" s="325"/>
    </row>
    <row r="10" spans="1:29" ht="15">
      <c r="A10" s="170">
        <v>2</v>
      </c>
      <c r="B10" s="372" t="str">
        <f>+IF($A10&gt;1,"aides de cuisine","aide de cuisine")</f>
        <v>aides de cuisine</v>
      </c>
      <c r="C10" s="183">
        <v>0.625</v>
      </c>
      <c r="D10" s="183" t="str">
        <f>+$D$1</f>
        <v>-</v>
      </c>
      <c r="E10" s="183">
        <v>0.66666666666666663</v>
      </c>
      <c r="F10" s="184">
        <f>IF(Personnel[[#This Row],[A]]&lt;0.2,(Personnel[[#This Row],[Colonne1]]*(1+(Personnel[[#This Row],[A]]-Personnel[[#This Row],[De]]))*24),(Personnel[[#This Row],[Colonne1]]*(Personnel[[#This Row],[A]]-Personnel[[#This Row],[De]])*24))</f>
        <v>1.9999999999999982</v>
      </c>
      <c r="G10" s="188" t="str">
        <f>+IF(Personnel[[#This Row],[Quantité ]]=1,"Heure","Heures")</f>
        <v>Heures</v>
      </c>
      <c r="H10" s="184">
        <f>+IFERROR(IFERROR(VLOOKUP(Personnel[[#This Row],[Désignation]],$V$1:$W$16,2,FALSE),""),"")</f>
        <v>45</v>
      </c>
      <c r="I10" s="186">
        <f>+IF($C$1="Oui",+Personnel[[#This Row],[Quantité ]]*Personnel[[#This Row],[Tarif]],"")</f>
        <v>89.999999999999915</v>
      </c>
      <c r="L10" s="296">
        <v>1</v>
      </c>
      <c r="M10" s="167" t="str">
        <f>+IF(L10&gt;1,"responsables de service dès 23h00","responsable de service dès 23h00")</f>
        <v>responsable de service dès 23h00</v>
      </c>
      <c r="N10" s="183">
        <v>0.39583333333333331</v>
      </c>
      <c r="O10" s="183" t="s">
        <v>65</v>
      </c>
      <c r="P10" s="183">
        <v>0.75</v>
      </c>
      <c r="Q10" s="184"/>
      <c r="R10" s="185" t="s">
        <v>62</v>
      </c>
      <c r="S10" s="184">
        <f>+S5*110%</f>
        <v>58.300000000000004</v>
      </c>
      <c r="T10" s="186">
        <f>+Q10*S10</f>
        <v>0</v>
      </c>
      <c r="V10" s="333" t="s">
        <v>300</v>
      </c>
      <c r="W10" s="334">
        <v>52.8</v>
      </c>
      <c r="X10" s="322"/>
      <c r="Y10" s="322"/>
      <c r="Z10" s="323"/>
      <c r="AA10" s="324"/>
      <c r="AB10" s="323"/>
      <c r="AC10" s="325"/>
    </row>
    <row r="11" spans="1:29" ht="15">
      <c r="A11" s="157" t="s">
        <v>59</v>
      </c>
      <c r="B11" s="285"/>
      <c r="C11" s="293"/>
      <c r="D11" s="293"/>
      <c r="E11" s="293"/>
      <c r="F11" s="169"/>
      <c r="G11" s="169"/>
      <c r="H11" s="169"/>
      <c r="I11" s="294">
        <f>SUBTOTAL(109,Personnel[Total CHF])</f>
        <v>4333.8</v>
      </c>
      <c r="L11" s="296">
        <v>2</v>
      </c>
      <c r="M11" s="167" t="str">
        <f>+IF(L11&gt;1,"personnes de service dès 23h00","personne de service dès 23h00")</f>
        <v>personnes de service dès 23h00</v>
      </c>
      <c r="N11" s="183">
        <v>0.4375</v>
      </c>
      <c r="O11" s="183" t="s">
        <v>65</v>
      </c>
      <c r="P11" s="183">
        <v>0.99930555555555556</v>
      </c>
      <c r="Q11" s="184"/>
      <c r="R11" s="185" t="s">
        <v>62</v>
      </c>
      <c r="S11" s="184">
        <f t="shared" ref="S11:S13" si="2">+S6*110%</f>
        <v>52.800000000000004</v>
      </c>
      <c r="T11" s="186">
        <f>+Q11*S11</f>
        <v>0</v>
      </c>
      <c r="V11" s="333" t="s">
        <v>299</v>
      </c>
      <c r="W11" s="334">
        <v>49.5</v>
      </c>
      <c r="X11" s="322"/>
      <c r="Y11" s="322"/>
      <c r="Z11" s="323"/>
      <c r="AA11" s="324"/>
      <c r="AB11" s="323"/>
      <c r="AC11" s="325"/>
    </row>
    <row r="12" spans="1:29" ht="15">
      <c r="A12" s="170"/>
      <c r="B12" s="146"/>
      <c r="C12" s="190"/>
      <c r="D12" s="190"/>
      <c r="E12" s="190"/>
      <c r="F12" s="185"/>
      <c r="G12" s="185"/>
      <c r="H12" s="184"/>
      <c r="I12" s="186"/>
      <c r="L12" s="296">
        <v>1</v>
      </c>
      <c r="M12" s="48" t="str">
        <f>+IF(L12&gt;1,"aides de cuisine dès 23h00","aide de cuisine dès 23h00")</f>
        <v>aide de cuisine dès 23h00</v>
      </c>
      <c r="N12" s="183">
        <v>0.4375</v>
      </c>
      <c r="O12" s="183" t="s">
        <v>65</v>
      </c>
      <c r="P12" s="183">
        <v>0.99930555555555556</v>
      </c>
      <c r="Q12" s="184"/>
      <c r="R12" s="185" t="s">
        <v>62</v>
      </c>
      <c r="S12" s="184">
        <f t="shared" si="2"/>
        <v>49.500000000000007</v>
      </c>
      <c r="T12" s="186">
        <f>+Q12*S12</f>
        <v>0</v>
      </c>
      <c r="V12" s="333" t="s">
        <v>290</v>
      </c>
      <c r="W12" s="334">
        <v>58.3</v>
      </c>
    </row>
    <row r="13" spans="1:29" ht="15">
      <c r="A13" s="285"/>
      <c r="B13" s="285"/>
      <c r="C13" s="191"/>
      <c r="D13" s="191"/>
      <c r="E13" s="191"/>
      <c r="F13" s="154"/>
      <c r="G13" s="154"/>
      <c r="H13" s="154"/>
      <c r="I13" s="155"/>
      <c r="L13" s="297">
        <v>1</v>
      </c>
      <c r="M13" s="48" t="str">
        <f>+IF(L13=1,"cuisinier dès 23h00","cuisiniers dès 23h00")</f>
        <v>cuisinier dès 23h00</v>
      </c>
      <c r="N13" s="183">
        <v>0.4375</v>
      </c>
      <c r="O13" s="183" t="s">
        <v>65</v>
      </c>
      <c r="P13" s="183">
        <v>0.99930555555555556</v>
      </c>
      <c r="Q13" s="184"/>
      <c r="R13" s="185" t="s">
        <v>62</v>
      </c>
      <c r="S13" s="184">
        <f t="shared" si="2"/>
        <v>58.300000000000004</v>
      </c>
      <c r="T13" s="186">
        <f>+Q13*S13</f>
        <v>0</v>
      </c>
      <c r="V13" s="333" t="s">
        <v>301</v>
      </c>
      <c r="W13" s="334">
        <v>58.3</v>
      </c>
    </row>
    <row r="14" spans="1:29" ht="15.75" thickBot="1">
      <c r="A14" s="170"/>
      <c r="L14" s="298"/>
      <c r="V14" s="333" t="s">
        <v>289</v>
      </c>
      <c r="W14" s="334">
        <v>52.8</v>
      </c>
    </row>
    <row r="15" spans="1:29" ht="15.75" thickBot="1">
      <c r="A15" s="170"/>
      <c r="L15" s="298"/>
      <c r="M15" s="192" t="s">
        <v>118</v>
      </c>
      <c r="N15" s="193" t="s">
        <v>119</v>
      </c>
      <c r="T15" s="99" t="s">
        <v>120</v>
      </c>
      <c r="V15" s="333" t="s">
        <v>302</v>
      </c>
      <c r="W15" s="334">
        <v>49.5</v>
      </c>
    </row>
    <row r="16" spans="1:29" ht="15" thickBot="1">
      <c r="L16" s="298"/>
      <c r="T16" s="99" t="s">
        <v>119</v>
      </c>
      <c r="V16" s="335" t="s">
        <v>303</v>
      </c>
      <c r="W16" s="336">
        <v>58.3</v>
      </c>
    </row>
    <row r="17" spans="2:22" ht="15.75" thickBot="1">
      <c r="B17" s="48"/>
      <c r="C17" s="183"/>
      <c r="D17" s="183"/>
      <c r="E17" s="183"/>
      <c r="F17" s="184"/>
      <c r="G17" s="185"/>
      <c r="H17" s="184"/>
      <c r="I17" s="186"/>
      <c r="L17" s="390" t="s">
        <v>101</v>
      </c>
      <c r="M17" s="391"/>
      <c r="N17" s="391"/>
      <c r="O17" s="391"/>
      <c r="P17" s="391"/>
      <c r="Q17" s="391"/>
      <c r="R17" s="391"/>
      <c r="S17" s="391"/>
      <c r="T17" s="391"/>
      <c r="U17" s="391"/>
      <c r="V17" s="392"/>
    </row>
    <row r="18" spans="2:22" ht="45">
      <c r="B18" s="48"/>
      <c r="C18" s="183"/>
      <c r="D18" s="183"/>
      <c r="E18" s="183"/>
      <c r="F18" s="184"/>
      <c r="G18" s="185"/>
      <c r="H18" s="184"/>
      <c r="I18" s="186"/>
      <c r="L18" s="145" t="s">
        <v>1</v>
      </c>
      <c r="M18" s="145" t="s">
        <v>5</v>
      </c>
      <c r="N18" s="145" t="s">
        <v>130</v>
      </c>
      <c r="O18" s="145" t="s">
        <v>103</v>
      </c>
      <c r="P18" s="145" t="s">
        <v>129</v>
      </c>
      <c r="Q18" s="145" t="s">
        <v>132</v>
      </c>
      <c r="R18" s="145" t="s">
        <v>104</v>
      </c>
      <c r="S18" s="145" t="s">
        <v>131</v>
      </c>
      <c r="T18" s="145" t="s">
        <v>133</v>
      </c>
      <c r="U18" s="145" t="s">
        <v>51</v>
      </c>
      <c r="V18" s="145" t="s">
        <v>49</v>
      </c>
    </row>
    <row r="19" spans="2:22" ht="15">
      <c r="M19" s="119"/>
      <c r="N19" s="119"/>
      <c r="O19" s="119"/>
      <c r="P19" s="119"/>
      <c r="Q19" s="119"/>
      <c r="R19" s="171">
        <f>+LARGE(E4:E35,1)</f>
        <v>0.79166666666666663</v>
      </c>
      <c r="T19" s="119"/>
      <c r="U19" s="119"/>
    </row>
    <row r="20" spans="2:22" ht="15">
      <c r="L20" s="172" t="s">
        <v>105</v>
      </c>
      <c r="M20" s="173"/>
      <c r="N20" s="173"/>
      <c r="O20" s="173"/>
      <c r="P20" s="173"/>
      <c r="Q20" s="173"/>
      <c r="R20" s="173"/>
      <c r="S20" s="173"/>
      <c r="T20" s="173"/>
      <c r="U20" s="173"/>
      <c r="V20" s="173"/>
    </row>
    <row r="21" spans="2:22" ht="15">
      <c r="L21" s="169">
        <v>2</v>
      </c>
      <c r="M21" s="194" t="s">
        <v>99</v>
      </c>
      <c r="N21" s="195">
        <f>F6-4</f>
        <v>2</v>
      </c>
      <c r="O21" s="196">
        <v>34.076280000000004</v>
      </c>
      <c r="P21" s="197">
        <f t="shared" ref="P21:P44" si="3">N21*O21</f>
        <v>68.152560000000008</v>
      </c>
      <c r="Q21" s="198"/>
      <c r="R21" s="196">
        <f t="shared" ref="R21:R28" si="4">+O21*110%</f>
        <v>37.483908000000007</v>
      </c>
      <c r="S21" s="197">
        <f>+Q21*R21</f>
        <v>0</v>
      </c>
      <c r="T21" s="199">
        <f>+S21+P21</f>
        <v>68.152560000000008</v>
      </c>
      <c r="U21" s="197"/>
      <c r="V21" s="200"/>
    </row>
    <row r="22" spans="2:22" ht="30">
      <c r="J22" s="201"/>
      <c r="M22" s="194" t="s">
        <v>94</v>
      </c>
      <c r="N22" s="202"/>
      <c r="O22" s="196">
        <v>37.059570000000001</v>
      </c>
      <c r="P22" s="197">
        <f t="shared" si="3"/>
        <v>0</v>
      </c>
      <c r="Q22" s="198"/>
      <c r="R22" s="196">
        <f t="shared" si="4"/>
        <v>40.765527000000006</v>
      </c>
      <c r="S22" s="197">
        <f t="shared" ref="S22:S44" si="5">+Q22*R22</f>
        <v>0</v>
      </c>
      <c r="T22" s="199">
        <f t="shared" ref="T22:T44" si="6">+S22+P22</f>
        <v>0</v>
      </c>
    </row>
    <row r="23" spans="2:22" ht="15">
      <c r="M23" s="194" t="s">
        <v>95</v>
      </c>
      <c r="N23" s="202"/>
      <c r="O23" s="196">
        <v>38.222729999999999</v>
      </c>
      <c r="P23" s="197">
        <f>N23*O23</f>
        <v>0</v>
      </c>
      <c r="Q23" s="198"/>
      <c r="R23" s="196">
        <f t="shared" si="4"/>
        <v>42.045003000000001</v>
      </c>
      <c r="S23" s="197">
        <f t="shared" si="5"/>
        <v>0</v>
      </c>
      <c r="T23" s="199">
        <f t="shared" si="6"/>
        <v>0</v>
      </c>
    </row>
    <row r="24" spans="2:22" ht="15">
      <c r="M24" s="194" t="s">
        <v>96</v>
      </c>
      <c r="N24" s="202"/>
      <c r="O24" s="196">
        <v>39.773609999999998</v>
      </c>
      <c r="P24" s="197">
        <f t="shared" si="3"/>
        <v>0</v>
      </c>
      <c r="Q24" s="198"/>
      <c r="R24" s="196">
        <f t="shared" si="4"/>
        <v>43.750971</v>
      </c>
      <c r="S24" s="197">
        <f t="shared" si="5"/>
        <v>0</v>
      </c>
      <c r="T24" s="199">
        <f t="shared" si="6"/>
        <v>0</v>
      </c>
    </row>
    <row r="25" spans="2:22" ht="15">
      <c r="M25" s="194" t="s">
        <v>92</v>
      </c>
      <c r="N25" s="202"/>
      <c r="O25" s="196">
        <v>44.943210000000001</v>
      </c>
      <c r="P25" s="197">
        <f t="shared" si="3"/>
        <v>0</v>
      </c>
      <c r="Q25" s="198"/>
      <c r="R25" s="196">
        <f t="shared" si="4"/>
        <v>49.437531000000007</v>
      </c>
      <c r="S25" s="197">
        <f t="shared" si="5"/>
        <v>0</v>
      </c>
      <c r="T25" s="199">
        <f t="shared" si="6"/>
        <v>0</v>
      </c>
    </row>
    <row r="26" spans="2:22" ht="15">
      <c r="M26" s="194" t="s">
        <v>97</v>
      </c>
      <c r="N26" s="202"/>
      <c r="O26" s="196">
        <v>38.933549999999997</v>
      </c>
      <c r="P26" s="197">
        <f t="shared" si="3"/>
        <v>0</v>
      </c>
      <c r="Q26" s="198"/>
      <c r="R26" s="196">
        <f t="shared" si="4"/>
        <v>42.826904999999996</v>
      </c>
      <c r="S26" s="197">
        <f t="shared" si="5"/>
        <v>0</v>
      </c>
      <c r="T26" s="199">
        <f t="shared" si="6"/>
        <v>0</v>
      </c>
    </row>
    <row r="27" spans="2:22" ht="15">
      <c r="M27" s="194" t="s">
        <v>98</v>
      </c>
      <c r="N27" s="202"/>
      <c r="O27" s="196">
        <v>41.076779999999999</v>
      </c>
      <c r="P27" s="197">
        <f t="shared" si="3"/>
        <v>0</v>
      </c>
      <c r="Q27" s="198"/>
      <c r="R27" s="196">
        <f t="shared" si="4"/>
        <v>45.184458000000006</v>
      </c>
      <c r="S27" s="197">
        <f t="shared" si="5"/>
        <v>0</v>
      </c>
      <c r="T27" s="199">
        <f t="shared" si="6"/>
        <v>0</v>
      </c>
    </row>
    <row r="28" spans="2:22" ht="15">
      <c r="M28" s="194" t="s">
        <v>93</v>
      </c>
      <c r="N28" s="202"/>
      <c r="O28" s="196">
        <v>44.943210000000001</v>
      </c>
      <c r="P28" s="197">
        <f t="shared" si="3"/>
        <v>0</v>
      </c>
      <c r="Q28" s="198"/>
      <c r="R28" s="196">
        <f t="shared" si="4"/>
        <v>49.437531000000007</v>
      </c>
      <c r="S28" s="197">
        <f t="shared" si="5"/>
        <v>0</v>
      </c>
      <c r="T28" s="199">
        <f t="shared" si="6"/>
        <v>0</v>
      </c>
    </row>
    <row r="29" spans="2:22" ht="15">
      <c r="L29" s="174" t="s">
        <v>210</v>
      </c>
      <c r="M29" s="175"/>
      <c r="N29" s="175"/>
      <c r="O29" s="175"/>
      <c r="P29" s="175"/>
      <c r="Q29" s="175"/>
      <c r="R29" s="175"/>
      <c r="S29" s="175"/>
      <c r="T29" s="175"/>
      <c r="U29" s="175"/>
      <c r="V29" s="175"/>
    </row>
    <row r="30" spans="2:22" ht="15">
      <c r="M30" s="194" t="s">
        <v>106</v>
      </c>
      <c r="N30" s="202"/>
      <c r="O30" s="196">
        <v>35</v>
      </c>
      <c r="P30" s="197">
        <f t="shared" si="3"/>
        <v>0</v>
      </c>
      <c r="Q30" s="198"/>
      <c r="R30" s="196">
        <f>+O30*110%</f>
        <v>38.5</v>
      </c>
      <c r="S30" s="197">
        <f t="shared" si="5"/>
        <v>0</v>
      </c>
      <c r="T30" s="199">
        <f t="shared" si="6"/>
        <v>0</v>
      </c>
      <c r="U30" s="197"/>
      <c r="V30" s="200"/>
    </row>
    <row r="31" spans="2:22" ht="15">
      <c r="M31" s="194" t="s">
        <v>107</v>
      </c>
      <c r="N31" s="202"/>
      <c r="O31" s="196">
        <v>40</v>
      </c>
      <c r="P31" s="197">
        <f t="shared" si="3"/>
        <v>0</v>
      </c>
      <c r="Q31" s="198"/>
      <c r="R31" s="196">
        <f>+O31*110%</f>
        <v>44</v>
      </c>
      <c r="S31" s="197">
        <f t="shared" si="5"/>
        <v>0</v>
      </c>
      <c r="T31" s="199">
        <f t="shared" si="6"/>
        <v>0</v>
      </c>
    </row>
    <row r="32" spans="2:22" ht="15">
      <c r="M32" s="194" t="s">
        <v>108</v>
      </c>
      <c r="N32" s="203"/>
      <c r="O32" s="196">
        <v>35</v>
      </c>
      <c r="P32" s="197">
        <f t="shared" si="3"/>
        <v>0</v>
      </c>
      <c r="Q32" s="198"/>
      <c r="R32" s="196">
        <f>+O32*110%</f>
        <v>38.5</v>
      </c>
      <c r="S32" s="197">
        <f t="shared" si="5"/>
        <v>0</v>
      </c>
      <c r="T32" s="199">
        <f t="shared" si="6"/>
        <v>0</v>
      </c>
    </row>
    <row r="33" spans="12:22" ht="15">
      <c r="M33" s="194" t="s">
        <v>109</v>
      </c>
      <c r="N33" s="203"/>
      <c r="O33" s="196">
        <v>40</v>
      </c>
      <c r="P33" s="197">
        <f t="shared" si="3"/>
        <v>0</v>
      </c>
      <c r="Q33" s="198"/>
      <c r="R33" s="196">
        <f>+O33*110%</f>
        <v>44</v>
      </c>
      <c r="S33" s="197">
        <f t="shared" si="5"/>
        <v>0</v>
      </c>
      <c r="T33" s="199">
        <f t="shared" si="6"/>
        <v>0</v>
      </c>
    </row>
    <row r="34" spans="12:22" ht="15">
      <c r="M34" s="194" t="s">
        <v>110</v>
      </c>
      <c r="N34" s="203"/>
      <c r="O34" s="196">
        <v>30</v>
      </c>
      <c r="P34" s="197">
        <f t="shared" si="3"/>
        <v>0</v>
      </c>
      <c r="Q34" s="198"/>
      <c r="R34" s="196">
        <f>+O34*110%</f>
        <v>33</v>
      </c>
      <c r="S34" s="197">
        <f t="shared" si="5"/>
        <v>0</v>
      </c>
      <c r="T34" s="199">
        <f t="shared" si="6"/>
        <v>0</v>
      </c>
    </row>
    <row r="35" spans="12:22" ht="15">
      <c r="L35" s="176" t="s">
        <v>111</v>
      </c>
      <c r="M35" s="177"/>
      <c r="N35" s="177"/>
      <c r="O35" s="177"/>
      <c r="P35" s="177"/>
      <c r="Q35" s="177"/>
      <c r="R35" s="177"/>
      <c r="S35" s="177"/>
      <c r="T35" s="177"/>
      <c r="U35" s="177"/>
      <c r="V35" s="177"/>
    </row>
    <row r="36" spans="12:22" ht="15">
      <c r="L36" s="169">
        <v>1</v>
      </c>
      <c r="M36" s="194" t="s">
        <v>112</v>
      </c>
      <c r="N36" s="202">
        <f>+F5/2</f>
        <v>4.25</v>
      </c>
      <c r="O36" s="196">
        <v>25</v>
      </c>
      <c r="P36" s="197">
        <f t="shared" si="3"/>
        <v>106.25</v>
      </c>
      <c r="Q36" s="198"/>
      <c r="R36" s="196"/>
      <c r="S36" s="197">
        <f t="shared" si="5"/>
        <v>0</v>
      </c>
      <c r="T36" s="199">
        <f t="shared" si="6"/>
        <v>106.25</v>
      </c>
      <c r="U36" s="197"/>
      <c r="V36" s="200"/>
    </row>
    <row r="37" spans="12:22" ht="15">
      <c r="M37" s="194" t="s">
        <v>113</v>
      </c>
      <c r="N37" s="203"/>
      <c r="O37" s="196">
        <v>30</v>
      </c>
      <c r="P37" s="197">
        <f t="shared" si="3"/>
        <v>0</v>
      </c>
      <c r="Q37" s="198"/>
      <c r="R37" s="196"/>
      <c r="S37" s="197">
        <f t="shared" si="5"/>
        <v>0</v>
      </c>
      <c r="T37" s="199">
        <f t="shared" si="6"/>
        <v>0</v>
      </c>
    </row>
    <row r="38" spans="12:22" ht="15">
      <c r="M38" s="194" t="s">
        <v>115</v>
      </c>
      <c r="N38" s="203"/>
      <c r="O38" s="196">
        <v>25</v>
      </c>
      <c r="P38" s="197">
        <f t="shared" si="3"/>
        <v>0</v>
      </c>
      <c r="Q38" s="198"/>
      <c r="S38" s="197">
        <f t="shared" si="5"/>
        <v>0</v>
      </c>
      <c r="T38" s="199">
        <f t="shared" si="6"/>
        <v>0</v>
      </c>
    </row>
    <row r="39" spans="12:22" ht="15">
      <c r="M39" s="194" t="s">
        <v>114</v>
      </c>
      <c r="N39" s="203"/>
      <c r="O39" s="196">
        <v>30</v>
      </c>
      <c r="P39" s="197">
        <f t="shared" si="3"/>
        <v>0</v>
      </c>
      <c r="Q39" s="198"/>
      <c r="S39" s="197">
        <f t="shared" si="5"/>
        <v>0</v>
      </c>
      <c r="T39" s="199">
        <f t="shared" si="6"/>
        <v>0</v>
      </c>
    </row>
    <row r="40" spans="12:22" ht="15">
      <c r="M40" s="194" t="s">
        <v>116</v>
      </c>
      <c r="N40" s="203"/>
      <c r="O40" s="196">
        <v>20</v>
      </c>
      <c r="P40" s="197">
        <f t="shared" si="3"/>
        <v>0</v>
      </c>
      <c r="Q40" s="198"/>
      <c r="S40" s="197">
        <f t="shared" si="5"/>
        <v>0</v>
      </c>
      <c r="T40" s="199">
        <f t="shared" si="6"/>
        <v>0</v>
      </c>
    </row>
    <row r="41" spans="12:22" ht="15">
      <c r="L41" s="178" t="s">
        <v>135</v>
      </c>
      <c r="M41" s="179"/>
      <c r="N41" s="179"/>
      <c r="O41" s="179"/>
      <c r="P41" s="179"/>
      <c r="Q41" s="179"/>
      <c r="R41" s="179"/>
      <c r="S41" s="179"/>
      <c r="T41" s="179"/>
      <c r="U41" s="179"/>
      <c r="V41" s="179"/>
    </row>
    <row r="42" spans="12:22" ht="15">
      <c r="L42" s="169">
        <v>1</v>
      </c>
      <c r="M42" s="194" t="s">
        <v>117</v>
      </c>
      <c r="N42" s="202">
        <v>12.5</v>
      </c>
      <c r="O42" s="196">
        <v>30</v>
      </c>
      <c r="P42" s="197">
        <f t="shared" si="3"/>
        <v>375</v>
      </c>
      <c r="Q42" s="198"/>
      <c r="R42" s="196">
        <f>+O42*110%</f>
        <v>33</v>
      </c>
      <c r="S42" s="197">
        <f t="shared" si="5"/>
        <v>0</v>
      </c>
      <c r="T42" s="199">
        <f t="shared" si="6"/>
        <v>375</v>
      </c>
    </row>
    <row r="43" spans="12:22">
      <c r="N43" s="203"/>
      <c r="P43" s="197">
        <f t="shared" si="3"/>
        <v>0</v>
      </c>
      <c r="Q43" s="204"/>
      <c r="S43" s="197"/>
      <c r="T43" s="199"/>
    </row>
    <row r="44" spans="12:22" ht="15">
      <c r="L44" s="169">
        <v>2</v>
      </c>
      <c r="M44" s="194" t="s">
        <v>128</v>
      </c>
      <c r="N44" s="203">
        <v>4</v>
      </c>
      <c r="O44" s="196">
        <v>50</v>
      </c>
      <c r="P44" s="197">
        <f t="shared" si="3"/>
        <v>200</v>
      </c>
      <c r="Q44" s="198"/>
      <c r="R44" s="196">
        <f>(O44*110%)</f>
        <v>55.000000000000007</v>
      </c>
      <c r="S44" s="197">
        <f t="shared" si="5"/>
        <v>0</v>
      </c>
      <c r="T44" s="199">
        <f t="shared" si="6"/>
        <v>200</v>
      </c>
    </row>
    <row r="45" spans="12:22" ht="15">
      <c r="L45" s="169">
        <v>3</v>
      </c>
      <c r="M45" s="194" t="s">
        <v>134</v>
      </c>
      <c r="N45" s="203">
        <v>11.5</v>
      </c>
      <c r="O45" s="196">
        <v>50</v>
      </c>
      <c r="P45" s="197">
        <f>N45*O45</f>
        <v>575</v>
      </c>
      <c r="Q45" s="198"/>
      <c r="R45" s="196">
        <f>(O45*110%)</f>
        <v>55.000000000000007</v>
      </c>
      <c r="S45" s="197">
        <f>+Q45*R45</f>
        <v>0</v>
      </c>
      <c r="T45" s="199">
        <f>+S45+P45</f>
        <v>575</v>
      </c>
    </row>
    <row r="46" spans="12:22" ht="15" thickBot="1">
      <c r="L46" s="180" t="s">
        <v>3</v>
      </c>
      <c r="M46" s="158"/>
      <c r="N46" s="158"/>
      <c r="O46" s="158"/>
      <c r="P46" s="181">
        <f>+SUM(P42:P45,P21:P28,P30:P34,P36:P40)</f>
        <v>1324.40256</v>
      </c>
      <c r="Q46" s="181"/>
      <c r="R46" s="158"/>
      <c r="S46" s="181">
        <f>+SUM(S42:S45,S21:S28,S30:S34,S36:S40)</f>
        <v>0</v>
      </c>
      <c r="T46" s="182">
        <f>+SUM(T42:T45,T21:T28,T30:T34,T36:T40)</f>
        <v>1324.40256</v>
      </c>
      <c r="U46" s="181">
        <f>+IF(N15="Oui",0-P46,I13-P46)</f>
        <v>-1324.40256</v>
      </c>
      <c r="V46" s="339" t="e">
        <f>+U46/I13</f>
        <v>#DIV/0!</v>
      </c>
    </row>
    <row r="47" spans="12:22" ht="15" thickTop="1">
      <c r="Q47" s="205"/>
    </row>
  </sheetData>
  <mergeCells count="2">
    <mergeCell ref="A2:G2"/>
    <mergeCell ref="L17:V17"/>
  </mergeCells>
  <conditionalFormatting sqref="V46">
    <cfRule type="cellIs" dxfId="8" priority="8" operator="lessThan">
      <formula>0.25</formula>
    </cfRule>
  </conditionalFormatting>
  <conditionalFormatting sqref="E4">
    <cfRule type="cellIs" dxfId="7" priority="3" operator="lessThan">
      <formula>$F$1</formula>
    </cfRule>
    <cfRule type="cellIs" dxfId="6" priority="4" operator="greaterThan">
      <formula>$E$1</formula>
    </cfRule>
  </conditionalFormatting>
  <conditionalFormatting sqref="E5:E8">
    <cfRule type="cellIs" dxfId="5" priority="1" operator="lessThan">
      <formula>$F$1</formula>
    </cfRule>
    <cfRule type="cellIs" dxfId="4" priority="2" operator="greaterThan">
      <formula>$E$1</formula>
    </cfRule>
  </conditionalFormatting>
  <dataValidations count="1">
    <dataValidation type="list" allowBlank="1" showInputMessage="1" showErrorMessage="1" sqref="N15">
      <formula1>$T$15:$T$16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C1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8"/>
  <sheetViews>
    <sheetView workbookViewId="0">
      <selection activeCell="D22" sqref="D22"/>
    </sheetView>
  </sheetViews>
  <sheetFormatPr baseColWidth="10" defaultRowHeight="14.25"/>
  <cols>
    <col min="1" max="1" width="36" style="49" customWidth="1"/>
    <col min="2" max="2" width="11.7109375" style="49" customWidth="1"/>
    <col min="3" max="3" width="9.7109375" style="49" customWidth="1"/>
    <col min="4" max="4" width="14.140625" style="49" customWidth="1"/>
    <col min="5" max="5" width="18.140625" style="49" customWidth="1"/>
    <col min="6" max="7" width="3.42578125" style="49" customWidth="1"/>
    <col min="8" max="8" width="11.42578125" style="49"/>
    <col min="9" max="9" width="14.140625" style="49" customWidth="1"/>
    <col min="10" max="11" width="11.42578125" style="49"/>
    <col min="12" max="12" width="17.42578125" style="49" bestFit="1" customWidth="1"/>
    <col min="13" max="16384" width="11.42578125" style="49"/>
  </cols>
  <sheetData>
    <row r="1" spans="1:12" ht="24" customHeight="1" thickBot="1">
      <c r="A1" s="48" t="s">
        <v>176</v>
      </c>
      <c r="B1" s="143" t="s">
        <v>119</v>
      </c>
      <c r="E1" s="99"/>
      <c r="F1" s="99"/>
    </row>
    <row r="2" spans="1:12" ht="15">
      <c r="A2" s="385" t="s">
        <v>69</v>
      </c>
      <c r="B2" s="386"/>
      <c r="C2" s="387"/>
      <c r="D2" s="52"/>
      <c r="E2" s="52"/>
    </row>
    <row r="3" spans="1:12" ht="45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144" t="s">
        <v>228</v>
      </c>
      <c r="G3" s="144" t="s">
        <v>229</v>
      </c>
      <c r="H3" s="145" t="s">
        <v>0</v>
      </c>
      <c r="I3" s="145" t="s">
        <v>4</v>
      </c>
      <c r="J3" s="145" t="s">
        <v>51</v>
      </c>
      <c r="K3" s="145" t="s">
        <v>49</v>
      </c>
      <c r="L3" s="315" t="s">
        <v>287</v>
      </c>
    </row>
    <row r="4" spans="1:12" ht="15">
      <c r="A4" s="167" t="s">
        <v>66</v>
      </c>
      <c r="B4" s="147">
        <v>1</v>
      </c>
      <c r="C4" s="147" t="str">
        <f>+IF(B4&gt;1,"Forfaits","Forfait")</f>
        <v>Forfait</v>
      </c>
      <c r="D4" s="148">
        <v>50</v>
      </c>
      <c r="E4" s="149">
        <f>+IF($B$1="Oui",Logistique[[#This Row],[Quantité ]]*Logistique[[#This Row],[Tarif]],0)</f>
        <v>50</v>
      </c>
      <c r="F4" s="150"/>
      <c r="H4" s="151">
        <v>40</v>
      </c>
      <c r="I4" s="152">
        <f>+IF($B$1="Oui",B4*H4,0)</f>
        <v>40</v>
      </c>
      <c r="J4" s="152">
        <f>+E4-I4</f>
        <v>10</v>
      </c>
      <c r="K4" s="153">
        <f>+Logistique[[#This Row],[Marge 
CHF]]/Logistique[[#This Row],[Total CHF]]</f>
        <v>0.2</v>
      </c>
    </row>
    <row r="5" spans="1:12" ht="15">
      <c r="A5" s="167" t="s">
        <v>67</v>
      </c>
      <c r="B5" s="147">
        <v>4</v>
      </c>
      <c r="C5" s="147" t="str">
        <f>+IF(B5&gt;1,"Forfaits","Forfait")</f>
        <v>Forfaits</v>
      </c>
      <c r="D5" s="148">
        <v>50</v>
      </c>
      <c r="E5" s="149">
        <f>+IF($B$1="Oui",Logistique[[#This Row],[Quantité ]]*Logistique[[#This Row],[Tarif]],0)</f>
        <v>200</v>
      </c>
      <c r="F5" s="150"/>
      <c r="H5" s="151">
        <v>40</v>
      </c>
      <c r="I5" s="152">
        <f>+IF($B$1="Oui",B5*H5,0)</f>
        <v>160</v>
      </c>
      <c r="J5" s="152">
        <f>+E5-I5</f>
        <v>40</v>
      </c>
      <c r="K5" s="153">
        <f>+Logistique[[#This Row],[Marge 
CHF]]/Logistique[[#This Row],[Total CHF]]</f>
        <v>0.2</v>
      </c>
    </row>
    <row r="6" spans="1:12" ht="15">
      <c r="A6" s="167"/>
      <c r="B6" s="147"/>
      <c r="C6" s="147" t="str">
        <f>+IF(B6&gt;1,"Forfaits","Forfait")</f>
        <v>Forfait</v>
      </c>
      <c r="D6" s="148"/>
      <c r="E6" s="149">
        <f>+IF($B$1="Oui",Logistique[[#This Row],[Quantité ]]*Logistique[[#This Row],[Tarif]],0)</f>
        <v>0</v>
      </c>
      <c r="F6" s="150"/>
      <c r="H6" s="151"/>
      <c r="I6" s="152">
        <f>+IF($B$1="Oui",B6*H6,0)</f>
        <v>0</v>
      </c>
      <c r="J6" s="152">
        <f>+E6-I6</f>
        <v>0</v>
      </c>
      <c r="K6" s="153" t="e">
        <f>+Logistique[[#This Row],[Marge 
CHF]]/Logistique[[#This Row],[Total CHF]]</f>
        <v>#DIV/0!</v>
      </c>
      <c r="L6" s="99"/>
    </row>
    <row r="7" spans="1:12" ht="15" thickBot="1">
      <c r="A7" s="154" t="s">
        <v>59</v>
      </c>
      <c r="B7" s="288"/>
      <c r="C7" s="288"/>
      <c r="D7" s="288"/>
      <c r="E7" s="155">
        <f>SUBTOTAL(109,Logistique[Total CHF])</f>
        <v>250</v>
      </c>
      <c r="F7" s="340"/>
      <c r="H7" s="341"/>
      <c r="I7" s="343">
        <f>SUBTOTAL(109,Logistique[Total Achat])</f>
        <v>200</v>
      </c>
      <c r="J7" s="343">
        <f>SUBTOTAL(109,Logistique[Marge 
CHF])</f>
        <v>50</v>
      </c>
      <c r="K7" s="342">
        <f>+Logistique[[#Totals],[Marge 
CHF]]/Logistique[[#Totals],[Total CHF]]</f>
        <v>0.2</v>
      </c>
    </row>
    <row r="8" spans="1:12" ht="15" thickTop="1"/>
  </sheetData>
  <mergeCells count="1">
    <mergeCell ref="A2:C2"/>
  </mergeCells>
  <conditionalFormatting sqref="K7">
    <cfRule type="cellIs" dxfId="3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10"/>
  <sheetViews>
    <sheetView workbookViewId="0">
      <selection activeCell="C19" sqref="C19"/>
    </sheetView>
  </sheetViews>
  <sheetFormatPr baseColWidth="10" defaultRowHeight="15"/>
  <cols>
    <col min="1" max="1" width="42" style="208" customWidth="1"/>
    <col min="2" max="2" width="40.140625" style="210" customWidth="1"/>
    <col min="3" max="16384" width="11.42578125" style="208"/>
  </cols>
  <sheetData>
    <row r="1" spans="1:6" ht="15.75">
      <c r="A1" s="206" t="s">
        <v>5</v>
      </c>
      <c r="B1" s="207" t="s">
        <v>58</v>
      </c>
    </row>
    <row r="2" spans="1:6">
      <c r="A2" s="208" t="str">
        <f>+Menu!A2</f>
        <v>Menu n°1</v>
      </c>
      <c r="B2" s="209">
        <f>+Menu!E2</f>
        <v>2700</v>
      </c>
    </row>
    <row r="3" spans="1:6">
      <c r="A3" s="208" t="s">
        <v>68</v>
      </c>
      <c r="B3" s="209">
        <f>+Boissons!G21</f>
        <v>1400</v>
      </c>
    </row>
    <row r="4" spans="1:6">
      <c r="A4" s="208" t="s">
        <v>56</v>
      </c>
      <c r="B4" s="209">
        <f>+Matériel[[#Totals],[Total CHF]]</f>
        <v>0</v>
      </c>
    </row>
    <row r="5" spans="1:6">
      <c r="A5" s="208" t="s">
        <v>57</v>
      </c>
      <c r="B5" s="209">
        <f>+Mobilier[[#Totals],[Total CHF]]</f>
        <v>450</v>
      </c>
    </row>
    <row r="6" spans="1:6">
      <c r="A6" s="208" t="s">
        <v>121</v>
      </c>
      <c r="B6" s="209">
        <f>+Personnel[[#Totals],[Total CHF]]</f>
        <v>4333.8</v>
      </c>
    </row>
    <row r="7" spans="1:6">
      <c r="A7" s="208" t="str">
        <f>+Logistique!A2</f>
        <v>Logistique</v>
      </c>
      <c r="B7" s="209">
        <f>+Logistique[[#Totals],[Total CHF]]</f>
        <v>250</v>
      </c>
    </row>
    <row r="8" spans="1:6">
      <c r="A8" s="344" t="s">
        <v>70</v>
      </c>
      <c r="B8" s="345">
        <f>SUBTOTAL(9,B2:B7)</f>
        <v>9133.7999999999993</v>
      </c>
    </row>
    <row r="9" spans="1:6" ht="22.5" customHeight="1">
      <c r="A9" s="346" t="s">
        <v>138</v>
      </c>
      <c r="B9" s="347">
        <f>B8*7.7/107.7</f>
        <v>653.02005571030634</v>
      </c>
    </row>
    <row r="10" spans="1:6">
      <c r="A10" s="346" t="s">
        <v>71</v>
      </c>
      <c r="B10" s="347">
        <f>+B8-B9</f>
        <v>8480.7799442896921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Feuil7.Elimine_0">
                <anchor moveWithCells="1" sizeWithCells="1">
                  <from>
                    <xdr:col>3</xdr:col>
                    <xdr:colOff>66675</xdr:colOff>
                    <xdr:row>1</xdr:row>
                    <xdr:rowOff>171450</xdr:rowOff>
                  </from>
                  <to>
                    <xdr:col>5</xdr:col>
                    <xdr:colOff>466725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L32"/>
  <sheetViews>
    <sheetView workbookViewId="0">
      <selection activeCell="G34" sqref="G34:G35"/>
    </sheetView>
  </sheetViews>
  <sheetFormatPr baseColWidth="10" defaultRowHeight="15"/>
  <cols>
    <col min="1" max="1" width="5.85546875" style="1" customWidth="1"/>
    <col min="2" max="2" width="61.5703125" style="1" customWidth="1"/>
    <col min="3" max="3" width="9.5703125" style="39" customWidth="1"/>
    <col min="4" max="4" width="9.5703125" style="20" bestFit="1" customWidth="1"/>
    <col min="5" max="7" width="12.85546875" style="247" customWidth="1"/>
    <col min="8" max="8" width="12.85546875" style="255" customWidth="1"/>
    <col min="9" max="9" width="12.85546875" style="247" customWidth="1"/>
    <col min="10" max="10" width="12.85546875" style="46" customWidth="1"/>
    <col min="11" max="11" width="11.42578125" style="1"/>
    <col min="12" max="12" width="11.42578125" style="9"/>
    <col min="13" max="16384" width="11.42578125" style="1"/>
  </cols>
  <sheetData>
    <row r="1" spans="1:12">
      <c r="B1" s="2" t="s">
        <v>5</v>
      </c>
      <c r="C1" s="29" t="s">
        <v>52</v>
      </c>
      <c r="D1" s="26" t="s">
        <v>45</v>
      </c>
      <c r="E1" s="249" t="s">
        <v>73</v>
      </c>
      <c r="F1" s="249" t="s">
        <v>74</v>
      </c>
      <c r="G1" s="249" t="s">
        <v>75</v>
      </c>
      <c r="H1" s="249" t="s">
        <v>76</v>
      </c>
      <c r="I1" s="249" t="s">
        <v>77</v>
      </c>
      <c r="J1" s="42" t="s">
        <v>2</v>
      </c>
      <c r="L1" s="3" t="s">
        <v>10</v>
      </c>
    </row>
    <row r="2" spans="1:12">
      <c r="B2" s="2" t="s">
        <v>78</v>
      </c>
      <c r="C2" s="30" t="s">
        <v>79</v>
      </c>
      <c r="D2" s="27" t="s">
        <v>80</v>
      </c>
      <c r="E2" s="250" t="s">
        <v>80</v>
      </c>
      <c r="F2" s="250" t="s">
        <v>80</v>
      </c>
      <c r="G2" s="250" t="s">
        <v>80</v>
      </c>
      <c r="H2" s="250" t="s">
        <v>80</v>
      </c>
      <c r="I2" s="250" t="s">
        <v>80</v>
      </c>
      <c r="J2" s="43" t="s">
        <v>80</v>
      </c>
    </row>
    <row r="3" spans="1:12">
      <c r="B3" s="47" t="str">
        <f>+Menu!A2</f>
        <v>Menu n°1</v>
      </c>
      <c r="C3" s="31">
        <f>+Informations!B4</f>
        <v>100</v>
      </c>
      <c r="D3" s="10" t="s">
        <v>87</v>
      </c>
      <c r="E3" s="251">
        <f>+Menu!I14/Informations!B4</f>
        <v>6.9</v>
      </c>
      <c r="F3" s="251">
        <f>+Menu!D2</f>
        <v>27</v>
      </c>
      <c r="G3" s="256">
        <f t="shared" ref="G3" si="0">E3*C3</f>
        <v>690</v>
      </c>
      <c r="H3" s="251">
        <f t="shared" ref="H3" si="1">F3*C3</f>
        <v>2700</v>
      </c>
      <c r="I3" s="251">
        <f t="shared" ref="I3" si="2">H3-G3</f>
        <v>2010</v>
      </c>
      <c r="J3" s="44">
        <f t="shared" ref="J3:J12" si="3">IF(ISERROR(I3/H3),I3/100,I3/H3)</f>
        <v>0.74444444444444446</v>
      </c>
      <c r="K3" s="11"/>
      <c r="L3" s="12">
        <f>IFERROR(IFERROR(VLOOKUP($B3,[1]Salé!#REF!,5,FALSE),0),0)</f>
        <v>0</v>
      </c>
    </row>
    <row r="4" spans="1:12">
      <c r="A4" s="393"/>
      <c r="B4" s="4" t="s">
        <v>58</v>
      </c>
      <c r="C4" s="32"/>
      <c r="D4" s="13" t="s">
        <v>82</v>
      </c>
      <c r="E4" s="28">
        <f>SUM(E3:E3)</f>
        <v>6.9</v>
      </c>
      <c r="F4" s="28">
        <f>SUM(F3:F3)</f>
        <v>27</v>
      </c>
      <c r="G4" s="28">
        <f>SUM(G3:G3)</f>
        <v>690</v>
      </c>
      <c r="H4" s="28">
        <f>SUM(H3:H3)</f>
        <v>2700</v>
      </c>
      <c r="I4" s="28">
        <f>SUM(I3:I3)</f>
        <v>2010</v>
      </c>
      <c r="J4" s="16">
        <f t="shared" si="3"/>
        <v>0.74444444444444446</v>
      </c>
      <c r="L4" s="12"/>
    </row>
    <row r="5" spans="1:12">
      <c r="A5" s="393"/>
      <c r="B5" s="2" t="s">
        <v>83</v>
      </c>
      <c r="C5" s="33"/>
      <c r="D5" s="14"/>
      <c r="E5" s="252"/>
      <c r="F5" s="252"/>
      <c r="G5" s="252"/>
      <c r="H5" s="252"/>
      <c r="I5" s="252"/>
      <c r="J5" s="45">
        <f t="shared" si="3"/>
        <v>0</v>
      </c>
      <c r="L5" s="12"/>
    </row>
    <row r="6" spans="1:12">
      <c r="A6" s="393"/>
      <c r="B6" s="15"/>
      <c r="C6" s="34"/>
      <c r="D6" s="8" t="s">
        <v>81</v>
      </c>
      <c r="E6" s="251"/>
      <c r="F6" s="251"/>
      <c r="G6" s="257">
        <f>E6*C6</f>
        <v>0</v>
      </c>
      <c r="H6" s="254">
        <f>F6*C6</f>
        <v>0</v>
      </c>
      <c r="I6" s="253">
        <f>H6-G6</f>
        <v>0</v>
      </c>
      <c r="J6" s="41">
        <f t="shared" si="3"/>
        <v>0</v>
      </c>
      <c r="L6" s="12">
        <f>IFERROR(IFERROR(VLOOKUP($B6,[1]Sucré!$A$1:$E$54,5,FALSE),0),0)</f>
        <v>0</v>
      </c>
    </row>
    <row r="7" spans="1:12">
      <c r="A7" s="393"/>
      <c r="B7" s="4" t="s">
        <v>58</v>
      </c>
      <c r="C7" s="32"/>
      <c r="D7" s="13" t="s">
        <v>82</v>
      </c>
      <c r="E7" s="28">
        <f>SUM(E6:E6)</f>
        <v>0</v>
      </c>
      <c r="F7" s="28">
        <f>SUM(F6:F6)</f>
        <v>0</v>
      </c>
      <c r="G7" s="28">
        <f>SUM(G6:G6)</f>
        <v>0</v>
      </c>
      <c r="H7" s="28">
        <f>SUM(H6:H6)</f>
        <v>0</v>
      </c>
      <c r="I7" s="28">
        <f>SUM(I6:I6)</f>
        <v>0</v>
      </c>
      <c r="J7" s="16">
        <f t="shared" si="3"/>
        <v>0</v>
      </c>
      <c r="L7" s="12"/>
    </row>
    <row r="8" spans="1:12">
      <c r="A8" s="393"/>
      <c r="B8" s="2" t="s">
        <v>84</v>
      </c>
      <c r="C8" s="33"/>
      <c r="D8" s="14"/>
      <c r="E8" s="252"/>
      <c r="F8" s="252"/>
      <c r="G8" s="252"/>
      <c r="H8" s="252"/>
      <c r="I8" s="252"/>
      <c r="J8" s="45">
        <f t="shared" si="3"/>
        <v>0</v>
      </c>
      <c r="L8" s="12"/>
    </row>
    <row r="9" spans="1:12">
      <c r="A9" s="393"/>
      <c r="B9" s="15" t="str">
        <f>+Boissons!A19</f>
        <v>Forfait thé et café</v>
      </c>
      <c r="C9" s="35">
        <v>1</v>
      </c>
      <c r="D9" s="8" t="s">
        <v>55</v>
      </c>
      <c r="E9" s="251">
        <f>+Boissons!J19</f>
        <v>40</v>
      </c>
      <c r="F9" s="251">
        <f>+Boissons!G19</f>
        <v>0</v>
      </c>
      <c r="G9" s="257">
        <f>E9*C9</f>
        <v>40</v>
      </c>
      <c r="H9" s="254">
        <f>F9*C9</f>
        <v>0</v>
      </c>
      <c r="I9" s="253">
        <f>H9-G9</f>
        <v>-40</v>
      </c>
      <c r="J9" s="41">
        <f t="shared" si="3"/>
        <v>-0.4</v>
      </c>
      <c r="L9" s="12"/>
    </row>
    <row r="10" spans="1:12">
      <c r="A10" s="393"/>
      <c r="B10" s="4" t="s">
        <v>58</v>
      </c>
      <c r="C10" s="32"/>
      <c r="D10" s="13" t="s">
        <v>82</v>
      </c>
      <c r="E10" s="28">
        <f>+E9</f>
        <v>40</v>
      </c>
      <c r="F10" s="28">
        <f>+F9</f>
        <v>0</v>
      </c>
      <c r="G10" s="28">
        <f>+G9</f>
        <v>40</v>
      </c>
      <c r="H10" s="28">
        <f>+H9</f>
        <v>0</v>
      </c>
      <c r="I10" s="28">
        <f>+I9</f>
        <v>-40</v>
      </c>
      <c r="J10" s="16">
        <f t="shared" si="3"/>
        <v>-0.4</v>
      </c>
      <c r="L10" s="12"/>
    </row>
    <row r="11" spans="1:12">
      <c r="A11" s="393"/>
      <c r="B11" s="2" t="s">
        <v>85</v>
      </c>
      <c r="C11" s="33"/>
      <c r="D11" s="14"/>
      <c r="E11" s="252"/>
      <c r="F11" s="252"/>
      <c r="G11" s="252"/>
      <c r="H11" s="252"/>
      <c r="I11" s="252"/>
      <c r="J11" s="45">
        <f t="shared" si="3"/>
        <v>0</v>
      </c>
      <c r="L11" s="12"/>
    </row>
    <row r="12" spans="1:12">
      <c r="A12" s="6"/>
      <c r="B12" s="47" t="s">
        <v>68</v>
      </c>
      <c r="C12" s="31">
        <v>1</v>
      </c>
      <c r="D12" s="8" t="s">
        <v>55</v>
      </c>
      <c r="E12" s="251"/>
      <c r="F12" s="251" t="e">
        <f>+Boissons!#REF!</f>
        <v>#REF!</v>
      </c>
      <c r="G12" s="256">
        <f>E12*C12</f>
        <v>0</v>
      </c>
      <c r="H12" s="251" t="e">
        <f t="shared" ref="H12:H14" si="4">F12*C12</f>
        <v>#REF!</v>
      </c>
      <c r="I12" s="251" t="e">
        <f>H12-G12</f>
        <v>#REF!</v>
      </c>
      <c r="J12" s="44" t="e">
        <f t="shared" si="3"/>
        <v>#REF!</v>
      </c>
      <c r="K12" s="11"/>
      <c r="L12" s="12">
        <f>IFERROR(IFERROR(VLOOKUP($B12,[1]Salé!#REF!,5,FALSE),0),0)</f>
        <v>0</v>
      </c>
    </row>
    <row r="13" spans="1:12">
      <c r="A13" s="6"/>
      <c r="B13" s="15" t="s">
        <v>177</v>
      </c>
      <c r="C13" s="35">
        <v>1</v>
      </c>
      <c r="D13" s="8" t="s">
        <v>55</v>
      </c>
      <c r="E13" s="251">
        <f>+SUM(Boissons!J7:J10)</f>
        <v>160.64000000000001</v>
      </c>
      <c r="F13" s="251">
        <f>+SUM(Boissons!G7:G10)</f>
        <v>0</v>
      </c>
      <c r="G13" s="257">
        <f>E13*C13</f>
        <v>160.64000000000001</v>
      </c>
      <c r="H13" s="251">
        <f t="shared" si="4"/>
        <v>0</v>
      </c>
      <c r="I13" s="253">
        <f>H13-G13</f>
        <v>-160.64000000000001</v>
      </c>
      <c r="J13" s="41">
        <f>IF(ISERROR(I13/H13),I13/100,I13/H13)</f>
        <v>-1.6064000000000001</v>
      </c>
      <c r="L13" s="12"/>
    </row>
    <row r="14" spans="1:12">
      <c r="A14" s="6"/>
      <c r="B14" s="15" t="s">
        <v>43</v>
      </c>
      <c r="C14" s="35">
        <v>1</v>
      </c>
      <c r="D14" s="8" t="s">
        <v>55</v>
      </c>
      <c r="E14" s="251">
        <f>+SUM(Boissons!J15:J16)</f>
        <v>276</v>
      </c>
      <c r="F14" s="251"/>
      <c r="G14" s="257">
        <f t="shared" ref="G14" si="5">E14*C14</f>
        <v>276</v>
      </c>
      <c r="H14" s="254">
        <f t="shared" si="4"/>
        <v>0</v>
      </c>
      <c r="I14" s="248">
        <f>H14-G14</f>
        <v>-276</v>
      </c>
      <c r="J14" s="41">
        <f t="shared" ref="J14:J25" si="6">IF(ISERROR(I14/H14),I14/100,I14/H14)</f>
        <v>-2.76</v>
      </c>
      <c r="L14" s="12"/>
    </row>
    <row r="15" spans="1:12">
      <c r="B15" s="5" t="s">
        <v>58</v>
      </c>
      <c r="C15" s="36"/>
      <c r="D15" s="13"/>
      <c r="E15" s="28">
        <f>SUM(E12:E14)</f>
        <v>436.64</v>
      </c>
      <c r="F15" s="28" t="e">
        <f>SUM(F12:F14)</f>
        <v>#REF!</v>
      </c>
      <c r="G15" s="28">
        <f>SUM(G12:G14)</f>
        <v>436.64</v>
      </c>
      <c r="H15" s="28" t="e">
        <f>SUM(H12:H14)</f>
        <v>#REF!</v>
      </c>
      <c r="I15" s="28" t="e">
        <f>SUM(I12:I14)</f>
        <v>#REF!</v>
      </c>
      <c r="J15" s="16" t="e">
        <f t="shared" si="6"/>
        <v>#REF!</v>
      </c>
      <c r="L15" s="12"/>
    </row>
    <row r="16" spans="1:12">
      <c r="A16" s="6"/>
      <c r="B16" s="2" t="s">
        <v>86</v>
      </c>
      <c r="C16" s="33"/>
      <c r="D16" s="14"/>
      <c r="E16" s="252"/>
      <c r="F16" s="252"/>
      <c r="G16" s="252"/>
      <c r="H16" s="252"/>
      <c r="I16" s="252"/>
      <c r="J16" s="45">
        <f t="shared" si="6"/>
        <v>0</v>
      </c>
      <c r="L16" s="12"/>
    </row>
    <row r="17" spans="1:12">
      <c r="A17" s="7"/>
      <c r="B17" s="17" t="s">
        <v>56</v>
      </c>
      <c r="C17" s="37">
        <v>1</v>
      </c>
      <c r="D17" s="8" t="s">
        <v>55</v>
      </c>
      <c r="E17" s="254">
        <f>+Matériel[[#Totals],[Total Achat]]</f>
        <v>0</v>
      </c>
      <c r="F17" s="253">
        <f>+Matériel[[#Totals],[Total CHF]]</f>
        <v>0</v>
      </c>
      <c r="G17" s="257">
        <f>E17*C17</f>
        <v>0</v>
      </c>
      <c r="H17" s="254">
        <f>F17*C17</f>
        <v>0</v>
      </c>
      <c r="I17" s="253">
        <f>SUM(H17-G17)</f>
        <v>0</v>
      </c>
      <c r="J17" s="41">
        <f t="shared" si="6"/>
        <v>0</v>
      </c>
      <c r="L17" s="12"/>
    </row>
    <row r="18" spans="1:12">
      <c r="A18" s="7"/>
      <c r="B18" s="17" t="s">
        <v>57</v>
      </c>
      <c r="C18" s="37">
        <v>1</v>
      </c>
      <c r="D18" s="8" t="s">
        <v>55</v>
      </c>
      <c r="E18" s="254">
        <f>+Mobilier[[#Totals],[Total Achat]]</f>
        <v>396</v>
      </c>
      <c r="F18" s="253">
        <f>+Mobilier[[#Totals],[Total CHF]]</f>
        <v>450</v>
      </c>
      <c r="G18" s="257">
        <f>E18*C18</f>
        <v>396</v>
      </c>
      <c r="H18" s="254">
        <f>F18*C18</f>
        <v>450</v>
      </c>
      <c r="I18" s="253">
        <f>SUM(H18-G18)</f>
        <v>54</v>
      </c>
      <c r="J18" s="41">
        <f t="shared" si="6"/>
        <v>0.12</v>
      </c>
      <c r="L18" s="12"/>
    </row>
    <row r="19" spans="1:12">
      <c r="B19" s="4" t="s">
        <v>58</v>
      </c>
      <c r="C19" s="32"/>
      <c r="D19" s="13" t="s">
        <v>82</v>
      </c>
      <c r="E19" s="258">
        <f>SUM(E17:E18)</f>
        <v>396</v>
      </c>
      <c r="F19" s="258">
        <f>SUM(F17:F18)</f>
        <v>450</v>
      </c>
      <c r="G19" s="28">
        <f>SUM(G17:G18)</f>
        <v>396</v>
      </c>
      <c r="H19" s="28">
        <f>SUM(H17:H18)</f>
        <v>450</v>
      </c>
      <c r="I19" s="28">
        <f>SUM(I17:I18)</f>
        <v>54</v>
      </c>
      <c r="J19" s="16">
        <f t="shared" si="6"/>
        <v>0.12</v>
      </c>
      <c r="L19" s="12"/>
    </row>
    <row r="20" spans="1:12">
      <c r="A20" s="6"/>
      <c r="B20" s="2" t="s">
        <v>88</v>
      </c>
      <c r="C20" s="33"/>
      <c r="D20" s="14"/>
      <c r="E20" s="252"/>
      <c r="F20" s="252"/>
      <c r="G20" s="252"/>
      <c r="H20" s="252"/>
      <c r="I20" s="252"/>
      <c r="J20" s="45">
        <f>IF(ISERROR(I20/H20),I20/100,I20/H20)</f>
        <v>0</v>
      </c>
      <c r="L20" s="12"/>
    </row>
    <row r="21" spans="1:12">
      <c r="A21" s="246"/>
      <c r="B21" s="18" t="s">
        <v>304</v>
      </c>
      <c r="C21" s="37">
        <v>1</v>
      </c>
      <c r="D21" s="8" t="s">
        <v>55</v>
      </c>
      <c r="E21" s="254">
        <f>+Menu!I15-Menu!I14</f>
        <v>1725</v>
      </c>
      <c r="F21" s="253"/>
      <c r="G21" s="257">
        <f>E21*C21</f>
        <v>1725</v>
      </c>
      <c r="H21" s="254">
        <f>F21*C21</f>
        <v>0</v>
      </c>
      <c r="I21" s="248">
        <f>SUM(H21-G21)</f>
        <v>-1725</v>
      </c>
      <c r="J21" s="41" t="e">
        <f>I21/H21</f>
        <v>#DIV/0!</v>
      </c>
      <c r="L21" s="12"/>
    </row>
    <row r="22" spans="1:12">
      <c r="A22" s="7"/>
      <c r="B22" s="18" t="s">
        <v>305</v>
      </c>
      <c r="C22" s="37">
        <v>1</v>
      </c>
      <c r="D22" s="8" t="s">
        <v>55</v>
      </c>
      <c r="E22" s="254">
        <f>+Personnel!P46</f>
        <v>1324.40256</v>
      </c>
      <c r="F22" s="253">
        <f>+Personnel[[#Totals],[Total CHF]]</f>
        <v>4333.8</v>
      </c>
      <c r="G22" s="257">
        <f>E22*C22</f>
        <v>1324.40256</v>
      </c>
      <c r="H22" s="254">
        <f>F22*C22</f>
        <v>4333.8</v>
      </c>
      <c r="I22" s="253">
        <f>SUM(H22-G22)</f>
        <v>3009.3974400000002</v>
      </c>
      <c r="J22" s="41">
        <f t="shared" si="6"/>
        <v>0.69440155060224285</v>
      </c>
      <c r="L22" s="12"/>
    </row>
    <row r="23" spans="1:12">
      <c r="A23" s="7"/>
      <c r="B23" s="18" t="s">
        <v>69</v>
      </c>
      <c r="C23" s="37">
        <f>+Logistique!B4</f>
        <v>1</v>
      </c>
      <c r="D23" s="8" t="s">
        <v>55</v>
      </c>
      <c r="E23" s="254">
        <f>+Logistique[[#Totals],[Total Achat]]</f>
        <v>200</v>
      </c>
      <c r="F23" s="253">
        <f>+Logistique[[#Totals],[Total CHF]]</f>
        <v>250</v>
      </c>
      <c r="G23" s="257">
        <f>E23*C23</f>
        <v>200</v>
      </c>
      <c r="H23" s="254">
        <f>F23*C23</f>
        <v>250</v>
      </c>
      <c r="I23" s="253">
        <f>SUM(H23-G23)</f>
        <v>50</v>
      </c>
      <c r="J23" s="41">
        <f>IF(ISERROR(I23/H23),I23/100,I23/H23)</f>
        <v>0.2</v>
      </c>
      <c r="L23" s="12"/>
    </row>
    <row r="24" spans="1:12">
      <c r="B24" s="4" t="s">
        <v>58</v>
      </c>
      <c r="C24" s="32"/>
      <c r="D24" s="13"/>
      <c r="E24" s="28">
        <f>SUM(E21:E23)</f>
        <v>3249.40256</v>
      </c>
      <c r="F24" s="28">
        <f t="shared" ref="F24:I24" si="7">SUM(F21:F23)</f>
        <v>4583.8</v>
      </c>
      <c r="G24" s="28">
        <f t="shared" si="7"/>
        <v>3249.40256</v>
      </c>
      <c r="H24" s="28">
        <f t="shared" si="7"/>
        <v>4583.8</v>
      </c>
      <c r="I24" s="28">
        <f t="shared" si="7"/>
        <v>1334.3974400000002</v>
      </c>
      <c r="J24" s="16">
        <f t="shared" si="6"/>
        <v>0.29111161918059253</v>
      </c>
      <c r="L24" s="12"/>
    </row>
    <row r="25" spans="1:12">
      <c r="B25" s="19" t="s">
        <v>89</v>
      </c>
      <c r="C25" s="38"/>
      <c r="D25" s="26"/>
      <c r="E25" s="249">
        <f>SUM(E24,E19,E15,E10,E7,E4)</f>
        <v>4128.9425599999995</v>
      </c>
      <c r="F25" s="249" t="e">
        <f>SUM(F24,F19,F15,F10,F7,F4)</f>
        <v>#REF!</v>
      </c>
      <c r="G25" s="249">
        <f>SUM(G24,G19,G15,G10,G7,G4)</f>
        <v>4812.0425599999999</v>
      </c>
      <c r="H25" s="249" t="e">
        <f>SUM(H24,H19,H15,H10,H7,H4)</f>
        <v>#REF!</v>
      </c>
      <c r="I25" s="249" t="e">
        <f>SUM(I24,I19,I15,I10,I7,I4)</f>
        <v>#REF!</v>
      </c>
      <c r="J25" s="40" t="e">
        <f t="shared" si="6"/>
        <v>#REF!</v>
      </c>
      <c r="L25" s="12"/>
    </row>
    <row r="26" spans="1:12" ht="15.75" thickBot="1">
      <c r="K26" s="11"/>
    </row>
    <row r="27" spans="1:12">
      <c r="A27" s="23" t="s">
        <v>91</v>
      </c>
      <c r="B27" s="21" t="str">
        <f>+Informations!B2</f>
        <v>Madame Kathia Baptista</v>
      </c>
    </row>
    <row r="28" spans="1:12" ht="15.75" thickBot="1">
      <c r="A28" s="24" t="s">
        <v>90</v>
      </c>
      <c r="B28" s="22">
        <f>+Informations!B6</f>
        <v>43987</v>
      </c>
    </row>
    <row r="30" spans="1:12">
      <c r="D30" s="394"/>
      <c r="E30" s="394"/>
      <c r="F30" s="394"/>
      <c r="G30" s="394"/>
      <c r="H30" s="394"/>
    </row>
    <row r="31" spans="1:12">
      <c r="D31" s="394"/>
      <c r="E31" s="394"/>
      <c r="F31" s="394"/>
      <c r="G31" s="394"/>
      <c r="H31" s="394"/>
    </row>
    <row r="32" spans="1:12">
      <c r="D32" s="394"/>
      <c r="E32" s="394"/>
      <c r="F32" s="394"/>
      <c r="G32" s="394"/>
      <c r="H32" s="394"/>
    </row>
  </sheetData>
  <mergeCells count="4">
    <mergeCell ref="A4:A11"/>
    <mergeCell ref="D30:H30"/>
    <mergeCell ref="D31:H31"/>
    <mergeCell ref="D32:H32"/>
  </mergeCells>
  <conditionalFormatting sqref="J25">
    <cfRule type="cellIs" dxfId="2" priority="1" operator="lessThan">
      <formula>0.25</formula>
    </cfRule>
  </conditionalFormatting>
  <dataValidations count="1">
    <dataValidation allowBlank="1" showInputMessage="1" sqref="B13:B14 B9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lessThan" id="{503612B3-DD83-428C-A536-0ABC654E40A4}">
            <xm:f>Recap!$B$8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6" operator="greaterThan" id="{5DCD31C1-E991-438D-A117-2657FEF61F71}">
            <xm:f>Recap!$B$8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[1]Salé!#REF!</xm:f>
          </x14:formula1>
          <xm:sqref>B3 B12</xm:sqref>
        </x14:dataValidation>
        <x14:dataValidation type="list" allowBlank="1" showInputMessage="1">
          <x14:formula1>
            <xm:f>[1]Sucré!#REF!</xm:f>
          </x14:formula1>
          <xm:sqref>B6</xm:sqref>
        </x14:dataValidation>
        <x14:dataValidation type="list" allowBlank="1" showInputMessage="1">
          <x14:formula1>
            <xm:f>[1]Matériel!#REF!</xm:f>
          </x14:formula1>
          <xm:sqref>B17:B18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C127"/>
  <sheetViews>
    <sheetView topLeftCell="A31" zoomScale="115" zoomScaleNormal="115" workbookViewId="0">
      <selection activeCell="C26" sqref="C26"/>
    </sheetView>
  </sheetViews>
  <sheetFormatPr baseColWidth="10" defaultRowHeight="12.75"/>
  <cols>
    <col min="2" max="2" width="62" customWidth="1"/>
    <col min="3" max="3" width="15.7109375" style="213" customWidth="1"/>
  </cols>
  <sheetData>
    <row r="1" spans="2:3">
      <c r="B1" t="s">
        <v>148</v>
      </c>
      <c r="C1" s="212" t="s">
        <v>149</v>
      </c>
    </row>
    <row r="2" spans="2:3" ht="12.75" customHeight="1">
      <c r="B2" t="str">
        <f>+[2]!Entrées[[#This Row],[Intitulé]]</f>
        <v>Salade carottes à la marocaine</v>
      </c>
      <c r="C2" s="213">
        <f>+[2]!Entrées[[#This Row],[Prix de revient]]</f>
        <v>0.43</v>
      </c>
    </row>
    <row r="3" spans="2:3" ht="12.75" customHeight="1">
      <c r="B3" t="str">
        <f>+[2]!Entrées[[#This Row],[Intitulé]]</f>
        <v>Salade d'haricots verts au thym</v>
      </c>
      <c r="C3" s="213">
        <f>+[2]!Entrées[[#This Row],[Prix de revient]]</f>
        <v>0.55000000000000004</v>
      </c>
    </row>
    <row r="4" spans="2:3" ht="12.75" customHeight="1">
      <c r="B4" t="str">
        <f>+[2]!Entrées[[#This Row],[Intitulé]]</f>
        <v>Salade de courgettes grillées</v>
      </c>
      <c r="C4" s="213">
        <f>+[2]!Entrées[[#This Row],[Prix de revient]]</f>
        <v>0.62</v>
      </c>
    </row>
    <row r="5" spans="2:3" ht="12.75" customHeight="1">
      <c r="B5" t="str">
        <f>+[2]!Entrées[[#This Row],[Intitulé]]</f>
        <v>salade de maïs</v>
      </c>
      <c r="C5" s="213">
        <f>+[2]!Entrées[[#This Row],[Prix de revient]]</f>
        <v>0.66</v>
      </c>
    </row>
    <row r="6" spans="2:3" ht="12.75" customHeight="1">
      <c r="B6" t="str">
        <f>+[2]!Entrées[[#This Row],[Intitulé]]</f>
        <v>Salade de coleslaw</v>
      </c>
      <c r="C6" s="213">
        <f>+[2]!Entrées[[#This Row],[Prix de revient]]</f>
        <v>0.7</v>
      </c>
    </row>
    <row r="7" spans="2:3" ht="12.75" customHeight="1">
      <c r="B7" t="str">
        <f>+[2]!Entrées[[#This Row],[Intitulé]]</f>
        <v>Salade verte</v>
      </c>
      <c r="C7" s="213">
        <f>+[2]!Entrées[[#This Row],[Prix de revient]]</f>
        <v>0.77</v>
      </c>
    </row>
    <row r="8" spans="2:3" ht="12.75" customHeight="1">
      <c r="B8" t="str">
        <f>+[2]!Entrées[[#This Row],[Intitulé]]</f>
        <v>Salade de quinoa aux légumes</v>
      </c>
      <c r="C8" s="213">
        <f>+[2]!Entrées[[#This Row],[Prix de revient]]</f>
        <v>0.78</v>
      </c>
    </row>
    <row r="9" spans="2:3" ht="12.75" customHeight="1">
      <c r="B9" t="str">
        <f>+[2]!Entrées[[#This Row],[Intitulé]]</f>
        <v>Salade de betteraves</v>
      </c>
      <c r="C9" s="213">
        <f>+[2]!Entrées[[#This Row],[Prix de revient]]</f>
        <v>0.82</v>
      </c>
    </row>
    <row r="10" spans="2:3" ht="12.75" customHeight="1">
      <c r="B10" t="str">
        <f>+[2]!Entrées[[#This Row],[Intitulé]]</f>
        <v>Salade de poivrons grillés</v>
      </c>
      <c r="C10" s="213">
        <f>+[2]!Entrées[[#This Row],[Prix de revient]]</f>
        <v>0.86</v>
      </c>
    </row>
    <row r="11" spans="2:3" ht="12.75" customHeight="1">
      <c r="B11" t="str">
        <f>+[2]!Entrées[[#This Row],[Intitulé]]</f>
        <v>Soupe à l'oignon et croutons</v>
      </c>
      <c r="C11" s="213">
        <f>+[2]!Entrées[[#This Row],[Prix de revient]]</f>
        <v>0.86</v>
      </c>
    </row>
    <row r="12" spans="2:3" ht="12.75" customHeight="1">
      <c r="B12" t="str">
        <f>+[2]!Entrées[[#This Row],[Intitulé]]</f>
        <v>Potage cultivateur</v>
      </c>
      <c r="C12" s="213">
        <f>+[2]!Entrées[[#This Row],[Prix de revient]]</f>
        <v>0.91</v>
      </c>
    </row>
    <row r="13" spans="2:3" ht="12.75" customHeight="1">
      <c r="B13" t="str">
        <f>+[2]!Entrées[[#This Row],[Intitulé]]</f>
        <v>Salade de celeris</v>
      </c>
      <c r="C13" s="213">
        <f>+[2]!Entrées[[#This Row],[Prix de revient]]</f>
        <v>0.91</v>
      </c>
    </row>
    <row r="14" spans="2:3" ht="12.75" customHeight="1">
      <c r="B14" t="str">
        <f>+[2]!Entrées[[#This Row],[Intitulé]]</f>
        <v>Salade de carottes aux raisins secs</v>
      </c>
      <c r="C14" s="213">
        <f>+[2]!Entrées[[#This Row],[Prix de revient]]</f>
        <v>0.96</v>
      </c>
    </row>
    <row r="15" spans="2:3" ht="12.75" customHeight="1">
      <c r="B15" t="str">
        <f>+[2]!Entrées[[#This Row],[Intitulé]]</f>
        <v>Salade mêlée</v>
      </c>
      <c r="C15" s="213">
        <f>+[2]!Entrées[[#This Row],[Prix de revient]]</f>
        <v>0.97</v>
      </c>
    </row>
    <row r="16" spans="2:3" ht="12.75" customHeight="1">
      <c r="B16" t="str">
        <f>+[2]!Entrées[[#This Row],[Intitulé]]</f>
        <v>Salade de choux-fleurs au curcuma</v>
      </c>
      <c r="C16" s="213">
        <f>+[2]!Entrées[[#This Row],[Prix de revient]]</f>
        <v>1.02</v>
      </c>
    </row>
    <row r="17" spans="2:3" ht="12.75" customHeight="1">
      <c r="B17" t="str">
        <f>+[2]!Entrées[[#This Row],[Intitulé]]</f>
        <v>Salade de brocolis aux amandes</v>
      </c>
      <c r="C17" s="213">
        <f>+[2]!Entrées[[#This Row],[Prix de revient]]</f>
        <v>1.05</v>
      </c>
    </row>
    <row r="18" spans="2:3">
      <c r="B18" t="str">
        <f>+[2]!Entrées[[#This Row],[Intitulé]]</f>
        <v>Salade de  tomates ananas et coeur de boeuf</v>
      </c>
      <c r="C18" s="213">
        <f>+[2]!Entrées[[#This Row],[Prix de revient]]</f>
        <v>1.0900000000000001</v>
      </c>
    </row>
    <row r="19" spans="2:3">
      <c r="B19" t="str">
        <f>+[2]!Entrées[[#This Row],[Intitulé]]</f>
        <v>Salade de tomates cherry à l'ail</v>
      </c>
      <c r="C19" s="213">
        <f>+[2]!Entrées[[#This Row],[Prix de revient]]</f>
        <v>1.0900000000000001</v>
      </c>
    </row>
    <row r="20" spans="2:3" ht="12.75" customHeight="1">
      <c r="B20" t="str">
        <f>+[2]!Entrées[[#This Row],[Intitulé]]</f>
        <v>Salade de cornettes à l'emmental</v>
      </c>
      <c r="C20" s="213">
        <f>+[2]!Entrées[[#This Row],[Prix de revient]]</f>
        <v>1.1100000000000001</v>
      </c>
    </row>
    <row r="21" spans="2:3">
      <c r="B21" t="str">
        <f>+[2]!Entrées[[#This Row],[Intitulé]]</f>
        <v>Salade de tomates à la coriandre</v>
      </c>
      <c r="C21" s="213">
        <f>+[2]!Entrées[[#This Row],[Prix de revient]]</f>
        <v>1.17</v>
      </c>
    </row>
    <row r="22" spans="2:3" ht="12.75" customHeight="1">
      <c r="B22" t="str">
        <f>+[2]!Entrées[[#This Row],[Intitulé]]</f>
        <v>Créme de courge</v>
      </c>
      <c r="C22" s="213">
        <f>+[2]!Entrées[[#This Row],[Prix de revient]]</f>
        <v>1.19</v>
      </c>
    </row>
    <row r="23" spans="2:3" ht="12.75" customHeight="1">
      <c r="B23" t="str">
        <f>+[2]!Entrées[[#This Row],[Intitulé]]</f>
        <v>Salade de pomme de terre</v>
      </c>
      <c r="C23" s="213">
        <f>+[2]!Entrées[[#This Row],[Prix de revient]]</f>
        <v>1.22</v>
      </c>
    </row>
    <row r="24" spans="2:3" ht="12.75" customHeight="1">
      <c r="B24" t="str">
        <f>+[2]!Entrées[[#This Row],[Intitulé]]</f>
        <v>Salade de lentilles aux lardons</v>
      </c>
      <c r="C24" s="213">
        <f>+[2]!Entrées[[#This Row],[Prix de revient]]</f>
        <v>1.28</v>
      </c>
    </row>
    <row r="25" spans="2:3" ht="12.75" customHeight="1">
      <c r="B25" t="str">
        <f>+[2]!Entrées[[#This Row],[Intitulé]]</f>
        <v>Salade de concombre aux algues wakamé</v>
      </c>
      <c r="C25" s="213">
        <f>+[2]!Entrées[[#This Row],[Prix de revient]]</f>
        <v>1.34</v>
      </c>
    </row>
    <row r="26" spans="2:3">
      <c r="B26" t="str">
        <f>+[2]!Entrées[[#This Row],[Intitulé]]</f>
        <v>Salade de tomates et mozzarella</v>
      </c>
      <c r="C26" s="213">
        <f>+[2]!Entrées[[#This Row],[Prix de revient]]</f>
        <v>1.36</v>
      </c>
    </row>
    <row r="27" spans="2:3" ht="12.75" customHeight="1">
      <c r="B27" t="str">
        <f>+[2]!Entrées[[#This Row],[Intitulé]]</f>
        <v>Salade de lentilles corail</v>
      </c>
      <c r="C27" s="213">
        <f>+[2]!Entrées[[#This Row],[Prix de revient]]</f>
        <v>1.53</v>
      </c>
    </row>
    <row r="28" spans="2:3" ht="12.75" customHeight="1">
      <c r="B28" t="str">
        <f>+[2]!Entrées[[#This Row],[Intitulé]]</f>
        <v>Salade de rucolla et Grana Padano</v>
      </c>
      <c r="C28" s="213">
        <f>+[2]!Entrées[[#This Row],[Prix de revient]]</f>
        <v>1.65</v>
      </c>
    </row>
    <row r="29" spans="2:3" ht="12.75" customHeight="1">
      <c r="B29" t="str">
        <f>+[2]!Entrées[[#This Row],[Intitulé]]</f>
        <v>Salade de volaille au curry</v>
      </c>
      <c r="C29" s="213">
        <f>+[2]!Entrées[[#This Row],[Prix de revient]]</f>
        <v>1.65</v>
      </c>
    </row>
    <row r="30" spans="2:3" ht="12.75" customHeight="1">
      <c r="B30" t="str">
        <f>+[2]!Entrées[[#This Row],[Intitulé]]</f>
        <v>Salade d'aubergines grillées</v>
      </c>
      <c r="C30" s="213">
        <f>+[2]!Entrées[[#This Row],[Prix de revient]]</f>
        <v>1.68</v>
      </c>
    </row>
    <row r="31" spans="2:3" ht="12.75" customHeight="1">
      <c r="B31" t="str">
        <f>+[2]!Entrées[[#This Row],[Intitulé]]</f>
        <v>Créme Dubarry</v>
      </c>
      <c r="C31" s="213">
        <f>+[2]!Entrées[[#This Row],[Prix de revient]]</f>
        <v>1.79</v>
      </c>
    </row>
    <row r="32" spans="2:3" ht="12.75" customHeight="1">
      <c r="B32" t="str">
        <f>+[2]!Entrées[[#This Row],[Intitulé]]</f>
        <v>Salade crétoise</v>
      </c>
      <c r="C32" s="213">
        <f>+[2]!Entrées[[#This Row],[Prix de revient]]</f>
        <v>1.82</v>
      </c>
    </row>
    <row r="33" spans="2:3" ht="12.75" customHeight="1">
      <c r="B33" t="str">
        <f>+[2]!Entrées[[#This Row],[Intitulé]]</f>
        <v>Marbré de betteraves au chévre</v>
      </c>
      <c r="C33" s="213">
        <f>+[2]!Entrées[[#This Row],[Prix de revient]]</f>
        <v>1.86</v>
      </c>
    </row>
    <row r="34" spans="2:3" ht="12.75" customHeight="1">
      <c r="B34" t="str">
        <f>+[2]!Entrées[[#This Row],[Intitulé]]</f>
        <v>Timbale au jambon blanc</v>
      </c>
      <c r="C34" s="213">
        <f>+[2]!Entrées[[#This Row],[Prix de revient]]</f>
        <v>1.88</v>
      </c>
    </row>
    <row r="35" spans="2:3" ht="12.75" customHeight="1">
      <c r="B35" t="str">
        <f>+[2]!Entrées[[#This Row],[Intitulé]]</f>
        <v>Salade de potimarron aux olives</v>
      </c>
      <c r="C35" s="213">
        <f>+[2]!Entrées[[#This Row],[Prix de revient]]</f>
        <v>1.93</v>
      </c>
    </row>
    <row r="36" spans="2:3" ht="12.75" customHeight="1">
      <c r="B36" t="str">
        <f>+[2]!Entrées[[#This Row],[Intitulé]]</f>
        <v>Salade de pommes de terre et cervelas</v>
      </c>
      <c r="C36" s="213">
        <f>+[2]!Entrées[[#This Row],[Prix de revient]]</f>
        <v>1.94</v>
      </c>
    </row>
    <row r="37" spans="2:3" ht="12.75" customHeight="1">
      <c r="B37" t="str">
        <f>+[2]!Entrées[[#This Row],[Intitulé]]</f>
        <v>Tartare d'avocat et wakamé</v>
      </c>
      <c r="C37" s="213">
        <f>+[2]!Entrées[[#This Row],[Prix de revient]]</f>
        <v>1.97</v>
      </c>
    </row>
    <row r="38" spans="2:3" ht="12.75" customHeight="1">
      <c r="B38" t="str">
        <f>+[2]!Entrées[[#This Row],[Intitulé]]</f>
        <v>Maki de radis aux concombres, pesto de courges, pommes au raifort</v>
      </c>
      <c r="C38" s="213">
        <f>+[2]!Entrées[[#This Row],[Prix de revient]]</f>
        <v>2.0099999999999998</v>
      </c>
    </row>
    <row r="39" spans="2:3" ht="12.75" customHeight="1">
      <c r="B39" t="str">
        <f>+[2]!Entrées[[#This Row],[Intitulé]]</f>
        <v>Salade cocktail de crevettes</v>
      </c>
      <c r="C39" s="213">
        <f>+[2]!Entrées[[#This Row],[Prix de revient]]</f>
        <v>2.06</v>
      </c>
    </row>
    <row r="40" spans="2:3" ht="12.75" customHeight="1">
      <c r="B40" t="str">
        <f>+[2]!Entrées[[#This Row],[Intitulé]]</f>
        <v>Salade de patates douces et féta</v>
      </c>
      <c r="C40" s="213">
        <f>+[2]!Entrées[[#This Row],[Prix de revient]]</f>
        <v>2.06</v>
      </c>
    </row>
    <row r="41" spans="2:3" ht="12.75" customHeight="1">
      <c r="B41" t="str">
        <f>+[2]!Entrées[[#This Row],[Intitulé]]</f>
        <v>Salade de gambas à l'aneth</v>
      </c>
      <c r="C41" s="213">
        <f>+[2]!Entrées[[#This Row],[Prix de revient]]</f>
        <v>2.08</v>
      </c>
    </row>
    <row r="42" spans="2:3" ht="12.75" customHeight="1">
      <c r="B42" t="str">
        <f>+[2]!Entrées[[#This Row],[Intitulé]]</f>
        <v>Salade césar</v>
      </c>
      <c r="C42" s="213">
        <f>+[2]!Entrées[[#This Row],[Prix de revient]]</f>
        <v>2.1800000000000002</v>
      </c>
    </row>
    <row r="43" spans="2:3" ht="12.75" customHeight="1">
      <c r="B43" t="str">
        <f>+[2]!Entrées[[#This Row],[Intitulé]]</f>
        <v>Asperges vertes en sushi chaude</v>
      </c>
      <c r="C43" s="213">
        <f>+[2]!Entrées[[#This Row],[Prix de revient]]</f>
        <v>2.2599999999999998</v>
      </c>
    </row>
    <row r="44" spans="2:3" ht="12.75" customHeight="1">
      <c r="B44" t="str">
        <f>+[2]!Entrées[[#This Row],[Intitulé]]</f>
        <v>Salade aux baies de godji</v>
      </c>
      <c r="C44" s="213">
        <f>+[2]!Entrées[[#This Row],[Prix de revient]]</f>
        <v>2.27</v>
      </c>
    </row>
    <row r="45" spans="2:3">
      <c r="B45" t="str">
        <f>+[2]!Entrées[[#This Row],[Intitulé]]</f>
        <v>Tartare de melon et tomate</v>
      </c>
      <c r="C45" s="213">
        <f>+[2]!Entrées[[#This Row],[Prix de revient]]</f>
        <v>2.2799999999999998</v>
      </c>
    </row>
    <row r="46" spans="2:3" ht="12.75" customHeight="1">
      <c r="B46" t="str">
        <f>+[2]!Entrées[[#This Row],[Intitulé]]</f>
        <v>Terrine de campagne</v>
      </c>
      <c r="C46" s="213">
        <f>+[2]!Entrées[[#This Row],[Prix de revient]]</f>
        <v>2.29</v>
      </c>
    </row>
    <row r="47" spans="2:3" ht="12.75" customHeight="1">
      <c r="B47" t="str">
        <f>+[2]!Entrées[[#This Row],[Intitulé]]</f>
        <v>Vitello thonato de dinde</v>
      </c>
      <c r="C47" s="213">
        <f>+[2]!Entrées[[#This Row],[Prix de revient]]</f>
        <v>2.2999999999999998</v>
      </c>
    </row>
    <row r="48" spans="2:3" ht="12.75" customHeight="1">
      <c r="B48" t="str">
        <f>+[2]!Entrées[[#This Row],[Intitulé]]</f>
        <v>Salade de champignons à la grecque</v>
      </c>
      <c r="C48" s="213">
        <f>+[2]!Entrées[[#This Row],[Prix de revient]]</f>
        <v>2.37</v>
      </c>
    </row>
    <row r="49" spans="2:3" ht="12.75" customHeight="1">
      <c r="B49" t="str">
        <f>+[2]!Entrées[[#This Row],[Intitulé]]</f>
        <v>Salade de gambas au wasabi</v>
      </c>
      <c r="C49" s="213">
        <f>+[2]!Entrées[[#This Row],[Prix de revient]]</f>
        <v>2.42</v>
      </c>
    </row>
    <row r="50" spans="2:3">
      <c r="B50" t="str">
        <f>+[2]!Entrées[[#This Row],[Intitulé]]</f>
        <v>Roulade d'aubergines à la ricotta, chutney de tomates</v>
      </c>
      <c r="C50" s="213">
        <f>+[2]!Entrées[[#This Row],[Prix de revient]]</f>
        <v>2.48</v>
      </c>
    </row>
    <row r="51" spans="2:3" ht="12.75" customHeight="1">
      <c r="B51" t="str">
        <f>+[2]!Entrées[[#This Row],[Intitulé]]</f>
        <v>Mesclun aux abricots farcis</v>
      </c>
      <c r="C51" s="213">
        <f>+[2]!Entrées[[#This Row],[Prix de revient]]</f>
        <v>2.62</v>
      </c>
    </row>
    <row r="52" spans="2:3" ht="12.75" customHeight="1">
      <c r="B52" t="str">
        <f>+[2]!Entrées[[#This Row],[Intitulé]]</f>
        <v>Salade crostini au chévre frais</v>
      </c>
      <c r="C52" s="213">
        <f>+[2]!Entrées[[#This Row],[Prix de revient]]</f>
        <v>2.64</v>
      </c>
    </row>
    <row r="53" spans="2:3" ht="12.75" customHeight="1">
      <c r="B53" t="str">
        <f>+[2]!Entrées[[#This Row],[Intitulé]]</f>
        <v>Salade de crevettes aux ananas</v>
      </c>
      <c r="C53" s="213">
        <f>+[2]!Entrées[[#This Row],[Prix de revient]]</f>
        <v>2.71</v>
      </c>
    </row>
    <row r="54" spans="2:3" ht="12.75" customHeight="1">
      <c r="B54" t="str">
        <f>+[2]!Entrées[[#This Row],[Intitulé]]</f>
        <v>Salade de gambas punjab</v>
      </c>
      <c r="C54" s="213">
        <f>+[2]!Entrées[[#This Row],[Prix de revient]]</f>
        <v>2.71</v>
      </c>
    </row>
    <row r="55" spans="2:3" ht="12.75" customHeight="1">
      <c r="B55" t="str">
        <f>+[2]!Entrées[[#This Row],[Intitulé]]</f>
        <v>Artichauts à la barigoule</v>
      </c>
      <c r="C55" s="213">
        <f>+[2]!Entrées[[#This Row],[Prix de revient]]</f>
        <v>2.8</v>
      </c>
    </row>
    <row r="56" spans="2:3" ht="12.75" customHeight="1">
      <c r="B56" t="str">
        <f>+[2]!Entrées[[#This Row],[Intitulé]]</f>
        <v>Salade de sot l'y laisse au gingembre et coco</v>
      </c>
      <c r="C56" s="213">
        <f>+[2]!Entrées[[#This Row],[Prix de revient]]</f>
        <v>2.81</v>
      </c>
    </row>
    <row r="57" spans="2:3" ht="12.75" customHeight="1">
      <c r="B57" t="str">
        <f>+[2]!Entrées[[#This Row],[Intitulé]]</f>
        <v>Salade Thaï au poulet</v>
      </c>
      <c r="C57" s="213">
        <f>+[2]!Entrées[[#This Row],[Prix de revient]]</f>
        <v>2.83</v>
      </c>
    </row>
    <row r="58" spans="2:3" ht="12.75" customHeight="1">
      <c r="B58" t="str">
        <f>+[2]!Entrées[[#This Row],[Intitulé]]</f>
        <v>Mesclun et champignons</v>
      </c>
      <c r="C58" s="213">
        <f>+[2]!Entrées[[#This Row],[Prix de revient]]</f>
        <v>2.89</v>
      </c>
    </row>
    <row r="59" spans="2:3" ht="12.75" customHeight="1">
      <c r="B59" t="str">
        <f>+[2]!Entrées[[#This Row],[Intitulé]]</f>
        <v>Asperges blanches, vinaigrette au miel</v>
      </c>
      <c r="C59" s="213">
        <f>+[2]!Entrées[[#This Row],[Prix de revient]]</f>
        <v>2.92</v>
      </c>
    </row>
    <row r="60" spans="2:3" ht="12.75" customHeight="1">
      <c r="B60" t="str">
        <f>+[2]!Entrées[[#This Row],[Intitulé]]</f>
        <v>Cheesecake au saumon fumé</v>
      </c>
      <c r="C60" s="213">
        <f>+[2]!Entrées[[#This Row],[Prix de revient]]</f>
        <v>2.93</v>
      </c>
    </row>
    <row r="61" spans="2:3" ht="12.75" customHeight="1">
      <c r="B61" t="str">
        <f>+[2]!Entrées[[#This Row],[Intitulé]]</f>
        <v>Tartare de féta concombre et melon</v>
      </c>
      <c r="C61" s="213">
        <f>+[2]!Entrées[[#This Row],[Prix de revient]]</f>
        <v>2.95</v>
      </c>
    </row>
    <row r="62" spans="2:3" ht="12.75" customHeight="1">
      <c r="B62" t="str">
        <f>+[2]!Entrées[[#This Row],[Intitulé]]</f>
        <v>Salade d'avocats, concombre et noix de coco</v>
      </c>
      <c r="C62" s="213">
        <f>+[2]!Entrées[[#This Row],[Prix de revient]]</f>
        <v>3.03</v>
      </c>
    </row>
    <row r="63" spans="2:3" ht="12.75" customHeight="1">
      <c r="B63" t="str">
        <f>+[2]!Entrées[[#This Row],[Intitulé]]</f>
        <v>Salade de gambas grillées</v>
      </c>
      <c r="C63" s="213">
        <f>+[2]!Entrées[[#This Row],[Prix de revient]]</f>
        <v>3.08</v>
      </c>
    </row>
    <row r="64" spans="2:3" ht="12.75" customHeight="1">
      <c r="B64" t="str">
        <f>+[2]!Entrées[[#This Row],[Intitulé]]</f>
        <v>Terrine au poivre vert sur lit de salade</v>
      </c>
      <c r="C64" s="213">
        <f>+[2]!Entrées[[#This Row],[Prix de revient]]</f>
        <v>3.17</v>
      </c>
    </row>
    <row r="65" spans="2:3" ht="12.75" customHeight="1">
      <c r="B65" t="str">
        <f>+[2]!Entrées[[#This Row],[Intitulé]]</f>
        <v>Tartare de melon au jambon cru</v>
      </c>
      <c r="C65" s="213">
        <f>+[2]!Entrées[[#This Row],[Prix de revient]]</f>
        <v>3.27</v>
      </c>
    </row>
    <row r="66" spans="2:3" ht="12.75" customHeight="1">
      <c r="B66" t="str">
        <f>+[2]!Entrées[[#This Row],[Intitulé]]</f>
        <v>Feuilleté aux ris de veau et champignons</v>
      </c>
      <c r="C66" s="213">
        <f>+[2]!Entrées[[#This Row],[Prix de revient]]</f>
        <v>3.35</v>
      </c>
    </row>
    <row r="67" spans="2:3" ht="12.75" customHeight="1">
      <c r="B67" t="str">
        <f>+[2]!Entrées[[#This Row],[Intitulé]]</f>
        <v>Saumon fumé aux algues nori</v>
      </c>
      <c r="C67" s="213">
        <f>+[2]!Entrées[[#This Row],[Prix de revient]]</f>
        <v>3.37</v>
      </c>
    </row>
    <row r="68" spans="2:3" ht="12.75" customHeight="1">
      <c r="B68" t="str">
        <f>+[2]!Entrées[[#This Row],[Intitulé]]</f>
        <v>Pâté en croûte</v>
      </c>
      <c r="C68" s="213">
        <f>+[2]!Entrées[[#This Row],[Prix de revient]]</f>
        <v>3.4</v>
      </c>
    </row>
    <row r="69" spans="2:3" ht="12.75" customHeight="1">
      <c r="B69" t="str">
        <f>+[2]!Entrées[[#This Row],[Intitulé]]</f>
        <v>Salade d'avocat et crevettes</v>
      </c>
      <c r="C69" s="213">
        <f>+[2]!Entrées[[#This Row],[Prix de revient]]</f>
        <v>3.45</v>
      </c>
    </row>
    <row r="70" spans="2:3" ht="12.75" customHeight="1">
      <c r="B70" t="str">
        <f>+[2]!Entrées[[#This Row],[Intitulé]]</f>
        <v>Salade d'asperges aux œufs de caille</v>
      </c>
      <c r="C70" s="213">
        <f>+[2]!Entrées[[#This Row],[Prix de revient]]</f>
        <v>3.48</v>
      </c>
    </row>
    <row r="71" spans="2:3">
      <c r="B71" t="str">
        <f>+[2]!Entrées[[#This Row],[Intitulé]]</f>
        <v>Salade de tomates au thon</v>
      </c>
      <c r="C71" s="213">
        <f>+[2]!Entrées[[#This Row],[Prix de revient]]</f>
        <v>3.55</v>
      </c>
    </row>
    <row r="72" spans="2:3" ht="12.75" customHeight="1">
      <c r="B72" t="str">
        <f>+[2]!Entrées[[#This Row],[Intitulé]]</f>
        <v>Vol au vent aux ris de veau</v>
      </c>
      <c r="C72" s="213">
        <f>+[2]!Entrées[[#This Row],[Prix de revient]]</f>
        <v>3.57</v>
      </c>
    </row>
    <row r="73" spans="2:3" ht="12.75" customHeight="1">
      <c r="B73" t="str">
        <f>+[2]!Entrées[[#This Row],[Intitulé]]</f>
        <v>Melon au jambon cru</v>
      </c>
      <c r="C73" s="213">
        <f>+[2]!Entrées[[#This Row],[Prix de revient]]</f>
        <v>3.65</v>
      </c>
    </row>
    <row r="74" spans="2:3" ht="12.75" customHeight="1">
      <c r="B74" t="str">
        <f>+[2]!Entrées[[#This Row],[Intitulé]]</f>
        <v>os a moelle façon brasserie</v>
      </c>
      <c r="C74" s="213">
        <f>+[2]!Entrées[[#This Row],[Prix de revient]]</f>
        <v>3.71</v>
      </c>
    </row>
    <row r="75" spans="2:3" ht="12.75" customHeight="1">
      <c r="B75" t="str">
        <f>+[2]!Entrées[[#This Row],[Intitulé]]</f>
        <v>Salade de chèvre au fraises</v>
      </c>
      <c r="C75" s="213">
        <f>+[2]!Entrées[[#This Row],[Prix de revient]]</f>
        <v>3.71</v>
      </c>
    </row>
    <row r="76" spans="2:3" ht="12.75" customHeight="1">
      <c r="B76" t="str">
        <f>+[2]!Entrées[[#This Row],[Intitulé]]</f>
        <v>Bruschetta avocat et melon</v>
      </c>
      <c r="C76" s="213">
        <f>+[2]!Entrées[[#This Row],[Prix de revient]]</f>
        <v>3.8</v>
      </c>
    </row>
    <row r="77" spans="2:3" ht="12.75" customHeight="1">
      <c r="B77" t="str">
        <f>+[2]!Entrées[[#This Row],[Intitulé]]</f>
        <v>Pôelée d'asperges à la vanille</v>
      </c>
      <c r="C77" s="213">
        <f>+[2]!Entrées[[#This Row],[Prix de revient]]</f>
        <v>3.92</v>
      </c>
    </row>
    <row r="78" spans="2:3" ht="12.75" customHeight="1">
      <c r="B78" t="str">
        <f>+[2]!Entrées[[#This Row],[Intitulé]]</f>
        <v>Salade de dent de lion</v>
      </c>
      <c r="C78" s="213">
        <f>+[2]!Entrées[[#This Row],[Prix de revient]]</f>
        <v>3.99</v>
      </c>
    </row>
    <row r="79" spans="2:3" ht="12.75" customHeight="1">
      <c r="B79" t="str">
        <f>+[2]!Entrées[[#This Row],[Intitulé]]</f>
        <v>Saumon mariné aux betteraves</v>
      </c>
      <c r="C79" s="213">
        <f>+[2]!Entrées[[#This Row],[Prix de revient]]</f>
        <v>4.04</v>
      </c>
    </row>
    <row r="80" spans="2:3" ht="12.75" customHeight="1">
      <c r="B80" t="str">
        <f>+[2]!Entrées[[#This Row],[Intitulé]]</f>
        <v>Tartare de bœuf traditionnel</v>
      </c>
      <c r="C80" s="213">
        <f>+[2]!Entrées[[#This Row],[Prix de revient]]</f>
        <v>4.09</v>
      </c>
    </row>
    <row r="81" spans="2:3" ht="12.75" customHeight="1">
      <c r="B81" t="str">
        <f>+[2]!Entrées[[#This Row],[Intitulé]]</f>
        <v>Tartare de saumon aux kiwis</v>
      </c>
      <c r="C81" s="213">
        <f>+[2]!Entrées[[#This Row],[Prix de revient]]</f>
        <v>4.24</v>
      </c>
    </row>
    <row r="82" spans="2:3" ht="12.75" customHeight="1">
      <c r="B82" t="str">
        <f>+[2]!Entrées[[#This Row],[Intitulé]]</f>
        <v>Tartare de veau au citron confit</v>
      </c>
      <c r="C82" s="213">
        <f>+[2]!Entrées[[#This Row],[Prix de revient]]</f>
        <v>4.25</v>
      </c>
    </row>
    <row r="83" spans="2:3" ht="12.75" customHeight="1">
      <c r="B83" t="str">
        <f>+[2]!Entrées[[#This Row],[Intitulé]]</f>
        <v>Carpaccio de veau au parmesan</v>
      </c>
      <c r="C83" s="213">
        <f>+[2]!Entrées[[#This Row],[Prix de revient]]</f>
        <v>4.3099999999999996</v>
      </c>
    </row>
    <row r="84" spans="2:3" ht="12.75" customHeight="1">
      <c r="B84" t="str">
        <f>+[2]!Entrées[[#This Row],[Intitulé]]</f>
        <v>Rillettes de loup de mer et saumon</v>
      </c>
      <c r="C84" s="213">
        <f>+[2]!Entrées[[#This Row],[Prix de revient]]</f>
        <v>4.32</v>
      </c>
    </row>
    <row r="85" spans="2:3" ht="12.75" customHeight="1">
      <c r="B85" t="str">
        <f>+[2]!Entrées[[#This Row],[Intitulé]]</f>
        <v>Mesclun et sa tomme vaudoise</v>
      </c>
      <c r="C85" s="213">
        <f>+[2]!Entrées[[#This Row],[Prix de revient]]</f>
        <v>4.33</v>
      </c>
    </row>
    <row r="86" spans="2:3" ht="12.75" customHeight="1">
      <c r="B86" t="str">
        <f>+[2]!Entrées[[#This Row],[Intitulé]]</f>
        <v>Salade Espagnole</v>
      </c>
      <c r="C86" s="213">
        <f>+[2]!Entrées[[#This Row],[Prix de revient]]</f>
        <v>4.37</v>
      </c>
    </row>
    <row r="87" spans="2:3" ht="12.75" customHeight="1">
      <c r="B87" t="str">
        <f>+[2]!Entrées[[#This Row],[Intitulé]]</f>
        <v>Carpaccio d'espadon à la mandarine</v>
      </c>
      <c r="C87" s="213">
        <f>+[2]!Entrées[[#This Row],[Prix de revient]]</f>
        <v>4.4800000000000004</v>
      </c>
    </row>
    <row r="88" spans="2:3" ht="12.75" customHeight="1">
      <c r="B88" t="str">
        <f>+[2]!Entrées[[#This Row],[Intitulé]]</f>
        <v>Carpaccio de boeuf</v>
      </c>
      <c r="C88" s="213">
        <f>+[2]!Entrées[[#This Row],[Prix de revient]]</f>
        <v>4.51</v>
      </c>
    </row>
    <row r="89" spans="2:3" ht="12.75" customHeight="1">
      <c r="B89" t="str">
        <f>+[2]!Entrées[[#This Row],[Intitulé]]</f>
        <v>Salade d'écrevisses à l'Américaine</v>
      </c>
      <c r="C89" s="213">
        <f>+[2]!Entrées[[#This Row],[Prix de revient]]</f>
        <v>4.6500000000000004</v>
      </c>
    </row>
    <row r="90" spans="2:3" ht="12.75" customHeight="1">
      <c r="B90" t="str">
        <f>+[2]!Entrées[[#This Row],[Intitulé]]</f>
        <v>Mesclun aux deux saumons</v>
      </c>
      <c r="C90" s="213">
        <f>+[2]!Entrées[[#This Row],[Prix de revient]]</f>
        <v>4.7300000000000004</v>
      </c>
    </row>
    <row r="91" spans="2:3" ht="12.75" customHeight="1">
      <c r="B91" t="str">
        <f>+[2]!Entrées[[#This Row],[Intitulé]]</f>
        <v>Salade de rhubarbe au fromage de chévre</v>
      </c>
      <c r="C91" s="213">
        <f>+[2]!Entrées[[#This Row],[Prix de revient]]</f>
        <v>4.91</v>
      </c>
    </row>
    <row r="92" spans="2:3" ht="12.75" customHeight="1">
      <c r="B92" t="str">
        <f>+[2]!Entrées[[#This Row],[Intitulé]]</f>
        <v>Poêlée de saint jacques au citron et huile de thym</v>
      </c>
      <c r="C92" s="213">
        <f>+[2]!Entrées[[#This Row],[Prix de revient]]</f>
        <v>4.9400000000000004</v>
      </c>
    </row>
    <row r="93" spans="2:3" ht="12.75" customHeight="1">
      <c r="B93" t="str">
        <f>+[2]!Entrées[[#This Row],[Intitulé]]</f>
        <v>Céviche de bar à la grenade</v>
      </c>
      <c r="C93" s="213">
        <f>+[2]!Entrées[[#This Row],[Prix de revient]]</f>
        <v>5</v>
      </c>
    </row>
    <row r="94" spans="2:3" ht="12.75" customHeight="1">
      <c r="B94" t="str">
        <f>+[2]!Entrées[[#This Row],[Intitulé]]</f>
        <v>Tartare de bœuf à l'italienne</v>
      </c>
      <c r="C94" s="213">
        <f>+[2]!Entrées[[#This Row],[Prix de revient]]</f>
        <v>5.35</v>
      </c>
    </row>
    <row r="95" spans="2:3" ht="12.75" customHeight="1">
      <c r="B95" t="str">
        <f>+[2]!Entrées[[#This Row],[Intitulé]]</f>
        <v>Médaillons de foie gras de canard</v>
      </c>
      <c r="C95" s="213">
        <f>+[2]!Entrées[[#This Row],[Prix de revient]]</f>
        <v>5.38</v>
      </c>
    </row>
    <row r="96" spans="2:3" ht="12.75" customHeight="1">
      <c r="B96" t="str">
        <f>+[2]!Entrées[[#This Row],[Intitulé]]</f>
        <v>Salade de homards aux mangues</v>
      </c>
      <c r="C96" s="213">
        <f>+[2]!Entrées[[#This Row],[Prix de revient]]</f>
        <v>5.57</v>
      </c>
    </row>
    <row r="97" spans="2:3" ht="12.75" customHeight="1">
      <c r="B97" t="str">
        <f>+[2]!Entrées[[#This Row],[Intitulé]]</f>
        <v>Terrine de poulpe</v>
      </c>
      <c r="C97" s="213">
        <f>+[2]!Entrées[[#This Row],[Prix de revient]]</f>
        <v>5.93</v>
      </c>
    </row>
    <row r="98" spans="2:3">
      <c r="B98" t="str">
        <f>+[2]!Entrées[[#This Row],[Intitulé]]</f>
        <v>Foie gras et son velouté d'artichauts</v>
      </c>
      <c r="C98" s="213">
        <f>+[2]!Entrées[[#This Row],[Prix de revient]]</f>
        <v>6.3</v>
      </c>
    </row>
    <row r="99" spans="2:3">
      <c r="B99" t="str">
        <f>+[2]!Entrées[[#This Row],[Intitulé]]</f>
        <v>Terrine de foie gras mi-cuit et sa brioche, chutney de fruits</v>
      </c>
      <c r="C99" s="213">
        <f>+[2]!Entrées[[#This Row],[Prix de revient]]</f>
        <v>8.18</v>
      </c>
    </row>
    <row r="100" spans="2:3">
      <c r="B100" t="str">
        <f>+[2]!Entrées[[#This Row],[Intitulé]]</f>
        <v>Plat de charcuterie</v>
      </c>
      <c r="C100" s="213">
        <f>+[2]!Entrées[[#This Row],[Prix de revient]]</f>
        <v>9</v>
      </c>
    </row>
    <row r="101" spans="2:3">
      <c r="B101">
        <f>+[2]!Entrées[[#This Row],[Intitulé]]</f>
        <v>0</v>
      </c>
      <c r="C101" s="213">
        <f>+[2]!Entrées[[#This Row],[Prix de revient]]</f>
        <v>0</v>
      </c>
    </row>
    <row r="102" spans="2:3">
      <c r="B102">
        <f>+[2]!Entrées[[#This Row],[Intitulé]]</f>
        <v>0</v>
      </c>
      <c r="C102" s="213">
        <f>+[2]!Entrées[[#This Row],[Prix de revient]]</f>
        <v>0</v>
      </c>
    </row>
    <row r="103" spans="2:3">
      <c r="B103">
        <f>+[2]!Entrées[[#This Row],[Intitulé]]</f>
        <v>0</v>
      </c>
      <c r="C103" s="213">
        <f>+[2]!Entrées[[#This Row],[Prix de revient]]</f>
        <v>0</v>
      </c>
    </row>
    <row r="104" spans="2:3">
      <c r="B104">
        <f>+[2]!Entrées[[#This Row],[Intitulé]]</f>
        <v>0</v>
      </c>
      <c r="C104" s="213">
        <f>+[2]!Entrées[[#This Row],[Prix de revient]]</f>
        <v>0</v>
      </c>
    </row>
    <row r="105" spans="2:3">
      <c r="B105">
        <f>+[2]!Entrées[[#This Row],[Intitulé]]</f>
        <v>0</v>
      </c>
      <c r="C105" s="213">
        <f>+[2]!Entrées[[#This Row],[Prix de revient]]</f>
        <v>0</v>
      </c>
    </row>
    <row r="106" spans="2:3">
      <c r="B106">
        <f>+[2]!Entrées[[#This Row],[Intitulé]]</f>
        <v>0</v>
      </c>
      <c r="C106" s="213">
        <f>+[2]!Entrées[[#This Row],[Prix de revient]]</f>
        <v>0</v>
      </c>
    </row>
    <row r="107" spans="2:3">
      <c r="B107">
        <f>+[2]!Entrées[[#This Row],[Intitulé]]</f>
        <v>0</v>
      </c>
      <c r="C107" s="213">
        <f>+[2]!Entrées[[#This Row],[Prix de revient]]</f>
        <v>0</v>
      </c>
    </row>
    <row r="108" spans="2:3">
      <c r="B108">
        <f>+[2]!Entrées[[#This Row],[Intitulé]]</f>
        <v>0</v>
      </c>
      <c r="C108" s="213">
        <f>+[2]!Entrées[[#This Row],[Prix de revient]]</f>
        <v>0</v>
      </c>
    </row>
    <row r="109" spans="2:3">
      <c r="B109">
        <f>+[2]!Entrées[[#This Row],[Intitulé]]</f>
        <v>0</v>
      </c>
      <c r="C109" s="213">
        <f>+[2]!Entrées[[#This Row],[Prix de revient]]</f>
        <v>0</v>
      </c>
    </row>
    <row r="110" spans="2:3">
      <c r="B110">
        <f>+[2]!Entrées[[#This Row],[Intitulé]]</f>
        <v>0</v>
      </c>
      <c r="C110" s="213">
        <f>+[2]!Entrées[[#This Row],[Prix de revient]]</f>
        <v>0</v>
      </c>
    </row>
    <row r="111" spans="2:3">
      <c r="B111">
        <f>+[2]!Entrées[[#This Row],[Intitulé]]</f>
        <v>0</v>
      </c>
      <c r="C111" s="213">
        <f>+[2]!Entrées[[#This Row],[Prix de revient]]</f>
        <v>0</v>
      </c>
    </row>
    <row r="112" spans="2:3">
      <c r="B112">
        <f>+[2]!Entrées[[#This Row],[Intitulé]]</f>
        <v>0</v>
      </c>
      <c r="C112" s="213">
        <f>+[2]!Entrées[[#This Row],[Prix de revient]]</f>
        <v>0</v>
      </c>
    </row>
    <row r="113" spans="2:3">
      <c r="B113">
        <f>+[2]!Entrées[[#This Row],[Intitulé]]</f>
        <v>0</v>
      </c>
      <c r="C113" s="213">
        <f>+[2]!Entrées[[#This Row],[Prix de revient]]</f>
        <v>0</v>
      </c>
    </row>
    <row r="114" spans="2:3">
      <c r="B114">
        <f>+[2]!Entrées[[#This Row],[Intitulé]]</f>
        <v>0</v>
      </c>
      <c r="C114" s="213">
        <f>+[2]!Entrées[[#This Row],[Prix de revient]]</f>
        <v>0</v>
      </c>
    </row>
    <row r="115" spans="2:3">
      <c r="B115">
        <f>+[2]!Entrées[[#This Row],[Intitulé]]</f>
        <v>0</v>
      </c>
      <c r="C115" s="213">
        <f>+[2]!Entrées[[#This Row],[Prix de revient]]</f>
        <v>0</v>
      </c>
    </row>
    <row r="116" spans="2:3">
      <c r="B116">
        <f>+[2]!Entrées[[#This Row],[Intitulé]]</f>
        <v>0</v>
      </c>
      <c r="C116" s="213">
        <f>+[2]!Entrées[[#This Row],[Prix de revient]]</f>
        <v>0</v>
      </c>
    </row>
    <row r="117" spans="2:3">
      <c r="B117">
        <f>+[2]!Entrées[[#This Row],[Intitulé]]</f>
        <v>0</v>
      </c>
      <c r="C117" s="213">
        <f>+[2]!Entrées[[#This Row],[Prix de revient]]</f>
        <v>0</v>
      </c>
    </row>
    <row r="118" spans="2:3">
      <c r="B118">
        <f>+[2]!Entrées[[#This Row],[Intitulé]]</f>
        <v>0</v>
      </c>
      <c r="C118" s="213">
        <f>+[2]!Entrées[[#This Row],[Prix de revient]]</f>
        <v>0</v>
      </c>
    </row>
    <row r="119" spans="2:3">
      <c r="B119">
        <f>+[2]!Entrées[[#This Row],[Intitulé]]</f>
        <v>0</v>
      </c>
      <c r="C119" s="213">
        <f>+[2]!Entrées[[#This Row],[Prix de revient]]</f>
        <v>0</v>
      </c>
    </row>
    <row r="120" spans="2:3">
      <c r="B120">
        <f>+[2]!Entrées[[#This Row],[Intitulé]]</f>
        <v>0</v>
      </c>
      <c r="C120" s="213">
        <f>+[2]!Entrées[[#This Row],[Prix de revient]]</f>
        <v>0</v>
      </c>
    </row>
    <row r="121" spans="2:3">
      <c r="B121">
        <f>+[2]!Entrées[[#This Row],[Intitulé]]</f>
        <v>0</v>
      </c>
      <c r="C121" s="213">
        <f>+[2]!Entrées[[#This Row],[Prix de revient]]</f>
        <v>0</v>
      </c>
    </row>
    <row r="122" spans="2:3">
      <c r="B122">
        <f>+[2]!Entrées[[#This Row],[Intitulé]]</f>
        <v>0</v>
      </c>
      <c r="C122" s="213">
        <f>+[2]!Entrées[[#This Row],[Prix de revient]]</f>
        <v>0</v>
      </c>
    </row>
    <row r="123" spans="2:3">
      <c r="B123">
        <f>+[2]!Entrées[[#This Row],[Intitulé]]</f>
        <v>0</v>
      </c>
      <c r="C123" s="213">
        <f>+[2]!Entrées[[#This Row],[Prix de revient]]</f>
        <v>0</v>
      </c>
    </row>
    <row r="124" spans="2:3">
      <c r="B124">
        <f>+[2]!Entrées[[#This Row],[Intitulé]]</f>
        <v>0</v>
      </c>
      <c r="C124" s="213">
        <f>+[2]!Entrées[[#This Row],[Prix de revient]]</f>
        <v>0</v>
      </c>
    </row>
    <row r="125" spans="2:3">
      <c r="B125">
        <f>+[2]!Entrées[[#This Row],[Intitulé]]</f>
        <v>0</v>
      </c>
      <c r="C125" s="213">
        <f>+[2]!Entrées[[#This Row],[Prix de revient]]</f>
        <v>0</v>
      </c>
    </row>
    <row r="126" spans="2:3">
      <c r="B126">
        <f>+[2]!Entrées[[#This Row],[Intitulé]]</f>
        <v>0</v>
      </c>
      <c r="C126" s="213">
        <f>+[2]!Entrées[[#This Row],[Prix de revient]]</f>
        <v>0</v>
      </c>
    </row>
    <row r="127" spans="2:3">
      <c r="B127">
        <f>+[2]!Entrées[[#This Row],[Intitulé]]</f>
        <v>0</v>
      </c>
      <c r="C127" s="213">
        <f>+[2]!Entrées[[#This Row],[Prix de revient]]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375"/>
  <sheetViews>
    <sheetView topLeftCell="A78" workbookViewId="0">
      <selection activeCell="C92" sqref="C92"/>
    </sheetView>
  </sheetViews>
  <sheetFormatPr baseColWidth="10" defaultRowHeight="12.75"/>
  <cols>
    <col min="1" max="1" width="11.7109375" style="218" customWidth="1"/>
    <col min="2" max="2" width="94.28515625" style="218" customWidth="1"/>
    <col min="3" max="3" width="20" style="238" customWidth="1"/>
    <col min="4" max="16384" width="11.42578125" style="218"/>
  </cols>
  <sheetData>
    <row r="1" spans="1:3">
      <c r="A1" s="216" t="s">
        <v>211</v>
      </c>
      <c r="B1" s="217" t="s">
        <v>148</v>
      </c>
      <c r="C1" s="219" t="s">
        <v>149</v>
      </c>
    </row>
    <row r="2" spans="1:3">
      <c r="A2" s="217"/>
      <c r="B2" s="217" t="str">
        <f>+[2]!Viandes[[#This Row],[Intitulé]]</f>
        <v>Atriaux, sauce au vin rouge</v>
      </c>
      <c r="C2" s="219">
        <f>+[2]!Viandes[[#This Row],[Prix de revient]]</f>
        <v>3.57</v>
      </c>
    </row>
    <row r="3" spans="1:3">
      <c r="A3" s="217"/>
      <c r="B3" s="217" t="str">
        <f>+[2]!Viandes[[#This Row],[Intitulé]]</f>
        <v>Blanquette de veau à l'ancienne</v>
      </c>
      <c r="C3" s="219">
        <f>+[2]!Viandes[[#This Row],[Prix de revient]]</f>
        <v>6.23</v>
      </c>
    </row>
    <row r="4" spans="1:3">
      <c r="A4" s="217"/>
      <c r="B4" s="217" t="str">
        <f>+[2]!Viandes[[#This Row],[Intitulé]]</f>
        <v>Boeuf braisé Grand-mère</v>
      </c>
      <c r="C4" s="219">
        <f>+[2]!Viandes[[#This Row],[Prix de revient]]</f>
        <v>6.22</v>
      </c>
    </row>
    <row r="5" spans="1:3">
      <c r="A5" s="217"/>
      <c r="B5" s="217" t="str">
        <f>+[2]!Viandes[[#This Row],[Intitulé]]</f>
        <v>Brochette de bœuf au gruyère et figues</v>
      </c>
      <c r="C5" s="219">
        <f>+[2]!Viandes[[#This Row],[Prix de revient]]</f>
        <v>6.44</v>
      </c>
    </row>
    <row r="6" spans="1:3">
      <c r="A6" s="217"/>
      <c r="B6" s="217" t="str">
        <f>+[2]!Viandes[[#This Row],[Intitulé]]</f>
        <v>Brochette de canard au poivre noir</v>
      </c>
      <c r="C6" s="219">
        <f>+[2]!Viandes[[#This Row],[Prix de revient]]</f>
        <v>4.32</v>
      </c>
    </row>
    <row r="7" spans="1:3">
      <c r="A7" s="217"/>
      <c r="B7" s="217" t="str">
        <f>+[2]!Viandes[[#This Row],[Intitulé]]</f>
        <v>Brochette de cevapcici, sauce Mexicaine</v>
      </c>
      <c r="C7" s="219">
        <f>+[2]!Viandes[[#This Row],[Prix de revient]]</f>
        <v>2.7</v>
      </c>
    </row>
    <row r="8" spans="1:3">
      <c r="A8" s="216"/>
      <c r="B8" s="217" t="str">
        <f>+[2]!Viandes[[#This Row],[Intitulé]]</f>
        <v>Brochette de poulet au citron et au thym</v>
      </c>
      <c r="C8" s="219">
        <f>+[2]!Viandes[[#This Row],[Prix de revient]]</f>
        <v>3.14</v>
      </c>
    </row>
    <row r="9" spans="1:3">
      <c r="A9" s="216"/>
      <c r="B9" s="217" t="str">
        <f>+[2]!Viandes[[#This Row],[Intitulé]]</f>
        <v>Brochette mix grill, beurre café de Paris</v>
      </c>
      <c r="C9" s="219">
        <f>+[2]!Viandes[[#This Row],[Prix de revient]]</f>
        <v>3.16</v>
      </c>
    </row>
    <row r="10" spans="1:3">
      <c r="A10" s="217"/>
      <c r="B10" s="217" t="str">
        <f>+[2]!Viandes[[#This Row],[Intitulé]]</f>
        <v>Burger de bœuf</v>
      </c>
      <c r="C10" s="219">
        <f>+[2]!Viandes[[#This Row],[Prix de revient]]</f>
        <v>3.19</v>
      </c>
    </row>
    <row r="11" spans="1:3">
      <c r="A11" s="217"/>
      <c r="B11" s="217" t="str">
        <f>+[2]!Viandes[[#This Row],[Intitulé]]</f>
        <v>Carpaccio de bœuf</v>
      </c>
      <c r="C11" s="219">
        <f>+[2]!Viandes[[#This Row],[Prix de revient]]</f>
        <v>5.96</v>
      </c>
    </row>
    <row r="12" spans="1:3">
      <c r="A12" s="217"/>
      <c r="B12" s="217" t="str">
        <f>+[2]!Viandes[[#This Row],[Intitulé]]</f>
        <v>Carri de bœuf à la créole</v>
      </c>
      <c r="C12" s="219">
        <f>+[2]!Viandes[[#This Row],[Prix de revient]]</f>
        <v>3.74</v>
      </c>
    </row>
    <row r="13" spans="1:3">
      <c r="A13" s="217"/>
      <c r="B13" s="217" t="str">
        <f>+[2]!Viandes[[#This Row],[Intitulé]]</f>
        <v>Côte de bœuf grillée, beurre café de Paris</v>
      </c>
      <c r="C13" s="219">
        <f>+[2]!Viandes[[#This Row],[Prix de revient]]</f>
        <v>11.58</v>
      </c>
    </row>
    <row r="14" spans="1:3">
      <c r="A14" s="217"/>
      <c r="B14" s="217" t="str">
        <f>+[2]!Viandes[[#This Row],[Intitulé]]</f>
        <v>Côte de porc à la moutarde</v>
      </c>
      <c r="C14" s="219">
        <f>+[2]!Viandes[[#This Row],[Prix de revient]]</f>
        <v>4.58</v>
      </c>
    </row>
    <row r="15" spans="1:3">
      <c r="A15" s="217"/>
      <c r="B15" s="217" t="str">
        <f>+[2]!Viandes[[#This Row],[Intitulé]]</f>
        <v>Cuisse de poulet à la bière</v>
      </c>
      <c r="C15" s="219">
        <f>+[2]!Viandes[[#This Row],[Prix de revient]]</f>
        <v>3.11</v>
      </c>
    </row>
    <row r="16" spans="1:3">
      <c r="A16" s="217"/>
      <c r="B16" s="217" t="str">
        <f>+[2]!Viandes[[#This Row],[Intitulé]]</f>
        <v>Cuisse de poulet grillée au citron</v>
      </c>
      <c r="C16" s="219">
        <f>+[2]!Viandes[[#This Row],[Prix de revient]]</f>
        <v>2.06</v>
      </c>
    </row>
    <row r="17" spans="1:3">
      <c r="A17" s="217"/>
      <c r="B17" s="217" t="str">
        <f>+[2]!Viandes[[#This Row],[Intitulé]]</f>
        <v>Daube de boeuf à la provençale</v>
      </c>
      <c r="C17" s="219">
        <f>+[2]!Viandes[[#This Row],[Prix de revient]]</f>
        <v>4.6500000000000004</v>
      </c>
    </row>
    <row r="18" spans="1:3">
      <c r="A18" s="217"/>
      <c r="B18" s="217" t="str">
        <f>+[2]!Viandes[[#This Row],[Intitulé]]</f>
        <v>Emincé de boeuf au curry</v>
      </c>
      <c r="C18" s="219">
        <f>+[2]!Viandes[[#This Row],[Prix de revient]]</f>
        <v>4.24</v>
      </c>
    </row>
    <row r="19" spans="1:3">
      <c r="A19" s="216"/>
      <c r="B19" s="217" t="str">
        <f>+[2]!Viandes[[#This Row],[Intitulé]]</f>
        <v>Emincé de bœuf aux champignons</v>
      </c>
      <c r="C19" s="219">
        <f>+[2]!Viandes[[#This Row],[Prix de revient]]</f>
        <v>3.95</v>
      </c>
    </row>
    <row r="20" spans="1:3">
      <c r="A20" s="217"/>
      <c r="B20" s="217" t="str">
        <f>+[2]!Viandes[[#This Row],[Intitulé]]</f>
        <v>Emincé de poulet au curry</v>
      </c>
      <c r="C20" s="219">
        <f>+[2]!Viandes[[#This Row],[Prix de revient]]</f>
        <v>5.22</v>
      </c>
    </row>
    <row r="21" spans="1:3">
      <c r="A21" s="217"/>
      <c r="B21" s="217" t="str">
        <f>+[2]!Viandes[[#This Row],[Intitulé]]</f>
        <v>Emincé de poulet sweet and sour</v>
      </c>
      <c r="C21" s="219">
        <f>+[2]!Viandes[[#This Row],[Prix de revient]]</f>
        <v>4.2300000000000004</v>
      </c>
    </row>
    <row r="22" spans="1:3">
      <c r="A22" s="217"/>
      <c r="B22" s="217" t="str">
        <f>+[2]!Viandes[[#This Row],[Intitulé]]</f>
        <v>Emincé de veau à la Zurichoise</v>
      </c>
      <c r="C22" s="219">
        <f>+[2]!Viandes[[#This Row],[Prix de revient]]</f>
        <v>6.47</v>
      </c>
    </row>
    <row r="23" spans="1:3">
      <c r="A23" s="217"/>
      <c r="B23" s="217" t="str">
        <f>+[2]!Viandes[[#This Row],[Intitulé]]</f>
        <v>Endives au jambon gratinées</v>
      </c>
      <c r="C23" s="219">
        <f>+[2]!Viandes[[#This Row],[Prix de revient]]</f>
        <v>3.23</v>
      </c>
    </row>
    <row r="24" spans="1:3">
      <c r="A24" s="217"/>
      <c r="B24" s="217" t="str">
        <f>+[2]!Viandes[[#This Row],[Intitulé]]</f>
        <v>Feuilleté aux ris de veau</v>
      </c>
      <c r="C24" s="219">
        <f>+[2]!Viandes[[#This Row],[Prix de revient]]</f>
        <v>4.1100000000000003</v>
      </c>
    </row>
    <row r="25" spans="1:3">
      <c r="A25" s="217"/>
      <c r="B25" s="217" t="str">
        <f>+[2]!Viandes[[#This Row],[Intitulé]]</f>
        <v>Filet de boeuf au thym</v>
      </c>
      <c r="C25" s="219">
        <f>+[2]!Viandes[[#This Row],[Prix de revient]]</f>
        <v>8.3699999999999992</v>
      </c>
    </row>
    <row r="26" spans="1:3">
      <c r="A26" s="217"/>
      <c r="B26" s="217" t="str">
        <f>+[2]!Viandes[[#This Row],[Intitulé]]</f>
        <v>Filet de boeuf wellington</v>
      </c>
      <c r="C26" s="219">
        <f>+[2]!Viandes[[#This Row],[Prix de revient]]</f>
        <v>10.119999999999999</v>
      </c>
    </row>
    <row r="27" spans="1:3">
      <c r="A27" s="216"/>
      <c r="B27" s="217" t="str">
        <f>+[2]!Viandes[[#This Row],[Intitulé]]</f>
        <v>Filet de veau aux échalotes confites</v>
      </c>
      <c r="C27" s="219">
        <f>+[2]!Viandes[[#This Row],[Prix de revient]]</f>
        <v>10.42</v>
      </c>
    </row>
    <row r="28" spans="1:3">
      <c r="A28" s="216"/>
      <c r="B28" s="217" t="str">
        <f>+[2]!Viandes[[#This Row],[Intitulé]]</f>
        <v>Filet mignon de porc aux figues</v>
      </c>
      <c r="C28" s="219">
        <f>+[2]!Viandes[[#This Row],[Prix de revient]]</f>
        <v>6.95</v>
      </c>
    </row>
    <row r="29" spans="1:3">
      <c r="A29" s="216"/>
      <c r="B29" s="217" t="str">
        <f>+[2]!Viandes[[#This Row],[Intitulé]]</f>
        <v>Fricadelle, sauce à l'estragon</v>
      </c>
      <c r="C29" s="219">
        <f>+[2]!Viandes[[#This Row],[Prix de revient]]</f>
        <v>1.64</v>
      </c>
    </row>
    <row r="30" spans="1:3">
      <c r="A30" s="216" t="s">
        <v>152</v>
      </c>
      <c r="B30" s="217" t="str">
        <f>+[2]!Viandes[[#This Row],[Intitulé]]</f>
        <v>Gigot d'agneau</v>
      </c>
      <c r="C30" s="219">
        <f>+[2]!Viandes[[#This Row],[Prix de revient]]</f>
        <v>6.01</v>
      </c>
    </row>
    <row r="31" spans="1:3">
      <c r="A31" s="217"/>
      <c r="B31" s="217" t="str">
        <f>+[2]!Viandes[[#This Row],[Intitulé]]</f>
        <v>Hachis Parmentier</v>
      </c>
      <c r="C31" s="219">
        <f>+[2]!Viandes[[#This Row],[Prix de revient]]</f>
        <v>4.7300000000000004</v>
      </c>
    </row>
    <row r="32" spans="1:3">
      <c r="A32" s="217"/>
      <c r="B32" s="217" t="str">
        <f>+[2]!Viandes[[#This Row],[Intitulé]]</f>
        <v>Hachis Parmentier de canard aux patates douces</v>
      </c>
      <c r="C32" s="219">
        <f>+[2]!Viandes[[#This Row],[Prix de revient]]</f>
        <v>4.7338000000000013</v>
      </c>
    </row>
    <row r="33" spans="1:3">
      <c r="A33" s="216"/>
      <c r="B33" s="217" t="str">
        <f>+[2]!Viandes[[#This Row],[Intitulé]]</f>
        <v>Haut de cuisse basquaise</v>
      </c>
      <c r="C33" s="219">
        <f>+[2]!Viandes[[#This Row],[Prix de revient]]</f>
        <v>3.28</v>
      </c>
    </row>
    <row r="34" spans="1:3">
      <c r="A34" s="217"/>
      <c r="B34" s="217" t="str">
        <f>+[2]!Viandes[[#This Row],[Intitulé]]</f>
        <v>Haut de cuisse de poulet au parfum des îles</v>
      </c>
      <c r="C34" s="219">
        <f>+[2]!Viandes[[#This Row],[Prix de revient]]</f>
        <v>2.04</v>
      </c>
    </row>
    <row r="35" spans="1:3">
      <c r="A35" s="217"/>
      <c r="B35" s="217" t="str">
        <f>+[2]!Viandes[[#This Row],[Intitulé]]</f>
        <v>Jambon braisé au vin cuit</v>
      </c>
      <c r="C35" s="219">
        <f>+[2]!Viandes[[#This Row],[Prix de revient]]</f>
        <v>4.67</v>
      </c>
    </row>
    <row r="36" spans="1:3">
      <c r="A36" s="217"/>
      <c r="B36" s="217" t="str">
        <f>+[2]!Viandes[[#This Row],[Intitulé]]</f>
        <v>Lasagne au bœuf</v>
      </c>
      <c r="C36" s="219">
        <f>+[2]!Viandes[[#This Row],[Prix de revient]]</f>
        <v>3.92</v>
      </c>
    </row>
    <row r="37" spans="1:3">
      <c r="A37" s="217"/>
      <c r="B37" s="217" t="str">
        <f>+[2]!Viandes[[#This Row],[Intitulé]]</f>
        <v>Longe de veau persillée</v>
      </c>
      <c r="C37" s="219">
        <f>+[2]!Viandes[[#This Row],[Prix de revient]]</f>
        <v>6.78</v>
      </c>
    </row>
    <row r="38" spans="1:3">
      <c r="A38" s="217"/>
      <c r="B38" s="217" t="str">
        <f>+[2]!Viandes[[#This Row],[Intitulé]]</f>
        <v>Magret de canard au thé</v>
      </c>
      <c r="C38" s="219">
        <f>+[2]!Viandes[[#This Row],[Prix de revient]]</f>
        <v>6.03</v>
      </c>
    </row>
    <row r="39" spans="1:3">
      <c r="A39" s="217"/>
      <c r="B39" s="217" t="str">
        <f>+[2]!Viandes[[#This Row],[Intitulé]]</f>
        <v>Magret de canard aux agrumes</v>
      </c>
      <c r="C39" s="219">
        <f>+[2]!Viandes[[#This Row],[Prix de revient]]</f>
        <v>6.31</v>
      </c>
    </row>
    <row r="40" spans="1:3">
      <c r="A40" s="217"/>
      <c r="B40" s="217" t="str">
        <f>+[2]!Viandes[[#This Row],[Intitulé]]</f>
        <v>Magret de canard grillé au poivre noir</v>
      </c>
      <c r="C40" s="219">
        <f>+[2]!Viandes[[#This Row],[Prix de revient]]</f>
        <v>5.32</v>
      </c>
    </row>
    <row r="41" spans="1:3">
      <c r="A41" s="216"/>
      <c r="B41" s="217" t="str">
        <f>+[2]!Viandes[[#This Row],[Intitulé]]</f>
        <v>Meatball's de boeuf au jus</v>
      </c>
      <c r="C41" s="219">
        <f>+[2]!Viandes[[#This Row],[Prix de revient]]</f>
        <v>3.2</v>
      </c>
    </row>
    <row r="42" spans="1:3">
      <c r="A42" s="217"/>
      <c r="B42" s="217" t="str">
        <f>+[2]!Viandes[[#This Row],[Intitulé]]</f>
        <v>Merguez grillée, sauce piquante</v>
      </c>
      <c r="C42" s="219">
        <f>+[2]!Viandes[[#This Row],[Prix de revient]]</f>
        <v>3.16</v>
      </c>
    </row>
    <row r="43" spans="1:3">
      <c r="A43" s="216"/>
      <c r="B43" s="217" t="str">
        <f>+[2]!Viandes[[#This Row],[Intitulé]]</f>
        <v>os a moelle facon brasserie</v>
      </c>
      <c r="C43" s="219">
        <f>+[2]!Viandes[[#This Row],[Prix de revient]]</f>
        <v>3.71</v>
      </c>
    </row>
    <row r="44" spans="1:3">
      <c r="A44" s="217"/>
      <c r="B44" s="217" t="str">
        <f>+[2]!Viandes[[#This Row],[Intitulé]]</f>
        <v>Osso bucco de porc à la crémolata</v>
      </c>
      <c r="C44" s="219">
        <f>+[2]!Viandes[[#This Row],[Prix de revient]]</f>
        <v>2.93</v>
      </c>
    </row>
    <row r="45" spans="1:3">
      <c r="A45" s="217"/>
      <c r="B45" s="217" t="str">
        <f>+[2]!Viandes[[#This Row],[Intitulé]]</f>
        <v>Papet Vaudois</v>
      </c>
      <c r="C45" s="219">
        <f>+[2]!Viandes[[#This Row],[Prix de revient]]</f>
        <v>5.19</v>
      </c>
    </row>
    <row r="46" spans="1:3">
      <c r="A46" s="216"/>
      <c r="B46" s="217" t="str">
        <f>+[2]!Viandes[[#This Row],[Intitulé]]</f>
        <v>Paupiette de bœuf braisée</v>
      </c>
      <c r="C46" s="219">
        <f>+[2]!Viandes[[#This Row],[Prix de revient]]</f>
        <v>6.32</v>
      </c>
    </row>
    <row r="47" spans="1:3">
      <c r="A47" s="217"/>
      <c r="B47" s="217" t="str">
        <f>+[2]!Viandes[[#This Row],[Intitulé]]</f>
        <v>Penne, sauce bolognaise</v>
      </c>
      <c r="C47" s="219">
        <f>+[2]!Viandes[[#This Row],[Prix de revient]]</f>
        <v>2.25</v>
      </c>
    </row>
    <row r="48" spans="1:3">
      <c r="A48" s="217"/>
      <c r="B48" s="217" t="str">
        <f>+[2]!Viandes[[#This Row],[Intitulé]]</f>
        <v>Piccata de poulet, sauce tomate</v>
      </c>
      <c r="C48" s="219">
        <f>+[2]!Viandes[[#This Row],[Prix de revient]]</f>
        <v>4.51</v>
      </c>
    </row>
    <row r="49" spans="1:3">
      <c r="A49" s="217"/>
      <c r="B49" s="217" t="str">
        <f>+[2]!Viandes[[#This Row],[Intitulé]]</f>
        <v>Pilons de poulet</v>
      </c>
      <c r="C49" s="219">
        <f>+[2]!Viandes[[#This Row],[Prix de revient]]</f>
        <v>3.04</v>
      </c>
    </row>
    <row r="50" spans="1:3">
      <c r="A50" s="217"/>
      <c r="B50" s="217" t="str">
        <f>+[2]!Viandes[[#This Row],[Intitulé]]</f>
        <v>Poitrine veau farcie, jus aux herbes</v>
      </c>
      <c r="C50" s="219">
        <f>+[2]!Viandes[[#This Row],[Prix de revient]]</f>
        <v>4.13</v>
      </c>
    </row>
    <row r="51" spans="1:3">
      <c r="A51" s="217"/>
      <c r="B51" s="217" t="str">
        <f>+[2]!Viandes[[#This Row],[Intitulé]]</f>
        <v>Pojarski de veau grillé, moutarde</v>
      </c>
      <c r="C51" s="219">
        <f>+[2]!Viandes[[#This Row],[Prix de revient]]</f>
        <v>2.2999999999999998</v>
      </c>
    </row>
    <row r="52" spans="1:3">
      <c r="A52" s="217"/>
      <c r="B52" s="217" t="str">
        <f>+[2]!Viandes[[#This Row],[Intitulé]]</f>
        <v>Poulet tikka massala</v>
      </c>
      <c r="C52" s="219">
        <f>+[2]!Viandes[[#This Row],[Prix de revient]]</f>
        <v>3.98</v>
      </c>
    </row>
    <row r="53" spans="1:3">
      <c r="A53" s="217"/>
      <c r="B53" s="217" t="str">
        <f>+[2]!Viandes[[#This Row],[Intitulé]]</f>
        <v>Quasi de porc laqué</v>
      </c>
      <c r="C53" s="219">
        <f>+[2]!Viandes[[#This Row],[Prix de revient]]</f>
        <v>3.25</v>
      </c>
    </row>
    <row r="54" spans="1:3">
      <c r="A54" s="217"/>
      <c r="B54" s="217" t="str">
        <f>+[2]!Viandes[[#This Row],[Intitulé]]</f>
        <v>Roastbeef froid, sauce tartare</v>
      </c>
      <c r="C54" s="219">
        <f>+[2]!Viandes[[#This Row],[Prix de revient]]</f>
        <v>6.05</v>
      </c>
    </row>
    <row r="55" spans="1:3">
      <c r="A55" s="217"/>
      <c r="B55" s="217" t="str">
        <f>+[2]!Viandes[[#This Row],[Intitulé]]</f>
        <v>Roesti, saucisson vaudois</v>
      </c>
      <c r="C55" s="219">
        <f>+[2]!Viandes[[#This Row],[Prix de revient]]</f>
        <v>5.19</v>
      </c>
    </row>
    <row r="56" spans="1:3">
      <c r="A56" s="216"/>
      <c r="B56" s="217" t="str">
        <f>+[2]!Viandes[[#This Row],[Intitulé]]</f>
        <v>Roesti, saucisson vaudois, choucroute</v>
      </c>
      <c r="C56" s="219">
        <f>+[2]!Viandes[[#This Row],[Prix de revient]]</f>
        <v>6.7</v>
      </c>
    </row>
    <row r="57" spans="1:3">
      <c r="A57" s="217"/>
      <c r="B57" s="217" t="str">
        <f>+[2]!Viandes[[#This Row],[Intitulé]]</f>
        <v>Rôti de bœuf, basse température</v>
      </c>
      <c r="C57" s="219">
        <f>+[2]!Viandes[[#This Row],[Prix de revient]]</f>
        <v>7.72</v>
      </c>
    </row>
    <row r="58" spans="1:3">
      <c r="A58" s="217"/>
      <c r="B58" s="217" t="str">
        <f>+[2]!Viandes[[#This Row],[Intitulé]]</f>
        <v>Rôti de dinde moutarde ancienne</v>
      </c>
      <c r="C58" s="219">
        <f>+[2]!Viandes[[#This Row],[Prix de revient]]</f>
        <v>3.52</v>
      </c>
    </row>
    <row r="59" spans="1:3">
      <c r="A59" s="216"/>
      <c r="B59" s="217" t="str">
        <f>+[2]!Viandes[[#This Row],[Intitulé]]</f>
        <v>Rôti de dinde tandoori</v>
      </c>
      <c r="C59" s="219">
        <f>+[2]!Viandes[[#This Row],[Prix de revient]]</f>
        <v>3.62</v>
      </c>
    </row>
    <row r="60" spans="1:3">
      <c r="A60" s="217"/>
      <c r="B60" s="217" t="str">
        <f>+[2]!Viandes[[#This Row],[Intitulé]]</f>
        <v>Rôti de porc au foin</v>
      </c>
      <c r="C60" s="219">
        <f>+[2]!Viandes[[#This Row],[Prix de revient]]</f>
        <v>3.43</v>
      </c>
    </row>
    <row r="61" spans="1:3">
      <c r="A61" s="216"/>
      <c r="B61" s="217" t="str">
        <f>+[2]!Viandes[[#This Row],[Intitulé]]</f>
        <v>Rôti d'épaule de porc fumé au whisky</v>
      </c>
      <c r="C61" s="219">
        <f>+[2]!Viandes[[#This Row],[Prix de revient]]</f>
        <v>3.37</v>
      </c>
    </row>
    <row r="62" spans="1:3">
      <c r="A62" s="216"/>
      <c r="B62" s="217" t="str">
        <f>+[2]!Viandes[[#This Row],[Intitulé]]</f>
        <v>Saltimbocca de porc à la Romana</v>
      </c>
      <c r="C62" s="219">
        <f>+[2]!Viandes[[#This Row],[Prix de revient]]</f>
        <v>3.66</v>
      </c>
    </row>
    <row r="63" spans="1:3">
      <c r="A63" s="216"/>
      <c r="B63" s="217" t="str">
        <f>+[2]!Viandes[[#This Row],[Intitulé]]</f>
        <v>Saucisse à rôtir, sauce moutarde</v>
      </c>
      <c r="C63" s="219">
        <f>+[2]!Viandes[[#This Row],[Prix de revient]]</f>
        <v>3.05</v>
      </c>
    </row>
    <row r="64" spans="1:3">
      <c r="A64" s="217"/>
      <c r="B64" s="217" t="str">
        <f>+[2]!Viandes[[#This Row],[Intitulé]]</f>
        <v>Saucisse de veau grillée, moutarde</v>
      </c>
      <c r="C64" s="219">
        <f>+[2]!Viandes[[#This Row],[Prix de revient]]</f>
        <v>2.65</v>
      </c>
    </row>
    <row r="65" spans="1:3">
      <c r="A65" s="217"/>
      <c r="B65" s="217" t="str">
        <f>+[2]!Viandes[[#This Row],[Intitulé]]</f>
        <v>Sauté de porc au citron</v>
      </c>
      <c r="C65" s="219">
        <f>+[2]!Viandes[[#This Row],[Prix de revient]]</f>
        <v>2.73</v>
      </c>
    </row>
    <row r="66" spans="1:3">
      <c r="A66" s="217"/>
      <c r="B66" s="217" t="str">
        <f>+[2]!Viandes[[#This Row],[Intitulé]]</f>
        <v>sauté de veau à la provençale</v>
      </c>
      <c r="C66" s="219">
        <f>+[2]!Viandes[[#This Row],[Prix de revient]]</f>
        <v>3.74</v>
      </c>
    </row>
    <row r="67" spans="1:3">
      <c r="A67" s="217"/>
      <c r="B67" s="217" t="str">
        <f>+[2]!Viandes[[#This Row],[Intitulé]]</f>
        <v>Sauté de veau aux pruneaux</v>
      </c>
      <c r="C67" s="219">
        <f>+[2]!Viandes[[#This Row],[Prix de revient]]</f>
        <v>5.27</v>
      </c>
    </row>
    <row r="68" spans="1:3">
      <c r="A68" s="216"/>
      <c r="B68" s="217" t="str">
        <f>+[2]!Viandes[[#This Row],[Intitulé]]</f>
        <v>Steak de cheval grillé, beurre café de Paris</v>
      </c>
      <c r="C68" s="219">
        <f>+[2]!Viandes[[#This Row],[Prix de revient]]</f>
        <v>4.93</v>
      </c>
    </row>
    <row r="69" spans="1:3">
      <c r="A69" s="217"/>
      <c r="B69" s="217" t="str">
        <f>+[2]!Viandes[[#This Row],[Intitulé]]</f>
        <v>Suprême de pintade</v>
      </c>
      <c r="C69" s="219">
        <f>+[2]!Viandes[[#This Row],[Prix de revient]]</f>
        <v>3.38</v>
      </c>
    </row>
    <row r="70" spans="1:3">
      <c r="A70" s="217"/>
      <c r="B70" s="217" t="str">
        <f>+[2]!Viandes[[#This Row],[Intitulé]]</f>
        <v>Suprême de volaille acidulé</v>
      </c>
      <c r="C70" s="219">
        <f>+[2]!Viandes[[#This Row],[Prix de revient]]</f>
        <v>4.71</v>
      </c>
    </row>
    <row r="71" spans="1:3">
      <c r="A71" s="217"/>
      <c r="B71" s="217" t="str">
        <f>+[2]!Viandes[[#This Row],[Intitulé]]</f>
        <v>Suprême de volaille au foin</v>
      </c>
      <c r="C71" s="219">
        <f>+[2]!Viandes[[#This Row],[Prix de revient]]</f>
        <v>4.37</v>
      </c>
    </row>
    <row r="72" spans="1:3">
      <c r="A72" s="216"/>
      <c r="B72" s="217" t="str">
        <f>+[2]!Viandes[[#This Row],[Intitulé]]</f>
        <v>Tajine d'agneau</v>
      </c>
      <c r="C72" s="219">
        <f>+[2]!Viandes[[#This Row],[Prix de revient]]</f>
        <v>5.49</v>
      </c>
    </row>
    <row r="73" spans="1:3">
      <c r="A73" s="217"/>
      <c r="B73" s="217" t="str">
        <f>+[2]!Viandes[[#This Row],[Intitulé]]</f>
        <v>Tartare de bœuf à l'italienne</v>
      </c>
      <c r="C73" s="219">
        <f>+[2]!Viandes[[#This Row],[Prix de revient]]</f>
        <v>8.23</v>
      </c>
    </row>
    <row r="74" spans="1:3">
      <c r="A74" s="217"/>
      <c r="B74" s="217" t="str">
        <f>+[2]!Viandes[[#This Row],[Intitulé]]</f>
        <v>Tartare de bœuf traditionnel</v>
      </c>
      <c r="C74" s="219">
        <f>+[2]!Viandes[[#This Row],[Prix de revient]]</f>
        <v>7.72</v>
      </c>
    </row>
    <row r="75" spans="1:3">
      <c r="A75" s="216"/>
      <c r="B75" s="217" t="str">
        <f>+[2]!Viandes[[#This Row],[Intitulé]]</f>
        <v>Tartare de veau</v>
      </c>
      <c r="C75" s="219">
        <f>+[2]!Viandes[[#This Row],[Prix de revient]]</f>
        <v>6.65</v>
      </c>
    </row>
    <row r="76" spans="1:3">
      <c r="A76" s="216"/>
      <c r="B76" s="217" t="str">
        <f>+[2]!Viandes[[#This Row],[Intitulé]]</f>
        <v>Travers de porc au four</v>
      </c>
      <c r="C76" s="219">
        <f>+[2]!Viandes[[#This Row],[Prix de revient]]</f>
        <v>4.17</v>
      </c>
    </row>
    <row r="77" spans="1:3">
      <c r="A77" s="216"/>
      <c r="B77" s="217" t="str">
        <f>+[2]!Viandes[[#This Row],[Intitulé]]</f>
        <v>Vitello tonnato de dinde</v>
      </c>
      <c r="C77" s="219">
        <f>+[2]!Viandes[[#This Row],[Prix de revient]]</f>
        <v>3.28</v>
      </c>
    </row>
    <row r="78" spans="1:3">
      <c r="A78" s="217"/>
      <c r="B78" s="217" t="str">
        <f>+[2]!Viandes[[#This Row],[Intitulé]]</f>
        <v>Vol au vent de ris de veau</v>
      </c>
      <c r="C78" s="219">
        <f>+[2]!Viandes[[#This Row],[Prix de revient]]</f>
        <v>4.18</v>
      </c>
    </row>
    <row r="79" spans="1:3">
      <c r="A79" s="217"/>
      <c r="B79" s="217">
        <f>+[2]!Viandes[[#This Row],[Intitulé]]</f>
        <v>0</v>
      </c>
      <c r="C79" s="219">
        <f>+[2]!Viandes[[#This Row],[Prix de revient]]</f>
        <v>0</v>
      </c>
    </row>
    <row r="80" spans="1:3">
      <c r="A80" s="217"/>
      <c r="B80" s="217">
        <f>+[2]!Viandes[[#This Row],[Intitulé]]</f>
        <v>0</v>
      </c>
      <c r="C80" s="219">
        <f>+[2]!Viandes[[#This Row],[Prix de revient]]</f>
        <v>0</v>
      </c>
    </row>
    <row r="81" spans="1:3">
      <c r="A81" s="217"/>
      <c r="B81" s="217">
        <f>+[2]!Viandes[[#This Row],[Intitulé]]</f>
        <v>0</v>
      </c>
      <c r="C81" s="219">
        <f>+[2]!Viandes[[#This Row],[Prix de revient]]</f>
        <v>0</v>
      </c>
    </row>
    <row r="82" spans="1:3">
      <c r="A82" s="217"/>
      <c r="B82" s="217">
        <f>+[2]!Viandes[[#This Row],[Intitulé]]</f>
        <v>0</v>
      </c>
      <c r="C82" s="219">
        <f>+[2]!Viandes[[#This Row],[Prix de revient]]</f>
        <v>0</v>
      </c>
    </row>
    <row r="83" spans="1:3">
      <c r="A83" s="217"/>
      <c r="B83" s="217">
        <f>+[2]!Viandes[[#This Row],[Intitulé]]</f>
        <v>0</v>
      </c>
      <c r="C83" s="219">
        <f>+[2]!Viandes[[#This Row],[Prix de revient]]</f>
        <v>0</v>
      </c>
    </row>
    <row r="84" spans="1:3">
      <c r="A84" s="217"/>
      <c r="B84" s="217">
        <f>+[2]!Viandes[[#This Row],[Intitulé]]</f>
        <v>0</v>
      </c>
      <c r="C84" s="219">
        <f>+[2]!Viandes[[#This Row],[Prix de revient]]</f>
        <v>0</v>
      </c>
    </row>
    <row r="85" spans="1:3">
      <c r="A85" s="217"/>
      <c r="B85" s="217">
        <f>+[2]!Viandes[[#This Row],[Intitulé]]</f>
        <v>0</v>
      </c>
      <c r="C85" s="219">
        <f>+[2]!Viandes[[#This Row],[Prix de revient]]</f>
        <v>0</v>
      </c>
    </row>
    <row r="86" spans="1:3">
      <c r="A86" s="217"/>
      <c r="B86" s="217">
        <f>+[2]!Viandes[[#This Row],[Intitulé]]</f>
        <v>0</v>
      </c>
      <c r="C86" s="219">
        <f>+[2]!Viandes[[#This Row],[Prix de revient]]</f>
        <v>0</v>
      </c>
    </row>
    <row r="87" spans="1:3">
      <c r="A87" s="216"/>
      <c r="B87" s="217">
        <f>+[2]!Viandes[[#This Row],[Intitulé]]</f>
        <v>0</v>
      </c>
      <c r="C87" s="219">
        <f>+[2]!Viandes[[#This Row],[Prix de revient]]</f>
        <v>0</v>
      </c>
    </row>
    <row r="88" spans="1:3">
      <c r="A88" s="216"/>
      <c r="B88" s="217">
        <f>+[2]!Viandes[[#This Row],[Intitulé]]</f>
        <v>0</v>
      </c>
      <c r="C88" s="219">
        <f>+[2]!Viandes[[#This Row],[Prix de revient]]</f>
        <v>0</v>
      </c>
    </row>
    <row r="89" spans="1:3">
      <c r="A89" s="217"/>
      <c r="B89" s="217">
        <f>+[2]!Viandes[[#This Row],[Intitulé]]</f>
        <v>0</v>
      </c>
      <c r="C89" s="219">
        <f>+[2]!Viandes[[#This Row],[Prix de revient]]</f>
        <v>0</v>
      </c>
    </row>
    <row r="90" spans="1:3">
      <c r="A90" s="216"/>
      <c r="B90" s="217">
        <f>+[2]!Viandes[[#This Row],[Intitulé]]</f>
        <v>0</v>
      </c>
      <c r="C90" s="219">
        <f>+[2]!Viandes[[#This Row],[Prix de revient]]</f>
        <v>0</v>
      </c>
    </row>
    <row r="91" spans="1:3">
      <c r="A91" s="220" t="s">
        <v>211</v>
      </c>
      <c r="B91" s="221" t="s">
        <v>148</v>
      </c>
      <c r="C91" s="222" t="s">
        <v>149</v>
      </c>
    </row>
    <row r="92" spans="1:3">
      <c r="A92" s="220" t="s">
        <v>155</v>
      </c>
      <c r="B92" s="221" t="str">
        <f>+[2]!Poissons[[#This Row],[Intitulé]]</f>
        <v>Filet de truite aux herbes</v>
      </c>
      <c r="C92" s="223">
        <f>+[2]!Poissons[[#This Row],[Prix de revient]]</f>
        <v>2.68</v>
      </c>
    </row>
    <row r="93" spans="1:3">
      <c r="A93" s="221"/>
      <c r="B93" s="221" t="str">
        <f>+[2]!Poissons[[#This Row],[Intitulé]]</f>
        <v>Couronne de sole aux petits légumes</v>
      </c>
      <c r="C93" s="223">
        <f>+[2]!Poissons[[#This Row],[Prix de revient]]</f>
        <v>2.96</v>
      </c>
    </row>
    <row r="94" spans="1:3">
      <c r="A94" s="221"/>
      <c r="B94" s="221" t="str">
        <f>+[2]!Poissons[[#This Row],[Intitulé]]</f>
        <v>Filet de mahi mahi à la vanille</v>
      </c>
      <c r="C94" s="223">
        <f>+[2]!Poissons[[#This Row],[Prix de revient]]</f>
        <v>3.08</v>
      </c>
    </row>
    <row r="95" spans="1:3">
      <c r="A95" s="221"/>
      <c r="B95" s="221" t="str">
        <f>+[2]!Poissons[[#This Row],[Intitulé]]</f>
        <v>Crevettes à la Provençale</v>
      </c>
      <c r="C95" s="223">
        <f>+[2]!Poissons[[#This Row],[Prix de revient]]</f>
        <v>3.75</v>
      </c>
    </row>
    <row r="96" spans="1:3">
      <c r="A96" s="221"/>
      <c r="B96" s="221" t="str">
        <f>+[2]!Poissons[[#This Row],[Intitulé]]</f>
        <v>Cabillaud au citron</v>
      </c>
      <c r="C96" s="223">
        <f>+[2]!Poissons[[#This Row],[Prix de revient]]</f>
        <v>3.79</v>
      </c>
    </row>
    <row r="97" spans="1:3">
      <c r="A97" s="221"/>
      <c r="B97" s="221" t="str">
        <f>+[2]!Poissons[[#This Row],[Intitulé]]</f>
        <v>Tagliatelle au saumon fumé</v>
      </c>
      <c r="C97" s="223">
        <f>+[2]!Poissons[[#This Row],[Prix de revient]]</f>
        <v>3.81</v>
      </c>
    </row>
    <row r="98" spans="1:3">
      <c r="A98" s="221"/>
      <c r="B98" s="221" t="str">
        <f>+[2]!Poissons[[#This Row],[Intitulé]]</f>
        <v>Filet de cabillaud, sauce vierge</v>
      </c>
      <c r="C98" s="223">
        <f>+[2]!Poissons[[#This Row],[Prix de revient]]</f>
        <v>4.0199999999999996</v>
      </c>
    </row>
    <row r="99" spans="1:3">
      <c r="A99" s="221"/>
      <c r="B99" s="221" t="str">
        <f>+[2]!Poissons[[#This Row],[Intitulé]]</f>
        <v>Brochette de crevettes au lait de coco</v>
      </c>
      <c r="C99" s="223">
        <f>+[2]!Poissons[[#This Row],[Prix de revient]]</f>
        <v>4.04</v>
      </c>
    </row>
    <row r="100" spans="1:3">
      <c r="A100" s="221"/>
      <c r="B100" s="221" t="str">
        <f>+[2]!Poissons[[#This Row],[Intitulé]]</f>
        <v>Penne au saumon et vodka à l'aneth</v>
      </c>
      <c r="C100" s="223">
        <f>+[2]!Poissons[[#This Row],[Prix de revient]]</f>
        <v>4.2</v>
      </c>
    </row>
    <row r="101" spans="1:3">
      <c r="A101" s="221"/>
      <c r="B101" s="221" t="str">
        <f>+[2]!Poissons[[#This Row],[Intitulé]]</f>
        <v>Goujonnettes de sole au champagne</v>
      </c>
      <c r="C101" s="223">
        <f>+[2]!Poissons[[#This Row],[Prix de revient]]</f>
        <v>4.59</v>
      </c>
    </row>
    <row r="102" spans="1:3">
      <c r="A102" s="221"/>
      <c r="B102" s="221" t="str">
        <f>+[2]!Poissons[[#This Row],[Intitulé]]</f>
        <v>Darne de saumon, crème à l'aneth</v>
      </c>
      <c r="C102" s="223">
        <f>+[2]!Poissons[[#This Row],[Prix de revient]]</f>
        <v>4.5999999999999996</v>
      </c>
    </row>
    <row r="103" spans="1:3">
      <c r="A103" s="221"/>
      <c r="B103" s="221" t="str">
        <f>+[2]!Poissons[[#This Row],[Intitulé]]</f>
        <v>Lasagne au saumon et poireaux</v>
      </c>
      <c r="C103" s="223">
        <f>+[2]!Poissons[[#This Row],[Prix de revient]]</f>
        <v>4.93</v>
      </c>
    </row>
    <row r="104" spans="1:3">
      <c r="A104" s="221"/>
      <c r="B104" s="221" t="str">
        <f>+[2]!Poissons[[#This Row],[Intitulé]]</f>
        <v>Filet de cabillaud et sa crème de laitue</v>
      </c>
      <c r="C104" s="223">
        <f>+[2]!Poissons[[#This Row],[Prix de revient]]</f>
        <v>5.0199999999999996</v>
      </c>
    </row>
    <row r="105" spans="1:3">
      <c r="A105" s="221"/>
      <c r="B105" s="221" t="str">
        <f>+[2]!Poissons[[#This Row],[Intitulé]]</f>
        <v>Pavé de saumon au lait de coco</v>
      </c>
      <c r="C105" s="223">
        <f>+[2]!Poissons[[#This Row],[Prix de revient]]</f>
        <v>5.27</v>
      </c>
    </row>
    <row r="106" spans="1:3">
      <c r="A106" s="221"/>
      <c r="B106" s="221" t="str">
        <f>+[2]!Poissons[[#This Row],[Intitulé]]</f>
        <v>Fricassée de poissons aux herbes</v>
      </c>
      <c r="C106" s="223">
        <f>+[2]!Poissons[[#This Row],[Prix de revient]]</f>
        <v>5.35</v>
      </c>
    </row>
    <row r="107" spans="1:3">
      <c r="A107" s="221"/>
      <c r="B107" s="221" t="str">
        <f>+[2]!Poissons[[#This Row],[Intitulé]]</f>
        <v>Tartare de saumon au kiwi</v>
      </c>
      <c r="C107" s="223">
        <f>+[2]!Poissons[[#This Row],[Prix de revient]]</f>
        <v>5.41</v>
      </c>
    </row>
    <row r="108" spans="1:3">
      <c r="A108" s="221"/>
      <c r="B108" s="221" t="str">
        <f>+[2]!Poissons[[#This Row],[Intitulé]]</f>
        <v>Brochette de thon à l'aigre doux</v>
      </c>
      <c r="C108" s="223">
        <f>+[2]!Poissons[[#This Row],[Prix de revient]]</f>
        <v>5.49</v>
      </c>
    </row>
    <row r="109" spans="1:3">
      <c r="A109" s="221"/>
      <c r="B109" s="221" t="str">
        <f>+[2]!Poissons[[#This Row],[Intitulé]]</f>
        <v>Dorade en feuille de bananier</v>
      </c>
      <c r="C109" s="223">
        <f>+[2]!Poissons[[#This Row],[Prix de revient]]</f>
        <v>5.6</v>
      </c>
    </row>
    <row r="110" spans="1:3">
      <c r="A110" s="221"/>
      <c r="B110" s="221" t="str">
        <f>+[2]!Poissons[[#This Row],[Intitulé]]</f>
        <v>Filet de flétan aux pleurotes et poireaux</v>
      </c>
      <c r="C110" s="223">
        <f>+[2]!Poissons[[#This Row],[Prix de revient]]</f>
        <v>5.61</v>
      </c>
    </row>
    <row r="111" spans="1:3">
      <c r="A111" s="221"/>
      <c r="B111" s="221" t="str">
        <f>+[2]!Poissons[[#This Row],[Intitulé]]</f>
        <v>Paupiette de saumon farcie</v>
      </c>
      <c r="C111" s="223">
        <f>+[2]!Poissons[[#This Row],[Prix de revient]]</f>
        <v>5.63</v>
      </c>
    </row>
    <row r="112" spans="1:3">
      <c r="A112" s="221"/>
      <c r="B112" s="221" t="str">
        <f>+[2]!Poissons[[#This Row],[Intitulé]]</f>
        <v>Filet de fera au vin blanc</v>
      </c>
      <c r="C112" s="223">
        <f>+[2]!Poissons[[#This Row],[Prix de revient]]</f>
        <v>5.76</v>
      </c>
    </row>
    <row r="113" spans="1:3">
      <c r="A113" s="221"/>
      <c r="B113" s="221" t="str">
        <f>+[2]!Poissons[[#This Row],[Intitulé]]</f>
        <v>Médaillons de thon au sésame</v>
      </c>
      <c r="C113" s="223">
        <f>+[2]!Poissons[[#This Row],[Prix de revient]]</f>
        <v>5.76</v>
      </c>
    </row>
    <row r="114" spans="1:3">
      <c r="A114" s="221"/>
      <c r="B114" s="221" t="str">
        <f>+[2]!Poissons[[#This Row],[Intitulé]]</f>
        <v>Brochette de poulpe à l'ail et à la coriandre</v>
      </c>
      <c r="C114" s="223">
        <f>+[2]!Poissons[[#This Row],[Prix de revient]]</f>
        <v>5.81</v>
      </c>
    </row>
    <row r="115" spans="1:3">
      <c r="A115" s="221"/>
      <c r="B115" s="221" t="str">
        <f>+[2]!Poissons[[#This Row],[Intitulé]]</f>
        <v>Filet de loup de mer, sauce à l'anis</v>
      </c>
      <c r="C115" s="223">
        <f>+[2]!Poissons[[#This Row],[Prix de revient]]</f>
        <v>5.98</v>
      </c>
    </row>
    <row r="116" spans="1:3">
      <c r="A116" s="221"/>
      <c r="B116" s="221" t="str">
        <f>+[2]!Poissons[[#This Row],[Intitulé]]</f>
        <v>Filet de sandre gratinée</v>
      </c>
      <c r="C116" s="223">
        <f>+[2]!Poissons[[#This Row],[Prix de revient]]</f>
        <v>6.02</v>
      </c>
    </row>
    <row r="117" spans="1:3">
      <c r="A117" s="221"/>
      <c r="B117" s="221" t="str">
        <f>+[2]!Poissons[[#This Row],[Intitulé]]</f>
        <v>Escalope de saumon aux coques</v>
      </c>
      <c r="C117" s="223">
        <f>+[2]!Poissons[[#This Row],[Prix de revient]]</f>
        <v>6.52</v>
      </c>
    </row>
    <row r="118" spans="1:3">
      <c r="A118" s="221"/>
      <c r="B118" s="221" t="str">
        <f>+[2]!Poissons[[#This Row],[Intitulé]]</f>
        <v>Filets de perches meunières</v>
      </c>
      <c r="C118" s="223">
        <f>+[2]!Poissons[[#This Row],[Prix de revient]]</f>
        <v>7.55</v>
      </c>
    </row>
    <row r="119" spans="1:3">
      <c r="A119" s="221"/>
      <c r="B119" s="221">
        <f>+[2]!Poissons[[#This Row],[Intitulé]]</f>
        <v>0</v>
      </c>
      <c r="C119" s="223">
        <f>+[2]!Poissons[[#This Row],[Prix de revient]]</f>
        <v>0</v>
      </c>
    </row>
    <row r="120" spans="1:3">
      <c r="A120" s="221"/>
      <c r="B120" s="221">
        <f>+[2]!Poissons[[#This Row],[Intitulé]]</f>
        <v>0</v>
      </c>
      <c r="C120" s="223">
        <f>+[2]!Poissons[[#This Row],[Prix de revient]]</f>
        <v>0</v>
      </c>
    </row>
    <row r="121" spans="1:3">
      <c r="A121" s="221"/>
      <c r="B121" s="221">
        <f>+[2]!Poissons[[#This Row],[Intitulé]]</f>
        <v>0</v>
      </c>
      <c r="C121" s="223">
        <f>+[2]!Poissons[[#This Row],[Prix de revient]]</f>
        <v>0</v>
      </c>
    </row>
    <row r="122" spans="1:3">
      <c r="A122" s="221"/>
      <c r="B122" s="221">
        <f>+[2]!Poissons[[#This Row],[Intitulé]]</f>
        <v>0</v>
      </c>
      <c r="C122" s="223">
        <f>+[2]!Poissons[[#This Row],[Prix de revient]]</f>
        <v>0</v>
      </c>
    </row>
    <row r="123" spans="1:3">
      <c r="A123" s="221"/>
      <c r="B123" s="221">
        <f>+[2]!Poissons[[#This Row],[Intitulé]]</f>
        <v>0</v>
      </c>
      <c r="C123" s="223">
        <f>+[2]!Poissons[[#This Row],[Prix de revient]]</f>
        <v>0</v>
      </c>
    </row>
    <row r="124" spans="1:3">
      <c r="A124" s="221"/>
      <c r="B124" s="221">
        <f>+[2]!Poissons[[#This Row],[Intitulé]]</f>
        <v>0</v>
      </c>
      <c r="C124" s="223">
        <f>+[2]!Poissons[[#This Row],[Prix de revient]]</f>
        <v>0</v>
      </c>
    </row>
    <row r="125" spans="1:3">
      <c r="A125" s="221"/>
      <c r="B125" s="221">
        <f>+[2]!Poissons[[#This Row],[Intitulé]]</f>
        <v>0</v>
      </c>
      <c r="C125" s="223">
        <f>+[2]!Poissons[[#This Row],[Prix de revient]]</f>
        <v>0</v>
      </c>
    </row>
    <row r="126" spans="1:3">
      <c r="A126" s="221"/>
      <c r="B126" s="221">
        <f>+[2]!Poissons[[#This Row],[Intitulé]]</f>
        <v>0</v>
      </c>
      <c r="C126" s="223">
        <f>+[2]!Poissons[[#This Row],[Prix de revient]]</f>
        <v>0</v>
      </c>
    </row>
    <row r="127" spans="1:3">
      <c r="A127" s="221"/>
      <c r="B127" s="221">
        <f>+[2]!Poissons[[#This Row],[Intitulé]]</f>
        <v>0</v>
      </c>
      <c r="C127" s="223">
        <f>+[2]!Poissons[[#This Row],[Prix de revient]]</f>
        <v>0</v>
      </c>
    </row>
    <row r="128" spans="1:3">
      <c r="A128" s="221"/>
      <c r="B128" s="221">
        <f>+[2]!Poissons[[#This Row],[Intitulé]]</f>
        <v>0</v>
      </c>
      <c r="C128" s="223">
        <f>+[2]!Poissons[[#This Row],[Prix de revient]]</f>
        <v>0</v>
      </c>
    </row>
    <row r="129" spans="1:3">
      <c r="A129" s="221"/>
      <c r="B129" s="221">
        <f>+[2]!Poissons[[#This Row],[Intitulé]]</f>
        <v>0</v>
      </c>
      <c r="C129" s="223">
        <f>+[2]!Poissons[[#This Row],[Prix de revient]]</f>
        <v>0</v>
      </c>
    </row>
    <row r="130" spans="1:3">
      <c r="A130" s="221"/>
      <c r="B130" s="221">
        <f>+[2]!Poissons[[#This Row],[Intitulé]]</f>
        <v>0</v>
      </c>
      <c r="C130" s="223">
        <f>+[2]!Poissons[[#This Row],[Prix de revient]]</f>
        <v>0</v>
      </c>
    </row>
    <row r="131" spans="1:3">
      <c r="A131" s="221"/>
      <c r="B131" s="221">
        <f>+[2]!Poissons[[#This Row],[Intitulé]]</f>
        <v>0</v>
      </c>
      <c r="C131" s="223">
        <f>+[2]!Poissons[[#This Row],[Prix de revient]]</f>
        <v>0</v>
      </c>
    </row>
    <row r="132" spans="1:3">
      <c r="A132" s="221"/>
      <c r="B132" s="221">
        <f>+[2]!Poissons[[#This Row],[Intitulé]]</f>
        <v>0</v>
      </c>
      <c r="C132" s="223">
        <f>+[2]!Poissons[[#This Row],[Prix de revient]]</f>
        <v>0</v>
      </c>
    </row>
    <row r="133" spans="1:3">
      <c r="A133" s="221"/>
      <c r="B133" s="221">
        <f>+[2]!Poissons[[#This Row],[Intitulé]]</f>
        <v>0</v>
      </c>
      <c r="C133" s="223">
        <f>+[2]!Poissons[[#This Row],[Prix de revient]]</f>
        <v>0</v>
      </c>
    </row>
    <row r="134" spans="1:3">
      <c r="A134" s="221"/>
      <c r="B134" s="221">
        <f>+[2]!Poissons[[#This Row],[Intitulé]]</f>
        <v>0</v>
      </c>
      <c r="C134" s="223">
        <f>+[2]!Poissons[[#This Row],[Prix de revient]]</f>
        <v>0</v>
      </c>
    </row>
    <row r="135" spans="1:3">
      <c r="A135" s="221"/>
      <c r="B135" s="221">
        <f>+[2]!Poissons[[#This Row],[Intitulé]]</f>
        <v>0</v>
      </c>
      <c r="C135" s="223">
        <f>+[2]!Poissons[[#This Row],[Prix de revient]]</f>
        <v>0</v>
      </c>
    </row>
    <row r="136" spans="1:3">
      <c r="A136" s="221"/>
      <c r="B136" s="221">
        <f>+[2]!Poissons[[#This Row],[Intitulé]]</f>
        <v>0</v>
      </c>
      <c r="C136" s="223">
        <f>+[2]!Poissons[[#This Row],[Prix de revient]]</f>
        <v>0</v>
      </c>
    </row>
    <row r="137" spans="1:3">
      <c r="A137" s="221"/>
      <c r="B137" s="221">
        <f>+[2]!Poissons[[#This Row],[Intitulé]]</f>
        <v>0</v>
      </c>
      <c r="C137" s="223">
        <f>+[2]!Poissons[[#This Row],[Prix de revient]]</f>
        <v>0</v>
      </c>
    </row>
    <row r="138" spans="1:3">
      <c r="A138" s="221"/>
      <c r="B138" s="221">
        <f>+[2]!Poissons[[#This Row],[Intitulé]]</f>
        <v>0</v>
      </c>
      <c r="C138" s="223">
        <f>+[2]!Poissons[[#This Row],[Prix de revient]]</f>
        <v>0</v>
      </c>
    </row>
    <row r="139" spans="1:3">
      <c r="A139" s="221"/>
      <c r="B139" s="221">
        <f>+[2]!Poissons[[#This Row],[Intitulé]]</f>
        <v>0</v>
      </c>
      <c r="C139" s="223">
        <f>+[2]!Poissons[[#This Row],[Prix de revient]]</f>
        <v>0</v>
      </c>
    </row>
    <row r="140" spans="1:3">
      <c r="A140" s="221"/>
      <c r="B140" s="221">
        <f>+[2]!Poissons[[#This Row],[Intitulé]]</f>
        <v>0</v>
      </c>
      <c r="C140" s="223">
        <f>+[2]!Poissons[[#This Row],[Prix de revient]]</f>
        <v>0</v>
      </c>
    </row>
    <row r="141" spans="1:3">
      <c r="A141" s="221"/>
      <c r="B141" s="221">
        <f>+[2]!Poissons[[#This Row],[Intitulé]]</f>
        <v>0</v>
      </c>
      <c r="C141" s="223">
        <f>+[2]!Poissons[[#This Row],[Prix de revient]]</f>
        <v>0</v>
      </c>
    </row>
    <row r="142" spans="1:3">
      <c r="A142" s="221"/>
      <c r="B142" s="221">
        <f>+[2]!Poissons[[#This Row],[Intitulé]]</f>
        <v>0</v>
      </c>
      <c r="C142" s="223">
        <f>+[2]!Poissons[[#This Row],[Prix de revient]]</f>
        <v>0</v>
      </c>
    </row>
    <row r="143" spans="1:3">
      <c r="A143" s="221"/>
      <c r="B143" s="221">
        <f>+[2]!Poissons[[#This Row],[Intitulé]]</f>
        <v>0</v>
      </c>
      <c r="C143" s="223">
        <f>+[2]!Poissons[[#This Row],[Prix de revient]]</f>
        <v>0</v>
      </c>
    </row>
    <row r="144" spans="1:3">
      <c r="A144" s="221"/>
      <c r="B144" s="221">
        <f>+[2]!Poissons[[#This Row],[Intitulé]]</f>
        <v>0</v>
      </c>
      <c r="C144" s="223">
        <f>+[2]!Poissons[[#This Row],[Prix de revient]]</f>
        <v>0</v>
      </c>
    </row>
    <row r="145" spans="1:3">
      <c r="A145" s="224" t="s">
        <v>211</v>
      </c>
      <c r="B145" s="225" t="s">
        <v>148</v>
      </c>
      <c r="C145" s="226" t="s">
        <v>149</v>
      </c>
    </row>
    <row r="146" spans="1:3">
      <c r="A146" s="224" t="s">
        <v>157</v>
      </c>
      <c r="B146" s="225" t="str">
        <f>+[2]!Végétarien[[#This Row],[Intitulé]]</f>
        <v>Emincé de soja zurichoise</v>
      </c>
      <c r="C146" s="227">
        <f>+[2]!Végétarien[[#This Row],[Prix de revient]]</f>
        <v>1.07</v>
      </c>
    </row>
    <row r="147" spans="1:3">
      <c r="A147" s="224"/>
      <c r="B147" s="225" t="str">
        <f>+[2]!Végétarien[[#This Row],[Intitulé]]</f>
        <v>Gratin de gnocchi aux légumes</v>
      </c>
      <c r="C147" s="227">
        <f>+[2]!Végétarien[[#This Row],[Prix de revient]]</f>
        <v>1.49</v>
      </c>
    </row>
    <row r="148" spans="1:3">
      <c r="A148" s="224"/>
      <c r="B148" s="225" t="str">
        <f>+[2]!Végétarien[[#This Row],[Intitulé]]</f>
        <v>Végi balls, sauce tomate</v>
      </c>
      <c r="C148" s="227">
        <f>+[2]!Végétarien[[#This Row],[Prix de revient]]</f>
        <v>1.51</v>
      </c>
    </row>
    <row r="149" spans="1:3">
      <c r="A149" s="224"/>
      <c r="B149" s="225" t="str">
        <f>+[2]!Végétarien[[#This Row],[Intitulé]]</f>
        <v>Lasagne Bolognaise</v>
      </c>
      <c r="C149" s="227">
        <f>+[2]!Végétarien[[#This Row],[Prix de revient]]</f>
        <v>1.83</v>
      </c>
    </row>
    <row r="150" spans="1:3">
      <c r="A150" s="224"/>
      <c r="B150" s="225" t="str">
        <f>+[2]!Végétarien[[#This Row],[Intitulé]]</f>
        <v>Penne à la sauce bolognaise</v>
      </c>
      <c r="C150" s="227">
        <f>+[2]!Végétarien[[#This Row],[Prix de revient]]</f>
        <v>1.88</v>
      </c>
    </row>
    <row r="151" spans="1:3">
      <c r="A151" s="224"/>
      <c r="B151" s="225" t="str">
        <f>+[2]!Végétarien[[#This Row],[Intitulé]]</f>
        <v>Tofu à la crème au citron</v>
      </c>
      <c r="C151" s="227">
        <f>+[2]!Végétarien[[#This Row],[Prix de revient]]</f>
        <v>2.02</v>
      </c>
    </row>
    <row r="152" spans="1:3">
      <c r="A152" s="224"/>
      <c r="B152" s="225" t="str">
        <f>+[2]!Végétarien[[#This Row],[Intitulé]]</f>
        <v>Médaillons de tofu, sauce passion</v>
      </c>
      <c r="C152" s="227">
        <f>+[2]!Végétarien[[#This Row],[Prix de revient]]</f>
        <v>2.33</v>
      </c>
    </row>
    <row r="153" spans="1:3">
      <c r="A153" s="224"/>
      <c r="B153" s="225" t="str">
        <f>+[2]!Végétarien[[#This Row],[Intitulé]]</f>
        <v>hamburger aux légumes du soleil</v>
      </c>
      <c r="C153" s="227">
        <f>+[2]!Végétarien[[#This Row],[Prix de revient]]</f>
        <v>2.46</v>
      </c>
    </row>
    <row r="154" spans="1:3">
      <c r="A154" s="224"/>
      <c r="B154" s="225" t="str">
        <f>+[2]!Végétarien[[#This Row],[Intitulé]]</f>
        <v xml:space="preserve">Raclette </v>
      </c>
      <c r="C154" s="227">
        <f>+[2]!Végétarien[[#This Row],[Prix de revient]]</f>
        <v>2.98</v>
      </c>
    </row>
    <row r="155" spans="1:3">
      <c r="A155" s="224"/>
      <c r="B155" s="225" t="str">
        <f>+[2]!Végétarien[[#This Row],[Intitulé]]</f>
        <v>Falafel, sauce au basilic</v>
      </c>
      <c r="C155" s="227">
        <f>+[2]!Végétarien[[#This Row],[Prix de revient]]</f>
        <v>3.76</v>
      </c>
    </row>
    <row r="156" spans="1:3">
      <c r="A156" s="224"/>
      <c r="B156" s="225" t="str">
        <f>+[2]!Végétarien[[#This Row],[Intitulé]]</f>
        <v>Risotto aux marrons et aux cépes</v>
      </c>
      <c r="C156" s="227">
        <f>+[2]!Végétarien[[#This Row],[Prix de revient]]</f>
        <v>3.84</v>
      </c>
    </row>
    <row r="157" spans="1:3">
      <c r="A157" s="224"/>
      <c r="B157" s="225" t="str">
        <f>+[2]!Végétarien[[#This Row],[Intitulé]]</f>
        <v>Cevapcici végétarien</v>
      </c>
      <c r="C157" s="227">
        <f>+[2]!Végétarien[[#This Row],[Prix de revient]]</f>
        <v>4.1100000000000003</v>
      </c>
    </row>
    <row r="158" spans="1:3">
      <c r="A158" s="224"/>
      <c r="B158" s="225" t="str">
        <f>+[2]!Végétarien[[#This Row],[Intitulé]]</f>
        <v>Seitan en mode Bourguignon</v>
      </c>
      <c r="C158" s="227">
        <f>+[2]!Végétarien[[#This Row],[Prix de revient]]</f>
        <v>4.47</v>
      </c>
    </row>
    <row r="159" spans="1:3">
      <c r="A159" s="224"/>
      <c r="B159" s="225" t="str">
        <f>+[2]!Végétarien[[#This Row],[Intitulé]]</f>
        <v>Petit salé aux lentilles</v>
      </c>
      <c r="C159" s="227">
        <f>+[2]!Végétarien[[#This Row],[Prix de revient]]</f>
        <v>4.53</v>
      </c>
    </row>
    <row r="160" spans="1:3">
      <c r="A160" s="224"/>
      <c r="B160" s="225" t="str">
        <f>+[2]!Végétarien[[#This Row],[Intitulé]]</f>
        <v>Pot au feu</v>
      </c>
      <c r="C160" s="227">
        <f>+[2]!Végétarien[[#This Row],[Prix de revient]]</f>
        <v>4.84</v>
      </c>
    </row>
    <row r="161" spans="1:3">
      <c r="A161" s="224"/>
      <c r="B161" s="225" t="str">
        <f>+[2]!Végétarien[[#This Row],[Intitulé]]</f>
        <v>Risotto d'orge aux bettes et pécorino</v>
      </c>
      <c r="C161" s="227">
        <f>+[2]!Végétarien[[#This Row],[Prix de revient]]</f>
        <v>5.24</v>
      </c>
    </row>
    <row r="162" spans="1:3">
      <c r="A162" s="224"/>
      <c r="B162" s="225">
        <f>+[2]!Végétarien[[#This Row],[Intitulé]]</f>
        <v>0</v>
      </c>
      <c r="C162" s="227">
        <f>+[2]!Végétarien[[#This Row],[Prix de revient]]</f>
        <v>0</v>
      </c>
    </row>
    <row r="163" spans="1:3">
      <c r="A163" s="224"/>
      <c r="B163" s="225">
        <f>+[2]!Végétarien[[#This Row],[Intitulé]]</f>
        <v>0</v>
      </c>
      <c r="C163" s="227">
        <f>+[2]!Végétarien[[#This Row],[Prix de revient]]</f>
        <v>0</v>
      </c>
    </row>
    <row r="164" spans="1:3">
      <c r="A164" s="224"/>
      <c r="B164" s="225">
        <f>+[2]!Végétarien[[#This Row],[Intitulé]]</f>
        <v>0</v>
      </c>
      <c r="C164" s="227">
        <f>+[2]!Végétarien[[#This Row],[Prix de revient]]</f>
        <v>0</v>
      </c>
    </row>
    <row r="165" spans="1:3">
      <c r="A165" s="224"/>
      <c r="B165" s="225">
        <f>+[2]!Végétarien[[#This Row],[Intitulé]]</f>
        <v>0</v>
      </c>
      <c r="C165" s="227">
        <f>+[2]!Végétarien[[#This Row],[Prix de revient]]</f>
        <v>0</v>
      </c>
    </row>
    <row r="166" spans="1:3">
      <c r="A166" s="224"/>
      <c r="B166" s="225">
        <f>+[2]!Végétarien[[#This Row],[Intitulé]]</f>
        <v>0</v>
      </c>
      <c r="C166" s="227">
        <f>+[2]!Végétarien[[#This Row],[Prix de revient]]</f>
        <v>0</v>
      </c>
    </row>
    <row r="167" spans="1:3">
      <c r="A167" s="224"/>
      <c r="B167" s="225">
        <f>+[2]!Végétarien[[#This Row],[Intitulé]]</f>
        <v>0</v>
      </c>
      <c r="C167" s="227">
        <f>+[2]!Végétarien[[#This Row],[Prix de revient]]</f>
        <v>0</v>
      </c>
    </row>
    <row r="168" spans="1:3">
      <c r="A168" s="224"/>
      <c r="B168" s="225">
        <f>+[2]!Végétarien[[#This Row],[Intitulé]]</f>
        <v>0</v>
      </c>
      <c r="C168" s="227">
        <f>+[2]!Végétarien[[#This Row],[Prix de revient]]</f>
        <v>0</v>
      </c>
    </row>
    <row r="169" spans="1:3">
      <c r="A169" s="224"/>
      <c r="B169" s="225">
        <f>+[2]!Végétarien[[#This Row],[Intitulé]]</f>
        <v>0</v>
      </c>
      <c r="C169" s="227">
        <f>+[2]!Végétarien[[#This Row],[Prix de revient]]</f>
        <v>0</v>
      </c>
    </row>
    <row r="170" spans="1:3">
      <c r="A170" s="224"/>
      <c r="B170" s="225">
        <f>+[2]!Végétarien[[#This Row],[Intitulé]]</f>
        <v>0</v>
      </c>
      <c r="C170" s="227">
        <f>+[2]!Végétarien[[#This Row],[Prix de revient]]</f>
        <v>0</v>
      </c>
    </row>
    <row r="171" spans="1:3">
      <c r="A171" s="224"/>
      <c r="B171" s="225">
        <f>+[2]!Végétarien[[#This Row],[Intitulé]]</f>
        <v>0</v>
      </c>
      <c r="C171" s="227">
        <f>+[2]!Végétarien[[#This Row],[Prix de revient]]</f>
        <v>0</v>
      </c>
    </row>
    <row r="172" spans="1:3">
      <c r="A172" s="224"/>
      <c r="B172" s="225">
        <f>+[2]!Végétarien[[#This Row],[Intitulé]]</f>
        <v>0</v>
      </c>
      <c r="C172" s="227">
        <f>+[2]!Végétarien[[#This Row],[Prix de revient]]</f>
        <v>0</v>
      </c>
    </row>
    <row r="173" spans="1:3">
      <c r="A173" s="224"/>
      <c r="B173" s="225">
        <f>+[2]!Végétarien[[#This Row],[Intitulé]]</f>
        <v>0</v>
      </c>
      <c r="C173" s="227">
        <f>+[2]!Végétarien[[#This Row],[Prix de revient]]</f>
        <v>0</v>
      </c>
    </row>
    <row r="174" spans="1:3">
      <c r="A174" s="224"/>
      <c r="B174" s="225">
        <f>+[2]!Végétarien[[#This Row],[Intitulé]]</f>
        <v>0</v>
      </c>
      <c r="C174" s="227">
        <f>+[2]!Végétarien[[#This Row],[Prix de revient]]</f>
        <v>0</v>
      </c>
    </row>
    <row r="175" spans="1:3">
      <c r="A175" s="224"/>
      <c r="B175" s="225">
        <f>+[2]!Végétarien[[#This Row],[Intitulé]]</f>
        <v>0</v>
      </c>
      <c r="C175" s="227">
        <f>+[2]!Végétarien[[#This Row],[Prix de revient]]</f>
        <v>0</v>
      </c>
    </row>
    <row r="176" spans="1:3">
      <c r="A176" s="224"/>
      <c r="B176" s="225">
        <f>+[2]!Végétarien[[#This Row],[Intitulé]]</f>
        <v>0</v>
      </c>
      <c r="C176" s="227">
        <f>+[2]!Végétarien[[#This Row],[Prix de revient]]</f>
        <v>0</v>
      </c>
    </row>
    <row r="177" spans="1:3">
      <c r="A177" s="224"/>
      <c r="B177" s="225">
        <f>+[2]!Végétarien[[#This Row],[Intitulé]]</f>
        <v>0</v>
      </c>
      <c r="C177" s="227">
        <f>+[2]!Végétarien[[#This Row],[Prix de revient]]</f>
        <v>0</v>
      </c>
    </row>
    <row r="178" spans="1:3">
      <c r="A178" s="224"/>
      <c r="B178" s="225">
        <f>+[2]!Végétarien[[#This Row],[Intitulé]]</f>
        <v>0</v>
      </c>
      <c r="C178" s="227">
        <f>+[2]!Végétarien[[#This Row],[Prix de revient]]</f>
        <v>0</v>
      </c>
    </row>
    <row r="179" spans="1:3">
      <c r="A179" s="224"/>
      <c r="B179" s="225">
        <f>+[2]!Végétarien[[#This Row],[Intitulé]]</f>
        <v>0</v>
      </c>
      <c r="C179" s="227">
        <f>+[2]!Végétarien[[#This Row],[Prix de revient]]</f>
        <v>0</v>
      </c>
    </row>
    <row r="180" spans="1:3">
      <c r="A180" s="225"/>
      <c r="B180" s="225">
        <f>+[2]!Végétarien[[#This Row],[Intitulé]]</f>
        <v>0</v>
      </c>
      <c r="C180" s="227">
        <f>+[2]!Végétarien[[#This Row],[Prix de revient]]</f>
        <v>0</v>
      </c>
    </row>
    <row r="181" spans="1:3">
      <c r="A181" s="225"/>
      <c r="B181" s="225">
        <f>+[2]!Végétarien[[#This Row],[Intitulé]]</f>
        <v>0</v>
      </c>
      <c r="C181" s="227">
        <f>+[2]!Végétarien[[#This Row],[Prix de revient]]</f>
        <v>0</v>
      </c>
    </row>
    <row r="182" spans="1:3">
      <c r="A182" s="225"/>
      <c r="B182" s="225">
        <f>+[2]!Végétarien[[#This Row],[Intitulé]]</f>
        <v>0</v>
      </c>
      <c r="C182" s="227">
        <f>+[2]!Végétarien[[#This Row],[Prix de revient]]</f>
        <v>0</v>
      </c>
    </row>
    <row r="183" spans="1:3">
      <c r="A183" s="225"/>
      <c r="B183" s="225">
        <f>+[2]!Végétarien[[#This Row],[Intitulé]]</f>
        <v>0</v>
      </c>
      <c r="C183" s="227">
        <f>+[2]!Végétarien[[#This Row],[Prix de revient]]</f>
        <v>0</v>
      </c>
    </row>
    <row r="184" spans="1:3">
      <c r="A184" s="224"/>
      <c r="B184" s="225">
        <f>+[2]!Végétarien[[#This Row],[Intitulé]]</f>
        <v>0</v>
      </c>
      <c r="C184" s="227">
        <f>+[2]!Végétarien[[#This Row],[Prix de revient]]</f>
        <v>0</v>
      </c>
    </row>
    <row r="185" spans="1:3">
      <c r="A185" s="224"/>
      <c r="B185" s="225">
        <f>+[2]!Végétarien[[#This Row],[Intitulé]]</f>
        <v>0</v>
      </c>
      <c r="C185" s="227">
        <f>+[2]!Végétarien[[#This Row],[Prix de revient]]</f>
        <v>0</v>
      </c>
    </row>
    <row r="186" spans="1:3">
      <c r="A186" s="233" t="s">
        <v>211</v>
      </c>
      <c r="B186" s="233" t="s">
        <v>148</v>
      </c>
      <c r="C186" s="234" t="s">
        <v>149</v>
      </c>
    </row>
    <row r="187" spans="1:3">
      <c r="A187" s="233" t="s">
        <v>212</v>
      </c>
      <c r="B187" s="235" t="str">
        <f>+[2]!Saison[[#This Row],[Intitulé]]</f>
        <v>Paella</v>
      </c>
      <c r="C187" s="236">
        <f>+[2]!Saison[[#This Row],[Prix de revient]]</f>
        <v>5.3</v>
      </c>
    </row>
    <row r="188" spans="1:3">
      <c r="A188" s="233"/>
      <c r="B188" s="235" t="str">
        <f>+[2]!Saison[[#This Row],[Intitulé]]</f>
        <v xml:space="preserve">Party grillades saucisses </v>
      </c>
      <c r="C188" s="236">
        <f>+[2]!Saison[[#This Row],[Prix de revient]]</f>
        <v>5.38</v>
      </c>
    </row>
    <row r="189" spans="1:3">
      <c r="A189" s="233"/>
      <c r="B189" s="235" t="str">
        <f>+[2]!Saison[[#This Row],[Intitulé]]</f>
        <v>Tartiflette</v>
      </c>
      <c r="C189" s="236">
        <f>+[2]!Saison[[#This Row],[Prix de revient]]</f>
        <v>5.51</v>
      </c>
    </row>
    <row r="190" spans="1:3">
      <c r="A190" s="233"/>
      <c r="B190" s="235" t="str">
        <f>+[2]!Saison[[#This Row],[Intitulé]]</f>
        <v>Grillade party viandes 200gr viande</v>
      </c>
      <c r="C190" s="236">
        <f>+[2]!Saison[[#This Row],[Prix de revient]]</f>
        <v>6.05</v>
      </c>
    </row>
    <row r="191" spans="1:3">
      <c r="A191" s="233"/>
      <c r="B191" s="235" t="str">
        <f>+[2]!Saison[[#This Row],[Intitulé]]</f>
        <v>Party grillades viandes et saucisses</v>
      </c>
      <c r="C191" s="236">
        <f>+[2]!Saison[[#This Row],[Prix de revient]]</f>
        <v>6.36</v>
      </c>
    </row>
    <row r="192" spans="1:3">
      <c r="A192" s="233"/>
      <c r="B192" s="235" t="str">
        <f>+[2]!Saison[[#This Row],[Intitulé]]</f>
        <v>Grillade party burger</v>
      </c>
      <c r="C192" s="236">
        <f>+[2]!Saison[[#This Row],[Prix de revient]]</f>
        <v>6.38</v>
      </c>
    </row>
    <row r="193" spans="1:3">
      <c r="A193" s="233"/>
      <c r="B193" s="235" t="str">
        <f>+[2]!Saison[[#This Row],[Intitulé]]</f>
        <v>Couscous</v>
      </c>
      <c r="C193" s="236">
        <f>+[2]!Saison[[#This Row],[Prix de revient]]</f>
        <v>6.64</v>
      </c>
    </row>
    <row r="194" spans="1:3">
      <c r="A194" s="233"/>
      <c r="B194" s="235" t="str">
        <f>+[2]!Saison[[#This Row],[Intitulé]]</f>
        <v>Grillade party poisson</v>
      </c>
      <c r="C194" s="236">
        <f>+[2]!Saison[[#This Row],[Prix de revient]]</f>
        <v>7.83</v>
      </c>
    </row>
    <row r="195" spans="1:3">
      <c r="A195" s="233"/>
      <c r="B195" s="235" t="str">
        <f>+[2]!Saison[[#This Row],[Intitulé]]</f>
        <v>Party grillades et crevettes</v>
      </c>
      <c r="C195" s="236">
        <f>+[2]!Saison[[#This Row],[Prix de revient]]</f>
        <v>7.93</v>
      </c>
    </row>
    <row r="196" spans="1:3">
      <c r="A196" s="233"/>
      <c r="B196" s="235" t="str">
        <f>+[2]!Saison[[#This Row],[Intitulé]]</f>
        <v>Party grillades poulet, agneau, bœuf</v>
      </c>
      <c r="C196" s="236">
        <f>+[2]!Saison[[#This Row],[Prix de revient]]</f>
        <v>8.8800000000000008</v>
      </c>
    </row>
    <row r="197" spans="1:3">
      <c r="A197" s="233"/>
      <c r="B197" s="235" t="str">
        <f>+[2]!Saison[[#This Row],[Intitulé]]</f>
        <v>Grillade party viandes 400gr viande</v>
      </c>
      <c r="C197" s="236">
        <f>+[2]!Saison[[#This Row],[Prix de revient]]</f>
        <v>10.47</v>
      </c>
    </row>
    <row r="198" spans="1:3">
      <c r="A198" s="233"/>
      <c r="B198" s="235" t="str">
        <f>+[2]!Saison[[#This Row],[Intitulé]]</f>
        <v>Raclette et charcuterie</v>
      </c>
      <c r="C198" s="236">
        <f>+[2]!Saison[[#This Row],[Prix de revient]]</f>
        <v>11.98</v>
      </c>
    </row>
    <row r="199" spans="1:3">
      <c r="A199" s="233"/>
      <c r="B199" s="235" t="str">
        <f>+[2]!Saison[[#This Row],[Intitulé]]</f>
        <v>Grillade party côte de bœuf</v>
      </c>
      <c r="C199" s="236">
        <f>+[2]!Saison[[#This Row],[Prix de revient]]</f>
        <v>16.52</v>
      </c>
    </row>
    <row r="200" spans="1:3">
      <c r="A200" s="233"/>
      <c r="B200" s="235">
        <f>+[2]!Saison[[#This Row],[Intitulé]]</f>
        <v>0</v>
      </c>
      <c r="C200" s="236">
        <f>+[2]!Saison[[#This Row],[Prix de revient]]</f>
        <v>0</v>
      </c>
    </row>
    <row r="201" spans="1:3">
      <c r="A201" s="233"/>
      <c r="B201" s="235">
        <f>+[2]!Saison[[#This Row],[Intitulé]]</f>
        <v>0</v>
      </c>
      <c r="C201" s="236">
        <f>+[2]!Saison[[#This Row],[Prix de revient]]</f>
        <v>0</v>
      </c>
    </row>
    <row r="202" spans="1:3">
      <c r="A202" s="233"/>
      <c r="B202" s="235">
        <f>+[2]!Saison[[#This Row],[Intitulé]]</f>
        <v>0</v>
      </c>
      <c r="C202" s="236">
        <f>+[2]!Saison[[#This Row],[Prix de revient]]</f>
        <v>0</v>
      </c>
    </row>
    <row r="203" spans="1:3">
      <c r="A203" s="233"/>
      <c r="B203" s="235">
        <f>+[2]!Saison[[#This Row],[Intitulé]]</f>
        <v>0</v>
      </c>
      <c r="C203" s="236">
        <f>+[2]!Saison[[#This Row],[Prix de revient]]</f>
        <v>0</v>
      </c>
    </row>
    <row r="204" spans="1:3">
      <c r="A204" s="233"/>
      <c r="B204" s="235">
        <f>+[2]!Saison[[#This Row],[Intitulé]]</f>
        <v>0</v>
      </c>
      <c r="C204" s="236">
        <f>+[2]!Saison[[#This Row],[Prix de revient]]</f>
        <v>0</v>
      </c>
    </row>
    <row r="205" spans="1:3">
      <c r="A205" s="235"/>
      <c r="B205" s="235">
        <f>+[2]!Saison[[#This Row],[Intitulé]]</f>
        <v>0</v>
      </c>
      <c r="C205" s="236">
        <f>+[2]!Saison[[#This Row],[Prix de revient]]</f>
        <v>0</v>
      </c>
    </row>
    <row r="206" spans="1:3">
      <c r="A206" s="235"/>
      <c r="B206" s="235">
        <f>+[2]!Saison[[#This Row],[Intitulé]]</f>
        <v>0</v>
      </c>
      <c r="C206" s="236">
        <f>+[2]!Saison[[#This Row],[Prix de revient]]</f>
        <v>0</v>
      </c>
    </row>
    <row r="207" spans="1:3">
      <c r="A207" s="235"/>
      <c r="B207" s="235">
        <f>+[2]!Saison[[#This Row],[Intitulé]]</f>
        <v>0</v>
      </c>
      <c r="C207" s="236">
        <f>+[2]!Saison[[#This Row],[Prix de revient]]</f>
        <v>0</v>
      </c>
    </row>
    <row r="208" spans="1:3">
      <c r="A208" s="235"/>
      <c r="B208" s="235">
        <f>+[2]!Saison[[#This Row],[Intitulé]]</f>
        <v>0</v>
      </c>
      <c r="C208" s="236">
        <f>+[2]!Saison[[#This Row],[Prix de revient]]</f>
        <v>0</v>
      </c>
    </row>
    <row r="209" spans="1:3">
      <c r="A209" s="233"/>
      <c r="B209" s="235">
        <f>+[2]!Saison[[#This Row],[Intitulé]]</f>
        <v>0</v>
      </c>
      <c r="C209" s="236">
        <f>+[2]!Saison[[#This Row],[Prix de revient]]</f>
        <v>0</v>
      </c>
    </row>
    <row r="210" spans="1:3">
      <c r="A210" s="233"/>
      <c r="B210" s="235">
        <f>+[2]!Saison[[#This Row],[Intitulé]]</f>
        <v>0</v>
      </c>
      <c r="C210" s="236">
        <f>+[2]!Saison[[#This Row],[Prix de revient]]</f>
        <v>0</v>
      </c>
    </row>
    <row r="211" spans="1:3">
      <c r="A211" s="228" t="s">
        <v>211</v>
      </c>
      <c r="B211" s="229" t="s">
        <v>148</v>
      </c>
      <c r="C211" s="230" t="s">
        <v>149</v>
      </c>
    </row>
    <row r="212" spans="1:3">
      <c r="A212" s="228" t="s">
        <v>158</v>
      </c>
      <c r="B212" s="229" t="str">
        <f>+[2]!Féculents[[#This Row],[Intitulé]]</f>
        <v>Riz basmati</v>
      </c>
      <c r="C212" s="231">
        <f>+[2]!Féculents[[#This Row],[Prix de revient]]</f>
        <v>0.26</v>
      </c>
    </row>
    <row r="213" spans="1:3">
      <c r="A213" s="228"/>
      <c r="B213" s="229" t="str">
        <f>+[2]!Féculents[[#This Row],[Intitulé]]</f>
        <v>Semoule de blé dur</v>
      </c>
      <c r="C213" s="231">
        <f>+[2]!Féculents[[#This Row],[Prix de revient]]</f>
        <v>0.48</v>
      </c>
    </row>
    <row r="214" spans="1:3">
      <c r="A214" s="228"/>
      <c r="B214" s="229" t="str">
        <f>+[2]!Féculents[[#This Row],[Intitulé]]</f>
        <v>Quinoa aux légumes</v>
      </c>
      <c r="C214" s="231">
        <f>+[2]!Féculents[[#This Row],[Prix de revient]]</f>
        <v>0.64</v>
      </c>
    </row>
    <row r="215" spans="1:3">
      <c r="A215" s="228"/>
      <c r="B215" s="229" t="str">
        <f>+[2]!Féculents[[#This Row],[Intitulé]]</f>
        <v>Pomme purée</v>
      </c>
      <c r="C215" s="231">
        <f>+[2]!Féculents[[#This Row],[Prix de revient]]</f>
        <v>0.68</v>
      </c>
    </row>
    <row r="216" spans="1:3">
      <c r="A216" s="228"/>
      <c r="B216" s="229" t="str">
        <f>+[2]!Féculents[[#This Row],[Intitulé]]</f>
        <v>Spaghetti à l'ail</v>
      </c>
      <c r="C216" s="231">
        <f>+[2]!Féculents[[#This Row],[Prix de revient]]</f>
        <v>0.68</v>
      </c>
    </row>
    <row r="217" spans="1:3">
      <c r="A217" s="228"/>
      <c r="B217" s="229" t="str">
        <f>+[2]!Féculents[[#This Row],[Intitulé]]</f>
        <v>Pommes de terre Lyonnaise</v>
      </c>
      <c r="C217" s="231">
        <f>+[2]!Féculents[[#This Row],[Prix de revient]]</f>
        <v>0.7</v>
      </c>
    </row>
    <row r="218" spans="1:3">
      <c r="A218" s="228"/>
      <c r="B218" s="229" t="str">
        <f>+[2]!Féculents[[#This Row],[Intitulé]]</f>
        <v>Pommes persillées</v>
      </c>
      <c r="C218" s="231">
        <f>+[2]!Féculents[[#This Row],[Prix de revient]]</f>
        <v>0.7</v>
      </c>
    </row>
    <row r="219" spans="1:3">
      <c r="A219" s="228"/>
      <c r="B219" s="229" t="str">
        <f>+[2]!Féculents[[#This Row],[Intitulé]]</f>
        <v>gnocchi à la semoule</v>
      </c>
      <c r="C219" s="231">
        <f>+[2]!Féculents[[#This Row],[Prix de revient]]</f>
        <v>0.74</v>
      </c>
    </row>
    <row r="220" spans="1:3">
      <c r="A220" s="228"/>
      <c r="B220" s="229" t="str">
        <f>+[2]!Féculents[[#This Row],[Intitulé]]</f>
        <v>Pommes de terre balsamiques</v>
      </c>
      <c r="C220" s="231">
        <f>+[2]!Féculents[[#This Row],[Prix de revient]]</f>
        <v>0.76</v>
      </c>
    </row>
    <row r="221" spans="1:3">
      <c r="A221" s="228"/>
      <c r="B221" s="229" t="str">
        <f>+[2]!Féculents[[#This Row],[Intitulé]]</f>
        <v>Ecrasée de pomme de terre</v>
      </c>
      <c r="C221" s="231">
        <f>+[2]!Féculents[[#This Row],[Prix de revient]]</f>
        <v>0.77</v>
      </c>
    </row>
    <row r="222" spans="1:3">
      <c r="A222" s="228"/>
      <c r="B222" s="229" t="str">
        <f>+[2]!Féculents[[#This Row],[Intitulé]]</f>
        <v>Penne au basilic</v>
      </c>
      <c r="C222" s="231">
        <f>+[2]!Féculents[[#This Row],[Prix de revient]]</f>
        <v>0.86</v>
      </c>
    </row>
    <row r="223" spans="1:3">
      <c r="A223" s="228"/>
      <c r="B223" s="229" t="str">
        <f>+[2]!Féculents[[#This Row],[Intitulé]]</f>
        <v>Pommes rissolées</v>
      </c>
      <c r="C223" s="231">
        <f>+[2]!Féculents[[#This Row],[Prix de revient]]</f>
        <v>0.87</v>
      </c>
    </row>
    <row r="224" spans="1:3">
      <c r="A224" s="228"/>
      <c r="B224" s="229" t="str">
        <f>+[2]!Féculents[[#This Row],[Intitulé]]</f>
        <v>Pommes de terre rôties, ail en chemise</v>
      </c>
      <c r="C224" s="231">
        <f>+[2]!Féculents[[#This Row],[Prix de revient]]</f>
        <v>0.88</v>
      </c>
    </row>
    <row r="225" spans="1:3">
      <c r="A225" s="228"/>
      <c r="B225" s="229" t="str">
        <f>+[2]!Féculents[[#This Row],[Intitulé]]</f>
        <v>Roesti</v>
      </c>
      <c r="C225" s="231">
        <f>+[2]!Féculents[[#This Row],[Prix de revient]]</f>
        <v>0.97</v>
      </c>
    </row>
    <row r="226" spans="1:3">
      <c r="A226" s="228"/>
      <c r="B226" s="229" t="str">
        <f>+[2]!Féculents[[#This Row],[Intitulé]]</f>
        <v>gratin de pomme de terre maison</v>
      </c>
      <c r="C226" s="231">
        <f>+[2]!Féculents[[#This Row],[Prix de revient]]</f>
        <v>1.1200000000000001</v>
      </c>
    </row>
    <row r="227" spans="1:3">
      <c r="A227" s="228"/>
      <c r="B227" s="229" t="str">
        <f>+[2]!Féculents[[#This Row],[Intitulé]]</f>
        <v>Ecrasée de patates douces</v>
      </c>
      <c r="C227" s="231">
        <f>+[2]!Féculents[[#This Row],[Prix de revient]]</f>
        <v>1.1299999999999999</v>
      </c>
    </row>
    <row r="228" spans="1:3">
      <c r="A228" s="228"/>
      <c r="B228" s="229" t="str">
        <f>+[2]!Féculents[[#This Row],[Intitulé]]</f>
        <v>Tagliatelle Provençale</v>
      </c>
      <c r="C228" s="231">
        <f>+[2]!Féculents[[#This Row],[Prix de revient]]</f>
        <v>1.19</v>
      </c>
    </row>
    <row r="229" spans="1:3">
      <c r="A229" s="228"/>
      <c r="B229" s="229" t="str">
        <f>+[2]!Féculents[[#This Row],[Intitulé]]</f>
        <v>Pommes paillasson</v>
      </c>
      <c r="C229" s="231">
        <f>+[2]!Féculents[[#This Row],[Prix de revient]]</f>
        <v>1.2</v>
      </c>
    </row>
    <row r="230" spans="1:3">
      <c r="A230" s="228"/>
      <c r="B230" s="229" t="str">
        <f>+[2]!Féculents[[#This Row],[Intitulé]]</f>
        <v>Risotto Milanaise</v>
      </c>
      <c r="C230" s="231">
        <f>+[2]!Féculents[[#This Row],[Prix de revient]]</f>
        <v>1.21</v>
      </c>
    </row>
    <row r="231" spans="1:3">
      <c r="A231" s="228"/>
      <c r="B231" s="229" t="str">
        <f>+[2]!Féculents[[#This Row],[Intitulé]]</f>
        <v>Nouilles de riz</v>
      </c>
      <c r="C231" s="231">
        <f>+[2]!Féculents[[#This Row],[Prix de revient]]</f>
        <v>1.26</v>
      </c>
    </row>
    <row r="232" spans="1:3">
      <c r="A232" s="228"/>
      <c r="B232" s="229" t="str">
        <f>+[2]!Féculents[[#This Row],[Intitulé]]</f>
        <v>Fusilli au parmesan</v>
      </c>
      <c r="C232" s="231">
        <f>+[2]!Féculents[[#This Row],[Prix de revient]]</f>
        <v>1.27</v>
      </c>
    </row>
    <row r="233" spans="1:3">
      <c r="A233" s="228"/>
      <c r="B233" s="229" t="str">
        <f>+[2]!Féculents[[#This Row],[Intitulé]]</f>
        <v>Tagliatelle à l'encre de seiche</v>
      </c>
      <c r="C233" s="231">
        <f>+[2]!Féculents[[#This Row],[Prix de revient]]</f>
        <v>1.53</v>
      </c>
    </row>
    <row r="234" spans="1:3">
      <c r="A234" s="228"/>
      <c r="B234" s="229" t="str">
        <f>+[2]!Féculents[[#This Row],[Intitulé]]</f>
        <v>Maccaronni au fromage</v>
      </c>
      <c r="C234" s="231">
        <f>+[2]!Féculents[[#This Row],[Prix de revient]]</f>
        <v>1.55</v>
      </c>
    </row>
    <row r="235" spans="1:3">
      <c r="A235" s="229"/>
      <c r="B235" s="229" t="str">
        <f>+[2]!Féculents[[#This Row],[Intitulé]]</f>
        <v>Purée de pommes de terre violettes</v>
      </c>
      <c r="C235" s="231">
        <f>+[2]!Féculents[[#This Row],[Prix de revient]]</f>
        <v>1.55</v>
      </c>
    </row>
    <row r="236" spans="1:3">
      <c r="A236" s="229"/>
      <c r="B236" s="229" t="str">
        <f>+[2]!Féculents[[#This Row],[Intitulé]]</f>
        <v>Riz pilaf</v>
      </c>
      <c r="C236" s="231">
        <f>+[2]!Féculents[[#This Row],[Prix de revient]]</f>
        <v>1.57</v>
      </c>
    </row>
    <row r="237" spans="1:3">
      <c r="A237" s="229"/>
      <c r="B237" s="229" t="str">
        <f>+[2]!Féculents[[#This Row],[Intitulé]]</f>
        <v>Pommes frites</v>
      </c>
      <c r="C237" s="231">
        <f>+[2]!Féculents[[#This Row],[Prix de revient]]</f>
        <v>1.6</v>
      </c>
    </row>
    <row r="238" spans="1:3">
      <c r="A238" s="229"/>
      <c r="B238" s="229" t="str">
        <f>+[2]!Féculents[[#This Row],[Intitulé]]</f>
        <v>Gratin de pomme de terre</v>
      </c>
      <c r="C238" s="231">
        <f>+[2]!Féculents[[#This Row],[Prix de revient]]</f>
        <v>1.61</v>
      </c>
    </row>
    <row r="239" spans="1:3">
      <c r="A239" s="229"/>
      <c r="B239" s="229" t="str">
        <f>+[2]!Féculents[[#This Row],[Intitulé]]</f>
        <v>Polenta aux herbes</v>
      </c>
      <c r="C239" s="231">
        <f>+[2]!Féculents[[#This Row],[Prix de revient]]</f>
        <v>1.82</v>
      </c>
    </row>
    <row r="240" spans="1:3">
      <c r="A240" s="229"/>
      <c r="B240" s="229" t="str">
        <f>+[2]!Féculents[[#This Row],[Intitulé]]</f>
        <v>risotto aux fanes de radis</v>
      </c>
      <c r="C240" s="231">
        <f>+[2]!Féculents[[#This Row],[Prix de revient]]</f>
        <v>1.92</v>
      </c>
    </row>
    <row r="241" spans="1:3">
      <c r="A241" s="229"/>
      <c r="B241" s="229" t="str">
        <f>+[2]!Féculents[[#This Row],[Intitulé]]</f>
        <v>Risotto de pomme de terre</v>
      </c>
      <c r="C241" s="231">
        <f>+[2]!Féculents[[#This Row],[Prix de revient]]</f>
        <v>1.94</v>
      </c>
    </row>
    <row r="242" spans="1:3">
      <c r="A242" s="229"/>
      <c r="B242" s="229" t="str">
        <f>+[2]!Féculents[[#This Row],[Intitulé]]</f>
        <v>Riz venere</v>
      </c>
      <c r="C242" s="231">
        <f>+[2]!Féculents[[#This Row],[Prix de revient]]</f>
        <v>1.95</v>
      </c>
    </row>
    <row r="243" spans="1:3">
      <c r="A243" s="229"/>
      <c r="B243" s="229" t="str">
        <f>+[2]!Féculents[[#This Row],[Intitulé]]</f>
        <v>Riz pilaf aux gombos</v>
      </c>
      <c r="C243" s="231">
        <f>+[2]!Féculents[[#This Row],[Prix de revient]]</f>
        <v>2.16</v>
      </c>
    </row>
    <row r="244" spans="1:3">
      <c r="A244" s="229"/>
      <c r="B244" s="229" t="str">
        <f>+[2]!Féculents[[#This Row],[Intitulé]]</f>
        <v>Risotto vert</v>
      </c>
      <c r="C244" s="231">
        <f>+[2]!Féculents[[#This Row],[Prix de revient]]</f>
        <v>3.66</v>
      </c>
    </row>
    <row r="245" spans="1:3">
      <c r="A245" s="229"/>
      <c r="B245" s="229" t="str">
        <f>+[2]!Féculents[[#This Row],[Intitulé]]</f>
        <v>Risotto aux cépes</v>
      </c>
      <c r="C245" s="231">
        <f>+[2]!Féculents[[#This Row],[Prix de revient]]</f>
        <v>5.25</v>
      </c>
    </row>
    <row r="246" spans="1:3">
      <c r="A246" s="229"/>
      <c r="B246" s="229">
        <f>+[2]!Féculents[[#This Row],[Intitulé]]</f>
        <v>0</v>
      </c>
      <c r="C246" s="231">
        <f>+[2]!Féculents[[#This Row],[Prix de revient]]</f>
        <v>0</v>
      </c>
    </row>
    <row r="247" spans="1:3">
      <c r="A247" s="229"/>
      <c r="B247" s="229">
        <f>+[2]!Féculents[[#This Row],[Intitulé]]</f>
        <v>0</v>
      </c>
      <c r="C247" s="231">
        <f>+[2]!Féculents[[#This Row],[Prix de revient]]</f>
        <v>0</v>
      </c>
    </row>
    <row r="248" spans="1:3">
      <c r="A248" s="229"/>
      <c r="B248" s="229">
        <f>+[2]!Féculents[[#This Row],[Intitulé]]</f>
        <v>0</v>
      </c>
      <c r="C248" s="231">
        <f>+[2]!Féculents[[#This Row],[Prix de revient]]</f>
        <v>0</v>
      </c>
    </row>
    <row r="249" spans="1:3">
      <c r="A249" s="229"/>
      <c r="B249" s="229">
        <f>+[2]!Féculents[[#This Row],[Intitulé]]</f>
        <v>0</v>
      </c>
      <c r="C249" s="231">
        <f>+[2]!Féculents[[#This Row],[Prix de revient]]</f>
        <v>0</v>
      </c>
    </row>
    <row r="250" spans="1:3">
      <c r="A250" s="229"/>
      <c r="B250" s="229">
        <f>+[2]!Féculents[[#This Row],[Intitulé]]</f>
        <v>0</v>
      </c>
      <c r="C250" s="231">
        <f>+[2]!Féculents[[#This Row],[Prix de revient]]</f>
        <v>0</v>
      </c>
    </row>
    <row r="251" spans="1:3">
      <c r="A251" s="229"/>
      <c r="B251" s="229">
        <f>+[2]!Féculents[[#This Row],[Intitulé]]</f>
        <v>0</v>
      </c>
      <c r="C251" s="231">
        <f>+[2]!Féculents[[#This Row],[Prix de revient]]</f>
        <v>0</v>
      </c>
    </row>
    <row r="252" spans="1:3">
      <c r="A252" s="229"/>
      <c r="B252" s="229">
        <f>+[2]!Féculents[[#This Row],[Intitulé]]</f>
        <v>0</v>
      </c>
      <c r="C252" s="231">
        <f>+[2]!Féculents[[#This Row],[Prix de revient]]</f>
        <v>0</v>
      </c>
    </row>
    <row r="253" spans="1:3">
      <c r="A253" s="229"/>
      <c r="B253" s="229">
        <f>+[2]!Féculents[[#This Row],[Intitulé]]</f>
        <v>0</v>
      </c>
      <c r="C253" s="231">
        <f>+[2]!Féculents[[#This Row],[Prix de revient]]</f>
        <v>0</v>
      </c>
    </row>
    <row r="254" spans="1:3">
      <c r="A254" s="229"/>
      <c r="B254" s="229">
        <f>+[2]!Féculents[[#This Row],[Intitulé]]</f>
        <v>0</v>
      </c>
      <c r="C254" s="231">
        <f>+[2]!Féculents[[#This Row],[Prix de revient]]</f>
        <v>0</v>
      </c>
    </row>
    <row r="255" spans="1:3">
      <c r="A255" s="229"/>
      <c r="B255" s="229">
        <f>+[2]!Féculents[[#This Row],[Intitulé]]</f>
        <v>0</v>
      </c>
      <c r="C255" s="231">
        <f>+[2]!Féculents[[#This Row],[Prix de revient]]</f>
        <v>0</v>
      </c>
    </row>
    <row r="256" spans="1:3">
      <c r="A256" s="229"/>
      <c r="B256" s="229">
        <f>+[2]!Féculents[[#This Row],[Intitulé]]</f>
        <v>0</v>
      </c>
      <c r="C256" s="231">
        <f>+[2]!Féculents[[#This Row],[Prix de revient]]</f>
        <v>0</v>
      </c>
    </row>
    <row r="257" spans="1:3">
      <c r="A257" s="229"/>
      <c r="B257" s="229">
        <f>+[2]!Féculents[[#This Row],[Intitulé]]</f>
        <v>0</v>
      </c>
      <c r="C257" s="231">
        <f>+[2]!Féculents[[#This Row],[Prix de revient]]</f>
        <v>0</v>
      </c>
    </row>
    <row r="258" spans="1:3">
      <c r="A258" s="229"/>
      <c r="B258" s="229">
        <f>+[2]!Féculents[[#This Row],[Intitulé]]</f>
        <v>0</v>
      </c>
      <c r="C258" s="231">
        <f>+[2]!Féculents[[#This Row],[Prix de revient]]</f>
        <v>0</v>
      </c>
    </row>
    <row r="259" spans="1:3">
      <c r="A259" s="229"/>
      <c r="B259" s="229">
        <f>+[2]!Féculents[[#This Row],[Intitulé]]</f>
        <v>0</v>
      </c>
      <c r="C259" s="231">
        <f>+[2]!Féculents[[#This Row],[Prix de revient]]</f>
        <v>0</v>
      </c>
    </row>
    <row r="260" spans="1:3">
      <c r="A260" s="229"/>
      <c r="B260" s="229">
        <f>+[2]!Féculents[[#This Row],[Intitulé]]</f>
        <v>0</v>
      </c>
      <c r="C260" s="231">
        <f>+[2]!Féculents[[#This Row],[Prix de revient]]</f>
        <v>0</v>
      </c>
    </row>
    <row r="261" spans="1:3">
      <c r="A261" s="229"/>
      <c r="B261" s="229">
        <f>+[2]!Féculents[[#This Row],[Intitulé]]</f>
        <v>0</v>
      </c>
      <c r="C261" s="231">
        <f>+[2]!Féculents[[#This Row],[Prix de revient]]</f>
        <v>0</v>
      </c>
    </row>
    <row r="262" spans="1:3">
      <c r="A262" s="229"/>
      <c r="B262" s="229">
        <f>+[2]!Féculents[[#This Row],[Intitulé]]</f>
        <v>0</v>
      </c>
      <c r="C262" s="231">
        <f>+[2]!Féculents[[#This Row],[Prix de revient]]</f>
        <v>0</v>
      </c>
    </row>
    <row r="263" spans="1:3">
      <c r="A263" s="229"/>
      <c r="B263" s="229">
        <f>+[2]!Féculents[[#This Row],[Intitulé]]</f>
        <v>0</v>
      </c>
      <c r="C263" s="231">
        <f>+[2]!Féculents[[#This Row],[Prix de revient]]</f>
        <v>0</v>
      </c>
    </row>
    <row r="264" spans="1:3">
      <c r="A264" s="229"/>
      <c r="B264" s="229">
        <f>+[2]!Féculents[[#This Row],[Intitulé]]</f>
        <v>0</v>
      </c>
      <c r="C264" s="231">
        <f>+[2]!Féculents[[#This Row],[Prix de revient]]</f>
        <v>0</v>
      </c>
    </row>
    <row r="265" spans="1:3">
      <c r="A265" s="229"/>
      <c r="B265" s="229">
        <f>+[2]!Féculents[[#This Row],[Intitulé]]</f>
        <v>0</v>
      </c>
      <c r="C265" s="231">
        <f>+[2]!Féculents[[#This Row],[Prix de revient]]</f>
        <v>0</v>
      </c>
    </row>
    <row r="266" spans="1:3">
      <c r="A266" s="229"/>
      <c r="B266" s="229">
        <f>+[2]!Féculents[[#This Row],[Intitulé]]</f>
        <v>0</v>
      </c>
      <c r="C266" s="231">
        <f>+[2]!Féculents[[#This Row],[Prix de revient]]</f>
        <v>0</v>
      </c>
    </row>
    <row r="267" spans="1:3">
      <c r="A267" s="229"/>
      <c r="B267" s="229">
        <f>+[2]!Féculents[[#This Row],[Intitulé]]</f>
        <v>0</v>
      </c>
      <c r="C267" s="231">
        <f>+[2]!Féculents[[#This Row],[Prix de revient]]</f>
        <v>0</v>
      </c>
    </row>
    <row r="268" spans="1:3">
      <c r="A268" s="229"/>
      <c r="B268" s="229">
        <f>+[2]!Féculents[[#This Row],[Intitulé]]</f>
        <v>0</v>
      </c>
      <c r="C268" s="231">
        <f>+[2]!Féculents[[#This Row],[Prix de revient]]</f>
        <v>0</v>
      </c>
    </row>
    <row r="269" spans="1:3">
      <c r="A269" s="229"/>
      <c r="B269" s="229">
        <f>+[2]!Féculents[[#This Row],[Intitulé]]</f>
        <v>0</v>
      </c>
      <c r="C269" s="231">
        <f>+[2]!Féculents[[#This Row],[Prix de revient]]</f>
        <v>0</v>
      </c>
    </row>
    <row r="270" spans="1:3">
      <c r="A270" s="229"/>
      <c r="B270" s="229">
        <f>+[2]!Féculents[[#This Row],[Intitulé]]</f>
        <v>0</v>
      </c>
      <c r="C270" s="231">
        <f>+[2]!Féculents[[#This Row],[Prix de revient]]</f>
        <v>0</v>
      </c>
    </row>
    <row r="271" spans="1:3">
      <c r="A271" s="229"/>
      <c r="B271" s="229">
        <f>+[2]!Féculents[[#This Row],[Intitulé]]</f>
        <v>0</v>
      </c>
      <c r="C271" s="231">
        <f>+[2]!Féculents[[#This Row],[Prix de revient]]</f>
        <v>0</v>
      </c>
    </row>
    <row r="272" spans="1:3">
      <c r="A272" s="229"/>
      <c r="B272" s="229">
        <f>+[2]!Féculents[[#This Row],[Intitulé]]</f>
        <v>0</v>
      </c>
      <c r="C272" s="231">
        <f>+[2]!Féculents[[#This Row],[Prix de revient]]</f>
        <v>0</v>
      </c>
    </row>
    <row r="273" spans="1:3">
      <c r="A273" s="229"/>
      <c r="B273" s="229">
        <f>+[2]!Féculents[[#This Row],[Intitulé]]</f>
        <v>0</v>
      </c>
      <c r="C273" s="231">
        <f>+[2]!Féculents[[#This Row],[Prix de revient]]</f>
        <v>0</v>
      </c>
    </row>
    <row r="274" spans="1:3">
      <c r="A274" s="229"/>
      <c r="B274" s="229">
        <f>+[2]!Féculents[[#This Row],[Intitulé]]</f>
        <v>0</v>
      </c>
      <c r="C274" s="231">
        <f>+[2]!Féculents[[#This Row],[Prix de revient]]</f>
        <v>0</v>
      </c>
    </row>
    <row r="275" spans="1:3">
      <c r="A275" s="229"/>
      <c r="B275" s="229">
        <f>+[2]!Féculents[[#This Row],[Intitulé]]</f>
        <v>0</v>
      </c>
      <c r="C275" s="231">
        <f>+[2]!Féculents[[#This Row],[Prix de revient]]</f>
        <v>0</v>
      </c>
    </row>
    <row r="276" spans="1:3">
      <c r="A276" s="229"/>
      <c r="B276" s="229">
        <f>+[2]!Féculents[[#This Row],[Intitulé]]</f>
        <v>0</v>
      </c>
      <c r="C276" s="231">
        <f>+[2]!Féculents[[#This Row],[Prix de revient]]</f>
        <v>0</v>
      </c>
    </row>
    <row r="277" spans="1:3">
      <c r="A277" s="229"/>
      <c r="B277" s="229">
        <f>+[2]!Féculents[[#This Row],[Intitulé]]</f>
        <v>0</v>
      </c>
      <c r="C277" s="231">
        <f>+[2]!Féculents[[#This Row],[Prix de revient]]</f>
        <v>0</v>
      </c>
    </row>
    <row r="278" spans="1:3">
      <c r="A278" s="229"/>
      <c r="B278" s="229">
        <f>+[2]!Féculents[[#This Row],[Intitulé]]</f>
        <v>0</v>
      </c>
      <c r="C278" s="231">
        <f>+[2]!Féculents[[#This Row],[Prix de revient]]</f>
        <v>0</v>
      </c>
    </row>
    <row r="279" spans="1:3">
      <c r="A279" s="229"/>
      <c r="B279" s="229">
        <f>+[2]!Féculents[[#This Row],[Intitulé]]</f>
        <v>0</v>
      </c>
      <c r="C279" s="231">
        <f>+[2]!Féculents[[#This Row],[Prix de revient]]</f>
        <v>0</v>
      </c>
    </row>
    <row r="280" spans="1:3">
      <c r="A280" s="229"/>
      <c r="B280" s="229">
        <f>+[2]!Féculents[[#This Row],[Intitulé]]</f>
        <v>0</v>
      </c>
      <c r="C280" s="231">
        <f>+[2]!Féculents[[#This Row],[Prix de revient]]</f>
        <v>0</v>
      </c>
    </row>
    <row r="281" spans="1:3">
      <c r="A281" s="229"/>
      <c r="B281" s="229">
        <f>+[2]!Féculents[[#This Row],[Intitulé]]</f>
        <v>0</v>
      </c>
      <c r="C281" s="231">
        <f>+[2]!Féculents[[#This Row],[Prix de revient]]</f>
        <v>0</v>
      </c>
    </row>
    <row r="282" spans="1:3">
      <c r="A282" s="214" t="s">
        <v>211</v>
      </c>
      <c r="B282" s="214" t="s">
        <v>148</v>
      </c>
      <c r="C282" s="215" t="s">
        <v>149</v>
      </c>
    </row>
    <row r="283" spans="1:3">
      <c r="A283" s="232" t="s">
        <v>145</v>
      </c>
      <c r="B283" s="214" t="str">
        <f>+[2]!Légumes[[#This Row],[Intitulé]]</f>
        <v>Epinards à la crème</v>
      </c>
      <c r="C283" s="237">
        <f>+[2]!Légumes[[#This Row],[Prix de revient]]</f>
        <v>0.38</v>
      </c>
    </row>
    <row r="284" spans="1:3">
      <c r="A284" s="214"/>
      <c r="B284" s="214" t="str">
        <f>+[2]!Légumes[[#This Row],[Intitulé]]</f>
        <v>Choux de bruxelles</v>
      </c>
      <c r="C284" s="237">
        <f>+[2]!Légumes[[#This Row],[Prix de revient]]</f>
        <v>0.4</v>
      </c>
    </row>
    <row r="285" spans="1:3">
      <c r="A285" s="214"/>
      <c r="B285" s="214" t="str">
        <f>+[2]!Légumes[[#This Row],[Intitulé]]</f>
        <v>Haricots verts</v>
      </c>
      <c r="C285" s="237">
        <f>+[2]!Légumes[[#This Row],[Prix de revient]]</f>
        <v>0.47</v>
      </c>
    </row>
    <row r="286" spans="1:3">
      <c r="A286" s="214"/>
      <c r="B286" s="214" t="str">
        <f>+[2]!Légumes[[#This Row],[Intitulé]]</f>
        <v>Courgettes sautées</v>
      </c>
      <c r="C286" s="237">
        <f>+[2]!Légumes[[#This Row],[Prix de revient]]</f>
        <v>0.54</v>
      </c>
    </row>
    <row r="287" spans="1:3">
      <c r="A287" s="214"/>
      <c r="B287" s="214" t="str">
        <f>+[2]!Légumes[[#This Row],[Intitulé]]</f>
        <v>Salsifis</v>
      </c>
      <c r="C287" s="237">
        <f>+[2]!Légumes[[#This Row],[Prix de revient]]</f>
        <v>0.54</v>
      </c>
    </row>
    <row r="288" spans="1:3">
      <c r="A288" s="214"/>
      <c r="B288" s="214" t="str">
        <f>+[2]!Légumes[[#This Row],[Intitulé]]</f>
        <v>Pois croquant</v>
      </c>
      <c r="C288" s="237">
        <f>+[2]!Légumes[[#This Row],[Prix de revient]]</f>
        <v>0.56000000000000005</v>
      </c>
    </row>
    <row r="289" spans="1:3">
      <c r="A289" s="214"/>
      <c r="B289" s="214" t="str">
        <f>+[2]!Légumes[[#This Row],[Intitulé]]</f>
        <v>Pois mange tout</v>
      </c>
      <c r="C289" s="237">
        <f>+[2]!Légumes[[#This Row],[Prix de revient]]</f>
        <v>0.62</v>
      </c>
    </row>
    <row r="290" spans="1:3">
      <c r="A290" s="214"/>
      <c r="B290" s="214" t="str">
        <f>+[2]!Légumes[[#This Row],[Intitulé]]</f>
        <v>Jardinière de légumes</v>
      </c>
      <c r="C290" s="237">
        <f>+[2]!Légumes[[#This Row],[Prix de revient]]</f>
        <v>0.65</v>
      </c>
    </row>
    <row r="291" spans="1:3">
      <c r="A291" s="214"/>
      <c r="B291" s="214" t="str">
        <f>+[2]!Légumes[[#This Row],[Intitulé]]</f>
        <v>Tian de légumes</v>
      </c>
      <c r="C291" s="237">
        <f>+[2]!Légumes[[#This Row],[Prix de revient]]</f>
        <v>0.68</v>
      </c>
    </row>
    <row r="292" spans="1:3">
      <c r="A292" s="214"/>
      <c r="B292" s="214" t="str">
        <f>+[2]!Légumes[[#This Row],[Intitulé]]</f>
        <v>Méli-mélo de légumes au curcuma</v>
      </c>
      <c r="C292" s="237">
        <f>+[2]!Légumes[[#This Row],[Prix de revient]]</f>
        <v>0.71</v>
      </c>
    </row>
    <row r="293" spans="1:3">
      <c r="A293" s="214"/>
      <c r="B293" s="214" t="str">
        <f>+[2]!Légumes[[#This Row],[Intitulé]]</f>
        <v>Tronçons de courgettes au four</v>
      </c>
      <c r="C293" s="237">
        <f>+[2]!Légumes[[#This Row],[Prix de revient]]</f>
        <v>0.71</v>
      </c>
    </row>
    <row r="294" spans="1:3">
      <c r="A294" s="214"/>
      <c r="B294" s="214" t="str">
        <f>+[2]!Légumes[[#This Row],[Intitulé]]</f>
        <v>lentilles aux légumes</v>
      </c>
      <c r="C294" s="237">
        <f>+[2]!Légumes[[#This Row],[Prix de revient]]</f>
        <v>0.75</v>
      </c>
    </row>
    <row r="295" spans="1:3">
      <c r="A295" s="214"/>
      <c r="B295" s="214" t="str">
        <f>+[2]!Légumes[[#This Row],[Intitulé]]</f>
        <v>Pôelée campagnarde</v>
      </c>
      <c r="C295" s="237">
        <f>+[2]!Légumes[[#This Row],[Prix de revient]]</f>
        <v>0.75</v>
      </c>
    </row>
    <row r="296" spans="1:3">
      <c r="A296" s="232"/>
      <c r="B296" s="214" t="str">
        <f>+[2]!Légumes[[#This Row],[Intitulé]]</f>
        <v>Fenouil à l'huile d'olive</v>
      </c>
      <c r="C296" s="237">
        <f>+[2]!Légumes[[#This Row],[Prix de revient]]</f>
        <v>0.76</v>
      </c>
    </row>
    <row r="297" spans="1:3">
      <c r="A297" s="214"/>
      <c r="B297" s="214" t="str">
        <f>+[2]!Légumes[[#This Row],[Intitulé]]</f>
        <v>ratatouille</v>
      </c>
      <c r="C297" s="237">
        <f>+[2]!Légumes[[#This Row],[Prix de revient]]</f>
        <v>0.76</v>
      </c>
    </row>
    <row r="298" spans="1:3">
      <c r="A298" s="214"/>
      <c r="B298" s="214" t="str">
        <f>+[2]!Légumes[[#This Row],[Intitulé]]</f>
        <v>Julienne de légumes</v>
      </c>
      <c r="C298" s="237">
        <f>+[2]!Légumes[[#This Row],[Prix de revient]]</f>
        <v>0.8</v>
      </c>
    </row>
    <row r="299" spans="1:3">
      <c r="A299" s="232"/>
      <c r="B299" s="214" t="str">
        <f>+[2]!Légumes[[#This Row],[Intitulé]]</f>
        <v>Epinards au beurre</v>
      </c>
      <c r="C299" s="237">
        <f>+[2]!Légumes[[#This Row],[Prix de revient]]</f>
        <v>0.82</v>
      </c>
    </row>
    <row r="300" spans="1:3">
      <c r="A300" s="232"/>
      <c r="B300" s="214" t="str">
        <f>+[2]!Légumes[[#This Row],[Intitulé]]</f>
        <v>côtes de bettes</v>
      </c>
      <c r="C300" s="237">
        <f>+[2]!Légumes[[#This Row],[Prix de revient]]</f>
        <v>0.83</v>
      </c>
    </row>
    <row r="301" spans="1:3">
      <c r="A301" s="214"/>
      <c r="B301" s="214" t="str">
        <f>+[2]!Légumes[[#This Row],[Intitulé]]</f>
        <v>Aubergines grillées</v>
      </c>
      <c r="C301" s="237">
        <f>+[2]!Légumes[[#This Row],[Prix de revient]]</f>
        <v>0.84</v>
      </c>
    </row>
    <row r="302" spans="1:3">
      <c r="A302" s="214"/>
      <c r="B302" s="214" t="str">
        <f>+[2]!Légumes[[#This Row],[Intitulé]]</f>
        <v>Raves glacés</v>
      </c>
      <c r="C302" s="237">
        <f>+[2]!Légumes[[#This Row],[Prix de revient]]</f>
        <v>0.87</v>
      </c>
    </row>
    <row r="303" spans="1:3">
      <c r="A303" s="214"/>
      <c r="B303" s="214" t="str">
        <f>+[2]!Légumes[[#This Row],[Intitulé]]</f>
        <v>Brocolis à l'huile d'olive</v>
      </c>
      <c r="C303" s="237">
        <f>+[2]!Légumes[[#This Row],[Prix de revient]]</f>
        <v>0.88</v>
      </c>
    </row>
    <row r="304" spans="1:3">
      <c r="A304" s="214"/>
      <c r="B304" s="214" t="str">
        <f>+[2]!Légumes[[#This Row],[Intitulé]]</f>
        <v>Courgettes glacées</v>
      </c>
      <c r="C304" s="237">
        <f>+[2]!Légumes[[#This Row],[Prix de revient]]</f>
        <v>0.91</v>
      </c>
    </row>
    <row r="305" spans="1:3">
      <c r="A305" s="214"/>
      <c r="B305" s="214" t="str">
        <f>+[2]!Légumes[[#This Row],[Intitulé]]</f>
        <v>Gratin de choux-fleurs</v>
      </c>
      <c r="C305" s="237">
        <f>+[2]!Légumes[[#This Row],[Prix de revient]]</f>
        <v>0.91</v>
      </c>
    </row>
    <row r="306" spans="1:3">
      <c r="A306" s="214"/>
      <c r="B306" s="214" t="str">
        <f>+[2]!Légumes[[#This Row],[Intitulé]]</f>
        <v>Endives braisées</v>
      </c>
      <c r="C306" s="237">
        <f>+[2]!Légumes[[#This Row],[Prix de revient]]</f>
        <v>0.96</v>
      </c>
    </row>
    <row r="307" spans="1:3">
      <c r="A307" s="214"/>
      <c r="B307" s="214" t="str">
        <f>+[2]!Légumes[[#This Row],[Intitulé]]</f>
        <v>Fenouil à la ratatouille</v>
      </c>
      <c r="C307" s="237">
        <f>+[2]!Légumes[[#This Row],[Prix de revient]]</f>
        <v>1.05</v>
      </c>
    </row>
    <row r="308" spans="1:3">
      <c r="A308" s="214"/>
      <c r="B308" s="214" t="str">
        <f>+[2]!Légumes[[#This Row],[Intitulé]]</f>
        <v>Poireaux à la crème</v>
      </c>
      <c r="C308" s="237">
        <f>+[2]!Légumes[[#This Row],[Prix de revient]]</f>
        <v>1.05</v>
      </c>
    </row>
    <row r="309" spans="1:3">
      <c r="A309" s="214"/>
      <c r="B309" s="214" t="str">
        <f>+[2]!Légumes[[#This Row],[Intitulé]]</f>
        <v>Petits pois à la Francaise</v>
      </c>
      <c r="C309" s="237">
        <f>+[2]!Légumes[[#This Row],[Prix de revient]]</f>
        <v>1.0900000000000001</v>
      </c>
    </row>
    <row r="310" spans="1:3">
      <c r="A310" s="214"/>
      <c r="B310" s="214" t="str">
        <f>+[2]!Légumes[[#This Row],[Intitulé]]</f>
        <v>Fricassée de pleurotes</v>
      </c>
      <c r="C310" s="237">
        <f>+[2]!Légumes[[#This Row],[Prix de revient]]</f>
        <v>1.1000000000000001</v>
      </c>
    </row>
    <row r="311" spans="1:3">
      <c r="A311" s="214"/>
      <c r="B311" s="214" t="str">
        <f>+[2]!Légumes[[#This Row],[Intitulé]]</f>
        <v>Carottes vichy</v>
      </c>
      <c r="C311" s="237">
        <f>+[2]!Légumes[[#This Row],[Prix de revient]]</f>
        <v>1.1100000000000001</v>
      </c>
    </row>
    <row r="312" spans="1:3">
      <c r="A312" s="214"/>
      <c r="B312" s="214" t="str">
        <f>+[2]!Légumes[[#This Row],[Intitulé]]</f>
        <v>Caviar d'aubergines</v>
      </c>
      <c r="C312" s="237">
        <f>+[2]!Légumes[[#This Row],[Prix de revient]]</f>
        <v>1.1100000000000001</v>
      </c>
    </row>
    <row r="313" spans="1:3">
      <c r="A313" s="214"/>
      <c r="B313" s="214" t="str">
        <f>+[2]!Légumes[[#This Row],[Intitulé]]</f>
        <v>Betteraves rôties au four</v>
      </c>
      <c r="C313" s="237">
        <f>+[2]!Légumes[[#This Row],[Prix de revient]]</f>
        <v>1.1200000000000001</v>
      </c>
    </row>
    <row r="314" spans="1:3">
      <c r="A314" s="214"/>
      <c r="B314" s="214" t="str">
        <f>+[2]!Légumes[[#This Row],[Intitulé]]</f>
        <v>Carottes glacées</v>
      </c>
      <c r="C314" s="237">
        <f>+[2]!Légumes[[#This Row],[Prix de revient]]</f>
        <v>1.22</v>
      </c>
    </row>
    <row r="315" spans="1:3">
      <c r="A315" s="214"/>
      <c r="B315" s="214" t="str">
        <f>+[2]!Légumes[[#This Row],[Intitulé]]</f>
        <v>Endives meunières</v>
      </c>
      <c r="C315" s="237">
        <f>+[2]!Légumes[[#This Row],[Prix de revient]]</f>
        <v>1.28</v>
      </c>
    </row>
    <row r="316" spans="1:3">
      <c r="A316" s="214"/>
      <c r="B316" s="214" t="str">
        <f>+[2]!Légumes[[#This Row],[Intitulé]]</f>
        <v>Piperade de poivrons</v>
      </c>
      <c r="C316" s="237">
        <f>+[2]!Légumes[[#This Row],[Prix de revient]]</f>
        <v>1.29</v>
      </c>
    </row>
    <row r="317" spans="1:3">
      <c r="A317" s="214"/>
      <c r="B317" s="214" t="str">
        <f>+[2]!Légumes[[#This Row],[Intitulé]]</f>
        <v>quartier potimarron au four</v>
      </c>
      <c r="C317" s="237">
        <f>+[2]!Légumes[[#This Row],[Prix de revient]]</f>
        <v>1.39</v>
      </c>
    </row>
    <row r="318" spans="1:3">
      <c r="A318" s="214"/>
      <c r="B318" s="214" t="str">
        <f>+[2]!Légumes[[#This Row],[Intitulé]]</f>
        <v xml:space="preserve">Courge au cumin </v>
      </c>
      <c r="C318" s="237">
        <f>+[2]!Légumes[[#This Row],[Prix de revient]]</f>
        <v>1.4</v>
      </c>
    </row>
    <row r="319" spans="1:3">
      <c r="A319" s="214"/>
      <c r="B319" s="214" t="str">
        <f>+[2]!Légumes[[#This Row],[Intitulé]]</f>
        <v>Céleri braisé à l'huile d'olive</v>
      </c>
      <c r="C319" s="237">
        <f>+[2]!Légumes[[#This Row],[Prix de revient]]</f>
        <v>1.41</v>
      </c>
    </row>
    <row r="320" spans="1:3">
      <c r="A320" s="214"/>
      <c r="B320" s="214" t="str">
        <f>+[2]!Légumes[[#This Row],[Intitulé]]</f>
        <v>Champignons de paris persillés</v>
      </c>
      <c r="C320" s="237">
        <f>+[2]!Légumes[[#This Row],[Prix de revient]]</f>
        <v>1.45</v>
      </c>
    </row>
    <row r="321" spans="1:3">
      <c r="A321" s="214"/>
      <c r="B321" s="214" t="str">
        <f>+[2]!Légumes[[#This Row],[Intitulé]]</f>
        <v>Tomates confites</v>
      </c>
      <c r="C321" s="237">
        <f>+[2]!Légumes[[#This Row],[Prix de revient]]</f>
        <v>1.46</v>
      </c>
    </row>
    <row r="322" spans="1:3">
      <c r="A322" s="214"/>
      <c r="B322" s="214" t="str">
        <f>+[2]!Légumes[[#This Row],[Intitulé]]</f>
        <v>Fond d'artichauds farcis aux champignons</v>
      </c>
      <c r="C322" s="237">
        <f>+[2]!Légumes[[#This Row],[Prix de revient]]</f>
        <v>1.6</v>
      </c>
    </row>
    <row r="323" spans="1:3">
      <c r="A323" s="214"/>
      <c r="B323" s="214" t="str">
        <f>+[2]!Légumes[[#This Row],[Intitulé]]</f>
        <v>Tomates Provençales</v>
      </c>
      <c r="C323" s="237">
        <f>+[2]!Légumes[[#This Row],[Prix de revient]]</f>
        <v>1.6</v>
      </c>
    </row>
    <row r="324" spans="1:3">
      <c r="A324" s="214"/>
      <c r="B324" s="214" t="str">
        <f>+[2]!Légumes[[#This Row],[Intitulé]]</f>
        <v>Chou rouge braisé</v>
      </c>
      <c r="C324" s="237">
        <f>+[2]!Légumes[[#This Row],[Prix de revient]]</f>
        <v>1.66</v>
      </c>
    </row>
    <row r="325" spans="1:3">
      <c r="A325" s="214"/>
      <c r="B325" s="214" t="str">
        <f>+[2]!Légumes[[#This Row],[Intitulé]]</f>
        <v>Tomate farcie aux pignons</v>
      </c>
      <c r="C325" s="237">
        <f>+[2]!Légumes[[#This Row],[Prix de revient]]</f>
        <v>1.93</v>
      </c>
    </row>
    <row r="326" spans="1:3">
      <c r="A326" s="214"/>
      <c r="B326" s="214" t="str">
        <f>+[2]!Légumes[[#This Row],[Intitulé]]</f>
        <v>Fagots d'haricots verts</v>
      </c>
      <c r="C326" s="237">
        <f>+[2]!Légumes[[#This Row],[Prix de revient]]</f>
        <v>1.95</v>
      </c>
    </row>
    <row r="327" spans="1:3">
      <c r="A327" s="214"/>
      <c r="B327" s="214" t="str">
        <f>+[2]!Légumes[[#This Row],[Intitulé]]</f>
        <v>Légumes pot au feu</v>
      </c>
      <c r="C327" s="237">
        <f>+[2]!Légumes[[#This Row],[Prix de revient]]</f>
        <v>1.96</v>
      </c>
    </row>
    <row r="328" spans="1:3">
      <c r="A328" s="214"/>
      <c r="B328" s="214" t="str">
        <f>+[2]!Légumes[[#This Row],[Intitulé]]</f>
        <v>Pack-choï au sésame</v>
      </c>
      <c r="C328" s="237">
        <f>+[2]!Légumes[[#This Row],[Prix de revient]]</f>
        <v>2.2599999999999998</v>
      </c>
    </row>
    <row r="329" spans="1:3">
      <c r="A329" s="214"/>
      <c r="B329" s="214" t="str">
        <f>+[2]!Légumes[[#This Row],[Intitulé]]</f>
        <v>Laitue braisée</v>
      </c>
      <c r="C329" s="237">
        <f>+[2]!Légumes[[#This Row],[Prix de revient]]</f>
        <v>2.38</v>
      </c>
    </row>
    <row r="330" spans="1:3">
      <c r="A330" s="214"/>
      <c r="B330" s="214">
        <f>+[2]!Légumes[[#This Row],[Intitulé]]</f>
        <v>0</v>
      </c>
      <c r="C330" s="237">
        <f>+[2]!Légumes[[#This Row],[Prix de revient]]</f>
        <v>0</v>
      </c>
    </row>
    <row r="331" spans="1:3">
      <c r="A331" s="214"/>
      <c r="B331" s="214">
        <f>+[2]!Légumes[[#This Row],[Intitulé]]</f>
        <v>0</v>
      </c>
      <c r="C331" s="237">
        <f>+[2]!Légumes[[#This Row],[Prix de revient]]</f>
        <v>0</v>
      </c>
    </row>
    <row r="332" spans="1:3">
      <c r="A332" s="214"/>
      <c r="B332" s="214">
        <f>+[2]!Légumes[[#This Row],[Intitulé]]</f>
        <v>0</v>
      </c>
      <c r="C332" s="237">
        <f>+[2]!Légumes[[#This Row],[Prix de revient]]</f>
        <v>0</v>
      </c>
    </row>
    <row r="333" spans="1:3">
      <c r="A333" s="214"/>
      <c r="B333" s="214">
        <f>+[2]!Légumes[[#This Row],[Intitulé]]</f>
        <v>0</v>
      </c>
      <c r="C333" s="237">
        <f>+[2]!Légumes[[#This Row],[Prix de revient]]</f>
        <v>0</v>
      </c>
    </row>
    <row r="334" spans="1:3">
      <c r="A334" s="214"/>
      <c r="B334" s="214">
        <f>+[2]!Légumes[[#This Row],[Intitulé]]</f>
        <v>0</v>
      </c>
      <c r="C334" s="237">
        <f>+[2]!Légumes[[#This Row],[Prix de revient]]</f>
        <v>0</v>
      </c>
    </row>
    <row r="335" spans="1:3">
      <c r="A335" s="214"/>
      <c r="B335" s="214">
        <f>+[2]!Légumes[[#This Row],[Intitulé]]</f>
        <v>0</v>
      </c>
      <c r="C335" s="237">
        <f>+[2]!Légumes[[#This Row],[Prix de revient]]</f>
        <v>0</v>
      </c>
    </row>
    <row r="336" spans="1:3">
      <c r="A336" s="214"/>
      <c r="B336" s="214">
        <f>+[2]!Légumes[[#This Row],[Intitulé]]</f>
        <v>0</v>
      </c>
      <c r="C336" s="237">
        <f>+[2]!Légumes[[#This Row],[Prix de revient]]</f>
        <v>0</v>
      </c>
    </row>
    <row r="337" spans="1:3">
      <c r="A337" s="214"/>
      <c r="B337" s="214">
        <f>+[2]!Légumes[[#This Row],[Intitulé]]</f>
        <v>0</v>
      </c>
      <c r="C337" s="237">
        <f>+[2]!Légumes[[#This Row],[Prix de revient]]</f>
        <v>0</v>
      </c>
    </row>
    <row r="338" spans="1:3">
      <c r="A338" s="214"/>
      <c r="B338" s="214">
        <f>+[2]!Légumes[[#This Row],[Intitulé]]</f>
        <v>0</v>
      </c>
      <c r="C338" s="237">
        <f>+[2]!Légumes[[#This Row],[Prix de revient]]</f>
        <v>0</v>
      </c>
    </row>
    <row r="339" spans="1:3">
      <c r="A339" s="214"/>
      <c r="B339" s="214">
        <f>+[2]!Légumes[[#This Row],[Intitulé]]</f>
        <v>0</v>
      </c>
      <c r="C339" s="237">
        <f>+[2]!Légumes[[#This Row],[Prix de revient]]</f>
        <v>0</v>
      </c>
    </row>
    <row r="340" spans="1:3">
      <c r="A340" s="214"/>
      <c r="B340" s="214">
        <f>+[2]!Légumes[[#This Row],[Intitulé]]</f>
        <v>0</v>
      </c>
      <c r="C340" s="237">
        <f>+[2]!Légumes[[#This Row],[Prix de revient]]</f>
        <v>0</v>
      </c>
    </row>
    <row r="341" spans="1:3">
      <c r="A341" s="214"/>
      <c r="B341" s="214">
        <f>+[2]!Légumes[[#This Row],[Intitulé]]</f>
        <v>0</v>
      </c>
      <c r="C341" s="237">
        <f>+[2]!Légumes[[#This Row],[Prix de revient]]</f>
        <v>0</v>
      </c>
    </row>
    <row r="342" spans="1:3">
      <c r="A342" s="214"/>
      <c r="B342" s="214">
        <f>+[2]!Légumes[[#This Row],[Intitulé]]</f>
        <v>0</v>
      </c>
      <c r="C342" s="237">
        <f>+[2]!Légumes[[#This Row],[Prix de revient]]</f>
        <v>0</v>
      </c>
    </row>
    <row r="343" spans="1:3">
      <c r="A343" s="214"/>
      <c r="B343" s="214">
        <f>+[2]!Légumes[[#This Row],[Intitulé]]</f>
        <v>0</v>
      </c>
      <c r="C343" s="237">
        <f>+[2]!Légumes[[#This Row],[Prix de revient]]</f>
        <v>0</v>
      </c>
    </row>
    <row r="344" spans="1:3">
      <c r="A344" s="214"/>
      <c r="B344" s="214">
        <f>+[2]!Légumes[[#This Row],[Intitulé]]</f>
        <v>0</v>
      </c>
      <c r="C344" s="237">
        <f>+[2]!Légumes[[#This Row],[Prix de revient]]</f>
        <v>0</v>
      </c>
    </row>
    <row r="345" spans="1:3">
      <c r="A345" s="214"/>
      <c r="B345" s="214">
        <f>+[2]!Légumes[[#This Row],[Intitulé]]</f>
        <v>0</v>
      </c>
      <c r="C345" s="237">
        <f>+[2]!Légumes[[#This Row],[Prix de revient]]</f>
        <v>0</v>
      </c>
    </row>
    <row r="346" spans="1:3">
      <c r="A346" s="214"/>
      <c r="B346" s="214">
        <f>+[2]!Légumes[[#This Row],[Intitulé]]</f>
        <v>0</v>
      </c>
      <c r="C346" s="237">
        <f>+[2]!Légumes[[#This Row],[Prix de revient]]</f>
        <v>0</v>
      </c>
    </row>
    <row r="347" spans="1:3">
      <c r="A347" s="214"/>
      <c r="B347" s="214">
        <f>+[2]!Légumes[[#This Row],[Intitulé]]</f>
        <v>0</v>
      </c>
      <c r="C347" s="237">
        <f>+[2]!Légumes[[#This Row],[Prix de revient]]</f>
        <v>0</v>
      </c>
    </row>
    <row r="348" spans="1:3">
      <c r="A348" s="214"/>
      <c r="B348" s="214">
        <f>+[2]!Légumes[[#This Row],[Intitulé]]</f>
        <v>0</v>
      </c>
      <c r="C348" s="237">
        <f>+[2]!Légumes[[#This Row],[Prix de revient]]</f>
        <v>0</v>
      </c>
    </row>
    <row r="349" spans="1:3">
      <c r="A349" s="214"/>
      <c r="B349" s="214">
        <f>+[2]!Légumes[[#This Row],[Intitulé]]</f>
        <v>0</v>
      </c>
      <c r="C349" s="237">
        <f>+[2]!Légumes[[#This Row],[Prix de revient]]</f>
        <v>0</v>
      </c>
    </row>
    <row r="350" spans="1:3">
      <c r="A350" s="214"/>
      <c r="B350" s="214">
        <f>+[2]!Légumes[[#This Row],[Intitulé]]</f>
        <v>0</v>
      </c>
      <c r="C350" s="237">
        <f>+[2]!Légumes[[#This Row],[Prix de revient]]</f>
        <v>0</v>
      </c>
    </row>
    <row r="351" spans="1:3">
      <c r="A351" s="214"/>
      <c r="B351" s="214">
        <f>+[2]!Légumes[[#This Row],[Intitulé]]</f>
        <v>0</v>
      </c>
      <c r="C351" s="237">
        <f>+[2]!Légumes[[#This Row],[Prix de revient]]</f>
        <v>0</v>
      </c>
    </row>
    <row r="352" spans="1:3">
      <c r="A352" s="214"/>
      <c r="B352" s="214">
        <f>+[2]!Légumes[[#This Row],[Intitulé]]</f>
        <v>0</v>
      </c>
      <c r="C352" s="237">
        <f>+[2]!Légumes[[#This Row],[Prix de revient]]</f>
        <v>0</v>
      </c>
    </row>
    <row r="353" spans="1:3">
      <c r="A353" s="214"/>
      <c r="B353" s="214">
        <f>+[2]!Légumes[[#This Row],[Intitulé]]</f>
        <v>0</v>
      </c>
      <c r="C353" s="237">
        <f>+[2]!Légumes[[#This Row],[Prix de revient]]</f>
        <v>0</v>
      </c>
    </row>
    <row r="354" spans="1:3">
      <c r="A354" s="214"/>
      <c r="B354" s="214">
        <f>+[2]!Légumes[[#This Row],[Intitulé]]</f>
        <v>0</v>
      </c>
      <c r="C354" s="237">
        <f>+[2]!Légumes[[#This Row],[Prix de revient]]</f>
        <v>0</v>
      </c>
    </row>
    <row r="355" spans="1:3">
      <c r="A355" s="214"/>
      <c r="B355" s="214">
        <f>+[2]!Légumes[[#This Row],[Intitulé]]</f>
        <v>0</v>
      </c>
      <c r="C355" s="237">
        <f>+[2]!Légumes[[#This Row],[Prix de revient]]</f>
        <v>0</v>
      </c>
    </row>
    <row r="356" spans="1:3">
      <c r="A356" s="214"/>
      <c r="B356" s="214">
        <f>+[2]!Légumes[[#This Row],[Intitulé]]</f>
        <v>0</v>
      </c>
      <c r="C356" s="237">
        <f>+[2]!Légumes[[#This Row],[Prix de revient]]</f>
        <v>0</v>
      </c>
    </row>
    <row r="357" spans="1:3">
      <c r="A357" s="214"/>
      <c r="B357" s="214">
        <f>+[2]!Légumes[[#This Row],[Intitulé]]</f>
        <v>0</v>
      </c>
      <c r="C357" s="237">
        <f>+[2]!Légumes[[#This Row],[Prix de revient]]</f>
        <v>0</v>
      </c>
    </row>
    <row r="358" spans="1:3">
      <c r="A358" s="214"/>
      <c r="B358" s="214">
        <f>+[2]!Légumes[[#This Row],[Intitulé]]</f>
        <v>0</v>
      </c>
      <c r="C358" s="237">
        <f>+[2]!Légumes[[#This Row],[Prix de revient]]</f>
        <v>0</v>
      </c>
    </row>
    <row r="359" spans="1:3">
      <c r="A359" s="214"/>
      <c r="B359" s="214">
        <f>+[2]!Légumes[[#This Row],[Intitulé]]</f>
        <v>0</v>
      </c>
      <c r="C359" s="237">
        <f>+[2]!Légumes[[#This Row],[Prix de revient]]</f>
        <v>0</v>
      </c>
    </row>
    <row r="360" spans="1:3">
      <c r="A360" s="214"/>
      <c r="B360" s="214">
        <f>+[2]!Légumes[[#This Row],[Intitulé]]</f>
        <v>0</v>
      </c>
      <c r="C360" s="237">
        <f>+[2]!Légumes[[#This Row],[Prix de revient]]</f>
        <v>0</v>
      </c>
    </row>
    <row r="361" spans="1:3">
      <c r="A361" s="214"/>
      <c r="B361" s="214">
        <f>+[2]!Légumes[[#This Row],[Intitulé]]</f>
        <v>0</v>
      </c>
      <c r="C361" s="237">
        <f>+[2]!Légumes[[#This Row],[Prix de revient]]</f>
        <v>0</v>
      </c>
    </row>
    <row r="362" spans="1:3">
      <c r="A362" s="214"/>
      <c r="B362" s="214">
        <f>+[2]!Légumes[[#This Row],[Intitulé]]</f>
        <v>0</v>
      </c>
      <c r="C362" s="237">
        <f>+[2]!Légumes[[#This Row],[Prix de revient]]</f>
        <v>0</v>
      </c>
    </row>
    <row r="363" spans="1:3">
      <c r="A363" s="214"/>
      <c r="B363" s="214">
        <f>+[2]!Légumes[[#This Row],[Intitulé]]</f>
        <v>0</v>
      </c>
      <c r="C363" s="237">
        <f>+[2]!Légumes[[#This Row],[Prix de revient]]</f>
        <v>0</v>
      </c>
    </row>
    <row r="364" spans="1:3">
      <c r="A364" s="214"/>
      <c r="B364" s="214">
        <f>+[2]!Légumes[[#This Row],[Intitulé]]</f>
        <v>0</v>
      </c>
      <c r="C364" s="237">
        <f>+[2]!Légumes[[#This Row],[Prix de revient]]</f>
        <v>0</v>
      </c>
    </row>
    <row r="365" spans="1:3">
      <c r="A365" s="214"/>
      <c r="B365" s="214">
        <f>+[2]!Légumes[[#This Row],[Intitulé]]</f>
        <v>0</v>
      </c>
      <c r="C365" s="237">
        <f>+[2]!Légumes[[#This Row],[Prix de revient]]</f>
        <v>0</v>
      </c>
    </row>
    <row r="366" spans="1:3">
      <c r="A366" s="214"/>
      <c r="B366" s="214">
        <f>+[2]!Légumes[[#This Row],[Intitulé]]</f>
        <v>0</v>
      </c>
      <c r="C366" s="237">
        <f>+[2]!Légumes[[#This Row],[Prix de revient]]</f>
        <v>0</v>
      </c>
    </row>
    <row r="367" spans="1:3">
      <c r="A367" s="214"/>
      <c r="B367" s="214">
        <f>+[2]!Légumes[[#This Row],[Intitulé]]</f>
        <v>0</v>
      </c>
      <c r="C367" s="237">
        <f>+[2]!Légumes[[#This Row],[Prix de revient]]</f>
        <v>0</v>
      </c>
    </row>
    <row r="368" spans="1:3">
      <c r="A368" s="214"/>
      <c r="B368" s="214">
        <f>+[2]!Légumes[[#This Row],[Intitulé]]</f>
        <v>0</v>
      </c>
      <c r="C368" s="237">
        <f>+[2]!Légumes[[#This Row],[Prix de revient]]</f>
        <v>0</v>
      </c>
    </row>
    <row r="369" spans="1:3">
      <c r="A369" s="214"/>
      <c r="B369" s="214">
        <f>+[2]!Légumes[[#This Row],[Intitulé]]</f>
        <v>0</v>
      </c>
      <c r="C369" s="237">
        <f>+[2]!Légumes[[#This Row],[Prix de revient]]</f>
        <v>0</v>
      </c>
    </row>
    <row r="370" spans="1:3">
      <c r="A370" s="214"/>
      <c r="B370" s="214">
        <f>+[2]!Légumes[[#This Row],[Intitulé]]</f>
        <v>0</v>
      </c>
      <c r="C370" s="237">
        <f>+[2]!Légumes[[#This Row],[Prix de revient]]</f>
        <v>0</v>
      </c>
    </row>
    <row r="371" spans="1:3">
      <c r="A371" s="214"/>
      <c r="B371" s="214">
        <f>+[2]!Légumes[[#This Row],[Intitulé]]</f>
        <v>0</v>
      </c>
      <c r="C371" s="237">
        <f>+[2]!Légumes[[#This Row],[Prix de revient]]</f>
        <v>0</v>
      </c>
    </row>
    <row r="372" spans="1:3">
      <c r="A372" s="214"/>
      <c r="B372" s="214">
        <f>+[2]!Légumes[[#This Row],[Intitulé]]</f>
        <v>0</v>
      </c>
      <c r="C372" s="237">
        <f>+[2]!Légumes[[#This Row],[Prix de revient]]</f>
        <v>0</v>
      </c>
    </row>
    <row r="373" spans="1:3">
      <c r="A373" s="214"/>
      <c r="B373" s="214">
        <f>+[2]!Légumes[[#This Row],[Intitulé]]</f>
        <v>0</v>
      </c>
      <c r="C373" s="237">
        <f>+[2]!Légumes[[#This Row],[Prix de revient]]</f>
        <v>0</v>
      </c>
    </row>
    <row r="374" spans="1:3">
      <c r="A374" s="214"/>
      <c r="B374" s="214">
        <f>+[2]!Légumes[[#This Row],[Intitulé]]</f>
        <v>0</v>
      </c>
      <c r="C374" s="237">
        <f>+[2]!Légumes[[#This Row],[Prix de revient]]</f>
        <v>0</v>
      </c>
    </row>
    <row r="375" spans="1:3">
      <c r="A375" s="214"/>
      <c r="B375" s="214">
        <f>+[2]!Légumes[[#This Row],[Intitulé]]</f>
        <v>0</v>
      </c>
      <c r="C375" s="237">
        <f>+[2]!Légumes[[#This Row],[Prix de revient]]</f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60"/>
  <sheetViews>
    <sheetView topLeftCell="A18" workbookViewId="0">
      <selection activeCell="H14" sqref="H14"/>
    </sheetView>
  </sheetViews>
  <sheetFormatPr baseColWidth="10" defaultRowHeight="12.75"/>
  <cols>
    <col min="1" max="1" width="11.5703125" customWidth="1"/>
    <col min="2" max="2" width="54.85546875" customWidth="1"/>
    <col min="3" max="3" width="16.5703125" customWidth="1"/>
  </cols>
  <sheetData>
    <row r="1" spans="1:3">
      <c r="A1" t="s">
        <v>211</v>
      </c>
      <c r="B1" t="s">
        <v>148</v>
      </c>
      <c r="C1" t="s">
        <v>149</v>
      </c>
    </row>
    <row r="2" spans="1:3">
      <c r="A2" s="25" t="s">
        <v>165</v>
      </c>
      <c r="B2" t="str">
        <f>+[2]!Desserts[[#This Row],[Colonne1]]</f>
        <v>Salade de fruits</v>
      </c>
      <c r="C2" s="213">
        <f>+[2]!Desserts[[#This Row],[Colonne2]]</f>
        <v>0.77</v>
      </c>
    </row>
    <row r="3" spans="1:3">
      <c r="B3" t="str">
        <f>+[2]!Desserts[[#This Row],[Colonne1]]</f>
        <v>Crème brulée</v>
      </c>
      <c r="C3" s="213">
        <f>+[2]!Desserts[[#This Row],[Colonne2]]</f>
        <v>0.81</v>
      </c>
    </row>
    <row r="4" spans="1:3">
      <c r="B4" t="str">
        <f>+[2]!Desserts[[#This Row],[Colonne1]]</f>
        <v>Créme Catalane</v>
      </c>
      <c r="C4" s="213">
        <f>+[2]!Desserts[[#This Row],[Colonne2]]</f>
        <v>0.82</v>
      </c>
    </row>
    <row r="5" spans="1:3">
      <c r="B5" t="str">
        <f>+[2]!Desserts[[#This Row],[Colonne1]]</f>
        <v>Panna cotta au coulis de cassis</v>
      </c>
      <c r="C5" s="213">
        <f>+[2]!Desserts[[#This Row],[Colonne2]]</f>
        <v>0.91</v>
      </c>
    </row>
    <row r="6" spans="1:3">
      <c r="B6" t="str">
        <f>+[2]!Desserts[[#This Row],[Colonne1]]</f>
        <v>Flanc au caramel</v>
      </c>
      <c r="C6" s="213">
        <f>+[2]!Desserts[[#This Row],[Colonne2]]</f>
        <v>0.99</v>
      </c>
    </row>
    <row r="7" spans="1:3">
      <c r="B7" t="str">
        <f>+[2]!Desserts[[#This Row],[Colonne1]]</f>
        <v>Crumble aux fruits</v>
      </c>
      <c r="C7" s="213">
        <f>+[2]!Desserts[[#This Row],[Colonne2]]</f>
        <v>1</v>
      </c>
    </row>
    <row r="8" spans="1:3">
      <c r="B8" t="str">
        <f>+[2]!Desserts[[#This Row],[Colonne1]]</f>
        <v>Bavarois aux fruits rouge</v>
      </c>
      <c r="C8" s="213">
        <f>+[2]!Desserts[[#This Row],[Colonne2]]</f>
        <v>1.06</v>
      </c>
    </row>
    <row r="9" spans="1:3">
      <c r="B9" t="str">
        <f>+[2]!Desserts[[#This Row],[Colonne1]]</f>
        <v>Mousse au café</v>
      </c>
      <c r="C9" s="213">
        <f>+[2]!Desserts[[#This Row],[Colonne2]]</f>
        <v>1.1599999999999999</v>
      </c>
    </row>
    <row r="10" spans="1:3">
      <c r="B10" t="str">
        <f>+[2]!Desserts[[#This Row],[Colonne1]]</f>
        <v>Mousse au chocolat au lait</v>
      </c>
      <c r="C10" s="213">
        <f>+[2]!Desserts[[#This Row],[Colonne2]]</f>
        <v>1.2</v>
      </c>
    </row>
    <row r="11" spans="1:3">
      <c r="B11" t="str">
        <f>+[2]!Desserts[[#This Row],[Colonne1]]</f>
        <v>Mousse mangue, coulis de framboise</v>
      </c>
      <c r="C11" s="213">
        <f>+[2]!Desserts[[#This Row],[Colonne2]]</f>
        <v>1.25</v>
      </c>
    </row>
    <row r="12" spans="1:3">
      <c r="B12" t="str">
        <f>+[2]!Desserts[[#This Row],[Colonne1]]</f>
        <v>Gâteau aux fruits</v>
      </c>
      <c r="C12" s="213">
        <f>+[2]!Desserts[[#This Row],[Colonne2]]</f>
        <v>1.26</v>
      </c>
    </row>
    <row r="13" spans="1:3">
      <c r="B13" t="str">
        <f>+[2]!Desserts[[#This Row],[Colonne1]]</f>
        <v>Tarte aux pommes</v>
      </c>
      <c r="C13" s="213">
        <f>+[2]!Desserts[[#This Row],[Colonne2]]</f>
        <v>1.26</v>
      </c>
    </row>
    <row r="14" spans="1:3">
      <c r="B14" t="str">
        <f>+[2]!Desserts[[#This Row],[Colonne1]]</f>
        <v>Tarte au vin blanc</v>
      </c>
      <c r="C14" s="213">
        <f>+[2]!Desserts[[#This Row],[Colonne2]]</f>
        <v>1.34</v>
      </c>
    </row>
    <row r="15" spans="1:3">
      <c r="B15" t="str">
        <f>+[2]!Desserts[[#This Row],[Colonne1]]</f>
        <v>Mousse au chocolat blanc</v>
      </c>
      <c r="C15" s="213">
        <f>+[2]!Desserts[[#This Row],[Colonne2]]</f>
        <v>1.39</v>
      </c>
    </row>
    <row r="16" spans="1:3">
      <c r="B16" t="str">
        <f>+[2]!Desserts[[#This Row],[Colonne1]]</f>
        <v xml:space="preserve">Flan à la coco </v>
      </c>
      <c r="C16" s="213">
        <f>+[2]!Desserts[[#This Row],[Colonne2]]</f>
        <v>1.41</v>
      </c>
    </row>
    <row r="17" spans="2:3">
      <c r="B17" t="str">
        <f>+[2]!Desserts[[#This Row],[Colonne1]]</f>
        <v>Mousse straciatella</v>
      </c>
      <c r="C17" s="213">
        <f>+[2]!Desserts[[#This Row],[Colonne2]]</f>
        <v>1.43</v>
      </c>
    </row>
    <row r="18" spans="2:3">
      <c r="B18" t="str">
        <f>+[2]!Desserts[[#This Row],[Colonne1]]</f>
        <v>Mousse au chocolat noir</v>
      </c>
      <c r="C18" s="213">
        <f>+[2]!Desserts[[#This Row],[Colonne2]]</f>
        <v>1.54</v>
      </c>
    </row>
    <row r="19" spans="2:3">
      <c r="B19" t="str">
        <f>+[2]!Desserts[[#This Row],[Colonne1]]</f>
        <v>Mousse au Toblerone</v>
      </c>
      <c r="C19" s="213">
        <f>+[2]!Desserts[[#This Row],[Colonne2]]</f>
        <v>1.66</v>
      </c>
    </row>
    <row r="20" spans="2:3">
      <c r="B20" t="str">
        <f>+[2]!Desserts[[#This Row],[Colonne1]]</f>
        <v>Pudding diplomate au chocolat</v>
      </c>
      <c r="C20" s="213">
        <f>+[2]!Desserts[[#This Row],[Colonne2]]</f>
        <v>1.7</v>
      </c>
    </row>
    <row r="21" spans="2:3">
      <c r="B21" t="str">
        <f>+[2]!Desserts[[#This Row],[Colonne1]]</f>
        <v>Meringue, créme double, coulis de framboises</v>
      </c>
      <c r="C21" s="213">
        <f>+[2]!Desserts[[#This Row],[Colonne2]]</f>
        <v>1.76</v>
      </c>
    </row>
    <row r="22" spans="2:3">
      <c r="B22" t="str">
        <f>+[2]!Desserts[[#This Row],[Colonne1]]</f>
        <v>Tartelette au chocolat onctueuse</v>
      </c>
      <c r="C22" s="213">
        <f>+[2]!Desserts[[#This Row],[Colonne2]]</f>
        <v>1.93</v>
      </c>
    </row>
    <row r="23" spans="2:3">
      <c r="B23" t="str">
        <f>+[2]!Desserts[[#This Row],[Colonne1]]</f>
        <v>tarte au vin cuit</v>
      </c>
      <c r="C23" s="213">
        <f>+[2]!Desserts[[#This Row],[Colonne2]]</f>
        <v>1.96</v>
      </c>
    </row>
    <row r="24" spans="2:3">
      <c r="B24" t="str">
        <f>+[2]!Desserts[[#This Row],[Colonne1]]</f>
        <v>Crêpe chocolat banane</v>
      </c>
      <c r="C24" s="213">
        <f>+[2]!Desserts[[#This Row],[Colonne2]]</f>
        <v>2</v>
      </c>
    </row>
    <row r="25" spans="2:3">
      <c r="B25" t="str">
        <f>+[2]!Desserts[[#This Row],[Colonne1]]</f>
        <v>Tartelette aux fruits</v>
      </c>
      <c r="C25" s="213">
        <f>+[2]!Desserts[[#This Row],[Colonne2]]</f>
        <v>2.0299999999999998</v>
      </c>
    </row>
    <row r="26" spans="2:3">
      <c r="B26" t="str">
        <f>+[2]!Desserts[[#This Row],[Colonne1]]</f>
        <v xml:space="preserve">Opéra chocolat </v>
      </c>
      <c r="C26" s="213">
        <f>+[2]!Desserts[[#This Row],[Colonne2]]</f>
        <v>2.06</v>
      </c>
    </row>
    <row r="27" spans="2:3">
      <c r="B27" t="str">
        <f>+[2]!Desserts[[#This Row],[Colonne1]]</f>
        <v>Poire caramélisée au chocolat</v>
      </c>
      <c r="C27" s="213">
        <f>+[2]!Desserts[[#This Row],[Colonne2]]</f>
        <v>2.13</v>
      </c>
    </row>
    <row r="28" spans="2:3">
      <c r="B28" t="str">
        <f>+[2]!Desserts[[#This Row],[Colonne1]]</f>
        <v>Entremet au citron</v>
      </c>
      <c r="C28" s="213">
        <f>+[2]!Desserts[[#This Row],[Colonne2]]</f>
        <v>2.14</v>
      </c>
    </row>
    <row r="29" spans="2:3">
      <c r="B29" t="str">
        <f>+[2]!Desserts[[#This Row],[Colonne1]]</f>
        <v>Dôme mangue abricot</v>
      </c>
      <c r="C29" s="213">
        <f>+[2]!Desserts[[#This Row],[Colonne2]]</f>
        <v>2.16</v>
      </c>
    </row>
    <row r="30" spans="2:3">
      <c r="B30" t="str">
        <f>+[2]!Desserts[[#This Row],[Colonne1]]</f>
        <v>Tartelette aux fraises</v>
      </c>
      <c r="C30" s="213">
        <f>+[2]!Desserts[[#This Row],[Colonne2]]</f>
        <v>2.1800000000000002</v>
      </c>
    </row>
    <row r="31" spans="2:3">
      <c r="B31" t="str">
        <f>+[2]!Desserts[[#This Row],[Colonne1]]</f>
        <v xml:space="preserve">tarte au citron et framboise </v>
      </c>
      <c r="C31" s="213">
        <f>+[2]!Desserts[[#This Row],[Colonne2]]</f>
        <v>2.2000000000000002</v>
      </c>
    </row>
    <row r="32" spans="2:3">
      <c r="B32" t="str">
        <f>+[2]!Desserts[[#This Row],[Colonne1]]</f>
        <v>Assiette de fromages italien</v>
      </c>
      <c r="C32" s="213">
        <f>+[2]!Desserts[[#This Row],[Colonne2]]</f>
        <v>2.33</v>
      </c>
    </row>
    <row r="33" spans="2:3">
      <c r="B33" t="str">
        <f>+[2]!Desserts[[#This Row],[Colonne1]]</f>
        <v xml:space="preserve">Tarte tatin  </v>
      </c>
      <c r="C33" s="213">
        <f>+[2]!Desserts[[#This Row],[Colonne2]]</f>
        <v>2.37</v>
      </c>
    </row>
    <row r="34" spans="2:3">
      <c r="B34" t="str">
        <f>+[2]!Desserts[[#This Row],[Colonne1]]</f>
        <v>Baba à la vanille, citron vert et yuzu</v>
      </c>
      <c r="C34" s="213">
        <f>+[2]!Desserts[[#This Row],[Colonne2]]</f>
        <v>2.39</v>
      </c>
    </row>
    <row r="35" spans="2:3">
      <c r="B35" t="str">
        <f>+[2]!Desserts[[#This Row],[Colonne1]]</f>
        <v>Tiramisu</v>
      </c>
      <c r="C35" s="213">
        <f>+[2]!Desserts[[#This Row],[Colonne2]]</f>
        <v>2.4500000000000002</v>
      </c>
    </row>
    <row r="36" spans="2:3">
      <c r="B36" t="str">
        <f>+[2]!Desserts[[#This Row],[Colonne1]]</f>
        <v>Pommes au four, crème vanille.xls</v>
      </c>
      <c r="C36" s="213">
        <f>+[2]!Desserts[[#This Row],[Colonne2]]</f>
        <v>2.48</v>
      </c>
    </row>
    <row r="37" spans="2:3">
      <c r="B37" t="str">
        <f>+[2]!Desserts[[#This Row],[Colonne1]]</f>
        <v>Assiette de fromage français</v>
      </c>
      <c r="C37" s="213">
        <f>+[2]!Desserts[[#This Row],[Colonne2]]</f>
        <v>2.65</v>
      </c>
    </row>
    <row r="38" spans="2:3">
      <c r="B38" t="str">
        <f>+[2]!Desserts[[#This Row],[Colonne1]]</f>
        <v>Assiette de fomages</v>
      </c>
      <c r="C38" s="213">
        <f>+[2]!Desserts[[#This Row],[Colonne2]]</f>
        <v>2.7</v>
      </c>
    </row>
    <row r="39" spans="2:3">
      <c r="B39" t="str">
        <f>+[2]!Desserts[[#This Row],[Colonne1]]</f>
        <v>Strudel aux pommes</v>
      </c>
      <c r="C39" s="213">
        <f>+[2]!Desserts[[#This Row],[Colonne2]]</f>
        <v>2.75</v>
      </c>
    </row>
    <row r="40" spans="2:3">
      <c r="B40" t="str">
        <f>+[2]!Desserts[[#This Row],[Colonne1]]</f>
        <v xml:space="preserve">Tarte bourdaloue, crème chocolat  </v>
      </c>
      <c r="C40" s="213">
        <f>+[2]!Desserts[[#This Row],[Colonne2]]</f>
        <v>2.76</v>
      </c>
    </row>
    <row r="41" spans="2:3">
      <c r="B41" t="str">
        <f>+[2]!Desserts[[#This Row],[Colonne1]]</f>
        <v>Sablé mangue panna cotta</v>
      </c>
      <c r="C41" s="213">
        <f>+[2]!Desserts[[#This Row],[Colonne2]]</f>
        <v>2.8</v>
      </c>
    </row>
    <row r="42" spans="2:3">
      <c r="B42" t="str">
        <f>+[2]!Desserts[[#This Row],[Colonne1]]</f>
        <v xml:space="preserve">Truffé au chocolat </v>
      </c>
      <c r="C42" s="213">
        <f>+[2]!Desserts[[#This Row],[Colonne2]]</f>
        <v>3.06</v>
      </c>
    </row>
    <row r="43" spans="2:3">
      <c r="B43">
        <f>+[2]!Desserts[[#This Row],[Colonne1]]</f>
        <v>0</v>
      </c>
      <c r="C43" s="213">
        <f>+[2]!Desserts[[#This Row],[Colonne2]]</f>
        <v>0</v>
      </c>
    </row>
    <row r="44" spans="2:3">
      <c r="B44">
        <f>+[2]!Desserts[[#This Row],[Colonne1]]</f>
        <v>0</v>
      </c>
      <c r="C44" s="213">
        <f>+[2]!Desserts[[#This Row],[Colonne2]]</f>
        <v>0</v>
      </c>
    </row>
    <row r="45" spans="2:3">
      <c r="B45">
        <f>+[2]!Desserts[[#This Row],[Colonne1]]</f>
        <v>0</v>
      </c>
      <c r="C45" s="213">
        <f>+[2]!Desserts[[#This Row],[Colonne2]]</f>
        <v>0</v>
      </c>
    </row>
    <row r="46" spans="2:3">
      <c r="B46">
        <f>+[2]!Desserts[[#This Row],[Colonne1]]</f>
        <v>0</v>
      </c>
      <c r="C46" s="213">
        <f>+[2]!Desserts[[#This Row],[Colonne2]]</f>
        <v>0</v>
      </c>
    </row>
    <row r="47" spans="2:3">
      <c r="B47">
        <f>+[2]!Desserts[[#This Row],[Colonne1]]</f>
        <v>0</v>
      </c>
      <c r="C47" s="213">
        <f>+[2]!Desserts[[#This Row],[Colonne2]]</f>
        <v>0</v>
      </c>
    </row>
    <row r="48" spans="2:3">
      <c r="B48">
        <f>+[2]!Desserts[[#This Row],[Colonne1]]</f>
        <v>0</v>
      </c>
      <c r="C48" s="213">
        <f>+[2]!Desserts[[#This Row],[Colonne2]]</f>
        <v>0</v>
      </c>
    </row>
    <row r="49" spans="2:3">
      <c r="B49">
        <f>+[2]!Desserts[[#This Row],[Colonne1]]</f>
        <v>0</v>
      </c>
      <c r="C49" s="213">
        <f>+[2]!Desserts[[#This Row],[Colonne2]]</f>
        <v>0</v>
      </c>
    </row>
    <row r="50" spans="2:3">
      <c r="B50">
        <f>+[2]!Desserts[[#This Row],[Colonne1]]</f>
        <v>0</v>
      </c>
      <c r="C50" s="213">
        <f>+[2]!Desserts[[#This Row],[Colonne2]]</f>
        <v>0</v>
      </c>
    </row>
    <row r="51" spans="2:3">
      <c r="B51">
        <f>+[2]!Desserts[[#This Row],[Colonne1]]</f>
        <v>0</v>
      </c>
      <c r="C51" s="213">
        <f>+[2]!Desserts[[#This Row],[Colonne2]]</f>
        <v>0</v>
      </c>
    </row>
    <row r="52" spans="2:3">
      <c r="B52">
        <f>+[2]!Desserts[[#This Row],[Colonne1]]</f>
        <v>0</v>
      </c>
      <c r="C52" s="213">
        <f>+[2]!Desserts[[#This Row],[Colonne2]]</f>
        <v>0</v>
      </c>
    </row>
    <row r="53" spans="2:3">
      <c r="B53">
        <f>+[2]!Desserts[[#This Row],[Colonne1]]</f>
        <v>0</v>
      </c>
      <c r="C53" s="213">
        <f>+[2]!Desserts[[#This Row],[Colonne2]]</f>
        <v>0</v>
      </c>
    </row>
    <row r="54" spans="2:3">
      <c r="B54">
        <f>+[2]!Desserts[[#This Row],[Colonne1]]</f>
        <v>0</v>
      </c>
      <c r="C54" s="213">
        <f>+[2]!Desserts[[#This Row],[Colonne2]]</f>
        <v>0</v>
      </c>
    </row>
    <row r="55" spans="2:3">
      <c r="B55">
        <f>+[2]!Desserts[[#This Row],[Colonne1]]</f>
        <v>0</v>
      </c>
      <c r="C55" s="213">
        <f>+[2]!Desserts[[#This Row],[Colonne2]]</f>
        <v>0</v>
      </c>
    </row>
    <row r="56" spans="2:3">
      <c r="B56">
        <f>+[2]!Desserts[[#This Row],[Colonne1]]</f>
        <v>0</v>
      </c>
      <c r="C56" s="213">
        <f>+[2]!Desserts[[#This Row],[Colonne2]]</f>
        <v>0</v>
      </c>
    </row>
    <row r="57" spans="2:3">
      <c r="B57">
        <f>+[2]!Desserts[[#This Row],[Colonne1]]</f>
        <v>0</v>
      </c>
      <c r="C57" s="213">
        <f>+[2]!Desserts[[#This Row],[Colonne2]]</f>
        <v>0</v>
      </c>
    </row>
    <row r="58" spans="2:3">
      <c r="B58">
        <f>+[2]!Desserts[[#This Row],[Colonne1]]</f>
        <v>0</v>
      </c>
      <c r="C58" s="213">
        <f>+[2]!Desserts[[#This Row],[Colonne2]]</f>
        <v>0</v>
      </c>
    </row>
    <row r="59" spans="2:3">
      <c r="B59">
        <f>+[2]!Desserts[[#This Row],[Colonne1]]</f>
        <v>0</v>
      </c>
      <c r="C59" s="213">
        <f>+[2]!Desserts[[#This Row],[Colonne2]]</f>
        <v>0</v>
      </c>
    </row>
    <row r="60" spans="2:3">
      <c r="B60">
        <f>+[2]!Desserts[[#This Row],[Colonne1]]</f>
        <v>0</v>
      </c>
      <c r="C60" s="213">
        <f>+[2]!Desserts[[#This Row],[Colonne2]]</f>
        <v>0</v>
      </c>
    </row>
  </sheetData>
  <dataValidations count="2">
    <dataValidation allowBlank="1" showInputMessage="1" sqref="C1 C63:C1048576"/>
    <dataValidation type="list" allowBlank="1" showDropDown="1" showInputMessage="1" showErrorMessage="1" sqref="C2 B2">
      <formula1>$B$2:$B$39</formula1>
    </dataValidation>
  </dataValidations>
  <pageMargins left="0.7" right="0.7" top="0.75" bottom="0.75" header="0.3" footer="0.3"/>
  <ignoredErrors>
    <ignoredError sqref="C2" listDataValidatio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Informations</vt:lpstr>
      <vt:lpstr>Menu</vt:lpstr>
      <vt:lpstr>Boissons</vt:lpstr>
      <vt:lpstr>Matériel</vt:lpstr>
      <vt:lpstr>Mobilier</vt:lpstr>
      <vt:lpstr>Personnel</vt:lpstr>
      <vt:lpstr>Logistique</vt:lpstr>
      <vt:lpstr>Recap</vt:lpstr>
      <vt:lpstr>Costing</vt:lpstr>
      <vt:lpstr>Entrées</vt:lpstr>
      <vt:lpstr>Plats</vt:lpstr>
      <vt:lpstr>Desserts</vt:lpstr>
      <vt:lpstr>Boissons!Boissons</vt:lpstr>
      <vt:lpstr>Informations!Informations</vt:lpstr>
      <vt:lpstr>Boissons!Zone_d_impression</vt:lpstr>
      <vt:lpstr>Logistique!Zone_d_impression</vt:lpstr>
      <vt:lpstr>Matériel!Zone_d_impression</vt:lpstr>
      <vt:lpstr>Mobilier!Zone_d_impression</vt:lpstr>
      <vt:lpstr>Personnel!Zone_d_impression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Fernandes</dc:creator>
  <cp:lastModifiedBy>maison</cp:lastModifiedBy>
  <cp:lastPrinted>2020-05-15T13:51:53Z</cp:lastPrinted>
  <dcterms:created xsi:type="dcterms:W3CDTF">2020-04-30T11:24:38Z</dcterms:created>
  <dcterms:modified xsi:type="dcterms:W3CDTF">2020-06-16T16:30:43Z</dcterms:modified>
</cp:coreProperties>
</file>