
<file path=[Content_Types].xml><?xml version="1.0" encoding="utf-8"?>
<Types xmlns="http://schemas.openxmlformats.org/package/2006/content-types">
  <Default Extension="bin" ContentType="application/vnd.openxmlformats-officedocument.spreadsheetml.printerSettings"/>
  <Default Extension="emf" ContentType="image/x-emf"/>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harts/chart1.xml" ContentType="application/vnd.openxmlformats-officedocument.drawingml.chart+xml"/>
  <Override PartName="/xl/drawings/drawing2.xml" ContentType="application/vnd.openxmlformats-officedocument.drawingml.chartshapes+xml"/>
  <Override PartName="/xl/drawings/drawing3.xml" ContentType="application/vnd.openxmlformats-officedocument.drawing+xml"/>
  <Override PartName="/xl/charts/chart2.xml" ContentType="application/vnd.openxmlformats-officedocument.drawingml.chart+xml"/>
  <Override PartName="/xl/drawings/drawing4.xml" ContentType="application/vnd.openxmlformats-officedocument.drawingml.chartshapes+xml"/>
  <Override PartName="/xl/drawings/drawing5.xml" ContentType="application/vnd.openxmlformats-officedocument.drawing+xml"/>
  <Override PartName="/xl/charts/chart3.xml" ContentType="application/vnd.openxmlformats-officedocument.drawingml.chart+xml"/>
  <Override PartName="/xl/drawings/drawing6.xml" ContentType="application/vnd.openxmlformats-officedocument.drawingml.chartshapes+xml"/>
  <Override PartName="/xl/drawings/drawing7.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codeName="ThisWorkbook"/>
  <mc:AlternateContent xmlns:mc="http://schemas.openxmlformats.org/markup-compatibility/2006">
    <mc:Choice Requires="x15">
      <x15ac:absPath xmlns:x15ac="http://schemas.microsoft.com/office/spreadsheetml/2010/11/ac" url="C:\Users\didie\Documents\"/>
    </mc:Choice>
  </mc:AlternateContent>
  <xr:revisionPtr revIDLastSave="0" documentId="13_ncr:1_{55AEDFCA-47CF-4FAF-8450-14B746BF1DBD}" xr6:coauthVersionLast="47" xr6:coauthVersionMax="47" xr10:uidLastSave="{00000000-0000-0000-0000-000000000000}"/>
  <bookViews>
    <workbookView xWindow="-98" yWindow="-98" windowWidth="21795" windowHeight="13875" xr2:uid="{00000000-000D-0000-FFFF-FFFF00000000}"/>
  </bookViews>
  <sheets>
    <sheet name="Carte du ciel" sheetId="2" r:id="rId1"/>
    <sheet name="Ciel visible" sheetId="3" r:id="rId2"/>
    <sheet name="Positions héliocentriques" sheetId="4" r:id="rId3"/>
    <sheet name="Calculs" sheetId="5" r:id="rId4"/>
    <sheet name="Commentaires" sheetId="6" r:id="rId5"/>
  </sheets>
  <definedNames>
    <definedName name="Affiche">#REF!</definedName>
    <definedName name="DateHeure">#REF!</definedName>
    <definedName name="Lieu">#REF!</definedName>
    <definedName name="Local">#REF!</definedName>
    <definedName name="Menu1">#REF!</definedName>
    <definedName name="Menu2">#REF!</definedName>
    <definedName name="Menu3">#REF!</definedName>
    <definedName name="Menu5">#REF!</definedName>
    <definedName name="Menu6">#REF!</definedName>
    <definedName name="Menu7">#REF!</definedName>
    <definedName name="Menu8">#REF!</definedName>
    <definedName name="ParamAnim">#REF!</definedName>
    <definedName name="Texte1">#REF!</definedName>
    <definedName name="Texte2">#REF!</definedName>
    <definedName name="Texte3">#REF!</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K288" i="5" l="1"/>
  <c r="D280" i="5"/>
  <c r="M274" i="5" l="1"/>
  <c r="D292" i="5"/>
  <c r="M288" i="5"/>
  <c r="I274" i="5" l="1"/>
  <c r="G47" i="5"/>
  <c r="H47" i="5"/>
  <c r="G48" i="5"/>
  <c r="H48" i="5"/>
  <c r="G49" i="5"/>
  <c r="H49" i="5"/>
  <c r="G50" i="5"/>
  <c r="H50" i="5"/>
  <c r="G51" i="5"/>
  <c r="H51" i="5"/>
  <c r="G52" i="5"/>
  <c r="H52" i="5"/>
  <c r="G53" i="5"/>
  <c r="H53" i="5"/>
  <c r="G54" i="5"/>
  <c r="H54" i="5"/>
  <c r="G55" i="5"/>
  <c r="H55" i="5"/>
  <c r="G56" i="5"/>
  <c r="H56" i="5"/>
  <c r="G57" i="5"/>
  <c r="H57" i="5"/>
  <c r="G58" i="5"/>
  <c r="H58" i="5"/>
  <c r="G59" i="5"/>
  <c r="H59" i="5"/>
  <c r="G60" i="5"/>
  <c r="H60" i="5"/>
  <c r="C4" i="6"/>
  <c r="B7" i="5"/>
  <c r="B6" i="5"/>
  <c r="A8" i="5"/>
  <c r="A7" i="5"/>
  <c r="A6" i="5"/>
  <c r="E6" i="5"/>
  <c r="D7" i="5"/>
  <c r="D6" i="5"/>
  <c r="C7" i="5"/>
  <c r="C6" i="5"/>
  <c r="F6" i="5"/>
  <c r="A301" i="5" l="1"/>
  <c r="AC297" i="5"/>
  <c r="AO297" i="5"/>
  <c r="AK298" i="5"/>
  <c r="AG299" i="5"/>
  <c r="AC300" i="5"/>
  <c r="AO300" i="5"/>
  <c r="AK301" i="5"/>
  <c r="AG302" i="5"/>
  <c r="AC303" i="5"/>
  <c r="AO303" i="5"/>
  <c r="AK304" i="5"/>
  <c r="AG305" i="5"/>
  <c r="AC306" i="5"/>
  <c r="AO306" i="5"/>
  <c r="AK307" i="5"/>
  <c r="AG308" i="5"/>
  <c r="AC309" i="5"/>
  <c r="AO309" i="5"/>
  <c r="AK310" i="5"/>
  <c r="AG311" i="5"/>
  <c r="AC312" i="5"/>
  <c r="AO312" i="5"/>
  <c r="AK313" i="5"/>
  <c r="AG314" i="5"/>
  <c r="AC315" i="5"/>
  <c r="AO315" i="5"/>
  <c r="AK316" i="5"/>
  <c r="AG317" i="5"/>
  <c r="AF303" i="5"/>
  <c r="AR306" i="5"/>
  <c r="AF309" i="5"/>
  <c r="AJ314" i="5"/>
  <c r="AG297" i="5"/>
  <c r="AG300" i="5"/>
  <c r="AO301" i="5"/>
  <c r="AK302" i="5"/>
  <c r="AK305" i="5"/>
  <c r="AK308" i="5"/>
  <c r="AC310" i="5"/>
  <c r="AG312" i="5"/>
  <c r="AO313" i="5"/>
  <c r="AO316" i="5"/>
  <c r="AD298" i="5"/>
  <c r="AP298" i="5"/>
  <c r="AH300" i="5"/>
  <c r="AP301" i="5"/>
  <c r="AH303" i="5"/>
  <c r="AD304" i="5"/>
  <c r="AH306" i="5"/>
  <c r="AP307" i="5"/>
  <c r="AD310" i="5"/>
  <c r="AL311" i="5"/>
  <c r="AD313" i="5"/>
  <c r="AP313" i="5"/>
  <c r="AH315" i="5"/>
  <c r="AP316" i="5"/>
  <c r="AL317" i="5"/>
  <c r="AE298" i="5"/>
  <c r="AQ298" i="5"/>
  <c r="AE301" i="5"/>
  <c r="AE304" i="5"/>
  <c r="AM305" i="5"/>
  <c r="AE307" i="5"/>
  <c r="AM308" i="5"/>
  <c r="AM311" i="5"/>
  <c r="AJ297" i="5"/>
  <c r="AF301" i="5"/>
  <c r="AN302" i="5"/>
  <c r="AR304" i="5"/>
  <c r="AJ306" i="5"/>
  <c r="AR307" i="5"/>
  <c r="AR310" i="5"/>
  <c r="AJ312" i="5"/>
  <c r="AJ315" i="5"/>
  <c r="AR316" i="5"/>
  <c r="AN317" i="5"/>
  <c r="AG298" i="5"/>
  <c r="AK300" i="5"/>
  <c r="AL303" i="5"/>
  <c r="AP305" i="5"/>
  <c r="AD308" i="5"/>
  <c r="AD311" i="5"/>
  <c r="AL312" i="5"/>
  <c r="AD314" i="5"/>
  <c r="AD297" i="5"/>
  <c r="AP297" i="5"/>
  <c r="AL298" i="5"/>
  <c r="AH299" i="5"/>
  <c r="AD300" i="5"/>
  <c r="AP300" i="5"/>
  <c r="AL301" i="5"/>
  <c r="AH302" i="5"/>
  <c r="AD303" i="5"/>
  <c r="AP303" i="5"/>
  <c r="AL304" i="5"/>
  <c r="AH305" i="5"/>
  <c r="AD306" i="5"/>
  <c r="AP306" i="5"/>
  <c r="AL307" i="5"/>
  <c r="AH308" i="5"/>
  <c r="AD309" i="5"/>
  <c r="AP309" i="5"/>
  <c r="AL310" i="5"/>
  <c r="AH311" i="5"/>
  <c r="AD312" i="5"/>
  <c r="AP312" i="5"/>
  <c r="AL313" i="5"/>
  <c r="AH314" i="5"/>
  <c r="AD315" i="5"/>
  <c r="AP315" i="5"/>
  <c r="AL316" i="5"/>
  <c r="AH317" i="5"/>
  <c r="AI317" i="5"/>
  <c r="AR297" i="5"/>
  <c r="AN298" i="5"/>
  <c r="AF300" i="5"/>
  <c r="AN301" i="5"/>
  <c r="AR303" i="5"/>
  <c r="AN304" i="5"/>
  <c r="AJ308" i="5"/>
  <c r="AN310" i="5"/>
  <c r="AF312" i="5"/>
  <c r="AN316" i="5"/>
  <c r="AC298" i="5"/>
  <c r="AO298" i="5"/>
  <c r="AK299" i="5"/>
  <c r="AC301" i="5"/>
  <c r="AC304" i="5"/>
  <c r="AK314" i="5"/>
  <c r="AC316" i="5"/>
  <c r="AK317" i="5"/>
  <c r="AL314" i="5"/>
  <c r="AD316" i="5"/>
  <c r="AI297" i="5"/>
  <c r="AI300" i="5"/>
  <c r="AM302" i="5"/>
  <c r="AE313" i="5"/>
  <c r="AI315" i="5"/>
  <c r="AQ316" i="5"/>
  <c r="AF298" i="5"/>
  <c r="AJ300" i="5"/>
  <c r="AR301" i="5"/>
  <c r="AJ303" i="5"/>
  <c r="AN305" i="5"/>
  <c r="AF307" i="5"/>
  <c r="AN308" i="5"/>
  <c r="AJ309" i="5"/>
  <c r="AF310" i="5"/>
  <c r="AN311" i="5"/>
  <c r="AF313" i="5"/>
  <c r="AR313" i="5"/>
  <c r="AF316" i="5"/>
  <c r="AK297" i="5"/>
  <c r="AC299" i="5"/>
  <c r="AO299" i="5"/>
  <c r="AC302" i="5"/>
  <c r="AK303" i="5"/>
  <c r="AO305" i="5"/>
  <c r="AC308" i="5"/>
  <c r="AG310" i="5"/>
  <c r="AO311" i="5"/>
  <c r="AK312" i="5"/>
  <c r="AG313" i="5"/>
  <c r="AO314" i="5"/>
  <c r="AG316" i="5"/>
  <c r="AH304" i="5"/>
  <c r="AP308" i="5"/>
  <c r="AH310" i="5"/>
  <c r="AP311" i="5"/>
  <c r="AE297" i="5"/>
  <c r="AQ297" i="5"/>
  <c r="AM298" i="5"/>
  <c r="AI299" i="5"/>
  <c r="AE300" i="5"/>
  <c r="AQ300" i="5"/>
  <c r="AM301" i="5"/>
  <c r="AI302" i="5"/>
  <c r="AE303" i="5"/>
  <c r="AQ303" i="5"/>
  <c r="AM304" i="5"/>
  <c r="AI305" i="5"/>
  <c r="AE306" i="5"/>
  <c r="AQ306" i="5"/>
  <c r="AM307" i="5"/>
  <c r="AI308" i="5"/>
  <c r="AE309" i="5"/>
  <c r="AQ309" i="5"/>
  <c r="AM310" i="5"/>
  <c r="AI311" i="5"/>
  <c r="AE312" i="5"/>
  <c r="AQ312" i="5"/>
  <c r="AM313" i="5"/>
  <c r="AI314" i="5"/>
  <c r="AE315" i="5"/>
  <c r="AQ315" i="5"/>
  <c r="AM316" i="5"/>
  <c r="AF297" i="5"/>
  <c r="AJ299" i="5"/>
  <c r="AR300" i="5"/>
  <c r="AJ302" i="5"/>
  <c r="AJ305" i="5"/>
  <c r="AF306" i="5"/>
  <c r="AN307" i="5"/>
  <c r="AR309" i="5"/>
  <c r="AJ311" i="5"/>
  <c r="AR312" i="5"/>
  <c r="AN313" i="5"/>
  <c r="AF315" i="5"/>
  <c r="AR315" i="5"/>
  <c r="AG303" i="5"/>
  <c r="AG306" i="5"/>
  <c r="AO307" i="5"/>
  <c r="AO310" i="5"/>
  <c r="AK311" i="5"/>
  <c r="AG304" i="5"/>
  <c r="AG307" i="5"/>
  <c r="AO308" i="5"/>
  <c r="AC314" i="5"/>
  <c r="AK315" i="5"/>
  <c r="AO317" i="5"/>
  <c r="AH298" i="5"/>
  <c r="AP299" i="5"/>
  <c r="AD302" i="5"/>
  <c r="AJ317" i="5"/>
  <c r="AO304" i="5"/>
  <c r="AC307" i="5"/>
  <c r="AG309" i="5"/>
  <c r="AC313" i="5"/>
  <c r="AG315" i="5"/>
  <c r="AH297" i="5"/>
  <c r="AL299" i="5"/>
  <c r="AD301" i="5"/>
  <c r="AL302" i="5"/>
  <c r="AP304" i="5"/>
  <c r="AL305" i="5"/>
  <c r="AD307" i="5"/>
  <c r="AL308" i="5"/>
  <c r="AH309" i="5"/>
  <c r="AP310" i="5"/>
  <c r="AH312" i="5"/>
  <c r="AM299" i="5"/>
  <c r="AQ301" i="5"/>
  <c r="AI303" i="5"/>
  <c r="AQ304" i="5"/>
  <c r="AI306" i="5"/>
  <c r="AQ307" i="5"/>
  <c r="AI309" i="5"/>
  <c r="AE310" i="5"/>
  <c r="AQ310" i="5"/>
  <c r="AI312" i="5"/>
  <c r="AQ313" i="5"/>
  <c r="AM314" i="5"/>
  <c r="AE316" i="5"/>
  <c r="AM317" i="5"/>
  <c r="AR298" i="5"/>
  <c r="AN299" i="5"/>
  <c r="AF304" i="5"/>
  <c r="AN314" i="5"/>
  <c r="AG301" i="5"/>
  <c r="AO302" i="5"/>
  <c r="AC305" i="5"/>
  <c r="AK306" i="5"/>
  <c r="AK309" i="5"/>
  <c r="AC311" i="5"/>
  <c r="AC317" i="5"/>
  <c r="AL297" i="5"/>
  <c r="AD299" i="5"/>
  <c r="AL300" i="5"/>
  <c r="AH301" i="5"/>
  <c r="AP302" i="5"/>
  <c r="AD305" i="5"/>
  <c r="AL306" i="5"/>
  <c r="AH307" i="5"/>
  <c r="AL309" i="5"/>
  <c r="AH313" i="5"/>
  <c r="AM297" i="5"/>
  <c r="AE302" i="5"/>
  <c r="AM306" i="5"/>
  <c r="AE311" i="5"/>
  <c r="AR314" i="5"/>
  <c r="AR317" i="5"/>
  <c r="AF302" i="5"/>
  <c r="AN306" i="5"/>
  <c r="AF311" i="5"/>
  <c r="AL315" i="5"/>
  <c r="AQ311" i="5"/>
  <c r="AQ299" i="5"/>
  <c r="AJ313" i="5"/>
  <c r="AD317" i="5"/>
  <c r="AE314" i="5"/>
  <c r="AN309" i="5"/>
  <c r="AN297" i="5"/>
  <c r="AM315" i="5"/>
  <c r="AF308" i="5"/>
  <c r="AN312" i="5"/>
  <c r="AI313" i="5"/>
  <c r="AR299" i="5"/>
  <c r="AR308" i="5"/>
  <c r="AM300" i="5"/>
  <c r="AE317" i="5"/>
  <c r="AF314" i="5"/>
  <c r="AI310" i="5"/>
  <c r="AP317" i="5"/>
  <c r="AQ317" i="5"/>
  <c r="AI298" i="5"/>
  <c r="AQ302" i="5"/>
  <c r="AI307" i="5"/>
  <c r="AI304" i="5"/>
  <c r="AJ316" i="5"/>
  <c r="AM309" i="5"/>
  <c r="AN300" i="5"/>
  <c r="AF305" i="5"/>
  <c r="AF317" i="5"/>
  <c r="AQ305" i="5"/>
  <c r="AP314" i="5"/>
  <c r="AR305" i="5"/>
  <c r="AQ314" i="5"/>
  <c r="AJ298" i="5"/>
  <c r="AR302" i="5"/>
  <c r="AJ307" i="5"/>
  <c r="AR311" i="5"/>
  <c r="AN315" i="5"/>
  <c r="AE299" i="5"/>
  <c r="AM303" i="5"/>
  <c r="AE308" i="5"/>
  <c r="AM312" i="5"/>
  <c r="AH316" i="5"/>
  <c r="AF299" i="5"/>
  <c r="AN303" i="5"/>
  <c r="AI316" i="5"/>
  <c r="AQ308" i="5"/>
  <c r="AJ304" i="5"/>
  <c r="AE305" i="5"/>
  <c r="AI301" i="5"/>
  <c r="AJ301" i="5"/>
  <c r="AJ310" i="5"/>
  <c r="D5" i="6"/>
  <c r="B308" i="5" l="1"/>
  <c r="C308" i="5"/>
  <c r="D308" i="5"/>
  <c r="A308" i="5"/>
  <c r="B10" i="6" l="1"/>
  <c r="B7" i="6"/>
  <c r="E5" i="6"/>
  <c r="E4" i="6"/>
  <c r="D4" i="6"/>
  <c r="B4" i="6"/>
  <c r="F308" i="5"/>
  <c r="E308" i="5"/>
  <c r="A300" i="5"/>
  <c r="A299" i="5"/>
  <c r="AN295" i="5"/>
  <c r="AO291" i="5"/>
  <c r="AP289" i="5"/>
  <c r="AL288" i="5"/>
  <c r="AR286" i="5"/>
  <c r="AQ296" i="5"/>
  <c r="AK284" i="5"/>
  <c r="AO283" i="5"/>
  <c r="AH283" i="5"/>
  <c r="AR282" i="5"/>
  <c r="AQ282" i="5"/>
  <c r="AO282" i="5"/>
  <c r="AM282" i="5"/>
  <c r="AR281" i="5"/>
  <c r="AQ281" i="5"/>
  <c r="AP281" i="5"/>
  <c r="AO281" i="5"/>
  <c r="AM281" i="5"/>
  <c r="AL281" i="5"/>
  <c r="AK281" i="5"/>
  <c r="AI281" i="5"/>
  <c r="AF281" i="5"/>
  <c r="AI282" i="5"/>
  <c r="AR280" i="5"/>
  <c r="AQ280" i="5"/>
  <c r="AP280" i="5"/>
  <c r="AO280" i="5"/>
  <c r="AM280" i="5"/>
  <c r="AL280" i="5"/>
  <c r="AK280" i="5"/>
  <c r="AI280" i="5"/>
  <c r="AF280" i="5"/>
  <c r="AR279" i="5"/>
  <c r="AQ279" i="5"/>
  <c r="AP279" i="5"/>
  <c r="AO279" i="5"/>
  <c r="AN279" i="5"/>
  <c r="AM279" i="5"/>
  <c r="AL279" i="5"/>
  <c r="AK279" i="5"/>
  <c r="AJ279" i="5"/>
  <c r="AI279" i="5"/>
  <c r="AH279" i="5"/>
  <c r="AG279" i="5"/>
  <c r="AF279" i="5"/>
  <c r="AE279" i="5"/>
  <c r="AF278" i="5"/>
  <c r="AR278" i="5"/>
  <c r="AQ278" i="5"/>
  <c r="AP278" i="5"/>
  <c r="AO278" i="5"/>
  <c r="AM278" i="5"/>
  <c r="AL278" i="5"/>
  <c r="AK278" i="5"/>
  <c r="AJ278" i="5"/>
  <c r="AI278" i="5"/>
  <c r="AH278" i="5"/>
  <c r="AG278" i="5"/>
  <c r="AE278" i="5"/>
  <c r="AD277" i="5"/>
  <c r="AR277" i="5"/>
  <c r="AQ277" i="5"/>
  <c r="AP277" i="5"/>
  <c r="AO277" i="5"/>
  <c r="AN277" i="5"/>
  <c r="AM277" i="5"/>
  <c r="AL277" i="5"/>
  <c r="AK277" i="5"/>
  <c r="AJ277" i="5"/>
  <c r="AI277" i="5"/>
  <c r="AH277" i="5"/>
  <c r="AG277" i="5"/>
  <c r="AF277" i="5"/>
  <c r="AC277" i="5"/>
  <c r="H272" i="5"/>
  <c r="G272" i="5"/>
  <c r="H271" i="5"/>
  <c r="G271" i="5"/>
  <c r="H269" i="5"/>
  <c r="G269" i="5"/>
  <c r="H268" i="5"/>
  <c r="G268" i="5"/>
  <c r="H267" i="5"/>
  <c r="G267" i="5"/>
  <c r="H265" i="5"/>
  <c r="G265" i="5"/>
  <c r="H264" i="5"/>
  <c r="G264" i="5"/>
  <c r="H263" i="5"/>
  <c r="G263" i="5"/>
  <c r="H262" i="5"/>
  <c r="G262" i="5"/>
  <c r="H261" i="5"/>
  <c r="G261" i="5"/>
  <c r="H259" i="5"/>
  <c r="G259" i="5"/>
  <c r="H258" i="5"/>
  <c r="G258" i="5"/>
  <c r="H257" i="5"/>
  <c r="G257" i="5"/>
  <c r="H256" i="5"/>
  <c r="G256" i="5"/>
  <c r="H255" i="5"/>
  <c r="G255" i="5"/>
  <c r="H254" i="5"/>
  <c r="G254" i="5"/>
  <c r="H253" i="5"/>
  <c r="G253" i="5"/>
  <c r="H252" i="5"/>
  <c r="G252" i="5"/>
  <c r="H250" i="5"/>
  <c r="G250" i="5"/>
  <c r="H249" i="5"/>
  <c r="G249" i="5"/>
  <c r="H248" i="5"/>
  <c r="G248" i="5"/>
  <c r="H247" i="5"/>
  <c r="G247" i="5"/>
  <c r="H246" i="5"/>
  <c r="G246" i="5"/>
  <c r="H245" i="5"/>
  <c r="G245" i="5"/>
  <c r="H243" i="5"/>
  <c r="G243" i="5"/>
  <c r="H242" i="5"/>
  <c r="G242" i="5"/>
  <c r="H241" i="5"/>
  <c r="G241" i="5"/>
  <c r="H240" i="5"/>
  <c r="G240" i="5"/>
  <c r="H238" i="5"/>
  <c r="G238" i="5"/>
  <c r="H237" i="5"/>
  <c r="G237" i="5"/>
  <c r="H236" i="5"/>
  <c r="G236" i="5"/>
  <c r="H235" i="5"/>
  <c r="G235" i="5"/>
  <c r="H234" i="5"/>
  <c r="G234" i="5"/>
  <c r="H232" i="5"/>
  <c r="G232" i="5"/>
  <c r="H231" i="5"/>
  <c r="G231" i="5"/>
  <c r="H230" i="5"/>
  <c r="G230" i="5"/>
  <c r="H229" i="5"/>
  <c r="G229" i="5"/>
  <c r="H228" i="5"/>
  <c r="G228" i="5"/>
  <c r="H227" i="5"/>
  <c r="G227" i="5"/>
  <c r="H226" i="5"/>
  <c r="G226" i="5"/>
  <c r="H225" i="5"/>
  <c r="G225" i="5"/>
  <c r="H224" i="5"/>
  <c r="G224" i="5"/>
  <c r="H222" i="5"/>
  <c r="G222" i="5"/>
  <c r="H221" i="5"/>
  <c r="G221" i="5"/>
  <c r="H220" i="5"/>
  <c r="G220" i="5"/>
  <c r="H219" i="5"/>
  <c r="G219" i="5"/>
  <c r="H218" i="5"/>
  <c r="G218" i="5"/>
  <c r="H216" i="5"/>
  <c r="G216" i="5"/>
  <c r="H215" i="5"/>
  <c r="G215" i="5"/>
  <c r="H214" i="5"/>
  <c r="G214" i="5"/>
  <c r="H213" i="5"/>
  <c r="G213" i="5"/>
  <c r="H212" i="5"/>
  <c r="G212" i="5"/>
  <c r="H211" i="5"/>
  <c r="G211" i="5"/>
  <c r="H210" i="5"/>
  <c r="G210" i="5"/>
  <c r="H209" i="5"/>
  <c r="G209" i="5"/>
  <c r="H207" i="5"/>
  <c r="G207" i="5"/>
  <c r="H206" i="5"/>
  <c r="G206" i="5"/>
  <c r="H205" i="5"/>
  <c r="G205" i="5"/>
  <c r="H204" i="5"/>
  <c r="G204" i="5"/>
  <c r="H203" i="5"/>
  <c r="G203" i="5"/>
  <c r="H202" i="5"/>
  <c r="G202" i="5"/>
  <c r="H201" i="5"/>
  <c r="G201" i="5"/>
  <c r="H200" i="5"/>
  <c r="G200" i="5"/>
  <c r="H198" i="5"/>
  <c r="G198" i="5"/>
  <c r="H197" i="5"/>
  <c r="G197" i="5"/>
  <c r="H196" i="5"/>
  <c r="G196" i="5"/>
  <c r="H195" i="5"/>
  <c r="G195" i="5"/>
  <c r="H194" i="5"/>
  <c r="G194" i="5"/>
  <c r="H193" i="5"/>
  <c r="G193" i="5"/>
  <c r="H192" i="5"/>
  <c r="G192" i="5"/>
  <c r="H191" i="5"/>
  <c r="G191" i="5"/>
  <c r="H190" i="5"/>
  <c r="G190" i="5"/>
  <c r="H189" i="5"/>
  <c r="G189" i="5"/>
  <c r="H188" i="5"/>
  <c r="G188" i="5"/>
  <c r="H187" i="5"/>
  <c r="G187" i="5"/>
  <c r="H185" i="5"/>
  <c r="G185" i="5"/>
  <c r="H184" i="5"/>
  <c r="G184" i="5"/>
  <c r="H183" i="5"/>
  <c r="G183" i="5"/>
  <c r="H182" i="5"/>
  <c r="G182" i="5"/>
  <c r="H181" i="5"/>
  <c r="G181" i="5"/>
  <c r="H180" i="5"/>
  <c r="G180" i="5"/>
  <c r="H179" i="5"/>
  <c r="G179" i="5"/>
  <c r="H178" i="5"/>
  <c r="G178" i="5"/>
  <c r="H177" i="5"/>
  <c r="G177" i="5"/>
  <c r="H176" i="5"/>
  <c r="G176" i="5"/>
  <c r="H175" i="5"/>
  <c r="G175" i="5"/>
  <c r="H174" i="5"/>
  <c r="G174" i="5"/>
  <c r="H172" i="5"/>
  <c r="G172" i="5"/>
  <c r="H171" i="5"/>
  <c r="G171" i="5"/>
  <c r="H170" i="5"/>
  <c r="G170" i="5"/>
  <c r="H169" i="5"/>
  <c r="G169" i="5"/>
  <c r="H167" i="5"/>
  <c r="G167" i="5"/>
  <c r="H166" i="5"/>
  <c r="G166" i="5"/>
  <c r="H165" i="5"/>
  <c r="G165" i="5"/>
  <c r="H164" i="5"/>
  <c r="G164" i="5"/>
  <c r="H163" i="5"/>
  <c r="G163" i="5"/>
  <c r="H162" i="5"/>
  <c r="G162" i="5"/>
  <c r="H161" i="5"/>
  <c r="G161" i="5"/>
  <c r="H160" i="5"/>
  <c r="G160" i="5"/>
  <c r="H159" i="5"/>
  <c r="G159" i="5"/>
  <c r="H157" i="5"/>
  <c r="G157" i="5"/>
  <c r="H156" i="5"/>
  <c r="G156" i="5"/>
  <c r="H155" i="5"/>
  <c r="G155" i="5"/>
  <c r="H154" i="5"/>
  <c r="G154" i="5"/>
  <c r="H153" i="5"/>
  <c r="G153" i="5"/>
  <c r="H152" i="5"/>
  <c r="G152" i="5"/>
  <c r="H151" i="5"/>
  <c r="G151" i="5"/>
  <c r="H150" i="5"/>
  <c r="G150" i="5"/>
  <c r="H149" i="5"/>
  <c r="G149" i="5"/>
  <c r="H148" i="5"/>
  <c r="G148" i="5"/>
  <c r="H147" i="5"/>
  <c r="G147" i="5"/>
  <c r="H145" i="5"/>
  <c r="G145" i="5"/>
  <c r="H144" i="5"/>
  <c r="G144" i="5"/>
  <c r="H143" i="5"/>
  <c r="G143" i="5"/>
  <c r="H142" i="5"/>
  <c r="G142" i="5"/>
  <c r="H140" i="5"/>
  <c r="G140" i="5"/>
  <c r="H139" i="5"/>
  <c r="G139" i="5"/>
  <c r="H138" i="5"/>
  <c r="G138" i="5"/>
  <c r="H137" i="5"/>
  <c r="G137" i="5"/>
  <c r="H136" i="5"/>
  <c r="G136" i="5"/>
  <c r="H135" i="5"/>
  <c r="G135" i="5"/>
  <c r="H134" i="5"/>
  <c r="G134" i="5"/>
  <c r="H132" i="5"/>
  <c r="G132" i="5"/>
  <c r="H131" i="5"/>
  <c r="G131" i="5"/>
  <c r="H130" i="5"/>
  <c r="G130" i="5"/>
  <c r="H129" i="5"/>
  <c r="G129" i="5"/>
  <c r="H128" i="5"/>
  <c r="G128" i="5"/>
  <c r="H127" i="5"/>
  <c r="G127" i="5"/>
  <c r="H126" i="5"/>
  <c r="G126" i="5"/>
  <c r="H125" i="5"/>
  <c r="G125" i="5"/>
  <c r="H124" i="5"/>
  <c r="G124" i="5"/>
  <c r="H123" i="5"/>
  <c r="G123" i="5"/>
  <c r="H122" i="5"/>
  <c r="G122" i="5"/>
  <c r="H120" i="5"/>
  <c r="G120" i="5"/>
  <c r="H119" i="5"/>
  <c r="G119" i="5"/>
  <c r="H118" i="5"/>
  <c r="G118" i="5"/>
  <c r="H117" i="5"/>
  <c r="G117" i="5"/>
  <c r="H116" i="5"/>
  <c r="G116" i="5"/>
  <c r="H114" i="5"/>
  <c r="G114" i="5"/>
  <c r="H113" i="5"/>
  <c r="G113" i="5"/>
  <c r="H112" i="5"/>
  <c r="G112" i="5"/>
  <c r="H111" i="5"/>
  <c r="G111" i="5"/>
  <c r="H110" i="5"/>
  <c r="G110" i="5"/>
  <c r="H109" i="5"/>
  <c r="G109" i="5"/>
  <c r="H108" i="5"/>
  <c r="G108" i="5"/>
  <c r="H107" i="5"/>
  <c r="G107" i="5"/>
  <c r="H105" i="5"/>
  <c r="G105" i="5"/>
  <c r="H104" i="5"/>
  <c r="G104" i="5"/>
  <c r="H103" i="5"/>
  <c r="G103" i="5"/>
  <c r="H102" i="5"/>
  <c r="G102" i="5"/>
  <c r="H101" i="5"/>
  <c r="G101" i="5"/>
  <c r="H100" i="5"/>
  <c r="G100" i="5"/>
  <c r="H99" i="5"/>
  <c r="G99" i="5"/>
  <c r="H98" i="5"/>
  <c r="G98" i="5"/>
  <c r="H96" i="5"/>
  <c r="G96" i="5"/>
  <c r="H95" i="5"/>
  <c r="G95" i="5"/>
  <c r="H94" i="5"/>
  <c r="G94" i="5"/>
  <c r="H93" i="5"/>
  <c r="G93" i="5"/>
  <c r="H92" i="5"/>
  <c r="G92" i="5"/>
  <c r="H91" i="5"/>
  <c r="G91" i="5"/>
  <c r="H90" i="5"/>
  <c r="G90" i="5"/>
  <c r="H89" i="5"/>
  <c r="G89" i="5"/>
  <c r="H87" i="5"/>
  <c r="G87" i="5"/>
  <c r="H86" i="5"/>
  <c r="G86" i="5"/>
  <c r="H85" i="5"/>
  <c r="G85" i="5"/>
  <c r="H84" i="5"/>
  <c r="G84" i="5"/>
  <c r="H83" i="5"/>
  <c r="G83" i="5"/>
  <c r="H81" i="5"/>
  <c r="G81" i="5"/>
  <c r="H80" i="5"/>
  <c r="G80" i="5"/>
  <c r="H79" i="5"/>
  <c r="G79" i="5"/>
  <c r="H78" i="5"/>
  <c r="G78" i="5"/>
  <c r="H77" i="5"/>
  <c r="G77" i="5"/>
  <c r="H76" i="5"/>
  <c r="G76" i="5"/>
  <c r="H75" i="5"/>
  <c r="G75" i="5"/>
  <c r="H74" i="5"/>
  <c r="G74" i="5"/>
  <c r="H72" i="5"/>
  <c r="G72" i="5"/>
  <c r="H71" i="5"/>
  <c r="G71" i="5"/>
  <c r="H70" i="5"/>
  <c r="G70" i="5"/>
  <c r="H69" i="5"/>
  <c r="G69" i="5"/>
  <c r="H68" i="5"/>
  <c r="G68" i="5"/>
  <c r="H67" i="5"/>
  <c r="G67" i="5"/>
  <c r="H66" i="5"/>
  <c r="G66" i="5"/>
  <c r="H65" i="5"/>
  <c r="G65" i="5"/>
  <c r="H63" i="5"/>
  <c r="G63" i="5"/>
  <c r="H62" i="5"/>
  <c r="G62" i="5"/>
  <c r="H61" i="5"/>
  <c r="G61" i="5"/>
  <c r="H46" i="5"/>
  <c r="G46" i="5"/>
  <c r="H45" i="5"/>
  <c r="G45" i="5"/>
  <c r="H44" i="5"/>
  <c r="G44" i="5"/>
  <c r="H43" i="5"/>
  <c r="G43" i="5"/>
  <c r="H42" i="5"/>
  <c r="G42" i="5"/>
  <c r="H41" i="5"/>
  <c r="G41" i="5"/>
  <c r="H40" i="5"/>
  <c r="G40" i="5"/>
  <c r="H39" i="5"/>
  <c r="G39" i="5"/>
  <c r="H38" i="5"/>
  <c r="G38" i="5"/>
  <c r="H37" i="5"/>
  <c r="G37" i="5"/>
  <c r="H36" i="5"/>
  <c r="G36" i="5"/>
  <c r="H35" i="5"/>
  <c r="G35" i="5"/>
  <c r="H34" i="5"/>
  <c r="G34" i="5"/>
  <c r="H33" i="5"/>
  <c r="G33" i="5"/>
  <c r="H32" i="5"/>
  <c r="G32" i="5"/>
  <c r="H31" i="5"/>
  <c r="G31" i="5"/>
  <c r="H30" i="5"/>
  <c r="G30" i="5"/>
  <c r="H29" i="5"/>
  <c r="G29" i="5"/>
  <c r="H28" i="5"/>
  <c r="G28" i="5"/>
  <c r="H27" i="5"/>
  <c r="G27" i="5"/>
  <c r="H26" i="5"/>
  <c r="G26" i="5"/>
  <c r="H25" i="5"/>
  <c r="G25" i="5"/>
  <c r="H24" i="5"/>
  <c r="G24" i="5"/>
  <c r="H23" i="5"/>
  <c r="G23" i="5"/>
  <c r="AH22" i="5"/>
  <c r="H22" i="5"/>
  <c r="G22" i="5"/>
  <c r="AH21" i="5"/>
  <c r="H21" i="5"/>
  <c r="G21" i="5"/>
  <c r="AH20" i="5"/>
  <c r="H20" i="5"/>
  <c r="G20" i="5"/>
  <c r="AH19" i="5"/>
  <c r="H19" i="5"/>
  <c r="G19" i="5"/>
  <c r="AH18" i="5"/>
  <c r="H18" i="5"/>
  <c r="G18" i="5"/>
  <c r="AH17" i="5"/>
  <c r="H17" i="5"/>
  <c r="G17" i="5"/>
  <c r="AH16" i="5"/>
  <c r="H16" i="5"/>
  <c r="G16" i="5"/>
  <c r="H15" i="5"/>
  <c r="G15" i="5"/>
  <c r="E8" i="5"/>
  <c r="D8" i="5"/>
  <c r="C8" i="5"/>
  <c r="A10" i="5"/>
  <c r="A290" i="5" s="1"/>
  <c r="AI16" i="5" l="1"/>
  <c r="AI19" i="5"/>
  <c r="AI21" i="5"/>
  <c r="AI22" i="5"/>
  <c r="AI17" i="5"/>
  <c r="AI15" i="5"/>
  <c r="AI18" i="5"/>
  <c r="AI20" i="5"/>
  <c r="B290" i="5"/>
  <c r="W290" i="5"/>
  <c r="AE280" i="5"/>
  <c r="AL282" i="5"/>
  <c r="AC283" i="5"/>
  <c r="AF286" i="5"/>
  <c r="AL289" i="5"/>
  <c r="AR290" i="5"/>
  <c r="AN294" i="5"/>
  <c r="AE282" i="5"/>
  <c r="AF285" i="5"/>
  <c r="AF287" i="5"/>
  <c r="AN292" i="5"/>
  <c r="AM296" i="5"/>
  <c r="AE277" i="5"/>
  <c r="AN278" i="5"/>
  <c r="AJ280" i="5"/>
  <c r="AN280" i="5"/>
  <c r="AJ281" i="5"/>
  <c r="AN281" i="5"/>
  <c r="AP282" i="5"/>
  <c r="AP283" i="5"/>
  <c r="AO284" i="5"/>
  <c r="AR285" i="5"/>
  <c r="AR287" i="5"/>
  <c r="AP288" i="5"/>
  <c r="AN293" i="5"/>
  <c r="AD296" i="5"/>
  <c r="AC289" i="5"/>
  <c r="AC288" i="5"/>
  <c r="AC296" i="5"/>
  <c r="AD295" i="5"/>
  <c r="AD294" i="5"/>
  <c r="AD293" i="5"/>
  <c r="AD292" i="5"/>
  <c r="AD290" i="5"/>
  <c r="AD287" i="5"/>
  <c r="AD286" i="5"/>
  <c r="AD285" i="5"/>
  <c r="AC295" i="5"/>
  <c r="AC294" i="5"/>
  <c r="AC293" i="5"/>
  <c r="AC292" i="5"/>
  <c r="AD291" i="5"/>
  <c r="AC290" i="5"/>
  <c r="AC287" i="5"/>
  <c r="AC286" i="5"/>
  <c r="AC285" i="5"/>
  <c r="AD284" i="5"/>
  <c r="AC278" i="5"/>
  <c r="AE295" i="5"/>
  <c r="AE294" i="5"/>
  <c r="AE293" i="5"/>
  <c r="AE292" i="5"/>
  <c r="AF291" i="5"/>
  <c r="AE290" i="5"/>
  <c r="AE287" i="5"/>
  <c r="AE286" i="5"/>
  <c r="AE285" i="5"/>
  <c r="AF284" i="5"/>
  <c r="AE291" i="5"/>
  <c r="AF289" i="5"/>
  <c r="AF288" i="5"/>
  <c r="AE284" i="5"/>
  <c r="AF283" i="5"/>
  <c r="AF296" i="5"/>
  <c r="AE289" i="5"/>
  <c r="AE288" i="5"/>
  <c r="AC279" i="5"/>
  <c r="AH296" i="5"/>
  <c r="AG289" i="5"/>
  <c r="AG288" i="5"/>
  <c r="AG296" i="5"/>
  <c r="AH295" i="5"/>
  <c r="AH294" i="5"/>
  <c r="AH293" i="5"/>
  <c r="AH292" i="5"/>
  <c r="AH290" i="5"/>
  <c r="AH287" i="5"/>
  <c r="AH286" i="5"/>
  <c r="AH285" i="5"/>
  <c r="AG295" i="5"/>
  <c r="AG294" i="5"/>
  <c r="AG293" i="5"/>
  <c r="AG292" i="5"/>
  <c r="AH291" i="5"/>
  <c r="AG290" i="5"/>
  <c r="AG287" i="5"/>
  <c r="AG286" i="5"/>
  <c r="AG285" i="5"/>
  <c r="AH284" i="5"/>
  <c r="AC280" i="5"/>
  <c r="AG280" i="5"/>
  <c r="AI295" i="5"/>
  <c r="AI294" i="5"/>
  <c r="AI293" i="5"/>
  <c r="AI292" i="5"/>
  <c r="AJ291" i="5"/>
  <c r="AI290" i="5"/>
  <c r="AI287" i="5"/>
  <c r="AI286" i="5"/>
  <c r="AI285" i="5"/>
  <c r="AJ284" i="5"/>
  <c r="AI291" i="5"/>
  <c r="AJ289" i="5"/>
  <c r="AJ288" i="5"/>
  <c r="AI284" i="5"/>
  <c r="AJ283" i="5"/>
  <c r="AJ296" i="5"/>
  <c r="AI289" i="5"/>
  <c r="AI288" i="5"/>
  <c r="AI283" i="5"/>
  <c r="AC281" i="5"/>
  <c r="AG281" i="5"/>
  <c r="AL296" i="5"/>
  <c r="AK289" i="5"/>
  <c r="AK288" i="5"/>
  <c r="AK296" i="5"/>
  <c r="AL295" i="5"/>
  <c r="AL294" i="5"/>
  <c r="AL293" i="5"/>
  <c r="AL292" i="5"/>
  <c r="AL290" i="5"/>
  <c r="AL287" i="5"/>
  <c r="AL286" i="5"/>
  <c r="AL285" i="5"/>
  <c r="AK295" i="5"/>
  <c r="AK294" i="5"/>
  <c r="AK293" i="5"/>
  <c r="AK292" i="5"/>
  <c r="AL291" i="5"/>
  <c r="AK290" i="5"/>
  <c r="AK287" i="5"/>
  <c r="AK286" i="5"/>
  <c r="AK285" i="5"/>
  <c r="AL284" i="5"/>
  <c r="AF282" i="5"/>
  <c r="AJ282" i="5"/>
  <c r="AN282" i="5"/>
  <c r="AD283" i="5"/>
  <c r="AK283" i="5"/>
  <c r="AJ285" i="5"/>
  <c r="AJ286" i="5"/>
  <c r="AJ287" i="5"/>
  <c r="AF290" i="5"/>
  <c r="AC291" i="5"/>
  <c r="AR292" i="5"/>
  <c r="AR293" i="5"/>
  <c r="AR294" i="5"/>
  <c r="AR295" i="5"/>
  <c r="AD278" i="5"/>
  <c r="AD279" i="5"/>
  <c r="AD280" i="5"/>
  <c r="AH280" i="5"/>
  <c r="AD281" i="5"/>
  <c r="AH281" i="5"/>
  <c r="AC282" i="5"/>
  <c r="AG282" i="5"/>
  <c r="AK282" i="5"/>
  <c r="AM295" i="5"/>
  <c r="AM294" i="5"/>
  <c r="AM293" i="5"/>
  <c r="AM292" i="5"/>
  <c r="AN291" i="5"/>
  <c r="AM290" i="5"/>
  <c r="AM287" i="5"/>
  <c r="AM286" i="5"/>
  <c r="AM285" i="5"/>
  <c r="AN284" i="5"/>
  <c r="AM291" i="5"/>
  <c r="AN289" i="5"/>
  <c r="AN288" i="5"/>
  <c r="AM284" i="5"/>
  <c r="AN283" i="5"/>
  <c r="AN296" i="5"/>
  <c r="AM289" i="5"/>
  <c r="AM288" i="5"/>
  <c r="AM283" i="5"/>
  <c r="AE283" i="5"/>
  <c r="AL283" i="5"/>
  <c r="AC284" i="5"/>
  <c r="AQ295" i="5"/>
  <c r="AQ294" i="5"/>
  <c r="AQ293" i="5"/>
  <c r="AQ292" i="5"/>
  <c r="AR291" i="5"/>
  <c r="AQ290" i="5"/>
  <c r="AQ287" i="5"/>
  <c r="AQ286" i="5"/>
  <c r="AQ285" i="5"/>
  <c r="AR284" i="5"/>
  <c r="AQ291" i="5"/>
  <c r="AR289" i="5"/>
  <c r="AR288" i="5"/>
  <c r="AQ284" i="5"/>
  <c r="AR283" i="5"/>
  <c r="AR296" i="5"/>
  <c r="AQ289" i="5"/>
  <c r="AQ288" i="5"/>
  <c r="AQ283" i="5"/>
  <c r="AN285" i="5"/>
  <c r="AN286" i="5"/>
  <c r="AN287" i="5"/>
  <c r="AD288" i="5"/>
  <c r="AD289" i="5"/>
  <c r="AJ290" i="5"/>
  <c r="AG291" i="5"/>
  <c r="AF292" i="5"/>
  <c r="AF293" i="5"/>
  <c r="AF294" i="5"/>
  <c r="AF295" i="5"/>
  <c r="AE296" i="5"/>
  <c r="AE281" i="5"/>
  <c r="AD282" i="5"/>
  <c r="AH282" i="5"/>
  <c r="AG283" i="5"/>
  <c r="AG284" i="5"/>
  <c r="AH288" i="5"/>
  <c r="AH289" i="5"/>
  <c r="AN290" i="5"/>
  <c r="AK291" i="5"/>
  <c r="AJ292" i="5"/>
  <c r="AJ293" i="5"/>
  <c r="AJ294" i="5"/>
  <c r="AJ295" i="5"/>
  <c r="AI296" i="5"/>
  <c r="AP284" i="5"/>
  <c r="AO285" i="5"/>
  <c r="AO286" i="5"/>
  <c r="AO287" i="5"/>
  <c r="AO290" i="5"/>
  <c r="AP291" i="5"/>
  <c r="AO292" i="5"/>
  <c r="AO293" i="5"/>
  <c r="AO294" i="5"/>
  <c r="AO295" i="5"/>
  <c r="AP285" i="5"/>
  <c r="AP286" i="5"/>
  <c r="AP287" i="5"/>
  <c r="AP290" i="5"/>
  <c r="AP292" i="5"/>
  <c r="AP293" i="5"/>
  <c r="AP294" i="5"/>
  <c r="AP295" i="5"/>
  <c r="AO296" i="5"/>
  <c r="AO288" i="5"/>
  <c r="AO289" i="5"/>
  <c r="AP296" i="5"/>
  <c r="C290" i="5" l="1"/>
  <c r="G282" i="5"/>
  <c r="S282" i="5" s="1"/>
  <c r="B5" i="6"/>
  <c r="C5" i="6" s="1"/>
  <c r="G284" i="5"/>
  <c r="S284" i="5" s="1"/>
  <c r="D10" i="5"/>
  <c r="G281" i="5"/>
  <c r="G283" i="5"/>
  <c r="G278" i="5"/>
  <c r="R278" i="5" s="1"/>
  <c r="E10" i="5"/>
  <c r="G279" i="5"/>
  <c r="F10" i="5"/>
  <c r="G285" i="5"/>
  <c r="C10" i="5"/>
  <c r="G280" i="5"/>
  <c r="X290" i="5" s="1"/>
  <c r="B10" i="5"/>
  <c r="D290" i="5" l="1"/>
  <c r="E290" i="5"/>
  <c r="H290" i="5" s="1"/>
  <c r="B291" i="5"/>
  <c r="C291" i="5" s="1"/>
  <c r="H282" i="5"/>
  <c r="R282" i="5"/>
  <c r="R284" i="5"/>
  <c r="R279" i="5"/>
  <c r="S279" i="5"/>
  <c r="H279" i="5"/>
  <c r="S278" i="5"/>
  <c r="H278" i="5"/>
  <c r="R283" i="5"/>
  <c r="S283" i="5"/>
  <c r="H283" i="5"/>
  <c r="S281" i="5"/>
  <c r="R281" i="5"/>
  <c r="H281" i="5"/>
  <c r="A296" i="5"/>
  <c r="A298" i="5"/>
  <c r="K6" i="5"/>
  <c r="A297" i="5"/>
  <c r="S280" i="5"/>
  <c r="Z290" i="5" s="1"/>
  <c r="I277" i="5"/>
  <c r="J277" i="5" s="1"/>
  <c r="R280" i="5"/>
  <c r="Y290" i="5" s="1"/>
  <c r="J6" i="5"/>
  <c r="J10" i="5" s="1"/>
  <c r="I6" i="5"/>
  <c r="H285" i="5"/>
  <c r="R285" i="5"/>
  <c r="S285" i="5"/>
  <c r="H284" i="5"/>
  <c r="B292" i="5" l="1"/>
  <c r="D11" i="6" s="1"/>
  <c r="D291" i="5"/>
  <c r="F290" i="5"/>
  <c r="G290" i="5"/>
  <c r="J290" i="5" s="1"/>
  <c r="I281" i="5"/>
  <c r="J281" i="5" s="1"/>
  <c r="I284" i="5"/>
  <c r="J284" i="5" s="1"/>
  <c r="I279" i="5"/>
  <c r="J279" i="5" s="1"/>
  <c r="I283" i="5"/>
  <c r="J283" i="5" s="1"/>
  <c r="I278" i="5"/>
  <c r="J278" i="5" s="1"/>
  <c r="I285" i="5"/>
  <c r="J285" i="5" s="1"/>
  <c r="C8" i="6"/>
  <c r="I282" i="5"/>
  <c r="J282" i="5" s="1"/>
  <c r="J9" i="5"/>
  <c r="J7" i="5"/>
  <c r="J8" i="5" s="1"/>
  <c r="K290" i="5" l="1"/>
  <c r="I290" i="5"/>
  <c r="N290" i="5"/>
  <c r="O290" i="5"/>
  <c r="L7" i="5"/>
  <c r="L8" i="5" s="1"/>
  <c r="L9" i="5" s="1"/>
  <c r="L10" i="5" s="1"/>
  <c r="D8" i="6"/>
  <c r="A302" i="5"/>
  <c r="C11" i="6"/>
  <c r="G308" i="5" l="1"/>
  <c r="J308" i="5" s="1"/>
  <c r="N308" i="5" s="1"/>
  <c r="L290" i="5"/>
  <c r="P290" i="5" s="1"/>
  <c r="M290" i="5"/>
  <c r="K285" i="5"/>
  <c r="L285" i="5" s="1"/>
  <c r="K284" i="5"/>
  <c r="L284" i="5" s="1"/>
  <c r="K283" i="5"/>
  <c r="L283" i="5" s="1"/>
  <c r="K282" i="5"/>
  <c r="L282" i="5" s="1"/>
  <c r="K281" i="5"/>
  <c r="L281" i="5" s="1"/>
  <c r="K277" i="5"/>
  <c r="L277" i="5" s="1"/>
  <c r="K279" i="5"/>
  <c r="L279" i="5" s="1"/>
  <c r="K278" i="5"/>
  <c r="L278" i="5" s="1"/>
  <c r="I272" i="5"/>
  <c r="J272" i="5" s="1"/>
  <c r="I271" i="5"/>
  <c r="J271" i="5" s="1"/>
  <c r="I269" i="5"/>
  <c r="J269" i="5" s="1"/>
  <c r="I268" i="5"/>
  <c r="J268" i="5" s="1"/>
  <c r="K268" i="5" s="1"/>
  <c r="I267" i="5"/>
  <c r="J267" i="5" s="1"/>
  <c r="L267" i="5" s="1"/>
  <c r="I265" i="5"/>
  <c r="J265" i="5" s="1"/>
  <c r="K265" i="5" s="1"/>
  <c r="I264" i="5"/>
  <c r="J264" i="5" s="1"/>
  <c r="I263" i="5"/>
  <c r="J263" i="5" s="1"/>
  <c r="K263" i="5" s="1"/>
  <c r="I262" i="5"/>
  <c r="J262" i="5" s="1"/>
  <c r="K262" i="5" s="1"/>
  <c r="I261" i="5"/>
  <c r="J261" i="5" s="1"/>
  <c r="L261" i="5" s="1"/>
  <c r="I259" i="5"/>
  <c r="J259" i="5" s="1"/>
  <c r="K259" i="5" s="1"/>
  <c r="I258" i="5"/>
  <c r="J258" i="5" s="1"/>
  <c r="K258" i="5" s="1"/>
  <c r="I257" i="5"/>
  <c r="J257" i="5" s="1"/>
  <c r="K257" i="5" s="1"/>
  <c r="I256" i="5"/>
  <c r="J256" i="5" s="1"/>
  <c r="K256" i="5" s="1"/>
  <c r="I255" i="5"/>
  <c r="J255" i="5" s="1"/>
  <c r="K255" i="5" s="1"/>
  <c r="I254" i="5"/>
  <c r="J254" i="5" s="1"/>
  <c r="I253" i="5"/>
  <c r="J253" i="5" s="1"/>
  <c r="K253" i="5" s="1"/>
  <c r="I252" i="5"/>
  <c r="J252" i="5" s="1"/>
  <c r="L252" i="5" s="1"/>
  <c r="I250" i="5"/>
  <c r="J250" i="5" s="1"/>
  <c r="K250" i="5" s="1"/>
  <c r="I249" i="5"/>
  <c r="J249" i="5" s="1"/>
  <c r="K249" i="5" s="1"/>
  <c r="I248" i="5"/>
  <c r="J248" i="5" s="1"/>
  <c r="K248" i="5" s="1"/>
  <c r="I247" i="5"/>
  <c r="J247" i="5" s="1"/>
  <c r="K247" i="5" s="1"/>
  <c r="I246" i="5"/>
  <c r="J246" i="5" s="1"/>
  <c r="K246" i="5" s="1"/>
  <c r="I245" i="5"/>
  <c r="J245" i="5" s="1"/>
  <c r="K245" i="5" s="1"/>
  <c r="I243" i="5"/>
  <c r="J243" i="5" s="1"/>
  <c r="L243" i="5" s="1"/>
  <c r="I242" i="5"/>
  <c r="J242" i="5" s="1"/>
  <c r="K242" i="5" s="1"/>
  <c r="I241" i="5"/>
  <c r="J241" i="5" s="1"/>
  <c r="K241" i="5" s="1"/>
  <c r="I240" i="5"/>
  <c r="J240" i="5" s="1"/>
  <c r="L240" i="5" s="1"/>
  <c r="I238" i="5"/>
  <c r="J238" i="5" s="1"/>
  <c r="I237" i="5"/>
  <c r="J237" i="5" s="1"/>
  <c r="K237" i="5" s="1"/>
  <c r="I236" i="5"/>
  <c r="J236" i="5" s="1"/>
  <c r="K236" i="5" s="1"/>
  <c r="I235" i="5"/>
  <c r="J235" i="5" s="1"/>
  <c r="L235" i="5" s="1"/>
  <c r="I234" i="5"/>
  <c r="J234" i="5" s="1"/>
  <c r="I232" i="5"/>
  <c r="J232" i="5" s="1"/>
  <c r="L232" i="5" s="1"/>
  <c r="I231" i="5"/>
  <c r="J231" i="5" s="1"/>
  <c r="K231" i="5" s="1"/>
  <c r="I230" i="5"/>
  <c r="J230" i="5" s="1"/>
  <c r="K230" i="5" s="1"/>
  <c r="I229" i="5"/>
  <c r="J229" i="5" s="1"/>
  <c r="I228" i="5"/>
  <c r="J228" i="5" s="1"/>
  <c r="L228" i="5" s="1"/>
  <c r="I227" i="5"/>
  <c r="J227" i="5" s="1"/>
  <c r="L227" i="5" s="1"/>
  <c r="I226" i="5"/>
  <c r="J226" i="5" s="1"/>
  <c r="I225" i="5"/>
  <c r="J225" i="5" s="1"/>
  <c r="K225" i="5" s="1"/>
  <c r="I224" i="5"/>
  <c r="J224" i="5" s="1"/>
  <c r="L224" i="5" s="1"/>
  <c r="I222" i="5"/>
  <c r="J222" i="5" s="1"/>
  <c r="I221" i="5"/>
  <c r="J221" i="5" s="1"/>
  <c r="I220" i="5"/>
  <c r="J220" i="5" s="1"/>
  <c r="I219" i="5"/>
  <c r="J219" i="5" s="1"/>
  <c r="K219" i="5" s="1"/>
  <c r="I218" i="5"/>
  <c r="J218" i="5" s="1"/>
  <c r="L218" i="5" s="1"/>
  <c r="I216" i="5"/>
  <c r="J216" i="5" s="1"/>
  <c r="K216" i="5" s="1"/>
  <c r="I215" i="5"/>
  <c r="J215" i="5" s="1"/>
  <c r="L215" i="5" s="1"/>
  <c r="I214" i="5"/>
  <c r="J214" i="5" s="1"/>
  <c r="L214" i="5" s="1"/>
  <c r="I213" i="5"/>
  <c r="J213" i="5" s="1"/>
  <c r="L213" i="5" s="1"/>
  <c r="I212" i="5"/>
  <c r="J212" i="5" s="1"/>
  <c r="I211" i="5"/>
  <c r="J211" i="5" s="1"/>
  <c r="L211" i="5" s="1"/>
  <c r="I210" i="5"/>
  <c r="J210" i="5" s="1"/>
  <c r="K210" i="5" s="1"/>
  <c r="I209" i="5"/>
  <c r="J209" i="5" s="1"/>
  <c r="L209" i="5" s="1"/>
  <c r="I207" i="5"/>
  <c r="J207" i="5" s="1"/>
  <c r="L207" i="5" s="1"/>
  <c r="I206" i="5"/>
  <c r="J206" i="5" s="1"/>
  <c r="L206" i="5" s="1"/>
  <c r="I205" i="5"/>
  <c r="J205" i="5" s="1"/>
  <c r="I204" i="5"/>
  <c r="J204" i="5" s="1"/>
  <c r="L204" i="5" s="1"/>
  <c r="I203" i="5"/>
  <c r="J203" i="5" s="1"/>
  <c r="K203" i="5" s="1"/>
  <c r="I202" i="5"/>
  <c r="J202" i="5" s="1"/>
  <c r="L202" i="5" s="1"/>
  <c r="I201" i="5"/>
  <c r="J201" i="5" s="1"/>
  <c r="K201" i="5" s="1"/>
  <c r="I200" i="5"/>
  <c r="J200" i="5" s="1"/>
  <c r="L200" i="5" s="1"/>
  <c r="I198" i="5"/>
  <c r="J198" i="5" s="1"/>
  <c r="L198" i="5" s="1"/>
  <c r="I197" i="5"/>
  <c r="J197" i="5" s="1"/>
  <c r="L197" i="5" s="1"/>
  <c r="I196" i="5"/>
  <c r="J196" i="5" s="1"/>
  <c r="I195" i="5"/>
  <c r="J195" i="5" s="1"/>
  <c r="K195" i="5" s="1"/>
  <c r="I194" i="5"/>
  <c r="J194" i="5" s="1"/>
  <c r="L194" i="5" s="1"/>
  <c r="I193" i="5"/>
  <c r="J193" i="5" s="1"/>
  <c r="L193" i="5" s="1"/>
  <c r="I192" i="5"/>
  <c r="J192" i="5" s="1"/>
  <c r="K192" i="5" s="1"/>
  <c r="I191" i="5"/>
  <c r="J191" i="5" s="1"/>
  <c r="K191" i="5" s="1"/>
  <c r="I190" i="5"/>
  <c r="J190" i="5" s="1"/>
  <c r="K190" i="5" s="1"/>
  <c r="I189" i="5"/>
  <c r="J189" i="5" s="1"/>
  <c r="L189" i="5" s="1"/>
  <c r="I188" i="5"/>
  <c r="J188" i="5" s="1"/>
  <c r="K188" i="5" s="1"/>
  <c r="I187" i="5"/>
  <c r="J187" i="5" s="1"/>
  <c r="I185" i="5"/>
  <c r="J185" i="5" s="1"/>
  <c r="K185" i="5" s="1"/>
  <c r="I182" i="5"/>
  <c r="J182" i="5" s="1"/>
  <c r="L182" i="5" s="1"/>
  <c r="I181" i="5"/>
  <c r="J181" i="5" s="1"/>
  <c r="L181" i="5" s="1"/>
  <c r="I180" i="5"/>
  <c r="J180" i="5" s="1"/>
  <c r="K180" i="5" s="1"/>
  <c r="I179" i="5"/>
  <c r="J179" i="5" s="1"/>
  <c r="K179" i="5" s="1"/>
  <c r="I175" i="5"/>
  <c r="J175" i="5" s="1"/>
  <c r="I184" i="5"/>
  <c r="J184" i="5" s="1"/>
  <c r="K184" i="5" s="1"/>
  <c r="I183" i="5"/>
  <c r="J183" i="5" s="1"/>
  <c r="L183" i="5" s="1"/>
  <c r="I178" i="5"/>
  <c r="J178" i="5" s="1"/>
  <c r="L178" i="5" s="1"/>
  <c r="I177" i="5"/>
  <c r="J177" i="5" s="1"/>
  <c r="L177" i="5" s="1"/>
  <c r="I176" i="5"/>
  <c r="J176" i="5" s="1"/>
  <c r="K176" i="5" s="1"/>
  <c r="I174" i="5"/>
  <c r="J174" i="5" s="1"/>
  <c r="K174" i="5" s="1"/>
  <c r="I172" i="5"/>
  <c r="J172" i="5" s="1"/>
  <c r="L172" i="5" s="1"/>
  <c r="I171" i="5"/>
  <c r="J171" i="5" s="1"/>
  <c r="K171" i="5" s="1"/>
  <c r="I170" i="5"/>
  <c r="J170" i="5" s="1"/>
  <c r="I169" i="5"/>
  <c r="J169" i="5" s="1"/>
  <c r="K169" i="5" s="1"/>
  <c r="I167" i="5"/>
  <c r="J167" i="5" s="1"/>
  <c r="K167" i="5" s="1"/>
  <c r="I166" i="5"/>
  <c r="J166" i="5" s="1"/>
  <c r="K166" i="5" s="1"/>
  <c r="I165" i="5"/>
  <c r="J165" i="5" s="1"/>
  <c r="I164" i="5"/>
  <c r="J164" i="5" s="1"/>
  <c r="L164" i="5" s="1"/>
  <c r="I163" i="5"/>
  <c r="J163" i="5" s="1"/>
  <c r="K163" i="5" s="1"/>
  <c r="I162" i="5"/>
  <c r="J162" i="5" s="1"/>
  <c r="L162" i="5" s="1"/>
  <c r="I161" i="5"/>
  <c r="J161" i="5" s="1"/>
  <c r="L161" i="5" s="1"/>
  <c r="I160" i="5"/>
  <c r="J160" i="5" s="1"/>
  <c r="L160" i="5" s="1"/>
  <c r="I159" i="5"/>
  <c r="J159" i="5" s="1"/>
  <c r="K159" i="5" s="1"/>
  <c r="I157" i="5"/>
  <c r="J157" i="5" s="1"/>
  <c r="K157" i="5" s="1"/>
  <c r="I156" i="5"/>
  <c r="J156" i="5" s="1"/>
  <c r="L156" i="5" s="1"/>
  <c r="I155" i="5"/>
  <c r="J155" i="5" s="1"/>
  <c r="L155" i="5" s="1"/>
  <c r="I154" i="5"/>
  <c r="J154" i="5" s="1"/>
  <c r="L154" i="5" s="1"/>
  <c r="I153" i="5"/>
  <c r="J153" i="5" s="1"/>
  <c r="K153" i="5" s="1"/>
  <c r="I152" i="5"/>
  <c r="J152" i="5" s="1"/>
  <c r="I151" i="5"/>
  <c r="J151" i="5" s="1"/>
  <c r="L151" i="5" s="1"/>
  <c r="I150" i="5"/>
  <c r="J150" i="5" s="1"/>
  <c r="L150" i="5" s="1"/>
  <c r="I149" i="5"/>
  <c r="J149" i="5" s="1"/>
  <c r="I148" i="5"/>
  <c r="J148" i="5" s="1"/>
  <c r="L148" i="5" s="1"/>
  <c r="I147" i="5"/>
  <c r="J147" i="5" s="1"/>
  <c r="K147" i="5" s="1"/>
  <c r="I145" i="5"/>
  <c r="J145" i="5" s="1"/>
  <c r="K145" i="5" s="1"/>
  <c r="I144" i="5"/>
  <c r="J144" i="5" s="1"/>
  <c r="L144" i="5" s="1"/>
  <c r="I143" i="5"/>
  <c r="J143" i="5" s="1"/>
  <c r="L143" i="5" s="1"/>
  <c r="I142" i="5"/>
  <c r="J142" i="5" s="1"/>
  <c r="L142" i="5" s="1"/>
  <c r="I140" i="5"/>
  <c r="J140" i="5" s="1"/>
  <c r="L140" i="5" s="1"/>
  <c r="I139" i="5"/>
  <c r="J139" i="5" s="1"/>
  <c r="L139" i="5" s="1"/>
  <c r="I138" i="5"/>
  <c r="J138" i="5" s="1"/>
  <c r="K138" i="5" s="1"/>
  <c r="I137" i="5"/>
  <c r="J137" i="5" s="1"/>
  <c r="L137" i="5" s="1"/>
  <c r="I136" i="5"/>
  <c r="J136" i="5" s="1"/>
  <c r="K136" i="5" s="1"/>
  <c r="I135" i="5"/>
  <c r="J135" i="5" s="1"/>
  <c r="I134" i="5"/>
  <c r="J134" i="5" s="1"/>
  <c r="K134" i="5" s="1"/>
  <c r="I132" i="5"/>
  <c r="J132" i="5" s="1"/>
  <c r="K132" i="5" s="1"/>
  <c r="I131" i="5"/>
  <c r="J131" i="5" s="1"/>
  <c r="I130" i="5"/>
  <c r="J130" i="5" s="1"/>
  <c r="K130" i="5" s="1"/>
  <c r="I129" i="5"/>
  <c r="J129" i="5" s="1"/>
  <c r="I128" i="5"/>
  <c r="J128" i="5" s="1"/>
  <c r="L128" i="5" s="1"/>
  <c r="I127" i="5"/>
  <c r="J127" i="5" s="1"/>
  <c r="K127" i="5" s="1"/>
  <c r="I126" i="5"/>
  <c r="J126" i="5" s="1"/>
  <c r="K126" i="5" s="1"/>
  <c r="I125" i="5"/>
  <c r="J125" i="5" s="1"/>
  <c r="I124" i="5"/>
  <c r="J124" i="5" s="1"/>
  <c r="L124" i="5" s="1"/>
  <c r="I123" i="5"/>
  <c r="J123" i="5" s="1"/>
  <c r="K123" i="5" s="1"/>
  <c r="I122" i="5"/>
  <c r="J122" i="5" s="1"/>
  <c r="K122" i="5" s="1"/>
  <c r="I120" i="5"/>
  <c r="J120" i="5" s="1"/>
  <c r="L120" i="5" s="1"/>
  <c r="I119" i="5"/>
  <c r="J119" i="5" s="1"/>
  <c r="I118" i="5"/>
  <c r="J118" i="5" s="1"/>
  <c r="I117" i="5"/>
  <c r="J117" i="5" s="1"/>
  <c r="K117" i="5" s="1"/>
  <c r="I116" i="5"/>
  <c r="J116" i="5" s="1"/>
  <c r="K116" i="5" s="1"/>
  <c r="I114" i="5"/>
  <c r="J114" i="5" s="1"/>
  <c r="L114" i="5" s="1"/>
  <c r="I113" i="5"/>
  <c r="J113" i="5" s="1"/>
  <c r="I112" i="5"/>
  <c r="J112" i="5" s="1"/>
  <c r="I111" i="5"/>
  <c r="J111" i="5" s="1"/>
  <c r="I110" i="5"/>
  <c r="J110" i="5" s="1"/>
  <c r="K110" i="5" s="1"/>
  <c r="I109" i="5"/>
  <c r="J109" i="5" s="1"/>
  <c r="L109" i="5" s="1"/>
  <c r="I108" i="5"/>
  <c r="J108" i="5" s="1"/>
  <c r="K108" i="5" s="1"/>
  <c r="I107" i="5"/>
  <c r="J107" i="5" s="1"/>
  <c r="I96" i="5"/>
  <c r="J96" i="5" s="1"/>
  <c r="I95" i="5"/>
  <c r="J95" i="5" s="1"/>
  <c r="L95" i="5" s="1"/>
  <c r="I94" i="5"/>
  <c r="J94" i="5" s="1"/>
  <c r="K94" i="5" s="1"/>
  <c r="I93" i="5"/>
  <c r="J93" i="5" s="1"/>
  <c r="L93" i="5" s="1"/>
  <c r="I92" i="5"/>
  <c r="J92" i="5" s="1"/>
  <c r="L92" i="5" s="1"/>
  <c r="I91" i="5"/>
  <c r="J91" i="5" s="1"/>
  <c r="K91" i="5" s="1"/>
  <c r="I90" i="5"/>
  <c r="J90" i="5" s="1"/>
  <c r="K90" i="5" s="1"/>
  <c r="I89" i="5"/>
  <c r="J89" i="5" s="1"/>
  <c r="I87" i="5"/>
  <c r="J87" i="5" s="1"/>
  <c r="K87" i="5" s="1"/>
  <c r="I86" i="5"/>
  <c r="J86" i="5" s="1"/>
  <c r="I85" i="5"/>
  <c r="J85" i="5" s="1"/>
  <c r="K85" i="5" s="1"/>
  <c r="I84" i="5"/>
  <c r="J84" i="5" s="1"/>
  <c r="K84" i="5" s="1"/>
  <c r="I83" i="5"/>
  <c r="J83" i="5" s="1"/>
  <c r="I81" i="5"/>
  <c r="J81" i="5" s="1"/>
  <c r="L81" i="5" s="1"/>
  <c r="I80" i="5"/>
  <c r="J80" i="5" s="1"/>
  <c r="I79" i="5"/>
  <c r="J79" i="5" s="1"/>
  <c r="L79" i="5" s="1"/>
  <c r="I78" i="5"/>
  <c r="J78" i="5" s="1"/>
  <c r="L78" i="5" s="1"/>
  <c r="I77" i="5"/>
  <c r="J77" i="5" s="1"/>
  <c r="L77" i="5" s="1"/>
  <c r="I76" i="5"/>
  <c r="J76" i="5" s="1"/>
  <c r="I75" i="5"/>
  <c r="J75" i="5" s="1"/>
  <c r="K75" i="5" s="1"/>
  <c r="I74" i="5"/>
  <c r="J74" i="5" s="1"/>
  <c r="L74" i="5" s="1"/>
  <c r="I15" i="5"/>
  <c r="J15" i="5" s="1"/>
  <c r="I16" i="5"/>
  <c r="J16" i="5" s="1"/>
  <c r="I28" i="5"/>
  <c r="J28" i="5" s="1"/>
  <c r="I40" i="5"/>
  <c r="J40" i="5" s="1"/>
  <c r="I52" i="5"/>
  <c r="I29" i="5"/>
  <c r="J29" i="5" s="1"/>
  <c r="I44" i="5"/>
  <c r="J44" i="5" s="1"/>
  <c r="I45" i="5"/>
  <c r="J45" i="5" s="1"/>
  <c r="I35" i="5"/>
  <c r="J35" i="5" s="1"/>
  <c r="I59" i="5"/>
  <c r="I24" i="5"/>
  <c r="J24" i="5" s="1"/>
  <c r="I48" i="5"/>
  <c r="I61" i="5"/>
  <c r="J61" i="5" s="1"/>
  <c r="I62" i="5"/>
  <c r="J62" i="5" s="1"/>
  <c r="I39" i="5"/>
  <c r="J39" i="5" s="1"/>
  <c r="I63" i="5"/>
  <c r="J63" i="5" s="1"/>
  <c r="I17" i="5"/>
  <c r="J17" i="5" s="1"/>
  <c r="I41" i="5"/>
  <c r="J41" i="5" s="1"/>
  <c r="I53" i="5"/>
  <c r="I33" i="5"/>
  <c r="J33" i="5" s="1"/>
  <c r="I57" i="5"/>
  <c r="I22" i="5"/>
  <c r="J22" i="5" s="1"/>
  <c r="I34" i="5"/>
  <c r="J34" i="5" s="1"/>
  <c r="I46" i="5"/>
  <c r="J46" i="5" s="1"/>
  <c r="I58" i="5"/>
  <c r="I47" i="5"/>
  <c r="I26" i="5"/>
  <c r="J26" i="5" s="1"/>
  <c r="I38" i="5"/>
  <c r="J38" i="5" s="1"/>
  <c r="I50" i="5"/>
  <c r="I27" i="5"/>
  <c r="J27" i="5" s="1"/>
  <c r="I51" i="5"/>
  <c r="I18" i="5"/>
  <c r="J18" i="5" s="1"/>
  <c r="I30" i="5"/>
  <c r="J30" i="5" s="1"/>
  <c r="I42" i="5"/>
  <c r="J42" i="5" s="1"/>
  <c r="I54" i="5"/>
  <c r="I19" i="5"/>
  <c r="J19" i="5" s="1"/>
  <c r="I31" i="5"/>
  <c r="J31" i="5" s="1"/>
  <c r="I43" i="5"/>
  <c r="J43" i="5" s="1"/>
  <c r="I55" i="5"/>
  <c r="I20" i="5"/>
  <c r="J20" i="5" s="1"/>
  <c r="I32" i="5"/>
  <c r="J32" i="5" s="1"/>
  <c r="I56" i="5"/>
  <c r="I21" i="5"/>
  <c r="J21" i="5" s="1"/>
  <c r="I23" i="5"/>
  <c r="J23" i="5" s="1"/>
  <c r="I36" i="5"/>
  <c r="J36" i="5" s="1"/>
  <c r="I60" i="5"/>
  <c r="I25" i="5"/>
  <c r="J25" i="5" s="1"/>
  <c r="I37" i="5"/>
  <c r="J37" i="5" s="1"/>
  <c r="I49" i="5"/>
  <c r="I98" i="5"/>
  <c r="J98" i="5" s="1"/>
  <c r="I99" i="5"/>
  <c r="J99" i="5" s="1"/>
  <c r="K99" i="5" s="1"/>
  <c r="I102" i="5"/>
  <c r="J102" i="5" s="1"/>
  <c r="L102" i="5" s="1"/>
  <c r="I105" i="5"/>
  <c r="J105" i="5" s="1"/>
  <c r="I100" i="5"/>
  <c r="J100" i="5" s="1"/>
  <c r="L100" i="5" s="1"/>
  <c r="I104" i="5"/>
  <c r="J104" i="5" s="1"/>
  <c r="L104" i="5" s="1"/>
  <c r="I101" i="5"/>
  <c r="J101" i="5" s="1"/>
  <c r="K101" i="5" s="1"/>
  <c r="I103" i="5"/>
  <c r="J103" i="5" s="1"/>
  <c r="L103" i="5" s="1"/>
  <c r="I66" i="5"/>
  <c r="J66" i="5" s="1"/>
  <c r="I67" i="5"/>
  <c r="J67" i="5" s="1"/>
  <c r="I68" i="5"/>
  <c r="J68" i="5" s="1"/>
  <c r="L68" i="5" s="1"/>
  <c r="I69" i="5"/>
  <c r="J69" i="5" s="1"/>
  <c r="K69" i="5" s="1"/>
  <c r="I70" i="5"/>
  <c r="J70" i="5" s="1"/>
  <c r="K70" i="5" s="1"/>
  <c r="I71" i="5"/>
  <c r="J71" i="5" s="1"/>
  <c r="L71" i="5" s="1"/>
  <c r="I72" i="5"/>
  <c r="J72" i="5" s="1"/>
  <c r="L72" i="5" s="1"/>
  <c r="I65" i="5"/>
  <c r="J65" i="5" s="1"/>
  <c r="K65" i="5" s="1"/>
  <c r="F5" i="6"/>
  <c r="Q290" i="5" l="1"/>
  <c r="R290" i="5" s="1"/>
  <c r="N279" i="5"/>
  <c r="N283" i="5"/>
  <c r="M284" i="5"/>
  <c r="M285" i="5"/>
  <c r="N281" i="5"/>
  <c r="M282" i="5"/>
  <c r="M277" i="5"/>
  <c r="K31" i="5"/>
  <c r="K61" i="5"/>
  <c r="K15" i="5"/>
  <c r="K37" i="5"/>
  <c r="K46" i="5"/>
  <c r="K25" i="5"/>
  <c r="K34" i="5"/>
  <c r="L24" i="5"/>
  <c r="L272" i="5"/>
  <c r="L42" i="5"/>
  <c r="K22" i="5"/>
  <c r="K36" i="5"/>
  <c r="L30" i="5"/>
  <c r="K35" i="5"/>
  <c r="K18" i="5"/>
  <c r="K45" i="5"/>
  <c r="K21" i="5"/>
  <c r="L44" i="5"/>
  <c r="L271" i="5"/>
  <c r="L27" i="5"/>
  <c r="K41" i="5"/>
  <c r="K29" i="5"/>
  <c r="K32" i="5"/>
  <c r="K17" i="5"/>
  <c r="K20" i="5"/>
  <c r="L38" i="5"/>
  <c r="L63" i="5"/>
  <c r="L40" i="5"/>
  <c r="L26" i="5"/>
  <c r="K28" i="5"/>
  <c r="L43" i="5"/>
  <c r="K62" i="5"/>
  <c r="L16" i="5"/>
  <c r="L98" i="5"/>
  <c r="K98" i="5"/>
  <c r="E8" i="6"/>
  <c r="N277" i="5"/>
  <c r="H308" i="5"/>
  <c r="J56" i="5"/>
  <c r="J53" i="5"/>
  <c r="K53" i="5" s="1"/>
  <c r="J60" i="5"/>
  <c r="K60" i="5" s="1"/>
  <c r="J57" i="5"/>
  <c r="J51" i="5"/>
  <c r="J48" i="5"/>
  <c r="J47" i="5"/>
  <c r="J58" i="5"/>
  <c r="J49" i="5"/>
  <c r="K49" i="5" s="1"/>
  <c r="J50" i="5"/>
  <c r="J59" i="5"/>
  <c r="J54" i="5"/>
  <c r="J52" i="5"/>
  <c r="J55" i="5"/>
  <c r="K112" i="5"/>
  <c r="K78" i="5"/>
  <c r="M78" i="5" s="1"/>
  <c r="W78" i="5" s="1"/>
  <c r="L191" i="5"/>
  <c r="M191" i="5" s="1"/>
  <c r="W191" i="5" s="1"/>
  <c r="K162" i="5"/>
  <c r="M162" i="5" s="1"/>
  <c r="W162" i="5" s="1"/>
  <c r="K154" i="5"/>
  <c r="M154" i="5" s="1"/>
  <c r="W154" i="5" s="1"/>
  <c r="L122" i="5"/>
  <c r="M122" i="5" s="1"/>
  <c r="W122" i="5" s="1"/>
  <c r="L253" i="5"/>
  <c r="M253" i="5" s="1"/>
  <c r="W253" i="5" s="1"/>
  <c r="K211" i="5"/>
  <c r="M211" i="5" s="1"/>
  <c r="W211" i="5" s="1"/>
  <c r="K68" i="5"/>
  <c r="M68" i="5" s="1"/>
  <c r="W68" i="5" s="1"/>
  <c r="L203" i="5"/>
  <c r="M203" i="5" s="1"/>
  <c r="W203" i="5" s="1"/>
  <c r="L35" i="5"/>
  <c r="L237" i="5"/>
  <c r="M237" i="5" s="1"/>
  <c r="W237" i="5" s="1"/>
  <c r="K267" i="5"/>
  <c r="M267" i="5" s="1"/>
  <c r="W267" i="5" s="1"/>
  <c r="K44" i="5"/>
  <c r="K140" i="5"/>
  <c r="M140" i="5" s="1"/>
  <c r="W140" i="5" s="1"/>
  <c r="N285" i="5"/>
  <c r="L192" i="5"/>
  <c r="M192" i="5" s="1"/>
  <c r="W192" i="5" s="1"/>
  <c r="L90" i="5"/>
  <c r="M90" i="5" s="1"/>
  <c r="W90" i="5" s="1"/>
  <c r="L61" i="5"/>
  <c r="K137" i="5"/>
  <c r="M137" i="5" s="1"/>
  <c r="W137" i="5" s="1"/>
  <c r="K95" i="5"/>
  <c r="M95" i="5" s="1"/>
  <c r="W95" i="5" s="1"/>
  <c r="L241" i="5"/>
  <c r="M241" i="5" s="1"/>
  <c r="W241" i="5" s="1"/>
  <c r="L248" i="5"/>
  <c r="M248" i="5" s="1"/>
  <c r="W248" i="5" s="1"/>
  <c r="N284" i="5"/>
  <c r="K252" i="5"/>
  <c r="M252" i="5" s="1"/>
  <c r="W252" i="5" s="1"/>
  <c r="L36" i="5"/>
  <c r="L65" i="5"/>
  <c r="M65" i="5" s="1"/>
  <c r="W65" i="5" s="1"/>
  <c r="L34" i="5"/>
  <c r="L37" i="5"/>
  <c r="K24" i="5"/>
  <c r="L166" i="5"/>
  <c r="M166" i="5" s="1"/>
  <c r="W166" i="5" s="1"/>
  <c r="L216" i="5"/>
  <c r="M216" i="5" s="1"/>
  <c r="W216" i="5" s="1"/>
  <c r="L127" i="5"/>
  <c r="M127" i="5" s="1"/>
  <c r="W127" i="5" s="1"/>
  <c r="M308" i="5"/>
  <c r="O308" i="5" s="1"/>
  <c r="P308" i="5" s="1"/>
  <c r="K143" i="5"/>
  <c r="M143" i="5" s="1"/>
  <c r="W143" i="5" s="1"/>
  <c r="K160" i="5"/>
  <c r="M160" i="5" s="1"/>
  <c r="W160" i="5" s="1"/>
  <c r="K232" i="5"/>
  <c r="M232" i="5" s="1"/>
  <c r="W232" i="5" s="1"/>
  <c r="K156" i="5"/>
  <c r="M156" i="5" s="1"/>
  <c r="W156" i="5" s="1"/>
  <c r="K178" i="5"/>
  <c r="M178" i="5" s="1"/>
  <c r="W178" i="5" s="1"/>
  <c r="K114" i="5"/>
  <c r="M114" i="5" s="1"/>
  <c r="W114" i="5" s="1"/>
  <c r="K81" i="5"/>
  <c r="M81" i="5" s="1"/>
  <c r="W81" i="5" s="1"/>
  <c r="K215" i="5"/>
  <c r="M215" i="5" s="1"/>
  <c r="W215" i="5" s="1"/>
  <c r="L231" i="5"/>
  <c r="M231" i="5" s="1"/>
  <c r="W231" i="5" s="1"/>
  <c r="L169" i="5"/>
  <c r="M169" i="5" s="1"/>
  <c r="W169" i="5" s="1"/>
  <c r="K100" i="5"/>
  <c r="M100" i="5" s="1"/>
  <c r="W100" i="5" s="1"/>
  <c r="L85" i="5"/>
  <c r="M85" i="5" s="1"/>
  <c r="W85" i="5" s="1"/>
  <c r="L84" i="5"/>
  <c r="M84" i="5" s="1"/>
  <c r="W84" i="5" s="1"/>
  <c r="L263" i="5"/>
  <c r="M263" i="5" s="1"/>
  <c r="W263" i="5" s="1"/>
  <c r="K198" i="5"/>
  <c r="M198" i="5" s="1"/>
  <c r="W198" i="5" s="1"/>
  <c r="L91" i="5"/>
  <c r="M91" i="5" s="1"/>
  <c r="W91" i="5" s="1"/>
  <c r="K103" i="5"/>
  <c r="M103" i="5" s="1"/>
  <c r="W103" i="5" s="1"/>
  <c r="K227" i="5"/>
  <c r="M227" i="5" s="1"/>
  <c r="W227" i="5" s="1"/>
  <c r="K214" i="5"/>
  <c r="M214" i="5" s="1"/>
  <c r="W214" i="5" s="1"/>
  <c r="K63" i="5"/>
  <c r="L247" i="5"/>
  <c r="M247" i="5" s="1"/>
  <c r="W247" i="5" s="1"/>
  <c r="K218" i="5"/>
  <c r="M218" i="5" s="1"/>
  <c r="W218" i="5" s="1"/>
  <c r="K181" i="5"/>
  <c r="M181" i="5" s="1"/>
  <c r="W181" i="5" s="1"/>
  <c r="K79" i="5"/>
  <c r="M79" i="5" s="1"/>
  <c r="W79" i="5" s="1"/>
  <c r="L225" i="5"/>
  <c r="M225" i="5" s="1"/>
  <c r="W225" i="5" s="1"/>
  <c r="L46" i="5"/>
  <c r="L236" i="5"/>
  <c r="M236" i="5" s="1"/>
  <c r="W236" i="5" s="1"/>
  <c r="K142" i="5"/>
  <c r="M142" i="5" s="1"/>
  <c r="W142" i="5" s="1"/>
  <c r="K194" i="5"/>
  <c r="M194" i="5" s="1"/>
  <c r="W194" i="5" s="1"/>
  <c r="L87" i="5"/>
  <c r="M87" i="5" s="1"/>
  <c r="W87" i="5" s="1"/>
  <c r="K209" i="5"/>
  <c r="M209" i="5" s="1"/>
  <c r="W209" i="5" s="1"/>
  <c r="K182" i="5"/>
  <c r="M182" i="5" s="1"/>
  <c r="W182" i="5" s="1"/>
  <c r="L21" i="5"/>
  <c r="L69" i="5"/>
  <c r="M69" i="5" s="1"/>
  <c r="W69" i="5" s="1"/>
  <c r="K40" i="5"/>
  <c r="L262" i="5"/>
  <c r="M262" i="5" s="1"/>
  <c r="W262" i="5" s="1"/>
  <c r="L70" i="5"/>
  <c r="M70" i="5" s="1"/>
  <c r="W70" i="5" s="1"/>
  <c r="K16" i="5"/>
  <c r="K72" i="5"/>
  <c r="M72" i="5" s="1"/>
  <c r="W72" i="5" s="1"/>
  <c r="L134" i="5"/>
  <c r="M134" i="5" s="1"/>
  <c r="W134" i="5" s="1"/>
  <c r="L22" i="5"/>
  <c r="K202" i="5"/>
  <c r="M202" i="5" s="1"/>
  <c r="W202" i="5" s="1"/>
  <c r="K177" i="5"/>
  <c r="M177" i="5" s="1"/>
  <c r="W177" i="5" s="1"/>
  <c r="K38" i="5"/>
  <c r="K228" i="5"/>
  <c r="M228" i="5" s="1"/>
  <c r="W228" i="5" s="1"/>
  <c r="L249" i="5"/>
  <c r="M249" i="5" s="1"/>
  <c r="W249" i="5" s="1"/>
  <c r="K240" i="5"/>
  <c r="M240" i="5" s="1"/>
  <c r="W240" i="5" s="1"/>
  <c r="L25" i="5"/>
  <c r="K71" i="5"/>
  <c r="M71" i="5" s="1"/>
  <c r="W71" i="5" s="1"/>
  <c r="K74" i="5"/>
  <c r="M74" i="5" s="1"/>
  <c r="W74" i="5" s="1"/>
  <c r="L167" i="5"/>
  <c r="M167" i="5" s="1"/>
  <c r="W167" i="5" s="1"/>
  <c r="K42" i="5"/>
  <c r="K172" i="5"/>
  <c r="M172" i="5" s="1"/>
  <c r="W172" i="5" s="1"/>
  <c r="K30" i="5"/>
  <c r="K26" i="5"/>
  <c r="K139" i="5"/>
  <c r="M139" i="5" s="1"/>
  <c r="W139" i="5" s="1"/>
  <c r="L188" i="5"/>
  <c r="M188" i="5" s="1"/>
  <c r="W188" i="5" s="1"/>
  <c r="L116" i="5"/>
  <c r="M116" i="5" s="1"/>
  <c r="W116" i="5" s="1"/>
  <c r="L75" i="5"/>
  <c r="M75" i="5" s="1"/>
  <c r="W75" i="5" s="1"/>
  <c r="K27" i="5"/>
  <c r="K189" i="5"/>
  <c r="M189" i="5" s="1"/>
  <c r="W189" i="5" s="1"/>
  <c r="K155" i="5"/>
  <c r="M155" i="5" s="1"/>
  <c r="W155" i="5" s="1"/>
  <c r="K77" i="5"/>
  <c r="M77" i="5" s="1"/>
  <c r="W77" i="5" s="1"/>
  <c r="L265" i="5"/>
  <c r="M265" i="5" s="1"/>
  <c r="W265" i="5" s="1"/>
  <c r="K213" i="5"/>
  <c r="M213" i="5" s="1"/>
  <c r="W213" i="5" s="1"/>
  <c r="L174" i="5"/>
  <c r="M174" i="5" s="1"/>
  <c r="W174" i="5" s="1"/>
  <c r="K272" i="5"/>
  <c r="K104" i="5"/>
  <c r="M104" i="5" s="1"/>
  <c r="W104" i="5" s="1"/>
  <c r="K224" i="5"/>
  <c r="M224" i="5" s="1"/>
  <c r="W224" i="5" s="1"/>
  <c r="O86" i="5"/>
  <c r="L86" i="5"/>
  <c r="K86" i="5"/>
  <c r="O130" i="5"/>
  <c r="L130" i="5"/>
  <c r="M130" i="5" s="1"/>
  <c r="W130" i="5" s="1"/>
  <c r="O105" i="5"/>
  <c r="L105" i="5"/>
  <c r="K105" i="5"/>
  <c r="O269" i="5"/>
  <c r="K269" i="5"/>
  <c r="O170" i="5"/>
  <c r="K170" i="5"/>
  <c r="L170" i="5"/>
  <c r="O220" i="5"/>
  <c r="L220" i="5"/>
  <c r="K220" i="5"/>
  <c r="O118" i="5"/>
  <c r="L118" i="5"/>
  <c r="K118" i="5"/>
  <c r="L19" i="5"/>
  <c r="K19" i="5"/>
  <c r="O230" i="5"/>
  <c r="L230" i="5"/>
  <c r="M230" i="5" s="1"/>
  <c r="W230" i="5" s="1"/>
  <c r="O165" i="5"/>
  <c r="L165" i="5"/>
  <c r="O113" i="5"/>
  <c r="L113" i="5"/>
  <c r="K113" i="5"/>
  <c r="O196" i="5"/>
  <c r="K196" i="5"/>
  <c r="L196" i="5"/>
  <c r="K165" i="5"/>
  <c r="O229" i="5"/>
  <c r="K229" i="5"/>
  <c r="L33" i="5"/>
  <c r="K33" i="5"/>
  <c r="O148" i="5"/>
  <c r="K148" i="5"/>
  <c r="M148" i="5" s="1"/>
  <c r="W148" i="5" s="1"/>
  <c r="O66" i="5"/>
  <c r="K66" i="5"/>
  <c r="O254" i="5"/>
  <c r="K254" i="5"/>
  <c r="L254" i="5"/>
  <c r="O80" i="5"/>
  <c r="K80" i="5"/>
  <c r="L80" i="5"/>
  <c r="O193" i="5"/>
  <c r="K193" i="5"/>
  <c r="M193" i="5" s="1"/>
  <c r="W193" i="5" s="1"/>
  <c r="O195" i="5"/>
  <c r="L195" i="5"/>
  <c r="M195" i="5" s="1"/>
  <c r="W195" i="5" s="1"/>
  <c r="O221" i="5"/>
  <c r="L221" i="5"/>
  <c r="K221" i="5"/>
  <c r="L66" i="5"/>
  <c r="O261" i="5"/>
  <c r="K261" i="5"/>
  <c r="M261" i="5" s="1"/>
  <c r="W261" i="5" s="1"/>
  <c r="O264" i="5"/>
  <c r="K264" i="5"/>
  <c r="L264" i="5"/>
  <c r="O76" i="5"/>
  <c r="K76" i="5"/>
  <c r="L76" i="5"/>
  <c r="L269" i="5"/>
  <c r="L39" i="5"/>
  <c r="O131" i="5"/>
  <c r="K131" i="5"/>
  <c r="K39" i="5"/>
  <c r="L131" i="5"/>
  <c r="O149" i="5"/>
  <c r="L149" i="5"/>
  <c r="K149" i="5"/>
  <c r="O259" i="5"/>
  <c r="L259" i="5"/>
  <c r="M259" i="5" s="1"/>
  <c r="W259" i="5" s="1"/>
  <c r="O135" i="5"/>
  <c r="L135" i="5"/>
  <c r="K135" i="5"/>
  <c r="O132" i="5"/>
  <c r="L132" i="5"/>
  <c r="M132" i="5" s="1"/>
  <c r="W132" i="5" s="1"/>
  <c r="L229" i="5"/>
  <c r="O212" i="5"/>
  <c r="L212" i="5"/>
  <c r="K212" i="5"/>
  <c r="O112" i="5"/>
  <c r="O268" i="5"/>
  <c r="O144" i="5"/>
  <c r="O171" i="5"/>
  <c r="O90" i="5"/>
  <c r="O240" i="5"/>
  <c r="O241" i="5"/>
  <c r="O72" i="5"/>
  <c r="O140" i="5"/>
  <c r="L246" i="5"/>
  <c r="M246" i="5" s="1"/>
  <c r="W246" i="5" s="1"/>
  <c r="K120" i="5"/>
  <c r="M120" i="5" s="1"/>
  <c r="W120" i="5" s="1"/>
  <c r="O164" i="5"/>
  <c r="K144" i="5"/>
  <c r="M144" i="5" s="1"/>
  <c r="W144" i="5" s="1"/>
  <c r="O216" i="5"/>
  <c r="O65" i="5"/>
  <c r="O127" i="5"/>
  <c r="O222" i="5"/>
  <c r="O111" i="5"/>
  <c r="O125" i="5"/>
  <c r="O67" i="5"/>
  <c r="O83" i="5"/>
  <c r="O187" i="5"/>
  <c r="O175" i="5"/>
  <c r="L111" i="5"/>
  <c r="O256" i="5"/>
  <c r="O257" i="5"/>
  <c r="O153" i="5"/>
  <c r="K125" i="5"/>
  <c r="L15" i="5"/>
  <c r="L163" i="5"/>
  <c r="M163" i="5" s="1"/>
  <c r="W163" i="5" s="1"/>
  <c r="L67" i="5"/>
  <c r="K187" i="5"/>
  <c r="O201" i="5"/>
  <c r="O126" i="5"/>
  <c r="O99" i="5"/>
  <c r="O151" i="5"/>
  <c r="O102" i="5"/>
  <c r="K175" i="5"/>
  <c r="L256" i="5"/>
  <c r="M256" i="5" s="1"/>
  <c r="W256" i="5" s="1"/>
  <c r="L257" i="5"/>
  <c r="M257" i="5" s="1"/>
  <c r="W257" i="5" s="1"/>
  <c r="O103" i="5"/>
  <c r="L125" i="5"/>
  <c r="O178" i="5"/>
  <c r="O154" i="5"/>
  <c r="O252" i="5"/>
  <c r="O68" i="5"/>
  <c r="O169" i="5"/>
  <c r="O71" i="5"/>
  <c r="O114" i="5"/>
  <c r="L201" i="5"/>
  <c r="M201" i="5" s="1"/>
  <c r="W201" i="5" s="1"/>
  <c r="L20" i="5"/>
  <c r="K43" i="5"/>
  <c r="M281" i="5"/>
  <c r="K151" i="5"/>
  <c r="M151" i="5" s="1"/>
  <c r="W151" i="5" s="1"/>
  <c r="L175" i="5"/>
  <c r="O119" i="5"/>
  <c r="O205" i="5"/>
  <c r="O136" i="5"/>
  <c r="O150" i="5"/>
  <c r="L205" i="5"/>
  <c r="O190" i="5"/>
  <c r="O138" i="5"/>
  <c r="O93" i="5"/>
  <c r="O185" i="5"/>
  <c r="K92" i="5"/>
  <c r="M92" i="5" s="1"/>
  <c r="W92" i="5" s="1"/>
  <c r="O147" i="5"/>
  <c r="O89" i="5"/>
  <c r="O152" i="5"/>
  <c r="M278" i="5"/>
  <c r="O243" i="5"/>
  <c r="O162" i="5"/>
  <c r="O75" i="5"/>
  <c r="O78" i="5"/>
  <c r="O236" i="5"/>
  <c r="L119" i="5"/>
  <c r="O156" i="5"/>
  <c r="O137" i="5"/>
  <c r="K205" i="5"/>
  <c r="L185" i="5"/>
  <c r="M185" i="5" s="1"/>
  <c r="W185" i="5" s="1"/>
  <c r="O122" i="5"/>
  <c r="L147" i="5"/>
  <c r="M147" i="5" s="1"/>
  <c r="W147" i="5" s="1"/>
  <c r="K89" i="5"/>
  <c r="O242" i="5"/>
  <c r="K200" i="5"/>
  <c r="M200" i="5" s="1"/>
  <c r="W200" i="5" s="1"/>
  <c r="N278" i="5"/>
  <c r="O215" i="5"/>
  <c r="O231" i="5"/>
  <c r="K243" i="5"/>
  <c r="M243" i="5" s="1"/>
  <c r="W243" i="5" s="1"/>
  <c r="O238" i="5"/>
  <c r="K152" i="5"/>
  <c r="O192" i="5"/>
  <c r="O123" i="5"/>
  <c r="O94" i="5"/>
  <c r="O117" i="5"/>
  <c r="O108" i="5"/>
  <c r="O210" i="5"/>
  <c r="O255" i="5"/>
  <c r="O206" i="5"/>
  <c r="O204" i="5"/>
  <c r="O228" i="5"/>
  <c r="O249" i="5"/>
  <c r="O218" i="5"/>
  <c r="K23" i="5"/>
  <c r="O70" i="5"/>
  <c r="O181" i="5"/>
  <c r="O100" i="5"/>
  <c r="O211" i="5"/>
  <c r="O172" i="5"/>
  <c r="O87" i="5"/>
  <c r="L238" i="5"/>
  <c r="O246" i="5"/>
  <c r="O120" i="5"/>
  <c r="O209" i="5"/>
  <c r="O189" i="5"/>
  <c r="O248" i="5"/>
  <c r="O166" i="5"/>
  <c r="L18" i="5"/>
  <c r="O77" i="5"/>
  <c r="O84" i="5"/>
  <c r="L28" i="5"/>
  <c r="L112" i="5"/>
  <c r="O81" i="5"/>
  <c r="L268" i="5"/>
  <c r="M268" i="5" s="1"/>
  <c r="W268" i="5" s="1"/>
  <c r="L171" i="5"/>
  <c r="M171" i="5" s="1"/>
  <c r="W171" i="5" s="1"/>
  <c r="O250" i="5"/>
  <c r="O163" i="5"/>
  <c r="O129" i="5"/>
  <c r="O107" i="5"/>
  <c r="O182" i="5"/>
  <c r="O116" i="5"/>
  <c r="L45" i="5"/>
  <c r="M283" i="5"/>
  <c r="K164" i="5"/>
  <c r="M164" i="5" s="1"/>
  <c r="W164" i="5" s="1"/>
  <c r="O85" i="5"/>
  <c r="O128" i="5"/>
  <c r="L222" i="5"/>
  <c r="L29" i="5"/>
  <c r="O143" i="5"/>
  <c r="L17" i="5"/>
  <c r="K129" i="5"/>
  <c r="O95" i="5"/>
  <c r="L83" i="5"/>
  <c r="L107" i="5"/>
  <c r="O96" i="5"/>
  <c r="O226" i="5"/>
  <c r="K128" i="5"/>
  <c r="M128" i="5" s="1"/>
  <c r="W128" i="5" s="1"/>
  <c r="O145" i="5"/>
  <c r="K222" i="5"/>
  <c r="K111" i="5"/>
  <c r="L250" i="5"/>
  <c r="M250" i="5" s="1"/>
  <c r="W250" i="5" s="1"/>
  <c r="O237" i="5"/>
  <c r="L153" i="5"/>
  <c r="M153" i="5" s="1"/>
  <c r="W153" i="5" s="1"/>
  <c r="O203" i="5"/>
  <c r="L129" i="5"/>
  <c r="O194" i="5"/>
  <c r="K67" i="5"/>
  <c r="K83" i="5"/>
  <c r="L187" i="5"/>
  <c r="K271" i="5"/>
  <c r="K107" i="5"/>
  <c r="O265" i="5"/>
  <c r="L31" i="5"/>
  <c r="L126" i="5"/>
  <c r="M126" i="5" s="1"/>
  <c r="W126" i="5" s="1"/>
  <c r="L62" i="5"/>
  <c r="O207" i="5"/>
  <c r="O214" i="5"/>
  <c r="K96" i="5"/>
  <c r="K226" i="5"/>
  <c r="O225" i="5"/>
  <c r="L99" i="5"/>
  <c r="M99" i="5" s="1"/>
  <c r="W99" i="5" s="1"/>
  <c r="L145" i="5"/>
  <c r="M145" i="5" s="1"/>
  <c r="W145" i="5" s="1"/>
  <c r="O198" i="5"/>
  <c r="K102" i="5"/>
  <c r="M102" i="5" s="1"/>
  <c r="W102" i="5" s="1"/>
  <c r="O180" i="5"/>
  <c r="O258" i="5"/>
  <c r="O235" i="5"/>
  <c r="O92" i="5"/>
  <c r="K207" i="5"/>
  <c r="M207" i="5" s="1"/>
  <c r="W207" i="5" s="1"/>
  <c r="O134" i="5"/>
  <c r="L32" i="5"/>
  <c r="L96" i="5"/>
  <c r="L226" i="5"/>
  <c r="K119" i="5"/>
  <c r="O109" i="5"/>
  <c r="L180" i="5"/>
  <c r="M180" i="5" s="1"/>
  <c r="W180" i="5" s="1"/>
  <c r="O219" i="5"/>
  <c r="O247" i="5"/>
  <c r="O245" i="5"/>
  <c r="O267" i="5"/>
  <c r="O159" i="5"/>
  <c r="K235" i="5"/>
  <c r="M235" i="5" s="1"/>
  <c r="W235" i="5" s="1"/>
  <c r="O110" i="5"/>
  <c r="O200" i="5"/>
  <c r="O234" i="5"/>
  <c r="O161" i="5"/>
  <c r="L136" i="5"/>
  <c r="M136" i="5" s="1"/>
  <c r="W136" i="5" s="1"/>
  <c r="K150" i="5"/>
  <c r="M150" i="5" s="1"/>
  <c r="W150" i="5" s="1"/>
  <c r="K109" i="5"/>
  <c r="M109" i="5" s="1"/>
  <c r="W109" i="5" s="1"/>
  <c r="O253" i="5"/>
  <c r="O155" i="5"/>
  <c r="L219" i="5"/>
  <c r="M219" i="5" s="1"/>
  <c r="W219" i="5" s="1"/>
  <c r="L41" i="5"/>
  <c r="L190" i="5"/>
  <c r="M190" i="5" s="1"/>
  <c r="W190" i="5" s="1"/>
  <c r="L138" i="5"/>
  <c r="M138" i="5" s="1"/>
  <c r="W138" i="5" s="1"/>
  <c r="K93" i="5"/>
  <c r="M93" i="5" s="1"/>
  <c r="W93" i="5" s="1"/>
  <c r="L245" i="5"/>
  <c r="M245" i="5" s="1"/>
  <c r="W245" i="5" s="1"/>
  <c r="L159" i="5"/>
  <c r="M159" i="5" s="1"/>
  <c r="W159" i="5" s="1"/>
  <c r="O227" i="5"/>
  <c r="O191" i="5"/>
  <c r="L258" i="5"/>
  <c r="M258" i="5" s="1"/>
  <c r="W258" i="5" s="1"/>
  <c r="L110" i="5"/>
  <c r="M110" i="5" s="1"/>
  <c r="W110" i="5" s="1"/>
  <c r="L152" i="5"/>
  <c r="O183" i="5"/>
  <c r="K234" i="5"/>
  <c r="K308" i="5"/>
  <c r="K161" i="5"/>
  <c r="M161" i="5" s="1"/>
  <c r="W161" i="5" s="1"/>
  <c r="O74" i="5"/>
  <c r="O202" i="5"/>
  <c r="O176" i="5"/>
  <c r="O124" i="5"/>
  <c r="O197" i="5"/>
  <c r="O101" i="5"/>
  <c r="O157" i="5"/>
  <c r="O179" i="5"/>
  <c r="L89" i="5"/>
  <c r="L242" i="5"/>
  <c r="M242" i="5" s="1"/>
  <c r="W242" i="5" s="1"/>
  <c r="K183" i="5"/>
  <c r="M183" i="5" s="1"/>
  <c r="W183" i="5" s="1"/>
  <c r="L234" i="5"/>
  <c r="O184" i="5"/>
  <c r="O139" i="5"/>
  <c r="O188" i="5"/>
  <c r="O213" i="5"/>
  <c r="O174" i="5"/>
  <c r="L184" i="5"/>
  <c r="M184" i="5" s="1"/>
  <c r="W184" i="5" s="1"/>
  <c r="L123" i="5"/>
  <c r="M123" i="5" s="1"/>
  <c r="W123" i="5" s="1"/>
  <c r="L94" i="5"/>
  <c r="M94" i="5" s="1"/>
  <c r="W94" i="5" s="1"/>
  <c r="L117" i="5"/>
  <c r="M117" i="5" s="1"/>
  <c r="W117" i="5" s="1"/>
  <c r="O142" i="5"/>
  <c r="O91" i="5"/>
  <c r="O167" i="5"/>
  <c r="L176" i="5"/>
  <c r="M176" i="5" s="1"/>
  <c r="W176" i="5" s="1"/>
  <c r="O232" i="5"/>
  <c r="L108" i="5"/>
  <c r="M108" i="5" s="1"/>
  <c r="W108" i="5" s="1"/>
  <c r="L210" i="5"/>
  <c r="M210" i="5" s="1"/>
  <c r="W210" i="5" s="1"/>
  <c r="O177" i="5"/>
  <c r="L255" i="5"/>
  <c r="M255" i="5" s="1"/>
  <c r="W255" i="5" s="1"/>
  <c r="O160" i="5"/>
  <c r="K206" i="5"/>
  <c r="M206" i="5" s="1"/>
  <c r="W206" i="5" s="1"/>
  <c r="K204" i="5"/>
  <c r="M204" i="5" s="1"/>
  <c r="W204" i="5" s="1"/>
  <c r="O69" i="5"/>
  <c r="K124" i="5"/>
  <c r="M124" i="5" s="1"/>
  <c r="W124" i="5" s="1"/>
  <c r="K197" i="5"/>
  <c r="M197" i="5" s="1"/>
  <c r="W197" i="5" s="1"/>
  <c r="L101" i="5"/>
  <c r="M101" i="5" s="1"/>
  <c r="W101" i="5" s="1"/>
  <c r="N282" i="5"/>
  <c r="O104" i="5"/>
  <c r="O262" i="5"/>
  <c r="L157" i="5"/>
  <c r="M157" i="5" s="1"/>
  <c r="W157" i="5" s="1"/>
  <c r="L23" i="5"/>
  <c r="O79" i="5"/>
  <c r="O224" i="5"/>
  <c r="L179" i="5"/>
  <c r="M179" i="5" s="1"/>
  <c r="W179" i="5" s="1"/>
  <c r="K238" i="5"/>
  <c r="O263" i="5"/>
  <c r="M279" i="5"/>
  <c r="S290" i="5" l="1"/>
  <c r="T290" i="5" s="1"/>
  <c r="AB290" i="5" s="1"/>
  <c r="L308" i="5"/>
  <c r="K8" i="6" s="1"/>
  <c r="I308" i="5"/>
  <c r="J8" i="6" s="1"/>
  <c r="M61" i="5"/>
  <c r="R61" i="5" s="1"/>
  <c r="M62" i="5"/>
  <c r="V62" i="5" s="1"/>
  <c r="M15" i="5"/>
  <c r="X15" i="5" s="1"/>
  <c r="O279" i="5"/>
  <c r="P279" i="5" s="1"/>
  <c r="M28" i="5"/>
  <c r="R28" i="5" s="1"/>
  <c r="M18" i="5"/>
  <c r="V18" i="5" s="1"/>
  <c r="O285" i="5"/>
  <c r="T285" i="5" s="1"/>
  <c r="O283" i="5"/>
  <c r="T283" i="5" s="1"/>
  <c r="M45" i="5"/>
  <c r="Z45" i="5" s="1"/>
  <c r="O284" i="5"/>
  <c r="T284" i="5" s="1"/>
  <c r="O277" i="5"/>
  <c r="Q277" i="5" s="1"/>
  <c r="O281" i="5"/>
  <c r="T281" i="5" s="1"/>
  <c r="O282" i="5"/>
  <c r="T282" i="5" s="1"/>
  <c r="M31" i="5"/>
  <c r="M35" i="5"/>
  <c r="O35" i="5" s="1"/>
  <c r="M34" i="5"/>
  <c r="R34" i="5" s="1"/>
  <c r="M36" i="5"/>
  <c r="N36" i="5" s="1"/>
  <c r="M16" i="5"/>
  <c r="M46" i="5"/>
  <c r="Z46" i="5" s="1"/>
  <c r="M24" i="5"/>
  <c r="V24" i="5" s="1"/>
  <c r="M42" i="5"/>
  <c r="M43" i="5"/>
  <c r="Z43" i="5" s="1"/>
  <c r="M20" i="5"/>
  <c r="L60" i="5"/>
  <c r="M60" i="5" s="1"/>
  <c r="V60" i="5" s="1"/>
  <c r="V145" i="5"/>
  <c r="V143" i="5"/>
  <c r="V144" i="5"/>
  <c r="V142" i="5"/>
  <c r="V243" i="5"/>
  <c r="V241" i="5"/>
  <c r="V242" i="5"/>
  <c r="V240" i="5"/>
  <c r="V249" i="5"/>
  <c r="V250" i="5"/>
  <c r="V247" i="5"/>
  <c r="V248" i="5"/>
  <c r="V246" i="5"/>
  <c r="V245" i="5"/>
  <c r="M30" i="5"/>
  <c r="M41" i="5"/>
  <c r="N41" i="5" s="1"/>
  <c r="M27" i="5"/>
  <c r="X27" i="5" s="1"/>
  <c r="M38" i="5"/>
  <c r="M271" i="5"/>
  <c r="U271" i="5" s="1"/>
  <c r="N134" i="5"/>
  <c r="N140" i="5"/>
  <c r="N139" i="5"/>
  <c r="N138" i="5"/>
  <c r="N137" i="5"/>
  <c r="N136" i="5"/>
  <c r="N243" i="5"/>
  <c r="N242" i="5"/>
  <c r="N241" i="5"/>
  <c r="N240" i="5"/>
  <c r="N228" i="5"/>
  <c r="N227" i="5"/>
  <c r="N225" i="5"/>
  <c r="N232" i="5"/>
  <c r="N231" i="5"/>
  <c r="N230" i="5"/>
  <c r="N224" i="5"/>
  <c r="N145" i="5"/>
  <c r="N144" i="5"/>
  <c r="N143" i="5"/>
  <c r="N142" i="5"/>
  <c r="N162" i="5"/>
  <c r="N161" i="5"/>
  <c r="N160" i="5"/>
  <c r="N159" i="5"/>
  <c r="N167" i="5"/>
  <c r="N166" i="5"/>
  <c r="N164" i="5"/>
  <c r="N163" i="5"/>
  <c r="M44" i="5"/>
  <c r="N268" i="5"/>
  <c r="N267" i="5"/>
  <c r="N246" i="5"/>
  <c r="N245" i="5"/>
  <c r="N250" i="5"/>
  <c r="N249" i="5"/>
  <c r="N248" i="5"/>
  <c r="N247" i="5"/>
  <c r="N120" i="5"/>
  <c r="N117" i="5"/>
  <c r="N116" i="5"/>
  <c r="K51" i="5"/>
  <c r="M25" i="5"/>
  <c r="N108" i="5"/>
  <c r="N114" i="5"/>
  <c r="N110" i="5"/>
  <c r="N109" i="5"/>
  <c r="M40" i="5"/>
  <c r="L54" i="5"/>
  <c r="N176" i="5"/>
  <c r="N174" i="5"/>
  <c r="N185" i="5"/>
  <c r="N184" i="5"/>
  <c r="N177" i="5"/>
  <c r="N183" i="5"/>
  <c r="N182" i="5"/>
  <c r="N181" i="5"/>
  <c r="N180" i="5"/>
  <c r="N179" i="5"/>
  <c r="N178" i="5"/>
  <c r="M17" i="5"/>
  <c r="R17" i="5" s="1"/>
  <c r="N172" i="5"/>
  <c r="N171" i="5"/>
  <c r="N169" i="5"/>
  <c r="N189" i="5"/>
  <c r="N188" i="5"/>
  <c r="N198" i="5"/>
  <c r="N197" i="5"/>
  <c r="N195" i="5"/>
  <c r="N194" i="5"/>
  <c r="N193" i="5"/>
  <c r="N192" i="5"/>
  <c r="N191" i="5"/>
  <c r="N190" i="5"/>
  <c r="M21" i="5"/>
  <c r="M29" i="5"/>
  <c r="N29" i="5" s="1"/>
  <c r="N257" i="5"/>
  <c r="N256" i="5"/>
  <c r="N255" i="5"/>
  <c r="N253" i="5"/>
  <c r="N259" i="5"/>
  <c r="N258" i="5"/>
  <c r="N252" i="5"/>
  <c r="N85" i="5"/>
  <c r="N84" i="5"/>
  <c r="N87" i="5"/>
  <c r="M272" i="5"/>
  <c r="M26" i="5"/>
  <c r="N26" i="5" s="1"/>
  <c r="M63" i="5"/>
  <c r="N63" i="5" s="1"/>
  <c r="N237" i="5"/>
  <c r="N236" i="5"/>
  <c r="N235" i="5"/>
  <c r="N219" i="5"/>
  <c r="N218" i="5"/>
  <c r="N122" i="5"/>
  <c r="N132" i="5"/>
  <c r="N130" i="5"/>
  <c r="N127" i="5"/>
  <c r="N126" i="5"/>
  <c r="N124" i="5"/>
  <c r="N123" i="5"/>
  <c r="N128" i="5"/>
  <c r="M37" i="5"/>
  <c r="R37" i="5" s="1"/>
  <c r="N81" i="5"/>
  <c r="N75" i="5"/>
  <c r="N74" i="5"/>
  <c r="N79" i="5"/>
  <c r="N78" i="5"/>
  <c r="N77" i="5"/>
  <c r="N202" i="5"/>
  <c r="N201" i="5"/>
  <c r="N200" i="5"/>
  <c r="N207" i="5"/>
  <c r="N206" i="5"/>
  <c r="N204" i="5"/>
  <c r="N203" i="5"/>
  <c r="N215" i="5"/>
  <c r="N214" i="5"/>
  <c r="N213" i="5"/>
  <c r="N211" i="5"/>
  <c r="N216" i="5"/>
  <c r="N210" i="5"/>
  <c r="N209" i="5"/>
  <c r="N95" i="5"/>
  <c r="N94" i="5"/>
  <c r="N93" i="5"/>
  <c r="N92" i="5"/>
  <c r="N91" i="5"/>
  <c r="N90" i="5"/>
  <c r="N265" i="5"/>
  <c r="N263" i="5"/>
  <c r="N262" i="5"/>
  <c r="N261" i="5"/>
  <c r="L58" i="5"/>
  <c r="M32" i="5"/>
  <c r="P32" i="5" s="1"/>
  <c r="N148" i="5"/>
  <c r="N147" i="5"/>
  <c r="N157" i="5"/>
  <c r="N151" i="5"/>
  <c r="N150" i="5"/>
  <c r="N156" i="5"/>
  <c r="N155" i="5"/>
  <c r="N154" i="5"/>
  <c r="N153" i="5"/>
  <c r="M22" i="5"/>
  <c r="K58" i="5"/>
  <c r="M98" i="5"/>
  <c r="L57" i="5"/>
  <c r="K54" i="5"/>
  <c r="K57" i="5"/>
  <c r="O98" i="5"/>
  <c r="S99" i="5" s="1"/>
  <c r="N69" i="5"/>
  <c r="N71" i="5"/>
  <c r="N68" i="5"/>
  <c r="N70" i="5"/>
  <c r="N72" i="5"/>
  <c r="N65" i="5"/>
  <c r="S65" i="5"/>
  <c r="S69" i="5"/>
  <c r="S71" i="5"/>
  <c r="S68" i="5"/>
  <c r="S70" i="5"/>
  <c r="S72" i="5"/>
  <c r="L52" i="5"/>
  <c r="K48" i="5"/>
  <c r="L48" i="5"/>
  <c r="L56" i="5"/>
  <c r="L51" i="5"/>
  <c r="K56" i="5"/>
  <c r="L50" i="5"/>
  <c r="K59" i="5"/>
  <c r="K47" i="5"/>
  <c r="K50" i="5"/>
  <c r="K52" i="5"/>
  <c r="L47" i="5"/>
  <c r="L59" i="5"/>
  <c r="K55" i="5"/>
  <c r="L55" i="5"/>
  <c r="L53" i="5"/>
  <c r="M53" i="5" s="1"/>
  <c r="V53" i="5" s="1"/>
  <c r="L49" i="5"/>
  <c r="M49" i="5" s="1"/>
  <c r="N49" i="5" s="1"/>
  <c r="M112" i="5"/>
  <c r="W112" i="5" s="1"/>
  <c r="M264" i="5"/>
  <c r="W264" i="5" s="1"/>
  <c r="V264" i="5" s="1"/>
  <c r="M196" i="5"/>
  <c r="W196" i="5" s="1"/>
  <c r="M80" i="5"/>
  <c r="W80" i="5" s="1"/>
  <c r="M254" i="5"/>
  <c r="W254" i="5" s="1"/>
  <c r="V258" i="5" s="1"/>
  <c r="M23" i="5"/>
  <c r="M119" i="5"/>
  <c r="W119" i="5" s="1"/>
  <c r="M165" i="5"/>
  <c r="W165" i="5" s="1"/>
  <c r="V164" i="5" s="1"/>
  <c r="M131" i="5"/>
  <c r="W131" i="5" s="1"/>
  <c r="M170" i="5"/>
  <c r="W170" i="5" s="1"/>
  <c r="AA172" i="5" s="1"/>
  <c r="M89" i="5"/>
  <c r="W89" i="5" s="1"/>
  <c r="M67" i="5"/>
  <c r="W67" i="5" s="1"/>
  <c r="M187" i="5"/>
  <c r="W187" i="5" s="1"/>
  <c r="M129" i="5"/>
  <c r="W129" i="5" s="1"/>
  <c r="M205" i="5"/>
  <c r="W205" i="5" s="1"/>
  <c r="AB200" i="5" s="1"/>
  <c r="M107" i="5"/>
  <c r="W107" i="5" s="1"/>
  <c r="M96" i="5"/>
  <c r="W96" i="5" s="1"/>
  <c r="M76" i="5"/>
  <c r="W76" i="5" s="1"/>
  <c r="M39" i="5"/>
  <c r="M175" i="5"/>
  <c r="W175" i="5" s="1"/>
  <c r="V178" i="5" s="1"/>
  <c r="O278" i="5"/>
  <c r="M226" i="5"/>
  <c r="W226" i="5" s="1"/>
  <c r="M111" i="5"/>
  <c r="W111" i="5" s="1"/>
  <c r="S85" i="5"/>
  <c r="S84" i="5"/>
  <c r="S87" i="5"/>
  <c r="M86" i="5"/>
  <c r="W86" i="5" s="1"/>
  <c r="T257" i="5"/>
  <c r="T258" i="5"/>
  <c r="T253" i="5"/>
  <c r="T256" i="5"/>
  <c r="T259" i="5"/>
  <c r="T255" i="5"/>
  <c r="T252" i="5"/>
  <c r="Q308" i="5"/>
  <c r="L8" i="6" s="1"/>
  <c r="M220" i="5"/>
  <c r="W220" i="5" s="1"/>
  <c r="M83" i="5"/>
  <c r="W83" i="5" s="1"/>
  <c r="M238" i="5"/>
  <c r="W238" i="5" s="1"/>
  <c r="AB241" i="5"/>
  <c r="AB240" i="5"/>
  <c r="AB242" i="5"/>
  <c r="AB243" i="5"/>
  <c r="T203" i="5"/>
  <c r="T200" i="5"/>
  <c r="T207" i="5"/>
  <c r="T204" i="5"/>
  <c r="T201" i="5"/>
  <c r="T202" i="5"/>
  <c r="T206" i="5"/>
  <c r="T242" i="5"/>
  <c r="T241" i="5"/>
  <c r="T243" i="5"/>
  <c r="T240" i="5"/>
  <c r="T265" i="5"/>
  <c r="T261" i="5"/>
  <c r="T262" i="5"/>
  <c r="T263" i="5"/>
  <c r="M269" i="5"/>
  <c r="W269" i="5" s="1"/>
  <c r="V267" i="5" s="1"/>
  <c r="T178" i="5"/>
  <c r="T174" i="5"/>
  <c r="T179" i="5"/>
  <c r="T185" i="5"/>
  <c r="T183" i="5"/>
  <c r="T176" i="5"/>
  <c r="T181" i="5"/>
  <c r="T182" i="5"/>
  <c r="T177" i="5"/>
  <c r="T180" i="5"/>
  <c r="T184" i="5"/>
  <c r="S142" i="5"/>
  <c r="S143" i="5"/>
  <c r="S144" i="5"/>
  <c r="S145" i="5"/>
  <c r="M234" i="5"/>
  <c r="W234" i="5" s="1"/>
  <c r="T267" i="5"/>
  <c r="T268" i="5"/>
  <c r="M118" i="5"/>
  <c r="W118" i="5" s="1"/>
  <c r="AB250" i="5"/>
  <c r="AB245" i="5"/>
  <c r="AB249" i="5"/>
  <c r="AB246" i="5"/>
  <c r="AB247" i="5"/>
  <c r="AB248" i="5"/>
  <c r="S169" i="5"/>
  <c r="S172" i="5"/>
  <c r="S171" i="5"/>
  <c r="M33" i="5"/>
  <c r="S127" i="5"/>
  <c r="S122" i="5"/>
  <c r="S128" i="5"/>
  <c r="S124" i="5"/>
  <c r="S132" i="5"/>
  <c r="S123" i="5"/>
  <c r="S130" i="5"/>
  <c r="S126" i="5"/>
  <c r="S157" i="5"/>
  <c r="S153" i="5"/>
  <c r="S147" i="5"/>
  <c r="S148" i="5"/>
  <c r="S151" i="5"/>
  <c r="S150" i="5"/>
  <c r="S155" i="5"/>
  <c r="S156" i="5"/>
  <c r="S154" i="5"/>
  <c r="M19" i="5"/>
  <c r="S166" i="5"/>
  <c r="S164" i="5"/>
  <c r="S161" i="5"/>
  <c r="S163" i="5"/>
  <c r="S159" i="5"/>
  <c r="S162" i="5"/>
  <c r="S160" i="5"/>
  <c r="S167" i="5"/>
  <c r="M149" i="5"/>
  <c r="W149" i="5" s="1"/>
  <c r="M113" i="5"/>
  <c r="W113" i="5" s="1"/>
  <c r="T236" i="5"/>
  <c r="T237" i="5"/>
  <c r="T235" i="5"/>
  <c r="S140" i="5"/>
  <c r="S134" i="5"/>
  <c r="S136" i="5"/>
  <c r="S138" i="5"/>
  <c r="S139" i="5"/>
  <c r="S137" i="5"/>
  <c r="S117" i="5"/>
  <c r="S116" i="5"/>
  <c r="S120" i="5"/>
  <c r="M135" i="5"/>
  <c r="W135" i="5" s="1"/>
  <c r="AA139" i="5" s="1"/>
  <c r="M105" i="5"/>
  <c r="W105" i="5" s="1"/>
  <c r="T215" i="5"/>
  <c r="T214" i="5"/>
  <c r="T211" i="5"/>
  <c r="T216" i="5"/>
  <c r="T209" i="5"/>
  <c r="T213" i="5"/>
  <c r="T210" i="5"/>
  <c r="T218" i="5"/>
  <c r="T219" i="5"/>
  <c r="M212" i="5"/>
  <c r="W212" i="5" s="1"/>
  <c r="V213" i="5" s="1"/>
  <c r="M222" i="5"/>
  <c r="W222" i="5" s="1"/>
  <c r="S94" i="5"/>
  <c r="S92" i="5"/>
  <c r="S90" i="5"/>
  <c r="S95" i="5"/>
  <c r="S91" i="5"/>
  <c r="S93" i="5"/>
  <c r="M125" i="5"/>
  <c r="W125" i="5" s="1"/>
  <c r="M66" i="5"/>
  <c r="W66" i="5" s="1"/>
  <c r="T225" i="5"/>
  <c r="T228" i="5"/>
  <c r="T230" i="5"/>
  <c r="T224" i="5"/>
  <c r="T231" i="5"/>
  <c r="T227" i="5"/>
  <c r="T232" i="5"/>
  <c r="AA145" i="5"/>
  <c r="AA144" i="5"/>
  <c r="AA142" i="5"/>
  <c r="AA143" i="5"/>
  <c r="S81" i="5"/>
  <c r="S79" i="5"/>
  <c r="S74" i="5"/>
  <c r="S75" i="5"/>
  <c r="S78" i="5"/>
  <c r="S77" i="5"/>
  <c r="M152" i="5"/>
  <c r="W152" i="5" s="1"/>
  <c r="T247" i="5"/>
  <c r="T250" i="5"/>
  <c r="T245" i="5"/>
  <c r="T246" i="5"/>
  <c r="T249" i="5"/>
  <c r="T248" i="5"/>
  <c r="S110" i="5"/>
  <c r="S109" i="5"/>
  <c r="S108" i="5"/>
  <c r="S114" i="5"/>
  <c r="T188" i="5"/>
  <c r="T192" i="5"/>
  <c r="T198" i="5"/>
  <c r="T189" i="5"/>
  <c r="T193" i="5"/>
  <c r="T194" i="5"/>
  <c r="T195" i="5"/>
  <c r="T190" i="5"/>
  <c r="T197" i="5"/>
  <c r="T196" i="5"/>
  <c r="T191" i="5"/>
  <c r="M229" i="5"/>
  <c r="W229" i="5" s="1"/>
  <c r="M221" i="5"/>
  <c r="W221" i="5" s="1"/>
  <c r="U290" i="5" l="1"/>
  <c r="V290" i="5"/>
  <c r="AA290" i="5"/>
  <c r="O29" i="5"/>
  <c r="P285" i="5"/>
  <c r="P283" i="5"/>
  <c r="N23" i="5"/>
  <c r="R23" i="5"/>
  <c r="Q285" i="5"/>
  <c r="Q279" i="5"/>
  <c r="R41" i="5"/>
  <c r="N254" i="5"/>
  <c r="N187" i="5"/>
  <c r="V28" i="5"/>
  <c r="N28" i="5"/>
  <c r="N264" i="5"/>
  <c r="T187" i="5"/>
  <c r="N196" i="5"/>
  <c r="R46" i="5"/>
  <c r="U283" i="5"/>
  <c r="S170" i="5"/>
  <c r="N238" i="5"/>
  <c r="N229" i="5"/>
  <c r="N131" i="5"/>
  <c r="Q284" i="5"/>
  <c r="S131" i="5"/>
  <c r="Z28" i="5"/>
  <c r="N89" i="5"/>
  <c r="N205" i="5"/>
  <c r="S152" i="5"/>
  <c r="N226" i="5"/>
  <c r="N152" i="5"/>
  <c r="S165" i="5"/>
  <c r="N129" i="5"/>
  <c r="V15" i="5"/>
  <c r="N15" i="5"/>
  <c r="P15" i="5"/>
  <c r="V20" i="5"/>
  <c r="N20" i="5"/>
  <c r="N135" i="5"/>
  <c r="T277" i="5"/>
  <c r="P277" i="5"/>
  <c r="V272" i="5"/>
  <c r="N272" i="5"/>
  <c r="U272" i="5"/>
  <c r="Z42" i="5"/>
  <c r="R42" i="5"/>
  <c r="N42" i="5"/>
  <c r="S149" i="5"/>
  <c r="V25" i="5"/>
  <c r="N25" i="5"/>
  <c r="R24" i="5"/>
  <c r="N24" i="5"/>
  <c r="V44" i="5"/>
  <c r="N44" i="5"/>
  <c r="R44" i="5"/>
  <c r="S135" i="5"/>
  <c r="N170" i="5"/>
  <c r="N234" i="5"/>
  <c r="N175" i="5"/>
  <c r="N165" i="5"/>
  <c r="V17" i="5"/>
  <c r="N17" i="5"/>
  <c r="V34" i="5"/>
  <c r="N34" i="5"/>
  <c r="O60" i="5"/>
  <c r="R20" i="5"/>
  <c r="R26" i="5"/>
  <c r="V45" i="5"/>
  <c r="R45" i="5"/>
  <c r="N45" i="5"/>
  <c r="N149" i="5"/>
  <c r="R30" i="5"/>
  <c r="N30" i="5"/>
  <c r="V32" i="5"/>
  <c r="N32" i="5"/>
  <c r="N53" i="5"/>
  <c r="R25" i="5"/>
  <c r="N60" i="5"/>
  <c r="X16" i="5"/>
  <c r="N16" i="5"/>
  <c r="P16" i="5"/>
  <c r="N96" i="5"/>
  <c r="V38" i="5"/>
  <c r="N38" i="5"/>
  <c r="X18" i="5"/>
  <c r="P18" i="5"/>
  <c r="N18" i="5"/>
  <c r="V33" i="5"/>
  <c r="O33" i="5"/>
  <c r="N33" i="5"/>
  <c r="T278" i="5"/>
  <c r="P278" i="5"/>
  <c r="R38" i="5"/>
  <c r="N125" i="5"/>
  <c r="V40" i="5"/>
  <c r="R40" i="5"/>
  <c r="N40" i="5"/>
  <c r="R31" i="5"/>
  <c r="N31" i="5"/>
  <c r="U279" i="5"/>
  <c r="T279" i="5"/>
  <c r="F8" i="6"/>
  <c r="P282" i="5"/>
  <c r="P281" i="5"/>
  <c r="U285" i="5"/>
  <c r="P284" i="5"/>
  <c r="V42" i="5"/>
  <c r="Z24" i="5"/>
  <c r="V31" i="5"/>
  <c r="Q283" i="5"/>
  <c r="U277" i="5"/>
  <c r="Z34" i="5"/>
  <c r="Z31" i="5"/>
  <c r="W35" i="5"/>
  <c r="U284" i="5"/>
  <c r="N35" i="5"/>
  <c r="U281" i="5"/>
  <c r="Q281" i="5"/>
  <c r="V16" i="5"/>
  <c r="Q282" i="5"/>
  <c r="V36" i="5"/>
  <c r="U282" i="5"/>
  <c r="W62" i="5"/>
  <c r="V79" i="5"/>
  <c r="Y36" i="5"/>
  <c r="W60" i="5"/>
  <c r="R43" i="5"/>
  <c r="V153" i="5"/>
  <c r="O62" i="5"/>
  <c r="V35" i="5"/>
  <c r="Q36" i="5"/>
  <c r="V43" i="5"/>
  <c r="V118" i="5"/>
  <c r="Z20" i="5"/>
  <c r="N62" i="5"/>
  <c r="V265" i="5"/>
  <c r="V262" i="5"/>
  <c r="V259" i="5"/>
  <c r="V253" i="5"/>
  <c r="Z38" i="5"/>
  <c r="V254" i="5"/>
  <c r="AC272" i="5"/>
  <c r="V160" i="5"/>
  <c r="V257" i="5"/>
  <c r="V46" i="5"/>
  <c r="N46" i="5"/>
  <c r="N43" i="5"/>
  <c r="V255" i="5"/>
  <c r="V263" i="5"/>
  <c r="P27" i="5"/>
  <c r="V156" i="5"/>
  <c r="V76" i="5"/>
  <c r="V148" i="5"/>
  <c r="V216" i="5"/>
  <c r="V155" i="5"/>
  <c r="V206" i="5"/>
  <c r="V211" i="5"/>
  <c r="V157" i="5"/>
  <c r="V200" i="5"/>
  <c r="V256" i="5"/>
  <c r="V154" i="5"/>
  <c r="V207" i="5"/>
  <c r="V147" i="5"/>
  <c r="V180" i="5"/>
  <c r="V165" i="5"/>
  <c r="V202" i="5"/>
  <c r="V184" i="5"/>
  <c r="V166" i="5"/>
  <c r="V252" i="5"/>
  <c r="AC271" i="5"/>
  <c r="V161" i="5"/>
  <c r="N212" i="5"/>
  <c r="V219" i="5"/>
  <c r="V212" i="5"/>
  <c r="V123" i="5"/>
  <c r="V169" i="5"/>
  <c r="V269" i="5"/>
  <c r="V221" i="5"/>
  <c r="V220" i="5"/>
  <c r="V182" i="5"/>
  <c r="V222" i="5"/>
  <c r="V183" i="5"/>
  <c r="V231" i="5"/>
  <c r="V209" i="5"/>
  <c r="V210" i="5"/>
  <c r="V214" i="5"/>
  <c r="V218" i="5"/>
  <c r="V179" i="5"/>
  <c r="V181" i="5"/>
  <c r="V129" i="5"/>
  <c r="V77" i="5"/>
  <c r="V225" i="5"/>
  <c r="V201" i="5"/>
  <c r="V175" i="5"/>
  <c r="N39" i="5"/>
  <c r="V39" i="5"/>
  <c r="V74" i="5"/>
  <c r="Z41" i="5"/>
  <c r="V41" i="5"/>
  <c r="V136" i="5"/>
  <c r="N269" i="5"/>
  <c r="V78" i="5"/>
  <c r="N86" i="5"/>
  <c r="V80" i="5"/>
  <c r="V130" i="5"/>
  <c r="S104" i="5"/>
  <c r="N220" i="5"/>
  <c r="W29" i="5"/>
  <c r="V29" i="5"/>
  <c r="V120" i="5"/>
  <c r="N27" i="5"/>
  <c r="V27" i="5"/>
  <c r="V159" i="5"/>
  <c r="M51" i="5"/>
  <c r="Z51" i="5" s="1"/>
  <c r="V149" i="5"/>
  <c r="V116" i="5"/>
  <c r="V162" i="5"/>
  <c r="X32" i="5"/>
  <c r="V189" i="5"/>
  <c r="V196" i="5"/>
  <c r="V193" i="5"/>
  <c r="V188" i="5"/>
  <c r="V187" i="5"/>
  <c r="V198" i="5"/>
  <c r="V197" i="5"/>
  <c r="V194" i="5"/>
  <c r="V195" i="5"/>
  <c r="V192" i="5"/>
  <c r="V191" i="5"/>
  <c r="V190" i="5"/>
  <c r="N21" i="5"/>
  <c r="V21" i="5"/>
  <c r="V117" i="5"/>
  <c r="V185" i="5"/>
  <c r="N112" i="5"/>
  <c r="V150" i="5"/>
  <c r="V119" i="5"/>
  <c r="V135" i="5"/>
  <c r="V215" i="5"/>
  <c r="V174" i="5"/>
  <c r="V131" i="5"/>
  <c r="R21" i="5"/>
  <c r="V152" i="5"/>
  <c r="V81" i="5"/>
  <c r="V203" i="5"/>
  <c r="Z30" i="5"/>
  <c r="V30" i="5"/>
  <c r="V176" i="5"/>
  <c r="V122" i="5"/>
  <c r="R22" i="5"/>
  <c r="V22" i="5"/>
  <c r="V232" i="5"/>
  <c r="V170" i="5"/>
  <c r="Z17" i="5"/>
  <c r="Z26" i="5"/>
  <c r="V26" i="5"/>
  <c r="N37" i="5"/>
  <c r="V37" i="5"/>
  <c r="V227" i="5"/>
  <c r="V127" i="5"/>
  <c r="N118" i="5"/>
  <c r="V228" i="5"/>
  <c r="V167" i="5"/>
  <c r="N119" i="5"/>
  <c r="N271" i="5"/>
  <c r="V271" i="5"/>
  <c r="V226" i="5"/>
  <c r="V134" i="5"/>
  <c r="Z37" i="5"/>
  <c r="N83" i="5"/>
  <c r="V126" i="5"/>
  <c r="N76" i="5"/>
  <c r="V140" i="5"/>
  <c r="V128" i="5"/>
  <c r="V108" i="5"/>
  <c r="V107" i="5"/>
  <c r="V112" i="5"/>
  <c r="V114" i="5"/>
  <c r="V113" i="5"/>
  <c r="V109" i="5"/>
  <c r="V111" i="5"/>
  <c r="V110" i="5"/>
  <c r="V238" i="5"/>
  <c r="V236" i="5"/>
  <c r="V235" i="5"/>
  <c r="V237" i="5"/>
  <c r="V234" i="5"/>
  <c r="N107" i="5"/>
  <c r="V151" i="5"/>
  <c r="V230" i="5"/>
  <c r="V75" i="5"/>
  <c r="V204" i="5"/>
  <c r="V268" i="5"/>
  <c r="V177" i="5"/>
  <c r="V261" i="5"/>
  <c r="V49" i="5"/>
  <c r="V163" i="5"/>
  <c r="V171" i="5"/>
  <c r="V94" i="5"/>
  <c r="V90" i="5"/>
  <c r="V89" i="5"/>
  <c r="V93" i="5"/>
  <c r="V92" i="5"/>
  <c r="V91" i="5"/>
  <c r="V96" i="5"/>
  <c r="V95" i="5"/>
  <c r="V124" i="5"/>
  <c r="R63" i="5"/>
  <c r="V63" i="5"/>
  <c r="V125" i="5"/>
  <c r="V87" i="5"/>
  <c r="V86" i="5"/>
  <c r="V85" i="5"/>
  <c r="V84" i="5"/>
  <c r="V83" i="5"/>
  <c r="V224" i="5"/>
  <c r="V137" i="5"/>
  <c r="V138" i="5"/>
  <c r="N19" i="5"/>
  <c r="V19" i="5"/>
  <c r="V132" i="5"/>
  <c r="M54" i="5"/>
  <c r="R54" i="5" s="1"/>
  <c r="V229" i="5"/>
  <c r="V139" i="5"/>
  <c r="Z23" i="5"/>
  <c r="V23" i="5"/>
  <c r="N111" i="5"/>
  <c r="Z61" i="5"/>
  <c r="V61" i="5"/>
  <c r="N80" i="5"/>
  <c r="N61" i="5"/>
  <c r="V205" i="5"/>
  <c r="V172" i="5"/>
  <c r="N113" i="5"/>
  <c r="Z44" i="5"/>
  <c r="Z40" i="5"/>
  <c r="Z21" i="5"/>
  <c r="Z63" i="5"/>
  <c r="N222" i="5"/>
  <c r="V71" i="5"/>
  <c r="N22" i="5"/>
  <c r="M58" i="5"/>
  <c r="Z22" i="5"/>
  <c r="N221" i="5"/>
  <c r="Z25" i="5"/>
  <c r="V70" i="5"/>
  <c r="M57" i="5"/>
  <c r="V72" i="5"/>
  <c r="V69" i="5"/>
  <c r="V68" i="5"/>
  <c r="V67" i="5"/>
  <c r="V65" i="5"/>
  <c r="V66" i="5"/>
  <c r="N99" i="5"/>
  <c r="N102" i="5"/>
  <c r="N104" i="5"/>
  <c r="N100" i="5"/>
  <c r="N101" i="5"/>
  <c r="N103" i="5"/>
  <c r="N105" i="5"/>
  <c r="S100" i="5"/>
  <c r="N98" i="5"/>
  <c r="S103" i="5"/>
  <c r="S101" i="5"/>
  <c r="S102" i="5"/>
  <c r="S98" i="5"/>
  <c r="W98" i="5"/>
  <c r="N67" i="5"/>
  <c r="N66" i="5"/>
  <c r="S66" i="5"/>
  <c r="S67" i="5"/>
  <c r="M52" i="5"/>
  <c r="M48" i="5"/>
  <c r="P53" i="5"/>
  <c r="M55" i="5"/>
  <c r="N55" i="5" s="1"/>
  <c r="M50" i="5"/>
  <c r="M59" i="5"/>
  <c r="M47" i="5"/>
  <c r="N47" i="5" s="1"/>
  <c r="X53" i="5"/>
  <c r="M56" i="5"/>
  <c r="S112" i="5"/>
  <c r="S125" i="5"/>
  <c r="S129" i="5"/>
  <c r="T226" i="5"/>
  <c r="T234" i="5"/>
  <c r="T238" i="5"/>
  <c r="AB262" i="5"/>
  <c r="AB263" i="5"/>
  <c r="AB264" i="5"/>
  <c r="T264" i="5"/>
  <c r="AA167" i="5"/>
  <c r="AA165" i="5"/>
  <c r="AB261" i="5"/>
  <c r="AB265" i="5"/>
  <c r="AA166" i="5"/>
  <c r="T175" i="5"/>
  <c r="T205" i="5"/>
  <c r="AB258" i="5"/>
  <c r="AA80" i="5"/>
  <c r="S80" i="5"/>
  <c r="U278" i="5"/>
  <c r="Q278" i="5"/>
  <c r="Z49" i="5"/>
  <c r="R49" i="5"/>
  <c r="T254" i="5"/>
  <c r="AB252" i="5"/>
  <c r="AB256" i="5"/>
  <c r="AB254" i="5"/>
  <c r="AB255" i="5"/>
  <c r="AB253" i="5"/>
  <c r="S96" i="5"/>
  <c r="AB259" i="5"/>
  <c r="AB257" i="5"/>
  <c r="S89" i="5"/>
  <c r="AA126" i="5"/>
  <c r="AA169" i="5"/>
  <c r="AA170" i="5"/>
  <c r="AA163" i="5"/>
  <c r="AA162" i="5"/>
  <c r="AA164" i="5"/>
  <c r="AA159" i="5"/>
  <c r="S119" i="5"/>
  <c r="T221" i="5"/>
  <c r="AB181" i="5"/>
  <c r="S107" i="5"/>
  <c r="AB179" i="5"/>
  <c r="AA129" i="5"/>
  <c r="T212" i="5"/>
  <c r="AB195" i="5"/>
  <c r="AB178" i="5"/>
  <c r="AA171" i="5"/>
  <c r="AB180" i="5"/>
  <c r="AA137" i="5"/>
  <c r="AA160" i="5"/>
  <c r="AA161" i="5"/>
  <c r="AB197" i="5"/>
  <c r="AA92" i="5"/>
  <c r="AB194" i="5"/>
  <c r="AA89" i="5"/>
  <c r="AA78" i="5"/>
  <c r="AA111" i="5"/>
  <c r="AA79" i="5"/>
  <c r="AB193" i="5"/>
  <c r="AB190" i="5"/>
  <c r="AA75" i="5"/>
  <c r="AB207" i="5"/>
  <c r="AB188" i="5"/>
  <c r="AA96" i="5"/>
  <c r="AB198" i="5"/>
  <c r="AA69" i="5"/>
  <c r="AA93" i="5"/>
  <c r="AA76" i="5"/>
  <c r="AB189" i="5"/>
  <c r="AB187" i="5"/>
  <c r="AA127" i="5"/>
  <c r="AA68" i="5"/>
  <c r="AB221" i="5"/>
  <c r="AB192" i="5"/>
  <c r="AB196" i="5"/>
  <c r="AA77" i="5"/>
  <c r="AA125" i="5"/>
  <c r="AB191" i="5"/>
  <c r="AB204" i="5"/>
  <c r="AB201" i="5"/>
  <c r="AB203" i="5"/>
  <c r="AA132" i="5"/>
  <c r="AB205" i="5"/>
  <c r="AB182" i="5"/>
  <c r="AB267" i="5"/>
  <c r="AB222" i="5"/>
  <c r="AA95" i="5"/>
  <c r="AA81" i="5"/>
  <c r="S111" i="5"/>
  <c r="AB175" i="5"/>
  <c r="AA94" i="5"/>
  <c r="AB202" i="5"/>
  <c r="S76" i="5"/>
  <c r="AB206" i="5"/>
  <c r="AB211" i="5"/>
  <c r="AA124" i="5"/>
  <c r="AB269" i="5"/>
  <c r="AA90" i="5"/>
  <c r="AA123" i="5"/>
  <c r="T222" i="5"/>
  <c r="AB177" i="5"/>
  <c r="AA91" i="5"/>
  <c r="AA74" i="5"/>
  <c r="T220" i="5"/>
  <c r="AA65" i="5"/>
  <c r="AB219" i="5"/>
  <c r="AA138" i="5"/>
  <c r="AA148" i="5"/>
  <c r="AB225" i="5"/>
  <c r="AB184" i="5"/>
  <c r="AA134" i="5"/>
  <c r="AB226" i="5"/>
  <c r="AB230" i="5"/>
  <c r="AB183" i="5"/>
  <c r="AB185" i="5"/>
  <c r="AB224" i="5"/>
  <c r="AA136" i="5"/>
  <c r="S105" i="5"/>
  <c r="AB176" i="5"/>
  <c r="AB210" i="5"/>
  <c r="S83" i="5"/>
  <c r="Y39" i="5"/>
  <c r="AA157" i="5"/>
  <c r="AB174" i="5"/>
  <c r="AA140" i="5"/>
  <c r="T229" i="5"/>
  <c r="AB268" i="5"/>
  <c r="AA135" i="5"/>
  <c r="Q39" i="5"/>
  <c r="AA151" i="5"/>
  <c r="AB220" i="5"/>
  <c r="AA112" i="5"/>
  <c r="AB238" i="5"/>
  <c r="AB236" i="5"/>
  <c r="AB235" i="5"/>
  <c r="AB234" i="5"/>
  <c r="AB237" i="5"/>
  <c r="AA113" i="5"/>
  <c r="AA120" i="5"/>
  <c r="AA156" i="5"/>
  <c r="AA128" i="5"/>
  <c r="AB209" i="5"/>
  <c r="AA70" i="5"/>
  <c r="AA110" i="5"/>
  <c r="AB218" i="5"/>
  <c r="AA107" i="5"/>
  <c r="AB227" i="5"/>
  <c r="AB232" i="5"/>
  <c r="AA116" i="5"/>
  <c r="AA83" i="5"/>
  <c r="AA87" i="5"/>
  <c r="AA84" i="5"/>
  <c r="AA85" i="5"/>
  <c r="AA86" i="5"/>
  <c r="AA149" i="5"/>
  <c r="AA109" i="5"/>
  <c r="AA118" i="5"/>
  <c r="AB215" i="5"/>
  <c r="W33" i="5"/>
  <c r="AA114" i="5"/>
  <c r="AA117" i="5"/>
  <c r="AB214" i="5"/>
  <c r="AA154" i="5"/>
  <c r="S118" i="5"/>
  <c r="AA147" i="5"/>
  <c r="AB229" i="5"/>
  <c r="AA152" i="5"/>
  <c r="AA150" i="5"/>
  <c r="AA130" i="5"/>
  <c r="AB228" i="5"/>
  <c r="AA71" i="5"/>
  <c r="AA155" i="5"/>
  <c r="AA108" i="5"/>
  <c r="AA122" i="5"/>
  <c r="AB212" i="5"/>
  <c r="P19" i="5"/>
  <c r="X19" i="5"/>
  <c r="S86" i="5"/>
  <c r="AB213" i="5"/>
  <c r="AA153" i="5"/>
  <c r="AB216" i="5"/>
  <c r="AA72" i="5"/>
  <c r="AA66" i="5"/>
  <c r="AB231" i="5"/>
  <c r="AA119" i="5"/>
  <c r="T269" i="5"/>
  <c r="AA67" i="5"/>
  <c r="S113" i="5"/>
  <c r="AA131" i="5"/>
  <c r="V59" i="5" l="1"/>
  <c r="N59" i="5"/>
  <c r="R59" i="5"/>
  <c r="N58" i="5"/>
  <c r="R58" i="5"/>
  <c r="V57" i="5"/>
  <c r="R57" i="5"/>
  <c r="N57" i="5"/>
  <c r="V50" i="5"/>
  <c r="N50" i="5"/>
  <c r="R50" i="5"/>
  <c r="V52" i="5"/>
  <c r="N52" i="5"/>
  <c r="V56" i="5"/>
  <c r="N56" i="5"/>
  <c r="V48" i="5"/>
  <c r="R48" i="5"/>
  <c r="N48" i="5"/>
  <c r="Z54" i="5"/>
  <c r="Z47" i="5"/>
  <c r="V47" i="5"/>
  <c r="Z58" i="5"/>
  <c r="V58" i="5"/>
  <c r="Y55" i="5"/>
  <c r="V55" i="5"/>
  <c r="N54" i="5"/>
  <c r="V54" i="5"/>
  <c r="N51" i="5"/>
  <c r="V51" i="5"/>
  <c r="V105" i="5"/>
  <c r="V104" i="5"/>
  <c r="V101" i="5"/>
  <c r="V100" i="5"/>
  <c r="V103" i="5"/>
  <c r="V102" i="5"/>
  <c r="V99" i="5"/>
  <c r="V98" i="5"/>
  <c r="R51" i="5"/>
  <c r="Z57" i="5"/>
  <c r="Z48" i="5"/>
  <c r="AA98" i="5"/>
  <c r="AA103" i="5"/>
  <c r="AA104" i="5"/>
  <c r="AA99" i="5"/>
  <c r="AA101" i="5"/>
  <c r="AA105" i="5"/>
  <c r="AA102" i="5"/>
  <c r="AA100" i="5"/>
  <c r="Y52" i="5"/>
  <c r="Q52" i="5"/>
  <c r="Z50" i="5"/>
  <c r="Q55" i="5"/>
  <c r="P56" i="5"/>
  <c r="R47" i="5"/>
  <c r="Z59" i="5"/>
  <c r="X56" i="5"/>
</calcChain>
</file>

<file path=xl/sharedStrings.xml><?xml version="1.0" encoding="utf-8"?>
<sst xmlns="http://schemas.openxmlformats.org/spreadsheetml/2006/main" count="459" uniqueCount="253">
  <si>
    <t>Date et heure</t>
  </si>
  <si>
    <t>(valeurs système si vide)</t>
  </si>
  <si>
    <t>Jour</t>
  </si>
  <si>
    <t>Mois</t>
  </si>
  <si>
    <t>Année</t>
  </si>
  <si>
    <t>Heures</t>
  </si>
  <si>
    <t>Minutes</t>
  </si>
  <si>
    <t>Localisation</t>
  </si>
  <si>
    <t>Longitude</t>
  </si>
  <si>
    <t>Latitude</t>
  </si>
  <si>
    <t>Exemples :</t>
  </si>
  <si>
    <t>PARIS</t>
  </si>
  <si>
    <t>TU+1</t>
  </si>
  <si>
    <t>NEW YORK</t>
  </si>
  <si>
    <t>TU-5</t>
  </si>
  <si>
    <t>SYDNEY</t>
  </si>
  <si>
    <t>TU+10</t>
  </si>
  <si>
    <t>Direction</t>
  </si>
  <si>
    <t>0° pour le nord</t>
  </si>
  <si>
    <t>180° pour le sud</t>
  </si>
  <si>
    <t>Zoom</t>
  </si>
  <si>
    <t>0 pour voir toutes les planètes et la Lune (échelles non respectées)</t>
  </si>
  <si>
    <t>&gt;=1 pour voir les planètes intérieures</t>
  </si>
  <si>
    <t>&lt;=1 pour voir les planètes extérieures</t>
  </si>
  <si>
    <t>Valeurs en cours</t>
  </si>
  <si>
    <t>Calcul pour observation</t>
  </si>
  <si>
    <t>Heure sidérale</t>
  </si>
  <si>
    <t>Ascension droite</t>
  </si>
  <si>
    <t>Déclinaison</t>
  </si>
  <si>
    <t>Hauteur</t>
  </si>
  <si>
    <t>Azimut</t>
  </si>
  <si>
    <t>AnglHor</t>
  </si>
  <si>
    <t>Haut</t>
  </si>
  <si>
    <t>Azim</t>
  </si>
  <si>
    <t>Phase</t>
  </si>
  <si>
    <t>Age</t>
  </si>
  <si>
    <t>Calculs astronomiques</t>
  </si>
  <si>
    <t>Le calcul de la position des astres se fait à partir des coordonnées équatoriales en ascention droite (en heures à partir de la position du Soleil le 21 Mars ou point vernal) et déclinaison (en degrés à partir de l'équateur). Le calcul de l'heure sidérale se fait à partir du jour julien pour calculer le temps sidéral de Greenwich à 0 h TU puis en tenant compte de la date, de l'heure et de la longitude du lieu. On calcule alors l'angle horaire (passage au méridien) de chaque astre à partir des coordonnées équatoriales. Avec l'angle horaire, on calcule les coordonnées locales de l'astre (azimut à partir du sud et hauteur sur l'horizon) en tenant compte de la latitude du lieu. On utilise divers projections pour obtenir une visualisation sous forme de carte ou de ciel visible.</t>
  </si>
  <si>
    <t>Position des planètes et de la Lune (calculs simplifiés)</t>
  </si>
  <si>
    <t>A propos de...</t>
  </si>
  <si>
    <t>Version excel</t>
  </si>
  <si>
    <t>Calcul des positions des étoiles et planètes</t>
  </si>
  <si>
    <t>Paramètres</t>
  </si>
  <si>
    <t>Date</t>
  </si>
  <si>
    <t>Heure</t>
  </si>
  <si>
    <t>Infini</t>
  </si>
  <si>
    <t>Calcul heure sidérale</t>
  </si>
  <si>
    <t>Valeurs par défaut (Paris)</t>
  </si>
  <si>
    <t>A</t>
  </si>
  <si>
    <t>JJ</t>
  </si>
  <si>
    <t>B</t>
  </si>
  <si>
    <t>T</t>
  </si>
  <si>
    <t>C</t>
  </si>
  <si>
    <t>GMST 0hTU</t>
  </si>
  <si>
    <t>D</t>
  </si>
  <si>
    <t>Etoiles et constellations</t>
  </si>
  <si>
    <t>Nom</t>
  </si>
  <si>
    <t>AsH</t>
  </si>
  <si>
    <t>AsM</t>
  </si>
  <si>
    <t>DeD</t>
  </si>
  <si>
    <t>DeM</t>
  </si>
  <si>
    <t>Magnitude</t>
  </si>
  <si>
    <t>AsC</t>
  </si>
  <si>
    <t>DeC</t>
  </si>
  <si>
    <t>SinAzim</t>
  </si>
  <si>
    <t>CosAzim</t>
  </si>
  <si>
    <t>X Carte</t>
  </si>
  <si>
    <t>Y1</t>
  </si>
  <si>
    <t>Y2</t>
  </si>
  <si>
    <t>Y3</t>
  </si>
  <si>
    <t>Y4</t>
  </si>
  <si>
    <t>Const</t>
  </si>
  <si>
    <t>Zodiaque</t>
  </si>
  <si>
    <t>Galaxies</t>
  </si>
  <si>
    <t>X Ciel</t>
  </si>
  <si>
    <t>Y1 Ciel</t>
  </si>
  <si>
    <t>Y2 Ciel</t>
  </si>
  <si>
    <t>Y3 Ciel</t>
  </si>
  <si>
    <t>Y4 Ciel</t>
  </si>
  <si>
    <t>X</t>
  </si>
  <si>
    <t>Y</t>
  </si>
  <si>
    <t>XCercle</t>
  </si>
  <si>
    <t>YCercle</t>
  </si>
  <si>
    <t>Achernar</t>
  </si>
  <si>
    <t>S</t>
  </si>
  <si>
    <t>Acrux</t>
  </si>
  <si>
    <t>SO</t>
  </si>
  <si>
    <t>Adara</t>
  </si>
  <si>
    <t>O</t>
  </si>
  <si>
    <t>Agena</t>
  </si>
  <si>
    <t>NO</t>
  </si>
  <si>
    <t>Aldebaran</t>
  </si>
  <si>
    <t>N</t>
  </si>
  <si>
    <t>Alhena</t>
  </si>
  <si>
    <t>NE</t>
  </si>
  <si>
    <t>Alioth</t>
  </si>
  <si>
    <t>E</t>
  </si>
  <si>
    <t>Alkaid</t>
  </si>
  <si>
    <t>SE</t>
  </si>
  <si>
    <t>AlNair</t>
  </si>
  <si>
    <t>Alnilam</t>
  </si>
  <si>
    <t>Alnitak</t>
  </si>
  <si>
    <t>Alphard</t>
  </si>
  <si>
    <t>Altair</t>
  </si>
  <si>
    <t>Antares</t>
  </si>
  <si>
    <t>Arcturus</t>
  </si>
  <si>
    <t>Atria</t>
  </si>
  <si>
    <t>Bellatrix</t>
  </si>
  <si>
    <t>Betelgeuse</t>
  </si>
  <si>
    <t>Canopus</t>
  </si>
  <si>
    <t>Castor</t>
  </si>
  <si>
    <t>Chèvre</t>
  </si>
  <si>
    <t>Deneb</t>
  </si>
  <si>
    <t>Dubhe</t>
  </si>
  <si>
    <t>Epi</t>
  </si>
  <si>
    <t>Fomalhaut</t>
  </si>
  <si>
    <t>Gacrux</t>
  </si>
  <si>
    <t>KausAustra</t>
  </si>
  <si>
    <t>Kooshe</t>
  </si>
  <si>
    <t>Menkalinan</t>
  </si>
  <si>
    <t>Miaplacidus</t>
  </si>
  <si>
    <t>Mimosa</t>
  </si>
  <si>
    <t>Mirfak</t>
  </si>
  <si>
    <t>Mirzam</t>
  </si>
  <si>
    <t>Nath</t>
  </si>
  <si>
    <t>Nunki</t>
  </si>
  <si>
    <t>Peacock</t>
  </si>
  <si>
    <t>Polaire</t>
  </si>
  <si>
    <t>Pollux</t>
  </si>
  <si>
    <t>Procyon</t>
  </si>
  <si>
    <t>RasAlague</t>
  </si>
  <si>
    <t>Regulus</t>
  </si>
  <si>
    <t>Rigel</t>
  </si>
  <si>
    <t>Rigil</t>
  </si>
  <si>
    <t>Sargas</t>
  </si>
  <si>
    <t>Schaula</t>
  </si>
  <si>
    <t>Sirius</t>
  </si>
  <si>
    <t>Sirrah</t>
  </si>
  <si>
    <t>Vega</t>
  </si>
  <si>
    <t>Wezen</t>
  </si>
  <si>
    <t>Petite Ourse</t>
  </si>
  <si>
    <t>Grande Ourse</t>
  </si>
  <si>
    <t>Cassiopée</t>
  </si>
  <si>
    <t>Orion</t>
  </si>
  <si>
    <t>Cygne</t>
  </si>
  <si>
    <t>Pégase</t>
  </si>
  <si>
    <t>Andromède</t>
  </si>
  <si>
    <t>Hydra</t>
  </si>
  <si>
    <t>Croix</t>
  </si>
  <si>
    <t>Triangle</t>
  </si>
  <si>
    <t>Carène</t>
  </si>
  <si>
    <t>Centaure</t>
  </si>
  <si>
    <t>Hydrus</t>
  </si>
  <si>
    <t>Lion</t>
  </si>
  <si>
    <t>Scorpion</t>
  </si>
  <si>
    <t>Vierge</t>
  </si>
  <si>
    <t>Poisson</t>
  </si>
  <si>
    <t>Taureau</t>
  </si>
  <si>
    <t>Gémeaux</t>
  </si>
  <si>
    <t>Cancer</t>
  </si>
  <si>
    <t>Capricorne</t>
  </si>
  <si>
    <t>Verseau</t>
  </si>
  <si>
    <t>Sagittaire</t>
  </si>
  <si>
    <t>Balance</t>
  </si>
  <si>
    <t>Bélier</t>
  </si>
  <si>
    <t>Magellan</t>
  </si>
  <si>
    <t>Planètes</t>
  </si>
  <si>
    <t>DSol (UA)</t>
  </si>
  <si>
    <t>Million km</t>
  </si>
  <si>
    <t>Période (j)</t>
  </si>
  <si>
    <t>Diamètre</t>
  </si>
  <si>
    <t>Teta0</t>
  </si>
  <si>
    <t>PosHélio</t>
  </si>
  <si>
    <t>Elong</t>
  </si>
  <si>
    <t>XPosHélio</t>
  </si>
  <si>
    <t>YPosHélio</t>
  </si>
  <si>
    <t>Symboles</t>
  </si>
  <si>
    <t>Y Ciel</t>
  </si>
  <si>
    <t>XOrbMe</t>
  </si>
  <si>
    <t>YOrbMe</t>
  </si>
  <si>
    <t>XOrbVe</t>
  </si>
  <si>
    <t>YOrbVe</t>
  </si>
  <si>
    <t>XOrbTe</t>
  </si>
  <si>
    <t>YOrbTe</t>
  </si>
  <si>
    <t>XOrbMa</t>
  </si>
  <si>
    <t>YOrbMa</t>
  </si>
  <si>
    <t>XOrbJu</t>
  </si>
  <si>
    <t>YOrbJu</t>
  </si>
  <si>
    <t>XOrbSa</t>
  </si>
  <si>
    <t>YOrbSa</t>
  </si>
  <si>
    <t>XOrbUr</t>
  </si>
  <si>
    <t>YOrbUr</t>
  </si>
  <si>
    <t>XOrbNe</t>
  </si>
  <si>
    <t>YOrbNe</t>
  </si>
  <si>
    <t>Soleil</t>
  </si>
  <si>
    <t>Mercure</t>
  </si>
  <si>
    <t>Vénus</t>
  </si>
  <si>
    <t>Terre</t>
  </si>
  <si>
    <t>Mars</t>
  </si>
  <si>
    <t>Jupiter</t>
  </si>
  <si>
    <t>Saturne</t>
  </si>
  <si>
    <t>Uranus</t>
  </si>
  <si>
    <t>Neptune</t>
  </si>
  <si>
    <t>Lune</t>
  </si>
  <si>
    <t>Phase :</t>
  </si>
  <si>
    <t>(Précision utilisée pour affichage phase:</t>
  </si>
  <si>
    <t>)</t>
  </si>
  <si>
    <t>Age :</t>
  </si>
  <si>
    <t>Valeur mois :</t>
  </si>
  <si>
    <t>Textes pour cartes</t>
  </si>
  <si>
    <t>Calcul</t>
  </si>
  <si>
    <t>AhH</t>
  </si>
  <si>
    <t>AhM</t>
  </si>
  <si>
    <t>HaD</t>
  </si>
  <si>
    <t>HaM</t>
  </si>
  <si>
    <t>AzD</t>
  </si>
  <si>
    <t>AzM</t>
  </si>
  <si>
    <t>Azim **</t>
  </si>
  <si>
    <t>** Compté à partir du Sud</t>
  </si>
  <si>
    <t>GREENWICH</t>
  </si>
  <si>
    <t>soit</t>
  </si>
  <si>
    <t>TU</t>
  </si>
  <si>
    <t>AsC Soleil Greenwich</t>
  </si>
  <si>
    <t>18h42m54sec</t>
  </si>
  <si>
    <t>Xciel_web par Didier PAUGAM (version pour affichage web sans macros)</t>
  </si>
  <si>
    <t>https://forum.excel-pratique.com/applications/xciel-avec-version-sans-macro-3329</t>
  </si>
  <si>
    <t xml:space="preserve"> * Les heures sont en TU (heure d’hiver à Greenwich)</t>
  </si>
  <si>
    <t>Le calcul de la position des planètes se fait à partir de leurs positions héliocentriques en partant d'une position connues et en tenant compte de leurs données orbitales et de la date. Les trajectoires des planètes sont ici considérées circulaires et coplanaires (approximation valide jusqu'à Neptune). On calcule alors leurs élongations (angle apparent par rapport au Soleil). On obtient alors leurs coordonnées équatoriales à partir de celles du Soleil à la date donnée et on est ramené au calcul précédent. Pour la Lune, on part de sa situation orbitale supposée circulaire puis on calcule sa position par rotations successives sur l'écliptique puis sur le plan équatorial.</t>
  </si>
  <si>
    <t>Référence</t>
  </si>
  <si>
    <t>(J2000)</t>
  </si>
  <si>
    <t>Inclinaison (°)</t>
  </si>
  <si>
    <t>Ωo(°)</t>
  </si>
  <si>
    <t xml:space="preserve">  (°/jour)</t>
  </si>
  <si>
    <t>𝒍o(°)</t>
  </si>
  <si>
    <t>Elong.o (°)</t>
  </si>
  <si>
    <t>Nb jours</t>
  </si>
  <si>
    <t>Ω(°)</t>
  </si>
  <si>
    <t>𝒍(°)</t>
  </si>
  <si>
    <t>cos 𝒍</t>
  </si>
  <si>
    <t>sin 𝒍</t>
  </si>
  <si>
    <t>x</t>
  </si>
  <si>
    <t>y</t>
  </si>
  <si>
    <t>z</t>
  </si>
  <si>
    <t>x'</t>
  </si>
  <si>
    <t>y'</t>
  </si>
  <si>
    <t>z'</t>
  </si>
  <si>
    <t>λ(°)</t>
  </si>
  <si>
    <t>β(°)</t>
  </si>
  <si>
    <t>PosLune</t>
  </si>
  <si>
    <t>Elongation (°)</t>
  </si>
  <si>
    <t>Inclinaison axe Terre (°)</t>
  </si>
  <si>
    <t>90° pour l'ouest</t>
  </si>
  <si>
    <t>270° pour l'est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</si>
</sst>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0">
    <numFmt numFmtId="164" formatCode="0.000"/>
    <numFmt numFmtId="165" formatCode="[$-F400]h:mm:ss\ AM/PM"/>
    <numFmt numFmtId="166" formatCode="0.0000"/>
    <numFmt numFmtId="167" formatCode="0.0&quot; jours&quot;"/>
    <numFmt numFmtId="168" formatCode="dd&quot;j&quot;:hh&quot;h&quot;:mm&quot;m&quot;"/>
    <numFmt numFmtId="169" formatCode="h:mm;@"/>
    <numFmt numFmtId="170" formatCode="#,##0.0&quot; jours&quot;"/>
    <numFmt numFmtId="171" formatCode="0&quot;°&quot;"/>
    <numFmt numFmtId="172" formatCode="0&quot; min&quot;"/>
    <numFmt numFmtId="173" formatCode="0&quot; h&quot;"/>
  </numFmts>
  <fonts count="10" x14ac:knownFonts="1">
    <font>
      <sz val="11"/>
      <color theme="1"/>
      <name val="Calibri"/>
      <family val="2"/>
      <scheme val="minor"/>
    </font>
    <font>
      <sz val="10"/>
      <name val="MS Sans Serif"/>
    </font>
    <font>
      <b/>
      <sz val="10"/>
      <color indexed="9"/>
      <name val="MS Sans Serif"/>
    </font>
    <font>
      <b/>
      <sz val="11"/>
      <name val="Calibri"/>
      <family val="2"/>
      <scheme val="minor"/>
    </font>
    <font>
      <sz val="10"/>
      <name val="Arial"/>
      <family val="2"/>
    </font>
    <font>
      <b/>
      <sz val="11"/>
      <color theme="1"/>
      <name val="Calibri"/>
      <family val="2"/>
      <scheme val="minor"/>
    </font>
    <font>
      <sz val="9"/>
      <name val="Calibri"/>
      <family val="2"/>
      <scheme val="minor"/>
    </font>
    <font>
      <sz val="8"/>
      <name val="Calibri"/>
      <family val="2"/>
      <scheme val="minor"/>
    </font>
    <font>
      <u/>
      <sz val="11"/>
      <color theme="10"/>
      <name val="Calibri"/>
      <family val="2"/>
      <scheme val="minor"/>
    </font>
    <font>
      <sz val="9"/>
      <color theme="1"/>
      <name val="Calibri"/>
      <family val="2"/>
      <scheme val="minor"/>
    </font>
  </fonts>
  <fills count="4">
    <fill>
      <patternFill patternType="none"/>
    </fill>
    <fill>
      <patternFill patternType="gray125"/>
    </fill>
    <fill>
      <patternFill patternType="solid">
        <fgColor indexed="18"/>
      </patternFill>
    </fill>
    <fill>
      <patternFill patternType="lightGray"/>
    </fill>
  </fills>
  <borders count="3">
    <border>
      <left/>
      <right/>
      <top/>
      <bottom/>
      <diagonal/>
    </border>
    <border>
      <left style="thin">
        <color indexed="64"/>
      </left>
      <right style="thin">
        <color indexed="64"/>
      </right>
      <top style="thin">
        <color indexed="64"/>
      </top>
      <bottom style="thin">
        <color indexed="64"/>
      </bottom>
      <diagonal/>
    </border>
    <border>
      <left/>
      <right/>
      <top/>
      <bottom style="thin">
        <color indexed="64"/>
      </bottom>
      <diagonal/>
    </border>
  </borders>
  <cellStyleXfs count="4">
    <xf numFmtId="0" fontId="0" fillId="0" borderId="0"/>
    <xf numFmtId="0" fontId="1" fillId="0" borderId="0"/>
    <xf numFmtId="0" fontId="4" fillId="0" borderId="0"/>
    <xf numFmtId="0" fontId="8" fillId="0" borderId="0" applyNumberFormat="0" applyFill="0" applyBorder="0" applyAlignment="0" applyProtection="0"/>
  </cellStyleXfs>
  <cellXfs count="51">
    <xf numFmtId="0" fontId="0" fillId="0" borderId="0" xfId="0"/>
    <xf numFmtId="0" fontId="2" fillId="2" borderId="0" xfId="1" applyFont="1" applyFill="1"/>
    <xf numFmtId="0" fontId="1" fillId="0" borderId="0" xfId="1"/>
    <xf numFmtId="0" fontId="2" fillId="2" borderId="0" xfId="1" applyFont="1" applyFill="1" applyAlignment="1">
      <alignment horizontal="center"/>
    </xf>
    <xf numFmtId="0" fontId="2" fillId="2" borderId="0" xfId="1" applyFont="1" applyFill="1" applyAlignment="1">
      <alignment horizontal="centerContinuous"/>
    </xf>
    <xf numFmtId="1" fontId="1" fillId="0" borderId="0" xfId="1" applyNumberFormat="1"/>
    <xf numFmtId="0" fontId="1" fillId="0" borderId="0" xfId="1" quotePrefix="1"/>
    <xf numFmtId="164" fontId="1" fillId="0" borderId="0" xfId="1" applyNumberFormat="1"/>
    <xf numFmtId="2" fontId="1" fillId="0" borderId="0" xfId="1" applyNumberFormat="1"/>
    <xf numFmtId="165" fontId="1" fillId="0" borderId="0" xfId="1" applyNumberFormat="1"/>
    <xf numFmtId="1" fontId="1" fillId="0" borderId="0" xfId="1" applyNumberFormat="1" applyAlignment="1">
      <alignment horizontal="center"/>
    </xf>
    <xf numFmtId="0" fontId="2" fillId="2" borderId="0" xfId="1" applyFont="1" applyFill="1" applyAlignment="1">
      <alignment horizontal="left"/>
    </xf>
    <xf numFmtId="0" fontId="1" fillId="0" borderId="0" xfId="1" applyAlignment="1">
      <alignment horizontal="center"/>
    </xf>
    <xf numFmtId="2" fontId="1" fillId="0" borderId="0" xfId="1" applyNumberFormat="1" applyAlignment="1">
      <alignment horizontal="center"/>
    </xf>
    <xf numFmtId="2" fontId="1" fillId="0" borderId="0" xfId="1" quotePrefix="1" applyNumberFormat="1" applyAlignment="1">
      <alignment horizontal="center"/>
    </xf>
    <xf numFmtId="1" fontId="1" fillId="0" borderId="0" xfId="1" quotePrefix="1" applyNumberFormat="1" applyAlignment="1">
      <alignment horizontal="center"/>
    </xf>
    <xf numFmtId="14" fontId="1" fillId="0" borderId="0" xfId="1" applyNumberFormat="1" applyAlignment="1">
      <alignment horizontal="center"/>
    </xf>
    <xf numFmtId="2" fontId="1" fillId="3" borderId="0" xfId="1" applyNumberFormat="1" applyFill="1" applyAlignment="1">
      <alignment horizontal="center"/>
    </xf>
    <xf numFmtId="1" fontId="1" fillId="3" borderId="0" xfId="1" applyNumberFormat="1" applyFill="1" applyAlignment="1">
      <alignment horizontal="center"/>
    </xf>
    <xf numFmtId="164" fontId="1" fillId="0" borderId="0" xfId="1" applyNumberFormat="1" applyAlignment="1">
      <alignment horizontal="center"/>
    </xf>
    <xf numFmtId="0" fontId="1" fillId="0" borderId="0" xfId="1" applyAlignment="1">
      <alignment horizontal="right"/>
    </xf>
    <xf numFmtId="167" fontId="1" fillId="0" borderId="0" xfId="1" applyNumberFormat="1" applyAlignment="1">
      <alignment horizontal="center"/>
    </xf>
    <xf numFmtId="169" fontId="1" fillId="0" borderId="0" xfId="1" quotePrefix="1" applyNumberFormat="1" applyAlignment="1">
      <alignment horizontal="center"/>
    </xf>
    <xf numFmtId="0" fontId="0" fillId="0" borderId="0" xfId="0" applyAlignment="1">
      <alignment horizontal="center"/>
    </xf>
    <xf numFmtId="0" fontId="3" fillId="0" borderId="0" xfId="0" applyFont="1"/>
    <xf numFmtId="169" fontId="0" fillId="0" borderId="0" xfId="0" applyNumberFormat="1" applyAlignment="1">
      <alignment horizontal="center"/>
    </xf>
    <xf numFmtId="170" fontId="0" fillId="0" borderId="0" xfId="0" applyNumberFormat="1" applyAlignment="1">
      <alignment horizontal="center"/>
    </xf>
    <xf numFmtId="171" fontId="0" fillId="0" borderId="1" xfId="0" applyNumberFormat="1" applyBorder="1" applyAlignment="1" applyProtection="1">
      <alignment horizontal="center"/>
      <protection locked="0"/>
    </xf>
    <xf numFmtId="172" fontId="0" fillId="0" borderId="1" xfId="0" applyNumberFormat="1" applyBorder="1" applyAlignment="1" applyProtection="1">
      <alignment horizontal="center"/>
      <protection locked="0"/>
    </xf>
    <xf numFmtId="20" fontId="1" fillId="0" borderId="0" xfId="1" quotePrefix="1" applyNumberFormat="1" applyAlignment="1">
      <alignment horizontal="center"/>
    </xf>
    <xf numFmtId="0" fontId="6" fillId="0" borderId="0" xfId="0" applyFont="1" applyAlignment="1">
      <alignment horizontal="left" vertical="top" wrapText="1"/>
    </xf>
    <xf numFmtId="0" fontId="5" fillId="0" borderId="0" xfId="0" applyFont="1"/>
    <xf numFmtId="173" fontId="0" fillId="0" borderId="1" xfId="0" applyNumberFormat="1" applyBorder="1" applyAlignment="1" applyProtection="1">
      <alignment horizontal="center"/>
      <protection locked="0"/>
    </xf>
    <xf numFmtId="0" fontId="8" fillId="0" borderId="0" xfId="3"/>
    <xf numFmtId="0" fontId="0" fillId="0" borderId="1" xfId="0" applyBorder="1" applyAlignment="1">
      <alignment horizontal="center"/>
    </xf>
    <xf numFmtId="1" fontId="1" fillId="0" borderId="0" xfId="1" applyNumberFormat="1" applyAlignment="1">
      <alignment horizontal="right"/>
    </xf>
    <xf numFmtId="22" fontId="1" fillId="0" borderId="0" xfId="1" applyNumberFormat="1" applyAlignment="1">
      <alignment horizontal="center"/>
    </xf>
    <xf numFmtId="0" fontId="1" fillId="0" borderId="0" xfId="1" applyAlignment="1">
      <alignment horizontal="left"/>
    </xf>
    <xf numFmtId="168" fontId="1" fillId="0" borderId="0" xfId="1" applyNumberFormat="1" applyAlignment="1">
      <alignment horizontal="center"/>
    </xf>
    <xf numFmtId="0" fontId="9" fillId="0" borderId="0" xfId="0" quotePrefix="1" applyFont="1"/>
    <xf numFmtId="22" fontId="1" fillId="0" borderId="0" xfId="1" applyNumberFormat="1"/>
    <xf numFmtId="164" fontId="0" fillId="0" borderId="0" xfId="0" applyNumberFormat="1" applyAlignment="1">
      <alignment horizontal="center"/>
    </xf>
    <xf numFmtId="164" fontId="0" fillId="0" borderId="0" xfId="0" applyNumberFormat="1"/>
    <xf numFmtId="0" fontId="2" fillId="2" borderId="0" xfId="1" applyFont="1" applyFill="1" applyAlignment="1">
      <alignment horizontal="right"/>
    </xf>
    <xf numFmtId="166" fontId="1" fillId="0" borderId="0" xfId="1" applyNumberFormat="1"/>
    <xf numFmtId="2" fontId="0" fillId="0" borderId="1" xfId="0" applyNumberFormat="1" applyBorder="1" applyAlignment="1" applyProtection="1">
      <alignment horizontal="center"/>
      <protection locked="0"/>
    </xf>
    <xf numFmtId="0" fontId="2" fillId="2" borderId="0" xfId="1" applyFont="1" applyFill="1" applyAlignment="1">
      <alignment horizontal="center"/>
    </xf>
    <xf numFmtId="0" fontId="0" fillId="0" borderId="0" xfId="0" applyAlignment="1">
      <alignment horizontal="center"/>
    </xf>
    <xf numFmtId="0" fontId="6" fillId="0" borderId="0" xfId="0" applyFont="1" applyAlignment="1">
      <alignment horizontal="left" vertical="top" wrapText="1"/>
    </xf>
    <xf numFmtId="0" fontId="2" fillId="2" borderId="0" xfId="1" applyFont="1" applyFill="1" applyAlignment="1">
      <alignment horizontal="left"/>
    </xf>
    <xf numFmtId="0" fontId="2" fillId="2" borderId="2" xfId="1" applyFont="1" applyFill="1" applyBorder="1" applyAlignment="1">
      <alignment horizontal="center"/>
    </xf>
  </cellXfs>
  <cellStyles count="4">
    <cellStyle name="Lien hypertexte" xfId="3" builtinId="8"/>
    <cellStyle name="Normal" xfId="0" builtinId="0"/>
    <cellStyle name="Normal 2" xfId="2" xr:uid="{00000000-0005-0000-0000-000001000000}"/>
    <cellStyle name="Normal_XCIE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charts/_rels/chart1.xml.rels><?xml version="1.0" encoding="UTF-8" standalone="yes"?>
<Relationships xmlns="http://schemas.openxmlformats.org/package/2006/relationships"><Relationship Id="rId8" Type="http://schemas.openxmlformats.org/officeDocument/2006/relationships/image" Target="../media/image8.png"/><Relationship Id="rId13" Type="http://schemas.openxmlformats.org/officeDocument/2006/relationships/image" Target="../media/image13.png"/><Relationship Id="rId3" Type="http://schemas.openxmlformats.org/officeDocument/2006/relationships/image" Target="../media/image3.emf"/><Relationship Id="rId7" Type="http://schemas.openxmlformats.org/officeDocument/2006/relationships/image" Target="../media/image7.png"/><Relationship Id="rId12" Type="http://schemas.openxmlformats.org/officeDocument/2006/relationships/image" Target="../media/image12.png"/><Relationship Id="rId2" Type="http://schemas.openxmlformats.org/officeDocument/2006/relationships/image" Target="../media/image2.emf"/><Relationship Id="rId1" Type="http://schemas.openxmlformats.org/officeDocument/2006/relationships/image" Target="../media/image1.emf"/><Relationship Id="rId6" Type="http://schemas.openxmlformats.org/officeDocument/2006/relationships/image" Target="../media/image6.png"/><Relationship Id="rId11" Type="http://schemas.openxmlformats.org/officeDocument/2006/relationships/image" Target="../media/image11.png"/><Relationship Id="rId5" Type="http://schemas.openxmlformats.org/officeDocument/2006/relationships/image" Target="../media/image5.emf"/><Relationship Id="rId15" Type="http://schemas.openxmlformats.org/officeDocument/2006/relationships/chartUserShapes" Target="../drawings/drawing2.xml"/><Relationship Id="rId10" Type="http://schemas.openxmlformats.org/officeDocument/2006/relationships/image" Target="../media/image10.png"/><Relationship Id="rId4" Type="http://schemas.openxmlformats.org/officeDocument/2006/relationships/image" Target="../media/image4.emf"/><Relationship Id="rId9" Type="http://schemas.openxmlformats.org/officeDocument/2006/relationships/image" Target="../media/image9.png"/><Relationship Id="rId14" Type="http://schemas.openxmlformats.org/officeDocument/2006/relationships/image" Target="../media/image14.png"/></Relationships>
</file>

<file path=xl/charts/_rels/chart2.xml.rels><?xml version="1.0" encoding="UTF-8" standalone="yes"?>
<Relationships xmlns="http://schemas.openxmlformats.org/package/2006/relationships"><Relationship Id="rId8" Type="http://schemas.openxmlformats.org/officeDocument/2006/relationships/image" Target="../media/image7.png"/><Relationship Id="rId13" Type="http://schemas.openxmlformats.org/officeDocument/2006/relationships/image" Target="../media/image13.png"/><Relationship Id="rId3" Type="http://schemas.openxmlformats.org/officeDocument/2006/relationships/image" Target="../media/image2.emf"/><Relationship Id="rId7" Type="http://schemas.openxmlformats.org/officeDocument/2006/relationships/image" Target="../media/image6.png"/><Relationship Id="rId12" Type="http://schemas.openxmlformats.org/officeDocument/2006/relationships/image" Target="../media/image12.png"/><Relationship Id="rId2" Type="http://schemas.openxmlformats.org/officeDocument/2006/relationships/image" Target="../media/image1.emf"/><Relationship Id="rId16" Type="http://schemas.openxmlformats.org/officeDocument/2006/relationships/chartUserShapes" Target="../drawings/drawing4.xml"/><Relationship Id="rId1" Type="http://schemas.openxmlformats.org/officeDocument/2006/relationships/image" Target="../media/image15.emf"/><Relationship Id="rId6" Type="http://schemas.openxmlformats.org/officeDocument/2006/relationships/image" Target="../media/image5.emf"/><Relationship Id="rId11" Type="http://schemas.openxmlformats.org/officeDocument/2006/relationships/image" Target="../media/image11.png"/><Relationship Id="rId5" Type="http://schemas.openxmlformats.org/officeDocument/2006/relationships/image" Target="../media/image4.emf"/><Relationship Id="rId15" Type="http://schemas.openxmlformats.org/officeDocument/2006/relationships/image" Target="../media/image9.png"/><Relationship Id="rId10" Type="http://schemas.openxmlformats.org/officeDocument/2006/relationships/image" Target="../media/image10.png"/><Relationship Id="rId4" Type="http://schemas.openxmlformats.org/officeDocument/2006/relationships/image" Target="../media/image3.emf"/><Relationship Id="rId9" Type="http://schemas.openxmlformats.org/officeDocument/2006/relationships/image" Target="../media/image8.png"/><Relationship Id="rId14" Type="http://schemas.openxmlformats.org/officeDocument/2006/relationships/image" Target="../media/image14.png"/></Relationships>
</file>

<file path=xl/charts/_rels/chart3.xml.rels><?xml version="1.0" encoding="UTF-8" standalone="yes"?>
<Relationships xmlns="http://schemas.openxmlformats.org/package/2006/relationships"><Relationship Id="rId8" Type="http://schemas.openxmlformats.org/officeDocument/2006/relationships/image" Target="../media/image12.png"/><Relationship Id="rId13" Type="http://schemas.openxmlformats.org/officeDocument/2006/relationships/image" Target="../media/image24.png"/><Relationship Id="rId3" Type="http://schemas.openxmlformats.org/officeDocument/2006/relationships/image" Target="../media/image18.png"/><Relationship Id="rId7" Type="http://schemas.openxmlformats.org/officeDocument/2006/relationships/image" Target="../media/image11.png"/><Relationship Id="rId12" Type="http://schemas.openxmlformats.org/officeDocument/2006/relationships/image" Target="../media/image14.png"/><Relationship Id="rId2" Type="http://schemas.openxmlformats.org/officeDocument/2006/relationships/image" Target="../media/image17.png"/><Relationship Id="rId1" Type="http://schemas.openxmlformats.org/officeDocument/2006/relationships/image" Target="../media/image16.png"/><Relationship Id="rId6" Type="http://schemas.openxmlformats.org/officeDocument/2006/relationships/image" Target="../media/image21.png"/><Relationship Id="rId11" Type="http://schemas.openxmlformats.org/officeDocument/2006/relationships/image" Target="../media/image23.png"/><Relationship Id="rId5" Type="http://schemas.openxmlformats.org/officeDocument/2006/relationships/image" Target="../media/image20.png"/><Relationship Id="rId10" Type="http://schemas.openxmlformats.org/officeDocument/2006/relationships/image" Target="../media/image13.png"/><Relationship Id="rId4" Type="http://schemas.openxmlformats.org/officeDocument/2006/relationships/image" Target="../media/image19.png"/><Relationship Id="rId9" Type="http://schemas.openxmlformats.org/officeDocument/2006/relationships/image" Target="../media/image22.png"/><Relationship Id="rId14" Type="http://schemas.openxmlformats.org/officeDocument/2006/relationships/chartUserShapes" Target="../drawings/drawing6.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strRef>
          <c:f>Calculs!$A$296</c:f>
          <c:strCache>
            <c:ptCount val="1"/>
            <c:pt idx="0">
              <c:v>Carte du ciel le 25 3 2026 à 11 h 45 m TU</c:v>
            </c:pt>
          </c:strCache>
        </c:strRef>
      </c:tx>
      <c:layout>
        <c:manualLayout>
          <c:xMode val="edge"/>
          <c:yMode val="edge"/>
          <c:x val="0.23857627888257091"/>
          <c:y val="8.2617837432326542E-3"/>
        </c:manualLayout>
      </c:layout>
      <c:overlay val="0"/>
      <c:spPr>
        <a:noFill/>
        <a:ln w="25400">
          <a:noFill/>
        </a:ln>
      </c:spPr>
      <c:txPr>
        <a:bodyPr/>
        <a:lstStyle/>
        <a:p>
          <a:pPr>
            <a:defRPr sz="1000" b="1" i="0" u="none" strike="noStrike" baseline="0">
              <a:solidFill>
                <a:srgbClr val="000000"/>
              </a:solidFill>
              <a:latin typeface="Arial"/>
              <a:ea typeface="Arial"/>
              <a:cs typeface="Arial"/>
            </a:defRPr>
          </a:pPr>
          <a:endParaRPr lang="fr-FR"/>
        </a:p>
      </c:txPr>
    </c:title>
    <c:autoTitleDeleted val="0"/>
    <c:plotArea>
      <c:layout>
        <c:manualLayout>
          <c:layoutTarget val="inner"/>
          <c:xMode val="edge"/>
          <c:yMode val="edge"/>
          <c:x val="9.6038415366146591E-3"/>
          <c:y val="6.2224198269295837E-2"/>
          <c:w val="0.8041818625882774"/>
          <c:h val="0.92801430186592859"/>
        </c:manualLayout>
      </c:layout>
      <c:scatterChart>
        <c:scatterStyle val="lineMarker"/>
        <c:varyColors val="0"/>
        <c:ser>
          <c:idx val="1"/>
          <c:order val="0"/>
          <c:tx>
            <c:v>Magnitude &lt;=0</c:v>
          </c:tx>
          <c:spPr>
            <a:ln w="28575">
              <a:noFill/>
            </a:ln>
          </c:spPr>
          <c:marker>
            <c:symbol val="picture"/>
            <c:spPr>
              <a:blipFill dpi="0" rotWithShape="0">
                <a:blip xmlns:r="http://schemas.openxmlformats.org/officeDocument/2006/relationships" r:embed="rId1"/>
                <a:srcRect/>
                <a:stretch>
                  <a:fillRect/>
                </a:stretch>
              </a:blipFill>
              <a:ln w="9525">
                <a:noFill/>
              </a:ln>
            </c:spPr>
          </c:marker>
          <c:dLbls>
            <c:dLbl>
              <c:idx val="0"/>
              <c:tx>
                <c:rich>
                  <a:bodyPr/>
                  <a:lstStyle/>
                  <a:p>
                    <a:pPr>
                      <a:defRPr sz="800" b="0" i="0" u="none" strike="noStrike" baseline="0">
                        <a:solidFill>
                          <a:schemeClr val="bg1"/>
                        </a:solidFill>
                        <a:latin typeface="Calibri"/>
                        <a:ea typeface="Calibri"/>
                        <a:cs typeface="Calibri"/>
                      </a:defRPr>
                    </a:pPr>
                    <a:endParaRPr lang="fr-FR" sz="800">
                      <a:solidFill>
                        <a:schemeClr val="bg1"/>
                      </a:solidFill>
                    </a:endParaRPr>
                  </a:p>
                </c:rich>
              </c:tx>
              <c:spPr>
                <a:noFill/>
                <a:ln w="25400">
                  <a:noFill/>
                </a:ln>
              </c:spPr>
              <c:dLblPos val="t"/>
              <c:showLegendKey val="0"/>
              <c:showVal val="0"/>
              <c:showCatName val="0"/>
              <c:showSerName val="0"/>
              <c:showPercent val="0"/>
              <c:showBubbleSize val="0"/>
              <c:extLst>
                <c:ext xmlns:c15="http://schemas.microsoft.com/office/drawing/2012/chart" uri="{CE6537A1-D6FC-4f65-9D91-7224C49458BB}">
                  <c15:showDataLabelsRange val="1"/>
                </c:ext>
                <c:ext xmlns:c16="http://schemas.microsoft.com/office/drawing/2014/chart" uri="{C3380CC4-5D6E-409C-BE32-E72D297353CC}">
                  <c16:uniqueId val="{00000000-144D-46A3-A8B6-38208979D1B5}"/>
                </c:ext>
              </c:extLst>
            </c:dLbl>
            <c:dLbl>
              <c:idx val="1"/>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02-A663-40ED-9550-8D28B2375FDF}"/>
                </c:ext>
              </c:extLst>
            </c:dLbl>
            <c:dLbl>
              <c:idx val="2"/>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03-A663-40ED-9550-8D28B2375FDF}"/>
                </c:ext>
              </c:extLst>
            </c:dLbl>
            <c:dLbl>
              <c:idx val="3"/>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04-A663-40ED-9550-8D28B2375FDF}"/>
                </c:ext>
              </c:extLst>
            </c:dLbl>
            <c:dLbl>
              <c:idx val="4"/>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05-A663-40ED-9550-8D28B2375FDF}"/>
                </c:ext>
              </c:extLst>
            </c:dLbl>
            <c:dLbl>
              <c:idx val="5"/>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06-A663-40ED-9550-8D28B2375FDF}"/>
                </c:ext>
              </c:extLst>
            </c:dLbl>
            <c:dLbl>
              <c:idx val="6"/>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07-A663-40ED-9550-8D28B2375FDF}"/>
                </c:ext>
              </c:extLst>
            </c:dLbl>
            <c:dLbl>
              <c:idx val="7"/>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08-A663-40ED-9550-8D28B2375FDF}"/>
                </c:ext>
              </c:extLst>
            </c:dLbl>
            <c:dLbl>
              <c:idx val="8"/>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09-A663-40ED-9550-8D28B2375FDF}"/>
                </c:ext>
              </c:extLst>
            </c:dLbl>
            <c:dLbl>
              <c:idx val="9"/>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0A-A663-40ED-9550-8D28B2375FDF}"/>
                </c:ext>
              </c:extLst>
            </c:dLbl>
            <c:dLbl>
              <c:idx val="10"/>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0B-A663-40ED-9550-8D28B2375FDF}"/>
                </c:ext>
              </c:extLst>
            </c:dLbl>
            <c:dLbl>
              <c:idx val="11"/>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0C-A663-40ED-9550-8D28B2375FDF}"/>
                </c:ext>
              </c:extLst>
            </c:dLbl>
            <c:dLbl>
              <c:idx val="12"/>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0D-A663-40ED-9550-8D28B2375FDF}"/>
                </c:ext>
              </c:extLst>
            </c:dLbl>
            <c:dLbl>
              <c:idx val="13"/>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0E-A663-40ED-9550-8D28B2375FDF}"/>
                </c:ext>
              </c:extLst>
            </c:dLbl>
            <c:dLbl>
              <c:idx val="14"/>
              <c:tx>
                <c:rich>
                  <a:bodyPr/>
                  <a:lstStyle/>
                  <a:p>
                    <a:fld id="{4DB8A66A-43E1-4F9A-9373-6C690CB4881D}"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F-A663-40ED-9550-8D28B2375FDF}"/>
                </c:ext>
              </c:extLst>
            </c:dLbl>
            <c:dLbl>
              <c:idx val="15"/>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10-A663-40ED-9550-8D28B2375FDF}"/>
                </c:ext>
              </c:extLst>
            </c:dLbl>
            <c:dLbl>
              <c:idx val="16"/>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11-A663-40ED-9550-8D28B2375FDF}"/>
                </c:ext>
              </c:extLst>
            </c:dLbl>
            <c:dLbl>
              <c:idx val="17"/>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12-A663-40ED-9550-8D28B2375FDF}"/>
                </c:ext>
              </c:extLst>
            </c:dLbl>
            <c:dLbl>
              <c:idx val="18"/>
              <c:tx>
                <c:rich>
                  <a:bodyPr/>
                  <a:lstStyle/>
                  <a:p>
                    <a:fld id="{4CFBF6AB-FCF5-4DBB-B510-1E518DFC8021}"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13-A663-40ED-9550-8D28B2375FDF}"/>
                </c:ext>
              </c:extLst>
            </c:dLbl>
            <c:dLbl>
              <c:idx val="19"/>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14-A663-40ED-9550-8D28B2375FDF}"/>
                </c:ext>
              </c:extLst>
            </c:dLbl>
            <c:dLbl>
              <c:idx val="20"/>
              <c:tx>
                <c:rich>
                  <a:bodyPr/>
                  <a:lstStyle/>
                  <a:p>
                    <a:fld id="{A21236F7-FEDC-40F5-B05F-CA46416899DD}"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15-A663-40ED-9550-8D28B2375FDF}"/>
                </c:ext>
              </c:extLst>
            </c:dLbl>
            <c:dLbl>
              <c:idx val="21"/>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16-A663-40ED-9550-8D28B2375FDF}"/>
                </c:ext>
              </c:extLst>
            </c:dLbl>
            <c:dLbl>
              <c:idx val="22"/>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17-A663-40ED-9550-8D28B2375FDF}"/>
                </c:ext>
              </c:extLst>
            </c:dLbl>
            <c:dLbl>
              <c:idx val="23"/>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18-A663-40ED-9550-8D28B2375FDF}"/>
                </c:ext>
              </c:extLst>
            </c:dLbl>
            <c:dLbl>
              <c:idx val="24"/>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19-A663-40ED-9550-8D28B2375FDF}"/>
                </c:ext>
              </c:extLst>
            </c:dLbl>
            <c:dLbl>
              <c:idx val="25"/>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1A-A663-40ED-9550-8D28B2375FDF}"/>
                </c:ext>
              </c:extLst>
            </c:dLbl>
            <c:dLbl>
              <c:idx val="26"/>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1B-A663-40ED-9550-8D28B2375FDF}"/>
                </c:ext>
              </c:extLst>
            </c:dLbl>
            <c:dLbl>
              <c:idx val="27"/>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1C-A663-40ED-9550-8D28B2375FDF}"/>
                </c:ext>
              </c:extLst>
            </c:dLbl>
            <c:dLbl>
              <c:idx val="28"/>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1D-A663-40ED-9550-8D28B2375FDF}"/>
                </c:ext>
              </c:extLst>
            </c:dLbl>
            <c:dLbl>
              <c:idx val="29"/>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1E-A663-40ED-9550-8D28B2375FDF}"/>
                </c:ext>
              </c:extLst>
            </c:dLbl>
            <c:dLbl>
              <c:idx val="30"/>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1F-A663-40ED-9550-8D28B2375FDF}"/>
                </c:ext>
              </c:extLst>
            </c:dLbl>
            <c:dLbl>
              <c:idx val="31"/>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20-A663-40ED-9550-8D28B2375FDF}"/>
                </c:ext>
              </c:extLst>
            </c:dLbl>
            <c:dLbl>
              <c:idx val="32"/>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21-A663-40ED-9550-8D28B2375FDF}"/>
                </c:ext>
              </c:extLst>
            </c:dLbl>
            <c:dLbl>
              <c:idx val="33"/>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22-A663-40ED-9550-8D28B2375FDF}"/>
                </c:ext>
              </c:extLst>
            </c:dLbl>
            <c:dLbl>
              <c:idx val="34"/>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23-A663-40ED-9550-8D28B2375FDF}"/>
                </c:ext>
              </c:extLst>
            </c:dLbl>
            <c:dLbl>
              <c:idx val="35"/>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24-A663-40ED-9550-8D28B2375FDF}"/>
                </c:ext>
              </c:extLst>
            </c:dLbl>
            <c:dLbl>
              <c:idx val="36"/>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25-A663-40ED-9550-8D28B2375FDF}"/>
                </c:ext>
              </c:extLst>
            </c:dLbl>
            <c:dLbl>
              <c:idx val="37"/>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26-A663-40ED-9550-8D28B2375FDF}"/>
                </c:ext>
              </c:extLst>
            </c:dLbl>
            <c:dLbl>
              <c:idx val="38"/>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27-A663-40ED-9550-8D28B2375FDF}"/>
                </c:ext>
              </c:extLst>
            </c:dLbl>
            <c:dLbl>
              <c:idx val="39"/>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28-A663-40ED-9550-8D28B2375FDF}"/>
                </c:ext>
              </c:extLst>
            </c:dLbl>
            <c:dLbl>
              <c:idx val="40"/>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29-A663-40ED-9550-8D28B2375FDF}"/>
                </c:ext>
              </c:extLst>
            </c:dLbl>
            <c:dLbl>
              <c:idx val="41"/>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2A-A663-40ED-9550-8D28B2375FDF}"/>
                </c:ext>
              </c:extLst>
            </c:dLbl>
            <c:dLbl>
              <c:idx val="42"/>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2B-A663-40ED-9550-8D28B2375FDF}"/>
                </c:ext>
              </c:extLst>
            </c:dLbl>
            <c:dLbl>
              <c:idx val="43"/>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2C-A663-40ED-9550-8D28B2375FDF}"/>
                </c:ext>
              </c:extLst>
            </c:dLbl>
            <c:dLbl>
              <c:idx val="44"/>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2D-A663-40ED-9550-8D28B2375FDF}"/>
                </c:ext>
              </c:extLst>
            </c:dLbl>
            <c:dLbl>
              <c:idx val="45"/>
              <c:tx>
                <c:rich>
                  <a:bodyPr/>
                  <a:lstStyle/>
                  <a:p>
                    <a:fld id="{F5B5A3B7-4238-4FD3-9734-63AAD0F1C838}"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2E-A663-40ED-9550-8D28B2375FDF}"/>
                </c:ext>
              </c:extLst>
            </c:dLbl>
            <c:dLbl>
              <c:idx val="46"/>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2F-A663-40ED-9550-8D28B2375FDF}"/>
                </c:ext>
              </c:extLst>
            </c:dLbl>
            <c:dLbl>
              <c:idx val="47"/>
              <c:tx>
                <c:rich>
                  <a:bodyPr/>
                  <a:lstStyle/>
                  <a:p>
                    <a:fld id="{3ED63DC1-A85C-488D-B144-AC40057BE55E}"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30-A663-40ED-9550-8D28B2375FDF}"/>
                </c:ext>
              </c:extLst>
            </c:dLbl>
            <c:dLbl>
              <c:idx val="48"/>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31-A663-40ED-9550-8D28B2375FDF}"/>
                </c:ext>
              </c:extLst>
            </c:dLbl>
            <c:spPr>
              <a:noFill/>
              <a:ln>
                <a:noFill/>
              </a:ln>
              <a:effectLst/>
            </c:spPr>
            <c:txPr>
              <a:bodyPr wrap="square" lIns="38100" tIns="19050" rIns="38100" bIns="19050" anchor="ctr">
                <a:spAutoFit/>
              </a:bodyPr>
              <a:lstStyle/>
              <a:p>
                <a:pPr>
                  <a:defRPr sz="800">
                    <a:solidFill>
                      <a:schemeClr val="bg1"/>
                    </a:solidFill>
                  </a:defRPr>
                </a:pPr>
                <a:endParaRPr lang="fr-FR"/>
              </a:p>
            </c:txPr>
            <c:dLblPos val="t"/>
            <c:showLegendKey val="0"/>
            <c:showVal val="0"/>
            <c:showCatName val="0"/>
            <c:showSerName val="0"/>
            <c:showPercent val="0"/>
            <c:showBubbleSize val="0"/>
            <c:showLeaderLines val="0"/>
            <c:extLst>
              <c:ext xmlns:c15="http://schemas.microsoft.com/office/drawing/2012/chart" uri="{CE6537A1-D6FC-4f65-9D91-7224C49458BB}">
                <c15:showDataLabelsRange val="1"/>
                <c15:showLeaderLines val="0"/>
              </c:ext>
            </c:extLst>
          </c:dLbls>
          <c:xVal>
            <c:numRef>
              <c:f>Calculs!$N$15:$N$63</c:f>
              <c:numCache>
                <c:formatCode>0.00</c:formatCode>
                <c:ptCount val="49"/>
                <c:pt idx="0">
                  <c:v>1000000</c:v>
                </c:pt>
                <c:pt idx="1">
                  <c:v>1000000</c:v>
                </c:pt>
                <c:pt idx="2">
                  <c:v>1000000</c:v>
                </c:pt>
                <c:pt idx="3">
                  <c:v>1000000</c:v>
                </c:pt>
                <c:pt idx="4">
                  <c:v>-0.8835693608194487</c:v>
                </c:pt>
                <c:pt idx="5">
                  <c:v>-0.95357016274092743</c:v>
                </c:pt>
                <c:pt idx="6">
                  <c:v>0.11181755649771186</c:v>
                </c:pt>
                <c:pt idx="7">
                  <c:v>0.27515904125112034</c:v>
                </c:pt>
                <c:pt idx="8">
                  <c:v>1000000</c:v>
                </c:pt>
                <c:pt idx="9">
                  <c:v>-0.98974126198584877</c:v>
                </c:pt>
                <c:pt idx="10">
                  <c:v>-0.99215421215274913</c:v>
                </c:pt>
                <c:pt idx="11">
                  <c:v>1000000</c:v>
                </c:pt>
                <c:pt idx="12">
                  <c:v>0.89279272382369879</c:v>
                </c:pt>
                <c:pt idx="13">
                  <c:v>1000000</c:v>
                </c:pt>
                <c:pt idx="14">
                  <c:v>1000000</c:v>
                </c:pt>
                <c:pt idx="15">
                  <c:v>1000000</c:v>
                </c:pt>
                <c:pt idx="16">
                  <c:v>-0.97649205046088883</c:v>
                </c:pt>
                <c:pt idx="17">
                  <c:v>-0.99065767669173699</c:v>
                </c:pt>
                <c:pt idx="18">
                  <c:v>1000000</c:v>
                </c:pt>
                <c:pt idx="19">
                  <c:v>-0.78984564778939481</c:v>
                </c:pt>
                <c:pt idx="20">
                  <c:v>-0.68676205347532004</c:v>
                </c:pt>
                <c:pt idx="21">
                  <c:v>0.55245166006579138</c:v>
                </c:pt>
                <c:pt idx="22">
                  <c:v>-0.1324726473691144</c:v>
                </c:pt>
                <c:pt idx="23">
                  <c:v>1000000</c:v>
                </c:pt>
                <c:pt idx="24">
                  <c:v>0.26478903917054475</c:v>
                </c:pt>
                <c:pt idx="25">
                  <c:v>1000000</c:v>
                </c:pt>
                <c:pt idx="26">
                  <c:v>1000000</c:v>
                </c:pt>
                <c:pt idx="27">
                  <c:v>1000000</c:v>
                </c:pt>
                <c:pt idx="28">
                  <c:v>-0.71675186402051727</c:v>
                </c:pt>
                <c:pt idx="29">
                  <c:v>1000000</c:v>
                </c:pt>
                <c:pt idx="30">
                  <c:v>1000000</c:v>
                </c:pt>
                <c:pt idx="31">
                  <c:v>-0.49096926610321673</c:v>
                </c:pt>
                <c:pt idx="32">
                  <c:v>1000000</c:v>
                </c:pt>
                <c:pt idx="33">
                  <c:v>1000000</c:v>
                </c:pt>
                <c:pt idx="34">
                  <c:v>1000000</c:v>
                </c:pt>
                <c:pt idx="35">
                  <c:v>1000000</c:v>
                </c:pt>
                <c:pt idx="36">
                  <c:v>8.0612572896161778E-17</c:v>
                </c:pt>
                <c:pt idx="37">
                  <c:v>-0.80573038596412216</c:v>
                </c:pt>
                <c:pt idx="38">
                  <c:v>1000000</c:v>
                </c:pt>
                <c:pt idx="39">
                  <c:v>0.96729584435619564</c:v>
                </c:pt>
                <c:pt idx="40">
                  <c:v>1000000</c:v>
                </c:pt>
                <c:pt idx="41">
                  <c:v>-0.96218316039394958</c:v>
                </c:pt>
                <c:pt idx="42">
                  <c:v>1000000</c:v>
                </c:pt>
                <c:pt idx="43">
                  <c:v>1000000</c:v>
                </c:pt>
                <c:pt idx="44">
                  <c:v>1000000</c:v>
                </c:pt>
                <c:pt idx="45">
                  <c:v>1000000</c:v>
                </c:pt>
                <c:pt idx="46">
                  <c:v>2.2967009219450711E-3</c:v>
                </c:pt>
                <c:pt idx="47">
                  <c:v>0.78028950441649558</c:v>
                </c:pt>
                <c:pt idx="48">
                  <c:v>1000000</c:v>
                </c:pt>
              </c:numCache>
            </c:numRef>
          </c:xVal>
          <c:yVal>
            <c:numRef>
              <c:f>Calculs!$O$15:$O$63</c:f>
              <c:numCache>
                <c:formatCode>0.00</c:formatCode>
                <c:ptCount val="49"/>
                <c:pt idx="14">
                  <c:v>1000000</c:v>
                </c:pt>
                <c:pt idx="18">
                  <c:v>1000000</c:v>
                </c:pt>
                <c:pt idx="20">
                  <c:v>0.34589479379388149</c:v>
                </c:pt>
                <c:pt idx="45">
                  <c:v>1000000</c:v>
                </c:pt>
                <c:pt idx="47">
                  <c:v>0.33053861178487293</c:v>
                </c:pt>
              </c:numCache>
            </c:numRef>
          </c:yVal>
          <c:smooth val="0"/>
          <c:extLst>
            <c:ext xmlns:c15="http://schemas.microsoft.com/office/drawing/2012/chart" uri="{02D57815-91ED-43cb-92C2-25804820EDAC}">
              <c15:datalabelsRange>
                <c15:f>Calculs!$A$15:$A$63</c15:f>
                <c15:dlblRangeCache>
                  <c:ptCount val="49"/>
                  <c:pt idx="0">
                    <c:v>Achernar</c:v>
                  </c:pt>
                  <c:pt idx="1">
                    <c:v>Acrux</c:v>
                  </c:pt>
                  <c:pt idx="2">
                    <c:v>Adara</c:v>
                  </c:pt>
                  <c:pt idx="3">
                    <c:v>Agena</c:v>
                  </c:pt>
                  <c:pt idx="4">
                    <c:v>Aldebaran</c:v>
                  </c:pt>
                  <c:pt idx="5">
                    <c:v>Alhena</c:v>
                  </c:pt>
                  <c:pt idx="6">
                    <c:v>Alioth</c:v>
                  </c:pt>
                  <c:pt idx="7">
                    <c:v>Alkaid</c:v>
                  </c:pt>
                  <c:pt idx="8">
                    <c:v>AlNair</c:v>
                  </c:pt>
                  <c:pt idx="9">
                    <c:v>Alnilam</c:v>
                  </c:pt>
                  <c:pt idx="10">
                    <c:v>Alnitak</c:v>
                  </c:pt>
                  <c:pt idx="11">
                    <c:v>Alphard</c:v>
                  </c:pt>
                  <c:pt idx="12">
                    <c:v>Altair</c:v>
                  </c:pt>
                  <c:pt idx="13">
                    <c:v>Antares</c:v>
                  </c:pt>
                  <c:pt idx="14">
                    <c:v>Arcturus</c:v>
                  </c:pt>
                  <c:pt idx="15">
                    <c:v>Atria</c:v>
                  </c:pt>
                  <c:pt idx="16">
                    <c:v>Bellatrix</c:v>
                  </c:pt>
                  <c:pt idx="17">
                    <c:v>Betelgeuse</c:v>
                  </c:pt>
                  <c:pt idx="18">
                    <c:v>Canopus</c:v>
                  </c:pt>
                  <c:pt idx="19">
                    <c:v>Castor</c:v>
                  </c:pt>
                  <c:pt idx="20">
                    <c:v>Chèvre</c:v>
                  </c:pt>
                  <c:pt idx="21">
                    <c:v>Deneb</c:v>
                  </c:pt>
                  <c:pt idx="22">
                    <c:v>Dubhe</c:v>
                  </c:pt>
                  <c:pt idx="23">
                    <c:v>Epi</c:v>
                  </c:pt>
                  <c:pt idx="24">
                    <c:v>Fomalhaut</c:v>
                  </c:pt>
                  <c:pt idx="25">
                    <c:v>Gacrux</c:v>
                  </c:pt>
                  <c:pt idx="26">
                    <c:v>KausAustra</c:v>
                  </c:pt>
                  <c:pt idx="27">
                    <c:v>Kooshe</c:v>
                  </c:pt>
                  <c:pt idx="28">
                    <c:v>Menkalinan</c:v>
                  </c:pt>
                  <c:pt idx="29">
                    <c:v>Miaplacidus</c:v>
                  </c:pt>
                  <c:pt idx="30">
                    <c:v>Mimosa</c:v>
                  </c:pt>
                  <c:pt idx="31">
                    <c:v>Mirfak</c:v>
                  </c:pt>
                  <c:pt idx="32">
                    <c:v>Mirzam</c:v>
                  </c:pt>
                  <c:pt idx="33">
                    <c:v>Nath</c:v>
                  </c:pt>
                  <c:pt idx="34">
                    <c:v>Nunki</c:v>
                  </c:pt>
                  <c:pt idx="35">
                    <c:v>Peacock</c:v>
                  </c:pt>
                  <c:pt idx="36">
                    <c:v>Polaire</c:v>
                  </c:pt>
                  <c:pt idx="37">
                    <c:v>Pollux</c:v>
                  </c:pt>
                  <c:pt idx="38">
                    <c:v>Procyon</c:v>
                  </c:pt>
                  <c:pt idx="39">
                    <c:v>RasAlague</c:v>
                  </c:pt>
                  <c:pt idx="40">
                    <c:v>Regulus</c:v>
                  </c:pt>
                  <c:pt idx="41">
                    <c:v>Rigel</c:v>
                  </c:pt>
                  <c:pt idx="42">
                    <c:v>Rigil</c:v>
                  </c:pt>
                  <c:pt idx="43">
                    <c:v>Sargas</c:v>
                  </c:pt>
                  <c:pt idx="44">
                    <c:v>Schaula</c:v>
                  </c:pt>
                  <c:pt idx="45">
                    <c:v>Sirius</c:v>
                  </c:pt>
                  <c:pt idx="46">
                    <c:v>Sirrah</c:v>
                  </c:pt>
                  <c:pt idx="47">
                    <c:v>Vega</c:v>
                  </c:pt>
                  <c:pt idx="48">
                    <c:v>Wezen</c:v>
                  </c:pt>
                </c15:dlblRangeCache>
              </c15:datalabelsRange>
            </c:ext>
            <c:ext xmlns:c16="http://schemas.microsoft.com/office/drawing/2014/chart" uri="{C3380CC4-5D6E-409C-BE32-E72D297353CC}">
              <c16:uniqueId val="{00000001-144D-46A3-A8B6-38208979D1B5}"/>
            </c:ext>
          </c:extLst>
        </c:ser>
        <c:ser>
          <c:idx val="2"/>
          <c:order val="1"/>
          <c:tx>
            <c:v>1&gt; Magnitude &gt;0</c:v>
          </c:tx>
          <c:spPr>
            <a:ln w="28575">
              <a:noFill/>
            </a:ln>
          </c:spPr>
          <c:marker>
            <c:symbol val="picture"/>
            <c:spPr>
              <a:blipFill dpi="0" rotWithShape="0">
                <a:blip xmlns:r="http://schemas.openxmlformats.org/officeDocument/2006/relationships" r:embed="rId2"/>
                <a:srcRect/>
                <a:stretch>
                  <a:fillRect/>
                </a:stretch>
              </a:blipFill>
              <a:ln w="9525">
                <a:noFill/>
              </a:ln>
            </c:spPr>
          </c:marker>
          <c:dLbls>
            <c:dLbl>
              <c:idx val="0"/>
              <c:tx>
                <c:rich>
                  <a:bodyPr/>
                  <a:lstStyle/>
                  <a:p>
                    <a:fld id="{6C213AEF-CE99-4974-98C0-A4464D64561F}" type="CELLRANGE">
                      <a:rPr lang="en-US"/>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showDataLabelsRange val="1"/>
                </c:ext>
                <c:ext xmlns:c16="http://schemas.microsoft.com/office/drawing/2014/chart" uri="{C3380CC4-5D6E-409C-BE32-E72D297353CC}">
                  <c16:uniqueId val="{00000033-69E6-4A37-8BC8-1826E6F7EEC6}"/>
                </c:ext>
              </c:extLst>
            </c:dLbl>
            <c:dLbl>
              <c:idx val="1"/>
              <c:tx>
                <c:rich>
                  <a:bodyPr/>
                  <a:lstStyle/>
                  <a:p>
                    <a:fld id="{CFC5D9B9-4714-4536-8096-12F516C223D6}"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34-69E6-4A37-8BC8-1826E6F7EEC6}"/>
                </c:ext>
              </c:extLst>
            </c:dLbl>
            <c:dLbl>
              <c:idx val="2"/>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35-69E6-4A37-8BC8-1826E6F7EEC6}"/>
                </c:ext>
              </c:extLst>
            </c:dLbl>
            <c:dLbl>
              <c:idx val="3"/>
              <c:tx>
                <c:rich>
                  <a:bodyPr/>
                  <a:lstStyle/>
                  <a:p>
                    <a:fld id="{2A66C7BC-5045-44FD-B081-CF510390A9E1}"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36-69E6-4A37-8BC8-1826E6F7EEC6}"/>
                </c:ext>
              </c:extLst>
            </c:dLbl>
            <c:dLbl>
              <c:idx val="4"/>
              <c:tx>
                <c:rich>
                  <a:bodyPr/>
                  <a:lstStyle/>
                  <a:p>
                    <a:fld id="{1218685A-3A64-4F15-B8B6-B6C368C1F448}"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37-69E6-4A37-8BC8-1826E6F7EEC6}"/>
                </c:ext>
              </c:extLst>
            </c:dLbl>
            <c:dLbl>
              <c:idx val="5"/>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38-69E6-4A37-8BC8-1826E6F7EEC6}"/>
                </c:ext>
              </c:extLst>
            </c:dLbl>
            <c:dLbl>
              <c:idx val="6"/>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39-69E6-4A37-8BC8-1826E6F7EEC6}"/>
                </c:ext>
              </c:extLst>
            </c:dLbl>
            <c:dLbl>
              <c:idx val="7"/>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3A-69E6-4A37-8BC8-1826E6F7EEC6}"/>
                </c:ext>
              </c:extLst>
            </c:dLbl>
            <c:dLbl>
              <c:idx val="8"/>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3B-69E6-4A37-8BC8-1826E6F7EEC6}"/>
                </c:ext>
              </c:extLst>
            </c:dLbl>
            <c:dLbl>
              <c:idx val="9"/>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3C-69E6-4A37-8BC8-1826E6F7EEC6}"/>
                </c:ext>
              </c:extLst>
            </c:dLbl>
            <c:dLbl>
              <c:idx val="10"/>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3D-69E6-4A37-8BC8-1826E6F7EEC6}"/>
                </c:ext>
              </c:extLst>
            </c:dLbl>
            <c:dLbl>
              <c:idx val="11"/>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3E-69E6-4A37-8BC8-1826E6F7EEC6}"/>
                </c:ext>
              </c:extLst>
            </c:dLbl>
            <c:dLbl>
              <c:idx val="12"/>
              <c:tx>
                <c:rich>
                  <a:bodyPr/>
                  <a:lstStyle/>
                  <a:p>
                    <a:fld id="{450071AC-566D-4E54-9640-499927835337}"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3F-69E6-4A37-8BC8-1826E6F7EEC6}"/>
                </c:ext>
              </c:extLst>
            </c:dLbl>
            <c:dLbl>
              <c:idx val="13"/>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40-69E6-4A37-8BC8-1826E6F7EEC6}"/>
                </c:ext>
              </c:extLst>
            </c:dLbl>
            <c:dLbl>
              <c:idx val="14"/>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41-69E6-4A37-8BC8-1826E6F7EEC6}"/>
                </c:ext>
              </c:extLst>
            </c:dLbl>
            <c:dLbl>
              <c:idx val="15"/>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42-69E6-4A37-8BC8-1826E6F7EEC6}"/>
                </c:ext>
              </c:extLst>
            </c:dLbl>
            <c:dLbl>
              <c:idx val="16"/>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43-69E6-4A37-8BC8-1826E6F7EEC6}"/>
                </c:ext>
              </c:extLst>
            </c:dLbl>
            <c:dLbl>
              <c:idx val="17"/>
              <c:tx>
                <c:rich>
                  <a:bodyPr/>
                  <a:lstStyle/>
                  <a:p>
                    <a:fld id="{FDBA425C-B7BE-4FD1-A174-19C4DC0D5D06}"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44-69E6-4A37-8BC8-1826E6F7EEC6}"/>
                </c:ext>
              </c:extLst>
            </c:dLbl>
            <c:dLbl>
              <c:idx val="18"/>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45-69E6-4A37-8BC8-1826E6F7EEC6}"/>
                </c:ext>
              </c:extLst>
            </c:dLbl>
            <c:dLbl>
              <c:idx val="19"/>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46-69E6-4A37-8BC8-1826E6F7EEC6}"/>
                </c:ext>
              </c:extLst>
            </c:dLbl>
            <c:dLbl>
              <c:idx val="20"/>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47-69E6-4A37-8BC8-1826E6F7EEC6}"/>
                </c:ext>
              </c:extLst>
            </c:dLbl>
            <c:dLbl>
              <c:idx val="21"/>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48-69E6-4A37-8BC8-1826E6F7EEC6}"/>
                </c:ext>
              </c:extLst>
            </c:dLbl>
            <c:dLbl>
              <c:idx val="22"/>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49-69E6-4A37-8BC8-1826E6F7EEC6}"/>
                </c:ext>
              </c:extLst>
            </c:dLbl>
            <c:dLbl>
              <c:idx val="23"/>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4A-69E6-4A37-8BC8-1826E6F7EEC6}"/>
                </c:ext>
              </c:extLst>
            </c:dLbl>
            <c:dLbl>
              <c:idx val="24"/>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4B-69E6-4A37-8BC8-1826E6F7EEC6}"/>
                </c:ext>
              </c:extLst>
            </c:dLbl>
            <c:dLbl>
              <c:idx val="25"/>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4C-69E6-4A37-8BC8-1826E6F7EEC6}"/>
                </c:ext>
              </c:extLst>
            </c:dLbl>
            <c:dLbl>
              <c:idx val="26"/>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4D-69E6-4A37-8BC8-1826E6F7EEC6}"/>
                </c:ext>
              </c:extLst>
            </c:dLbl>
            <c:dLbl>
              <c:idx val="27"/>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4E-69E6-4A37-8BC8-1826E6F7EEC6}"/>
                </c:ext>
              </c:extLst>
            </c:dLbl>
            <c:dLbl>
              <c:idx val="28"/>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4F-69E6-4A37-8BC8-1826E6F7EEC6}"/>
                </c:ext>
              </c:extLst>
            </c:dLbl>
            <c:dLbl>
              <c:idx val="29"/>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50-69E6-4A37-8BC8-1826E6F7EEC6}"/>
                </c:ext>
              </c:extLst>
            </c:dLbl>
            <c:dLbl>
              <c:idx val="30"/>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51-69E6-4A37-8BC8-1826E6F7EEC6}"/>
                </c:ext>
              </c:extLst>
            </c:dLbl>
            <c:dLbl>
              <c:idx val="31"/>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52-69E6-4A37-8BC8-1826E6F7EEC6}"/>
                </c:ext>
              </c:extLst>
            </c:dLbl>
            <c:dLbl>
              <c:idx val="32"/>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53-69E6-4A37-8BC8-1826E6F7EEC6}"/>
                </c:ext>
              </c:extLst>
            </c:dLbl>
            <c:dLbl>
              <c:idx val="33"/>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54-69E6-4A37-8BC8-1826E6F7EEC6}"/>
                </c:ext>
              </c:extLst>
            </c:dLbl>
            <c:dLbl>
              <c:idx val="34"/>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55-69E6-4A37-8BC8-1826E6F7EEC6}"/>
                </c:ext>
              </c:extLst>
            </c:dLbl>
            <c:dLbl>
              <c:idx val="35"/>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56-69E6-4A37-8BC8-1826E6F7EEC6}"/>
                </c:ext>
              </c:extLst>
            </c:dLbl>
            <c:dLbl>
              <c:idx val="36"/>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57-69E6-4A37-8BC8-1826E6F7EEC6}"/>
                </c:ext>
              </c:extLst>
            </c:dLbl>
            <c:dLbl>
              <c:idx val="37"/>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58-69E6-4A37-8BC8-1826E6F7EEC6}"/>
                </c:ext>
              </c:extLst>
            </c:dLbl>
            <c:dLbl>
              <c:idx val="38"/>
              <c:tx>
                <c:rich>
                  <a:bodyPr/>
                  <a:lstStyle/>
                  <a:p>
                    <a:fld id="{AA57BD36-72F6-4711-97E8-26BF71326CD2}"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32-69E6-4A37-8BC8-1826E6F7EEC6}"/>
                </c:ext>
              </c:extLst>
            </c:dLbl>
            <c:dLbl>
              <c:idx val="39"/>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59-69E6-4A37-8BC8-1826E6F7EEC6}"/>
                </c:ext>
              </c:extLst>
            </c:dLbl>
            <c:dLbl>
              <c:idx val="40"/>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5A-69E6-4A37-8BC8-1826E6F7EEC6}"/>
                </c:ext>
              </c:extLst>
            </c:dLbl>
            <c:dLbl>
              <c:idx val="41"/>
              <c:tx>
                <c:rich>
                  <a:bodyPr/>
                  <a:lstStyle/>
                  <a:p>
                    <a:fld id="{A63EC09A-0977-4AD9-A714-6BF3E0DB6BD8}"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5B-69E6-4A37-8BC8-1826E6F7EEC6}"/>
                </c:ext>
              </c:extLst>
            </c:dLbl>
            <c:dLbl>
              <c:idx val="42"/>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5C-69E6-4A37-8BC8-1826E6F7EEC6}"/>
                </c:ext>
              </c:extLst>
            </c:dLbl>
            <c:dLbl>
              <c:idx val="43"/>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5D-69E6-4A37-8BC8-1826E6F7EEC6}"/>
                </c:ext>
              </c:extLst>
            </c:dLbl>
            <c:dLbl>
              <c:idx val="44"/>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5E-69E6-4A37-8BC8-1826E6F7EEC6}"/>
                </c:ext>
              </c:extLst>
            </c:dLbl>
            <c:dLbl>
              <c:idx val="45"/>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5F-69E6-4A37-8BC8-1826E6F7EEC6}"/>
                </c:ext>
              </c:extLst>
            </c:dLbl>
            <c:dLbl>
              <c:idx val="46"/>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60-69E6-4A37-8BC8-1826E6F7EEC6}"/>
                </c:ext>
              </c:extLst>
            </c:dLbl>
            <c:dLbl>
              <c:idx val="47"/>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61-69E6-4A37-8BC8-1826E6F7EEC6}"/>
                </c:ext>
              </c:extLst>
            </c:dLbl>
            <c:dLbl>
              <c:idx val="48"/>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62-69E6-4A37-8BC8-1826E6F7EEC6}"/>
                </c:ext>
              </c:extLst>
            </c:dLbl>
            <c:spPr>
              <a:noFill/>
              <a:ln>
                <a:noFill/>
              </a:ln>
              <a:effectLst/>
            </c:spPr>
            <c:txPr>
              <a:bodyPr wrap="square" lIns="38100" tIns="19050" rIns="38100" bIns="19050" anchor="ctr">
                <a:spAutoFit/>
              </a:bodyPr>
              <a:lstStyle/>
              <a:p>
                <a:pPr>
                  <a:defRPr sz="800">
                    <a:solidFill>
                      <a:schemeClr val="bg1"/>
                    </a:solidFill>
                  </a:defRPr>
                </a:pPr>
                <a:endParaRPr lang="fr-FR"/>
              </a:p>
            </c:txPr>
            <c:dLblPos val="t"/>
            <c:showLegendKey val="0"/>
            <c:showVal val="0"/>
            <c:showCatName val="0"/>
            <c:showSerName val="0"/>
            <c:showPercent val="0"/>
            <c:showBubbleSize val="0"/>
            <c:showLeaderLines val="0"/>
            <c:extLst>
              <c:ext xmlns:c15="http://schemas.microsoft.com/office/drawing/2012/chart" uri="{CE6537A1-D6FC-4f65-9D91-7224C49458BB}">
                <c15:showDataLabelsRange val="1"/>
                <c15:showLeaderLines val="0"/>
              </c:ext>
            </c:extLst>
          </c:dLbls>
          <c:xVal>
            <c:numRef>
              <c:f>Calculs!$N$15:$N$63</c:f>
              <c:numCache>
                <c:formatCode>0.00</c:formatCode>
                <c:ptCount val="49"/>
                <c:pt idx="0">
                  <c:v>1000000</c:v>
                </c:pt>
                <c:pt idx="1">
                  <c:v>1000000</c:v>
                </c:pt>
                <c:pt idx="2">
                  <c:v>1000000</c:v>
                </c:pt>
                <c:pt idx="3">
                  <c:v>1000000</c:v>
                </c:pt>
                <c:pt idx="4">
                  <c:v>-0.8835693608194487</c:v>
                </c:pt>
                <c:pt idx="5">
                  <c:v>-0.95357016274092743</c:v>
                </c:pt>
                <c:pt idx="6">
                  <c:v>0.11181755649771186</c:v>
                </c:pt>
                <c:pt idx="7">
                  <c:v>0.27515904125112034</c:v>
                </c:pt>
                <c:pt idx="8">
                  <c:v>1000000</c:v>
                </c:pt>
                <c:pt idx="9">
                  <c:v>-0.98974126198584877</c:v>
                </c:pt>
                <c:pt idx="10">
                  <c:v>-0.99215421215274913</c:v>
                </c:pt>
                <c:pt idx="11">
                  <c:v>1000000</c:v>
                </c:pt>
                <c:pt idx="12">
                  <c:v>0.89279272382369879</c:v>
                </c:pt>
                <c:pt idx="13">
                  <c:v>1000000</c:v>
                </c:pt>
                <c:pt idx="14">
                  <c:v>1000000</c:v>
                </c:pt>
                <c:pt idx="15">
                  <c:v>1000000</c:v>
                </c:pt>
                <c:pt idx="16">
                  <c:v>-0.97649205046088883</c:v>
                </c:pt>
                <c:pt idx="17">
                  <c:v>-0.99065767669173699</c:v>
                </c:pt>
                <c:pt idx="18">
                  <c:v>1000000</c:v>
                </c:pt>
                <c:pt idx="19">
                  <c:v>-0.78984564778939481</c:v>
                </c:pt>
                <c:pt idx="20">
                  <c:v>-0.68676205347532004</c:v>
                </c:pt>
                <c:pt idx="21">
                  <c:v>0.55245166006579138</c:v>
                </c:pt>
                <c:pt idx="22">
                  <c:v>-0.1324726473691144</c:v>
                </c:pt>
                <c:pt idx="23">
                  <c:v>1000000</c:v>
                </c:pt>
                <c:pt idx="24">
                  <c:v>0.26478903917054475</c:v>
                </c:pt>
                <c:pt idx="25">
                  <c:v>1000000</c:v>
                </c:pt>
                <c:pt idx="26">
                  <c:v>1000000</c:v>
                </c:pt>
                <c:pt idx="27">
                  <c:v>1000000</c:v>
                </c:pt>
                <c:pt idx="28">
                  <c:v>-0.71675186402051727</c:v>
                </c:pt>
                <c:pt idx="29">
                  <c:v>1000000</c:v>
                </c:pt>
                <c:pt idx="30">
                  <c:v>1000000</c:v>
                </c:pt>
                <c:pt idx="31">
                  <c:v>-0.49096926610321673</c:v>
                </c:pt>
                <c:pt idx="32">
                  <c:v>1000000</c:v>
                </c:pt>
                <c:pt idx="33">
                  <c:v>1000000</c:v>
                </c:pt>
                <c:pt idx="34">
                  <c:v>1000000</c:v>
                </c:pt>
                <c:pt idx="35">
                  <c:v>1000000</c:v>
                </c:pt>
                <c:pt idx="36">
                  <c:v>8.0612572896161778E-17</c:v>
                </c:pt>
                <c:pt idx="37">
                  <c:v>-0.80573038596412216</c:v>
                </c:pt>
                <c:pt idx="38">
                  <c:v>1000000</c:v>
                </c:pt>
                <c:pt idx="39">
                  <c:v>0.96729584435619564</c:v>
                </c:pt>
                <c:pt idx="40">
                  <c:v>1000000</c:v>
                </c:pt>
                <c:pt idx="41">
                  <c:v>-0.96218316039394958</c:v>
                </c:pt>
                <c:pt idx="42">
                  <c:v>1000000</c:v>
                </c:pt>
                <c:pt idx="43">
                  <c:v>1000000</c:v>
                </c:pt>
                <c:pt idx="44">
                  <c:v>1000000</c:v>
                </c:pt>
                <c:pt idx="45">
                  <c:v>1000000</c:v>
                </c:pt>
                <c:pt idx="46">
                  <c:v>2.2967009219450711E-3</c:v>
                </c:pt>
                <c:pt idx="47">
                  <c:v>0.78028950441649558</c:v>
                </c:pt>
                <c:pt idx="48">
                  <c:v>1000000</c:v>
                </c:pt>
              </c:numCache>
            </c:numRef>
          </c:xVal>
          <c:yVal>
            <c:numRef>
              <c:f>Calculs!$P$15:$P$63</c:f>
              <c:numCache>
                <c:formatCode>0.00</c:formatCode>
                <c:ptCount val="49"/>
                <c:pt idx="0">
                  <c:v>1000000</c:v>
                </c:pt>
                <c:pt idx="1">
                  <c:v>1000000</c:v>
                </c:pt>
                <c:pt idx="3">
                  <c:v>1000000</c:v>
                </c:pt>
                <c:pt idx="4">
                  <c:v>-0.10221096451626388</c:v>
                </c:pt>
                <c:pt idx="12">
                  <c:v>-0.22908600590425743</c:v>
                </c:pt>
                <c:pt idx="17">
                  <c:v>3.6684395532307443E-2</c:v>
                </c:pt>
                <c:pt idx="38">
                  <c:v>1000000</c:v>
                </c:pt>
                <c:pt idx="41">
                  <c:v>-0.26807229796928628</c:v>
                </c:pt>
              </c:numCache>
            </c:numRef>
          </c:yVal>
          <c:smooth val="0"/>
          <c:extLst>
            <c:ext xmlns:c15="http://schemas.microsoft.com/office/drawing/2012/chart" uri="{02D57815-91ED-43cb-92C2-25804820EDAC}">
              <c15:datalabelsRange>
                <c15:f>Calculs!$A$15:$A$63</c15:f>
                <c15:dlblRangeCache>
                  <c:ptCount val="49"/>
                  <c:pt idx="0">
                    <c:v>Achernar</c:v>
                  </c:pt>
                  <c:pt idx="1">
                    <c:v>Acrux</c:v>
                  </c:pt>
                  <c:pt idx="2">
                    <c:v>Adara</c:v>
                  </c:pt>
                  <c:pt idx="3">
                    <c:v>Agena</c:v>
                  </c:pt>
                  <c:pt idx="4">
                    <c:v>Aldebaran</c:v>
                  </c:pt>
                  <c:pt idx="5">
                    <c:v>Alhena</c:v>
                  </c:pt>
                  <c:pt idx="6">
                    <c:v>Alioth</c:v>
                  </c:pt>
                  <c:pt idx="7">
                    <c:v>Alkaid</c:v>
                  </c:pt>
                  <c:pt idx="8">
                    <c:v>AlNair</c:v>
                  </c:pt>
                  <c:pt idx="9">
                    <c:v>Alnilam</c:v>
                  </c:pt>
                  <c:pt idx="10">
                    <c:v>Alnitak</c:v>
                  </c:pt>
                  <c:pt idx="11">
                    <c:v>Alphard</c:v>
                  </c:pt>
                  <c:pt idx="12">
                    <c:v>Altair</c:v>
                  </c:pt>
                  <c:pt idx="13">
                    <c:v>Antares</c:v>
                  </c:pt>
                  <c:pt idx="14">
                    <c:v>Arcturus</c:v>
                  </c:pt>
                  <c:pt idx="15">
                    <c:v>Atria</c:v>
                  </c:pt>
                  <c:pt idx="16">
                    <c:v>Bellatrix</c:v>
                  </c:pt>
                  <c:pt idx="17">
                    <c:v>Betelgeuse</c:v>
                  </c:pt>
                  <c:pt idx="18">
                    <c:v>Canopus</c:v>
                  </c:pt>
                  <c:pt idx="19">
                    <c:v>Castor</c:v>
                  </c:pt>
                  <c:pt idx="20">
                    <c:v>Chèvre</c:v>
                  </c:pt>
                  <c:pt idx="21">
                    <c:v>Deneb</c:v>
                  </c:pt>
                  <c:pt idx="22">
                    <c:v>Dubhe</c:v>
                  </c:pt>
                  <c:pt idx="23">
                    <c:v>Epi</c:v>
                  </c:pt>
                  <c:pt idx="24">
                    <c:v>Fomalhaut</c:v>
                  </c:pt>
                  <c:pt idx="25">
                    <c:v>Gacrux</c:v>
                  </c:pt>
                  <c:pt idx="26">
                    <c:v>KausAustra</c:v>
                  </c:pt>
                  <c:pt idx="27">
                    <c:v>Kooshe</c:v>
                  </c:pt>
                  <c:pt idx="28">
                    <c:v>Menkalinan</c:v>
                  </c:pt>
                  <c:pt idx="29">
                    <c:v>Miaplacidus</c:v>
                  </c:pt>
                  <c:pt idx="30">
                    <c:v>Mimosa</c:v>
                  </c:pt>
                  <c:pt idx="31">
                    <c:v>Mirfak</c:v>
                  </c:pt>
                  <c:pt idx="32">
                    <c:v>Mirzam</c:v>
                  </c:pt>
                  <c:pt idx="33">
                    <c:v>Nath</c:v>
                  </c:pt>
                  <c:pt idx="34">
                    <c:v>Nunki</c:v>
                  </c:pt>
                  <c:pt idx="35">
                    <c:v>Peacock</c:v>
                  </c:pt>
                  <c:pt idx="36">
                    <c:v>Polaire</c:v>
                  </c:pt>
                  <c:pt idx="37">
                    <c:v>Pollux</c:v>
                  </c:pt>
                  <c:pt idx="38">
                    <c:v>Procyon</c:v>
                  </c:pt>
                  <c:pt idx="39">
                    <c:v>RasAlague</c:v>
                  </c:pt>
                  <c:pt idx="40">
                    <c:v>Regulus</c:v>
                  </c:pt>
                  <c:pt idx="41">
                    <c:v>Rigel</c:v>
                  </c:pt>
                  <c:pt idx="42">
                    <c:v>Rigil</c:v>
                  </c:pt>
                  <c:pt idx="43">
                    <c:v>Sargas</c:v>
                  </c:pt>
                  <c:pt idx="44">
                    <c:v>Schaula</c:v>
                  </c:pt>
                  <c:pt idx="45">
                    <c:v>Sirius</c:v>
                  </c:pt>
                  <c:pt idx="46">
                    <c:v>Sirrah</c:v>
                  </c:pt>
                  <c:pt idx="47">
                    <c:v>Vega</c:v>
                  </c:pt>
                  <c:pt idx="48">
                    <c:v>Wezen</c:v>
                  </c:pt>
                </c15:dlblRangeCache>
              </c15:datalabelsRange>
            </c:ext>
            <c:ext xmlns:c16="http://schemas.microsoft.com/office/drawing/2014/chart" uri="{C3380CC4-5D6E-409C-BE32-E72D297353CC}">
              <c16:uniqueId val="{00000002-144D-46A3-A8B6-38208979D1B5}"/>
            </c:ext>
          </c:extLst>
        </c:ser>
        <c:ser>
          <c:idx val="3"/>
          <c:order val="2"/>
          <c:tx>
            <c:v>1.5&gt; Magnitude &gt;1</c:v>
          </c:tx>
          <c:spPr>
            <a:ln w="28575">
              <a:noFill/>
            </a:ln>
          </c:spPr>
          <c:marker>
            <c:symbol val="picture"/>
            <c:spPr>
              <a:blipFill dpi="0" rotWithShape="0">
                <a:blip xmlns:r="http://schemas.openxmlformats.org/officeDocument/2006/relationships" r:embed="rId3"/>
                <a:srcRect/>
                <a:stretch>
                  <a:fillRect/>
                </a:stretch>
              </a:blipFill>
              <a:ln w="9525">
                <a:noFill/>
              </a:ln>
            </c:spPr>
          </c:marker>
          <c:dLbls>
            <c:dLbl>
              <c:idx val="0"/>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64-69E6-4A37-8BC8-1826E6F7EEC6}"/>
                </c:ext>
              </c:extLst>
            </c:dLbl>
            <c:dLbl>
              <c:idx val="1"/>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65-69E6-4A37-8BC8-1826E6F7EEC6}"/>
                </c:ext>
              </c:extLst>
            </c:dLbl>
            <c:dLbl>
              <c:idx val="2"/>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66-69E6-4A37-8BC8-1826E6F7EEC6}"/>
                </c:ext>
              </c:extLst>
            </c:dLbl>
            <c:dLbl>
              <c:idx val="3"/>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67-69E6-4A37-8BC8-1826E6F7EEC6}"/>
                </c:ext>
              </c:extLst>
            </c:dLbl>
            <c:dLbl>
              <c:idx val="4"/>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68-69E6-4A37-8BC8-1826E6F7EEC6}"/>
                </c:ext>
              </c:extLst>
            </c:dLbl>
            <c:dLbl>
              <c:idx val="5"/>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69-69E6-4A37-8BC8-1826E6F7EEC6}"/>
                </c:ext>
              </c:extLst>
            </c:dLbl>
            <c:dLbl>
              <c:idx val="6"/>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6A-69E6-4A37-8BC8-1826E6F7EEC6}"/>
                </c:ext>
              </c:extLst>
            </c:dLbl>
            <c:dLbl>
              <c:idx val="7"/>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6B-69E6-4A37-8BC8-1826E6F7EEC6}"/>
                </c:ext>
              </c:extLst>
            </c:dLbl>
            <c:dLbl>
              <c:idx val="8"/>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6C-69E6-4A37-8BC8-1826E6F7EEC6}"/>
                </c:ext>
              </c:extLst>
            </c:dLbl>
            <c:dLbl>
              <c:idx val="9"/>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6D-69E6-4A37-8BC8-1826E6F7EEC6}"/>
                </c:ext>
              </c:extLst>
            </c:dLbl>
            <c:dLbl>
              <c:idx val="10"/>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6E-69E6-4A37-8BC8-1826E6F7EEC6}"/>
                </c:ext>
              </c:extLst>
            </c:dLbl>
            <c:dLbl>
              <c:idx val="11"/>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6F-69E6-4A37-8BC8-1826E6F7EEC6}"/>
                </c:ext>
              </c:extLst>
            </c:dLbl>
            <c:dLbl>
              <c:idx val="12"/>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70-69E6-4A37-8BC8-1826E6F7EEC6}"/>
                </c:ext>
              </c:extLst>
            </c:dLbl>
            <c:dLbl>
              <c:idx val="13"/>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71-69E6-4A37-8BC8-1826E6F7EEC6}"/>
                </c:ext>
              </c:extLst>
            </c:dLbl>
            <c:dLbl>
              <c:idx val="14"/>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72-69E6-4A37-8BC8-1826E6F7EEC6}"/>
                </c:ext>
              </c:extLst>
            </c:dLbl>
            <c:dLbl>
              <c:idx val="15"/>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73-69E6-4A37-8BC8-1826E6F7EEC6}"/>
                </c:ext>
              </c:extLst>
            </c:dLbl>
            <c:dLbl>
              <c:idx val="16"/>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74-69E6-4A37-8BC8-1826E6F7EEC6}"/>
                </c:ext>
              </c:extLst>
            </c:dLbl>
            <c:dLbl>
              <c:idx val="17"/>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75-69E6-4A37-8BC8-1826E6F7EEC6}"/>
                </c:ext>
              </c:extLst>
            </c:dLbl>
            <c:dLbl>
              <c:idx val="18"/>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76-69E6-4A37-8BC8-1826E6F7EEC6}"/>
                </c:ext>
              </c:extLst>
            </c:dLbl>
            <c:dLbl>
              <c:idx val="19"/>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77-69E6-4A37-8BC8-1826E6F7EEC6}"/>
                </c:ext>
              </c:extLst>
            </c:dLbl>
            <c:dLbl>
              <c:idx val="20"/>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78-69E6-4A37-8BC8-1826E6F7EEC6}"/>
                </c:ext>
              </c:extLst>
            </c:dLbl>
            <c:dLbl>
              <c:idx val="21"/>
              <c:tx>
                <c:rich>
                  <a:bodyPr/>
                  <a:lstStyle/>
                  <a:p>
                    <a:fld id="{967D6E35-11FB-4837-BF3F-E24A95F620E7}"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79-69E6-4A37-8BC8-1826E6F7EEC6}"/>
                </c:ext>
              </c:extLst>
            </c:dLbl>
            <c:dLbl>
              <c:idx val="22"/>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7A-69E6-4A37-8BC8-1826E6F7EEC6}"/>
                </c:ext>
              </c:extLst>
            </c:dLbl>
            <c:dLbl>
              <c:idx val="23"/>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7B-69E6-4A37-8BC8-1826E6F7EEC6}"/>
                </c:ext>
              </c:extLst>
            </c:dLbl>
            <c:dLbl>
              <c:idx val="24"/>
              <c:tx>
                <c:rich>
                  <a:bodyPr/>
                  <a:lstStyle/>
                  <a:p>
                    <a:fld id="{0EBD6E37-95F6-4094-B786-DCD8707538C9}"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63-69E6-4A37-8BC8-1826E6F7EEC6}"/>
                </c:ext>
              </c:extLst>
            </c:dLbl>
            <c:dLbl>
              <c:idx val="25"/>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7C-69E6-4A37-8BC8-1826E6F7EEC6}"/>
                </c:ext>
              </c:extLst>
            </c:dLbl>
            <c:dLbl>
              <c:idx val="26"/>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7D-69E6-4A37-8BC8-1826E6F7EEC6}"/>
                </c:ext>
              </c:extLst>
            </c:dLbl>
            <c:dLbl>
              <c:idx val="27"/>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7E-69E6-4A37-8BC8-1826E6F7EEC6}"/>
                </c:ext>
              </c:extLst>
            </c:dLbl>
            <c:dLbl>
              <c:idx val="28"/>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7F-69E6-4A37-8BC8-1826E6F7EEC6}"/>
                </c:ext>
              </c:extLst>
            </c:dLbl>
            <c:dLbl>
              <c:idx val="29"/>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80-69E6-4A37-8BC8-1826E6F7EEC6}"/>
                </c:ext>
              </c:extLst>
            </c:dLbl>
            <c:dLbl>
              <c:idx val="30"/>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81-69E6-4A37-8BC8-1826E6F7EEC6}"/>
                </c:ext>
              </c:extLst>
            </c:dLbl>
            <c:dLbl>
              <c:idx val="31"/>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82-69E6-4A37-8BC8-1826E6F7EEC6}"/>
                </c:ext>
              </c:extLst>
            </c:dLbl>
            <c:dLbl>
              <c:idx val="32"/>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83-69E6-4A37-8BC8-1826E6F7EEC6}"/>
                </c:ext>
              </c:extLst>
            </c:dLbl>
            <c:dLbl>
              <c:idx val="33"/>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84-69E6-4A37-8BC8-1826E6F7EEC6}"/>
                </c:ext>
              </c:extLst>
            </c:dLbl>
            <c:dLbl>
              <c:idx val="34"/>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85-69E6-4A37-8BC8-1826E6F7EEC6}"/>
                </c:ext>
              </c:extLst>
            </c:dLbl>
            <c:dLbl>
              <c:idx val="35"/>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86-69E6-4A37-8BC8-1826E6F7EEC6}"/>
                </c:ext>
              </c:extLst>
            </c:dLbl>
            <c:dLbl>
              <c:idx val="36"/>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87-69E6-4A37-8BC8-1826E6F7EEC6}"/>
                </c:ext>
              </c:extLst>
            </c:dLbl>
            <c:dLbl>
              <c:idx val="37"/>
              <c:tx>
                <c:rich>
                  <a:bodyPr/>
                  <a:lstStyle/>
                  <a:p>
                    <a:fld id="{7EC740F9-10C5-4EA6-871F-F0CDF013301A}"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88-69E6-4A37-8BC8-1826E6F7EEC6}"/>
                </c:ext>
              </c:extLst>
            </c:dLbl>
            <c:dLbl>
              <c:idx val="38"/>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89-69E6-4A37-8BC8-1826E6F7EEC6}"/>
                </c:ext>
              </c:extLst>
            </c:dLbl>
            <c:dLbl>
              <c:idx val="39"/>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8A-69E6-4A37-8BC8-1826E6F7EEC6}"/>
                </c:ext>
              </c:extLst>
            </c:dLbl>
            <c:dLbl>
              <c:idx val="40"/>
              <c:tx>
                <c:rich>
                  <a:bodyPr/>
                  <a:lstStyle/>
                  <a:p>
                    <a:fld id="{B161C2AF-4BB0-492F-AA3A-DFE462D0BF2A}"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8B-69E6-4A37-8BC8-1826E6F7EEC6}"/>
                </c:ext>
              </c:extLst>
            </c:dLbl>
            <c:dLbl>
              <c:idx val="41"/>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8C-69E6-4A37-8BC8-1826E6F7EEC6}"/>
                </c:ext>
              </c:extLst>
            </c:dLbl>
            <c:dLbl>
              <c:idx val="42"/>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8D-69E6-4A37-8BC8-1826E6F7EEC6}"/>
                </c:ext>
              </c:extLst>
            </c:dLbl>
            <c:dLbl>
              <c:idx val="43"/>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8E-69E6-4A37-8BC8-1826E6F7EEC6}"/>
                </c:ext>
              </c:extLst>
            </c:dLbl>
            <c:dLbl>
              <c:idx val="44"/>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8F-69E6-4A37-8BC8-1826E6F7EEC6}"/>
                </c:ext>
              </c:extLst>
            </c:dLbl>
            <c:dLbl>
              <c:idx val="45"/>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90-69E6-4A37-8BC8-1826E6F7EEC6}"/>
                </c:ext>
              </c:extLst>
            </c:dLbl>
            <c:dLbl>
              <c:idx val="46"/>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91-69E6-4A37-8BC8-1826E6F7EEC6}"/>
                </c:ext>
              </c:extLst>
            </c:dLbl>
            <c:dLbl>
              <c:idx val="47"/>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92-69E6-4A37-8BC8-1826E6F7EEC6}"/>
                </c:ext>
              </c:extLst>
            </c:dLbl>
            <c:dLbl>
              <c:idx val="48"/>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93-69E6-4A37-8BC8-1826E6F7EEC6}"/>
                </c:ext>
              </c:extLst>
            </c:dLbl>
            <c:spPr>
              <a:noFill/>
              <a:ln>
                <a:noFill/>
              </a:ln>
              <a:effectLst/>
            </c:spPr>
            <c:txPr>
              <a:bodyPr wrap="square" lIns="38100" tIns="19050" rIns="38100" bIns="19050" anchor="ctr">
                <a:spAutoFit/>
              </a:bodyPr>
              <a:lstStyle/>
              <a:p>
                <a:pPr>
                  <a:defRPr sz="800">
                    <a:solidFill>
                      <a:schemeClr val="bg1"/>
                    </a:solidFill>
                  </a:defRPr>
                </a:pPr>
                <a:endParaRPr lang="fr-FR"/>
              </a:p>
            </c:txPr>
            <c:dLblPos val="t"/>
            <c:showLegendKey val="0"/>
            <c:showVal val="0"/>
            <c:showCatName val="0"/>
            <c:showSerName val="0"/>
            <c:showPercent val="0"/>
            <c:showBubbleSize val="0"/>
            <c:showLeaderLines val="0"/>
            <c:extLst>
              <c:ext xmlns:c15="http://schemas.microsoft.com/office/drawing/2012/chart" uri="{CE6537A1-D6FC-4f65-9D91-7224C49458BB}">
                <c15:showDataLabelsRange val="1"/>
                <c15:showLeaderLines val="0"/>
              </c:ext>
            </c:extLst>
          </c:dLbls>
          <c:xVal>
            <c:numRef>
              <c:f>Calculs!$N$15:$N$63</c:f>
              <c:numCache>
                <c:formatCode>0.00</c:formatCode>
                <c:ptCount val="49"/>
                <c:pt idx="0">
                  <c:v>1000000</c:v>
                </c:pt>
                <c:pt idx="1">
                  <c:v>1000000</c:v>
                </c:pt>
                <c:pt idx="2">
                  <c:v>1000000</c:v>
                </c:pt>
                <c:pt idx="3">
                  <c:v>1000000</c:v>
                </c:pt>
                <c:pt idx="4">
                  <c:v>-0.8835693608194487</c:v>
                </c:pt>
                <c:pt idx="5">
                  <c:v>-0.95357016274092743</c:v>
                </c:pt>
                <c:pt idx="6">
                  <c:v>0.11181755649771186</c:v>
                </c:pt>
                <c:pt idx="7">
                  <c:v>0.27515904125112034</c:v>
                </c:pt>
                <c:pt idx="8">
                  <c:v>1000000</c:v>
                </c:pt>
                <c:pt idx="9">
                  <c:v>-0.98974126198584877</c:v>
                </c:pt>
                <c:pt idx="10">
                  <c:v>-0.99215421215274913</c:v>
                </c:pt>
                <c:pt idx="11">
                  <c:v>1000000</c:v>
                </c:pt>
                <c:pt idx="12">
                  <c:v>0.89279272382369879</c:v>
                </c:pt>
                <c:pt idx="13">
                  <c:v>1000000</c:v>
                </c:pt>
                <c:pt idx="14">
                  <c:v>1000000</c:v>
                </c:pt>
                <c:pt idx="15">
                  <c:v>1000000</c:v>
                </c:pt>
                <c:pt idx="16">
                  <c:v>-0.97649205046088883</c:v>
                </c:pt>
                <c:pt idx="17">
                  <c:v>-0.99065767669173699</c:v>
                </c:pt>
                <c:pt idx="18">
                  <c:v>1000000</c:v>
                </c:pt>
                <c:pt idx="19">
                  <c:v>-0.78984564778939481</c:v>
                </c:pt>
                <c:pt idx="20">
                  <c:v>-0.68676205347532004</c:v>
                </c:pt>
                <c:pt idx="21">
                  <c:v>0.55245166006579138</c:v>
                </c:pt>
                <c:pt idx="22">
                  <c:v>-0.1324726473691144</c:v>
                </c:pt>
                <c:pt idx="23">
                  <c:v>1000000</c:v>
                </c:pt>
                <c:pt idx="24">
                  <c:v>0.26478903917054475</c:v>
                </c:pt>
                <c:pt idx="25">
                  <c:v>1000000</c:v>
                </c:pt>
                <c:pt idx="26">
                  <c:v>1000000</c:v>
                </c:pt>
                <c:pt idx="27">
                  <c:v>1000000</c:v>
                </c:pt>
                <c:pt idx="28">
                  <c:v>-0.71675186402051727</c:v>
                </c:pt>
                <c:pt idx="29">
                  <c:v>1000000</c:v>
                </c:pt>
                <c:pt idx="30">
                  <c:v>1000000</c:v>
                </c:pt>
                <c:pt idx="31">
                  <c:v>-0.49096926610321673</c:v>
                </c:pt>
                <c:pt idx="32">
                  <c:v>1000000</c:v>
                </c:pt>
                <c:pt idx="33">
                  <c:v>1000000</c:v>
                </c:pt>
                <c:pt idx="34">
                  <c:v>1000000</c:v>
                </c:pt>
                <c:pt idx="35">
                  <c:v>1000000</c:v>
                </c:pt>
                <c:pt idx="36">
                  <c:v>8.0612572896161778E-17</c:v>
                </c:pt>
                <c:pt idx="37">
                  <c:v>-0.80573038596412216</c:v>
                </c:pt>
                <c:pt idx="38">
                  <c:v>1000000</c:v>
                </c:pt>
                <c:pt idx="39">
                  <c:v>0.96729584435619564</c:v>
                </c:pt>
                <c:pt idx="40">
                  <c:v>1000000</c:v>
                </c:pt>
                <c:pt idx="41">
                  <c:v>-0.96218316039394958</c:v>
                </c:pt>
                <c:pt idx="42">
                  <c:v>1000000</c:v>
                </c:pt>
                <c:pt idx="43">
                  <c:v>1000000</c:v>
                </c:pt>
                <c:pt idx="44">
                  <c:v>1000000</c:v>
                </c:pt>
                <c:pt idx="45">
                  <c:v>1000000</c:v>
                </c:pt>
                <c:pt idx="46">
                  <c:v>2.2967009219450711E-3</c:v>
                </c:pt>
                <c:pt idx="47">
                  <c:v>0.78028950441649558</c:v>
                </c:pt>
                <c:pt idx="48">
                  <c:v>1000000</c:v>
                </c:pt>
              </c:numCache>
            </c:numRef>
          </c:xVal>
          <c:yVal>
            <c:numRef>
              <c:f>Calculs!$Q$15:$Q$63</c:f>
              <c:numCache>
                <c:formatCode>0.00</c:formatCode>
                <c:ptCount val="49"/>
                <c:pt idx="21">
                  <c:v>0.13358406742350096</c:v>
                </c:pt>
                <c:pt idx="24">
                  <c:v>-0.94714107570137462</c:v>
                </c:pt>
                <c:pt idx="37">
                  <c:v>0.58070229820238772</c:v>
                </c:pt>
                <c:pt idx="40">
                  <c:v>1000000</c:v>
                </c:pt>
              </c:numCache>
            </c:numRef>
          </c:yVal>
          <c:smooth val="0"/>
          <c:extLst>
            <c:ext xmlns:c15="http://schemas.microsoft.com/office/drawing/2012/chart" uri="{02D57815-91ED-43cb-92C2-25804820EDAC}">
              <c15:datalabelsRange>
                <c15:f>Calculs!$A$15:$A$63</c15:f>
                <c15:dlblRangeCache>
                  <c:ptCount val="49"/>
                  <c:pt idx="0">
                    <c:v>Achernar</c:v>
                  </c:pt>
                  <c:pt idx="1">
                    <c:v>Acrux</c:v>
                  </c:pt>
                  <c:pt idx="2">
                    <c:v>Adara</c:v>
                  </c:pt>
                  <c:pt idx="3">
                    <c:v>Agena</c:v>
                  </c:pt>
                  <c:pt idx="4">
                    <c:v>Aldebaran</c:v>
                  </c:pt>
                  <c:pt idx="5">
                    <c:v>Alhena</c:v>
                  </c:pt>
                  <c:pt idx="6">
                    <c:v>Alioth</c:v>
                  </c:pt>
                  <c:pt idx="7">
                    <c:v>Alkaid</c:v>
                  </c:pt>
                  <c:pt idx="8">
                    <c:v>AlNair</c:v>
                  </c:pt>
                  <c:pt idx="9">
                    <c:v>Alnilam</c:v>
                  </c:pt>
                  <c:pt idx="10">
                    <c:v>Alnitak</c:v>
                  </c:pt>
                  <c:pt idx="11">
                    <c:v>Alphard</c:v>
                  </c:pt>
                  <c:pt idx="12">
                    <c:v>Altair</c:v>
                  </c:pt>
                  <c:pt idx="13">
                    <c:v>Antares</c:v>
                  </c:pt>
                  <c:pt idx="14">
                    <c:v>Arcturus</c:v>
                  </c:pt>
                  <c:pt idx="15">
                    <c:v>Atria</c:v>
                  </c:pt>
                  <c:pt idx="16">
                    <c:v>Bellatrix</c:v>
                  </c:pt>
                  <c:pt idx="17">
                    <c:v>Betelgeuse</c:v>
                  </c:pt>
                  <c:pt idx="18">
                    <c:v>Canopus</c:v>
                  </c:pt>
                  <c:pt idx="19">
                    <c:v>Castor</c:v>
                  </c:pt>
                  <c:pt idx="20">
                    <c:v>Chèvre</c:v>
                  </c:pt>
                  <c:pt idx="21">
                    <c:v>Deneb</c:v>
                  </c:pt>
                  <c:pt idx="22">
                    <c:v>Dubhe</c:v>
                  </c:pt>
                  <c:pt idx="23">
                    <c:v>Epi</c:v>
                  </c:pt>
                  <c:pt idx="24">
                    <c:v>Fomalhaut</c:v>
                  </c:pt>
                  <c:pt idx="25">
                    <c:v>Gacrux</c:v>
                  </c:pt>
                  <c:pt idx="26">
                    <c:v>KausAustra</c:v>
                  </c:pt>
                  <c:pt idx="27">
                    <c:v>Kooshe</c:v>
                  </c:pt>
                  <c:pt idx="28">
                    <c:v>Menkalinan</c:v>
                  </c:pt>
                  <c:pt idx="29">
                    <c:v>Miaplacidus</c:v>
                  </c:pt>
                  <c:pt idx="30">
                    <c:v>Mimosa</c:v>
                  </c:pt>
                  <c:pt idx="31">
                    <c:v>Mirfak</c:v>
                  </c:pt>
                  <c:pt idx="32">
                    <c:v>Mirzam</c:v>
                  </c:pt>
                  <c:pt idx="33">
                    <c:v>Nath</c:v>
                  </c:pt>
                  <c:pt idx="34">
                    <c:v>Nunki</c:v>
                  </c:pt>
                  <c:pt idx="35">
                    <c:v>Peacock</c:v>
                  </c:pt>
                  <c:pt idx="36">
                    <c:v>Polaire</c:v>
                  </c:pt>
                  <c:pt idx="37">
                    <c:v>Pollux</c:v>
                  </c:pt>
                  <c:pt idx="38">
                    <c:v>Procyon</c:v>
                  </c:pt>
                  <c:pt idx="39">
                    <c:v>RasAlague</c:v>
                  </c:pt>
                  <c:pt idx="40">
                    <c:v>Regulus</c:v>
                  </c:pt>
                  <c:pt idx="41">
                    <c:v>Rigel</c:v>
                  </c:pt>
                  <c:pt idx="42">
                    <c:v>Rigil</c:v>
                  </c:pt>
                  <c:pt idx="43">
                    <c:v>Sargas</c:v>
                  </c:pt>
                  <c:pt idx="44">
                    <c:v>Schaula</c:v>
                  </c:pt>
                  <c:pt idx="45">
                    <c:v>Sirius</c:v>
                  </c:pt>
                  <c:pt idx="46">
                    <c:v>Sirrah</c:v>
                  </c:pt>
                  <c:pt idx="47">
                    <c:v>Vega</c:v>
                  </c:pt>
                  <c:pt idx="48">
                    <c:v>Wezen</c:v>
                  </c:pt>
                </c15:dlblRangeCache>
              </c15:datalabelsRange>
            </c:ext>
            <c:ext xmlns:c16="http://schemas.microsoft.com/office/drawing/2014/chart" uri="{C3380CC4-5D6E-409C-BE32-E72D297353CC}">
              <c16:uniqueId val="{00000003-144D-46A3-A8B6-38208979D1B5}"/>
            </c:ext>
          </c:extLst>
        </c:ser>
        <c:ser>
          <c:idx val="4"/>
          <c:order val="3"/>
          <c:tx>
            <c:v>Magnitude &gt;1.5</c:v>
          </c:tx>
          <c:spPr>
            <a:ln w="28575">
              <a:noFill/>
            </a:ln>
          </c:spPr>
          <c:marker>
            <c:symbol val="picture"/>
            <c:spPr>
              <a:blipFill dpi="0" rotWithShape="0">
                <a:blip xmlns:r="http://schemas.openxmlformats.org/officeDocument/2006/relationships" r:embed="rId4"/>
                <a:srcRect/>
                <a:stretch>
                  <a:fillRect/>
                </a:stretch>
              </a:blipFill>
              <a:ln w="9525">
                <a:noFill/>
              </a:ln>
            </c:spPr>
          </c:marker>
          <c:dLbls>
            <c:dLbl>
              <c:idx val="0"/>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03-69E6-4A37-8BC8-1826E6F7EEC6}"/>
                </c:ext>
              </c:extLst>
            </c:dLbl>
            <c:dLbl>
              <c:idx val="1"/>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04-69E6-4A37-8BC8-1826E6F7EEC6}"/>
                </c:ext>
              </c:extLst>
            </c:dLbl>
            <c:dLbl>
              <c:idx val="2"/>
              <c:tx>
                <c:rich>
                  <a:bodyPr/>
                  <a:lstStyle/>
                  <a:p>
                    <a:fld id="{2E78B472-D10F-4763-9D91-F369AF7F607F}"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5-69E6-4A37-8BC8-1826E6F7EEC6}"/>
                </c:ext>
              </c:extLst>
            </c:dLbl>
            <c:dLbl>
              <c:idx val="3"/>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06-69E6-4A37-8BC8-1826E6F7EEC6}"/>
                </c:ext>
              </c:extLst>
            </c:dLbl>
            <c:dLbl>
              <c:idx val="4"/>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07-69E6-4A37-8BC8-1826E6F7EEC6}"/>
                </c:ext>
              </c:extLst>
            </c:dLbl>
            <c:dLbl>
              <c:idx val="5"/>
              <c:tx>
                <c:rich>
                  <a:bodyPr/>
                  <a:lstStyle/>
                  <a:p>
                    <a:fld id="{974B1119-D69D-4A35-BC19-DB2840A9250D}"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8-69E6-4A37-8BC8-1826E6F7EEC6}"/>
                </c:ext>
              </c:extLst>
            </c:dLbl>
            <c:dLbl>
              <c:idx val="6"/>
              <c:tx>
                <c:rich>
                  <a:bodyPr/>
                  <a:lstStyle/>
                  <a:p>
                    <a:fld id="{D5723F26-9CED-4F26-933D-F1C1B013C34E}"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9-69E6-4A37-8BC8-1826E6F7EEC6}"/>
                </c:ext>
              </c:extLst>
            </c:dLbl>
            <c:dLbl>
              <c:idx val="7"/>
              <c:tx>
                <c:rich>
                  <a:bodyPr/>
                  <a:lstStyle/>
                  <a:p>
                    <a:fld id="{961A0AE3-A6F2-4F90-9C3C-26AF250D804A}"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A-69E6-4A37-8BC8-1826E6F7EEC6}"/>
                </c:ext>
              </c:extLst>
            </c:dLbl>
            <c:dLbl>
              <c:idx val="8"/>
              <c:tx>
                <c:rich>
                  <a:bodyPr/>
                  <a:lstStyle/>
                  <a:p>
                    <a:fld id="{33E8444D-9155-48A7-999F-35638072F8F4}"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B-69E6-4A37-8BC8-1826E6F7EEC6}"/>
                </c:ext>
              </c:extLst>
            </c:dLbl>
            <c:dLbl>
              <c:idx val="9"/>
              <c:tx>
                <c:rich>
                  <a:bodyPr/>
                  <a:lstStyle/>
                  <a:p>
                    <a:fld id="{B671A404-9C04-4E33-B3CE-723EDB3EB3A0}"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C-69E6-4A37-8BC8-1826E6F7EEC6}"/>
                </c:ext>
              </c:extLst>
            </c:dLbl>
            <c:dLbl>
              <c:idx val="10"/>
              <c:tx>
                <c:rich>
                  <a:bodyPr/>
                  <a:lstStyle/>
                  <a:p>
                    <a:fld id="{DD61935D-68FF-498A-A2F0-A40DC2814D27}"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D-69E6-4A37-8BC8-1826E6F7EEC6}"/>
                </c:ext>
              </c:extLst>
            </c:dLbl>
            <c:dLbl>
              <c:idx val="11"/>
              <c:tx>
                <c:rich>
                  <a:bodyPr/>
                  <a:lstStyle/>
                  <a:p>
                    <a:fld id="{4CC8946E-16EB-42E4-9953-BF28EC9D09CE}"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E-69E6-4A37-8BC8-1826E6F7EEC6}"/>
                </c:ext>
              </c:extLst>
            </c:dLbl>
            <c:dLbl>
              <c:idx val="12"/>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0F-69E6-4A37-8BC8-1826E6F7EEC6}"/>
                </c:ext>
              </c:extLst>
            </c:dLbl>
            <c:dLbl>
              <c:idx val="13"/>
              <c:tx>
                <c:rich>
                  <a:bodyPr/>
                  <a:lstStyle/>
                  <a:p>
                    <a:fld id="{16E74211-7F9A-4198-98F9-7FFF2BE5F103}"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10-69E6-4A37-8BC8-1826E6F7EEC6}"/>
                </c:ext>
              </c:extLst>
            </c:dLbl>
            <c:dLbl>
              <c:idx val="14"/>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11-69E6-4A37-8BC8-1826E6F7EEC6}"/>
                </c:ext>
              </c:extLst>
            </c:dLbl>
            <c:dLbl>
              <c:idx val="15"/>
              <c:tx>
                <c:rich>
                  <a:bodyPr/>
                  <a:lstStyle/>
                  <a:p>
                    <a:fld id="{CBC0EE6C-5316-406F-97F9-31D754B23CA6}"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12-69E6-4A37-8BC8-1826E6F7EEC6}"/>
                </c:ext>
              </c:extLst>
            </c:dLbl>
            <c:dLbl>
              <c:idx val="16"/>
              <c:tx>
                <c:rich>
                  <a:bodyPr/>
                  <a:lstStyle/>
                  <a:p>
                    <a:fld id="{5AF55D54-14F2-4E14-AB09-115BCC60AD8C}"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13-69E6-4A37-8BC8-1826E6F7EEC6}"/>
                </c:ext>
              </c:extLst>
            </c:dLbl>
            <c:dLbl>
              <c:idx val="17"/>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14-69E6-4A37-8BC8-1826E6F7EEC6}"/>
                </c:ext>
              </c:extLst>
            </c:dLbl>
            <c:dLbl>
              <c:idx val="18"/>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15-69E6-4A37-8BC8-1826E6F7EEC6}"/>
                </c:ext>
              </c:extLst>
            </c:dLbl>
            <c:dLbl>
              <c:idx val="19"/>
              <c:tx>
                <c:rich>
                  <a:bodyPr/>
                  <a:lstStyle/>
                  <a:p>
                    <a:fld id="{014F1A6E-4275-403D-9703-C3BA1FDE7939}"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16-69E6-4A37-8BC8-1826E6F7EEC6}"/>
                </c:ext>
              </c:extLst>
            </c:dLbl>
            <c:dLbl>
              <c:idx val="20"/>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17-69E6-4A37-8BC8-1826E6F7EEC6}"/>
                </c:ext>
              </c:extLst>
            </c:dLbl>
            <c:dLbl>
              <c:idx val="21"/>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18-69E6-4A37-8BC8-1826E6F7EEC6}"/>
                </c:ext>
              </c:extLst>
            </c:dLbl>
            <c:dLbl>
              <c:idx val="22"/>
              <c:tx>
                <c:rich>
                  <a:bodyPr/>
                  <a:lstStyle/>
                  <a:p>
                    <a:fld id="{ECAD7816-E98F-4AE5-A63F-8158896D85F6}"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19-69E6-4A37-8BC8-1826E6F7EEC6}"/>
                </c:ext>
              </c:extLst>
            </c:dLbl>
            <c:dLbl>
              <c:idx val="23"/>
              <c:tx>
                <c:rich>
                  <a:bodyPr/>
                  <a:lstStyle/>
                  <a:p>
                    <a:fld id="{B8CFEDD5-B904-43A5-89F9-6712D9E700A0}"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1A-69E6-4A37-8BC8-1826E6F7EEC6}"/>
                </c:ext>
              </c:extLst>
            </c:dLbl>
            <c:dLbl>
              <c:idx val="24"/>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1B-69E6-4A37-8BC8-1826E6F7EEC6}"/>
                </c:ext>
              </c:extLst>
            </c:dLbl>
            <c:dLbl>
              <c:idx val="25"/>
              <c:tx>
                <c:rich>
                  <a:bodyPr/>
                  <a:lstStyle/>
                  <a:p>
                    <a:fld id="{2D01FAFC-EB29-4BC3-853F-7F32574C5596}"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1C-69E6-4A37-8BC8-1826E6F7EEC6}"/>
                </c:ext>
              </c:extLst>
            </c:dLbl>
            <c:dLbl>
              <c:idx val="26"/>
              <c:tx>
                <c:rich>
                  <a:bodyPr/>
                  <a:lstStyle/>
                  <a:p>
                    <a:fld id="{0811CEE3-7868-44FA-8D7A-B6A96B3C4E1C}"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1D-69E6-4A37-8BC8-1826E6F7EEC6}"/>
                </c:ext>
              </c:extLst>
            </c:dLbl>
            <c:dLbl>
              <c:idx val="27"/>
              <c:tx>
                <c:rich>
                  <a:bodyPr/>
                  <a:lstStyle/>
                  <a:p>
                    <a:fld id="{A6E649E3-C507-485B-9CCE-17FF2BF48D50}"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1E-69E6-4A37-8BC8-1826E6F7EEC6}"/>
                </c:ext>
              </c:extLst>
            </c:dLbl>
            <c:dLbl>
              <c:idx val="28"/>
              <c:tx>
                <c:rich>
                  <a:bodyPr/>
                  <a:lstStyle/>
                  <a:p>
                    <a:fld id="{B836063E-DE36-49C2-993F-3B8B1E0A48B5}"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1F-69E6-4A37-8BC8-1826E6F7EEC6}"/>
                </c:ext>
              </c:extLst>
            </c:dLbl>
            <c:dLbl>
              <c:idx val="29"/>
              <c:tx>
                <c:rich>
                  <a:bodyPr/>
                  <a:lstStyle/>
                  <a:p>
                    <a:fld id="{1ECD1F66-FF2C-451E-910D-48A9E4230ECD}"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20-69E6-4A37-8BC8-1826E6F7EEC6}"/>
                </c:ext>
              </c:extLst>
            </c:dLbl>
            <c:dLbl>
              <c:idx val="30"/>
              <c:tx>
                <c:rich>
                  <a:bodyPr/>
                  <a:lstStyle/>
                  <a:p>
                    <a:fld id="{670674FF-5086-4401-A964-D36BA783C5A8}"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21-69E6-4A37-8BC8-1826E6F7EEC6}"/>
                </c:ext>
              </c:extLst>
            </c:dLbl>
            <c:dLbl>
              <c:idx val="31"/>
              <c:tx>
                <c:rich>
                  <a:bodyPr/>
                  <a:lstStyle/>
                  <a:p>
                    <a:fld id="{4BEA7879-0134-4691-AA60-170A9B533169}"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2-69E6-4A37-8BC8-1826E6F7EEC6}"/>
                </c:ext>
              </c:extLst>
            </c:dLbl>
            <c:dLbl>
              <c:idx val="32"/>
              <c:tx>
                <c:rich>
                  <a:bodyPr/>
                  <a:lstStyle/>
                  <a:p>
                    <a:fld id="{50CCDE91-4084-4B5F-A32A-006CE6CEB9C3}"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22-69E6-4A37-8BC8-1826E6F7EEC6}"/>
                </c:ext>
              </c:extLst>
            </c:dLbl>
            <c:dLbl>
              <c:idx val="33"/>
              <c:tx>
                <c:rich>
                  <a:bodyPr/>
                  <a:lstStyle/>
                  <a:p>
                    <a:fld id="{9E9BEAA9-4AFE-4571-9F20-EC4486566EA6}"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23-69E6-4A37-8BC8-1826E6F7EEC6}"/>
                </c:ext>
              </c:extLst>
            </c:dLbl>
            <c:dLbl>
              <c:idx val="34"/>
              <c:tx>
                <c:rich>
                  <a:bodyPr/>
                  <a:lstStyle/>
                  <a:p>
                    <a:fld id="{D9E2F907-965F-401D-AD3C-FF1896BBBEA6}"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24-69E6-4A37-8BC8-1826E6F7EEC6}"/>
                </c:ext>
              </c:extLst>
            </c:dLbl>
            <c:dLbl>
              <c:idx val="35"/>
              <c:tx>
                <c:rich>
                  <a:bodyPr/>
                  <a:lstStyle/>
                  <a:p>
                    <a:fld id="{0EB74B02-D984-41B3-A632-D285ABE06C67}"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25-69E6-4A37-8BC8-1826E6F7EEC6}"/>
                </c:ext>
              </c:extLst>
            </c:dLbl>
            <c:dLbl>
              <c:idx val="36"/>
              <c:tx>
                <c:rich>
                  <a:bodyPr/>
                  <a:lstStyle/>
                  <a:p>
                    <a:pPr>
                      <a:defRPr sz="800" b="0" i="0" u="none" strike="noStrike" baseline="0">
                        <a:solidFill>
                          <a:schemeClr val="bg1"/>
                        </a:solidFill>
                        <a:latin typeface="Arial"/>
                        <a:ea typeface="Arial"/>
                        <a:cs typeface="Arial"/>
                      </a:defRPr>
                    </a:pPr>
                    <a:r>
                      <a:rPr lang="en-US" sz="800">
                        <a:solidFill>
                          <a:schemeClr val="bg1"/>
                        </a:solidFill>
                      </a:rPr>
                      <a:t>Polaire</a:t>
                    </a:r>
                  </a:p>
                </c:rich>
              </c:tx>
              <c:spPr>
                <a:noFill/>
                <a:ln w="25400">
                  <a:noFill/>
                </a:ln>
              </c:spPr>
              <c:dLblPos val="t"/>
              <c:showLegendKey val="0"/>
              <c:showVal val="0"/>
              <c:showCatName val="0"/>
              <c:showSerName val="0"/>
              <c:showPercent val="0"/>
              <c:showBubbleSize val="0"/>
              <c:extLst>
                <c:ext xmlns:c15="http://schemas.microsoft.com/office/drawing/2012/chart" uri="{CE6537A1-D6FC-4f65-9D91-7224C49458BB}">
                  <c15:showDataLabelsRange val="1"/>
                </c:ext>
                <c:ext xmlns:c16="http://schemas.microsoft.com/office/drawing/2014/chart" uri="{C3380CC4-5D6E-409C-BE32-E72D297353CC}">
                  <c16:uniqueId val="{00000004-144D-46A3-A8B6-38208979D1B5}"/>
                </c:ext>
              </c:extLst>
            </c:dLbl>
            <c:dLbl>
              <c:idx val="37"/>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26-69E6-4A37-8BC8-1826E6F7EEC6}"/>
                </c:ext>
              </c:extLst>
            </c:dLbl>
            <c:dLbl>
              <c:idx val="38"/>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27-69E6-4A37-8BC8-1826E6F7EEC6}"/>
                </c:ext>
              </c:extLst>
            </c:dLbl>
            <c:dLbl>
              <c:idx val="39"/>
              <c:tx>
                <c:rich>
                  <a:bodyPr/>
                  <a:lstStyle/>
                  <a:p>
                    <a:fld id="{9DD1EE58-5BA9-472E-B9C0-6DA6ECE32F86}"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28-69E6-4A37-8BC8-1826E6F7EEC6}"/>
                </c:ext>
              </c:extLst>
            </c:dLbl>
            <c:dLbl>
              <c:idx val="40"/>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29-69E6-4A37-8BC8-1826E6F7EEC6}"/>
                </c:ext>
              </c:extLst>
            </c:dLbl>
            <c:dLbl>
              <c:idx val="41"/>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2A-69E6-4A37-8BC8-1826E6F7EEC6}"/>
                </c:ext>
              </c:extLst>
            </c:dLbl>
            <c:dLbl>
              <c:idx val="42"/>
              <c:tx>
                <c:rich>
                  <a:bodyPr/>
                  <a:lstStyle/>
                  <a:p>
                    <a:fld id="{864904B9-54C0-438F-977F-CC9FD4F736F7}"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2B-69E6-4A37-8BC8-1826E6F7EEC6}"/>
                </c:ext>
              </c:extLst>
            </c:dLbl>
            <c:dLbl>
              <c:idx val="43"/>
              <c:tx>
                <c:rich>
                  <a:bodyPr/>
                  <a:lstStyle/>
                  <a:p>
                    <a:fld id="{EDB11994-A5CE-41F9-A9D6-F523281DA5BE}"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2C-69E6-4A37-8BC8-1826E6F7EEC6}"/>
                </c:ext>
              </c:extLst>
            </c:dLbl>
            <c:dLbl>
              <c:idx val="44"/>
              <c:tx>
                <c:rich>
                  <a:bodyPr/>
                  <a:lstStyle/>
                  <a:p>
                    <a:fld id="{0004303E-14B4-405D-9088-7FF2D3467983}"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2D-69E6-4A37-8BC8-1826E6F7EEC6}"/>
                </c:ext>
              </c:extLst>
            </c:dLbl>
            <c:dLbl>
              <c:idx val="45"/>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2E-69E6-4A37-8BC8-1826E6F7EEC6}"/>
                </c:ext>
              </c:extLst>
            </c:dLbl>
            <c:dLbl>
              <c:idx val="46"/>
              <c:tx>
                <c:rich>
                  <a:bodyPr/>
                  <a:lstStyle/>
                  <a:p>
                    <a:fld id="{834D9741-A726-4BE0-B1A7-47DDA4B0CF0C}"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2F-69E6-4A37-8BC8-1826E6F7EEC6}"/>
                </c:ext>
              </c:extLst>
            </c:dLbl>
            <c:dLbl>
              <c:idx val="47"/>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30-69E6-4A37-8BC8-1826E6F7EEC6}"/>
                </c:ext>
              </c:extLst>
            </c:dLbl>
            <c:dLbl>
              <c:idx val="48"/>
              <c:tx>
                <c:rich>
                  <a:bodyPr/>
                  <a:lstStyle/>
                  <a:p>
                    <a:fld id="{F4A50B87-CD03-4698-95B4-58A51B103918}"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31-69E6-4A37-8BC8-1826E6F7EEC6}"/>
                </c:ext>
              </c:extLst>
            </c:dLbl>
            <c:spPr>
              <a:noFill/>
              <a:ln>
                <a:noFill/>
              </a:ln>
              <a:effectLst/>
            </c:spPr>
            <c:txPr>
              <a:bodyPr wrap="square" lIns="38100" tIns="19050" rIns="38100" bIns="19050" anchor="ctr">
                <a:spAutoFit/>
              </a:bodyPr>
              <a:lstStyle/>
              <a:p>
                <a:pPr>
                  <a:defRPr sz="800">
                    <a:solidFill>
                      <a:schemeClr val="bg1"/>
                    </a:solidFill>
                  </a:defRPr>
                </a:pPr>
                <a:endParaRPr lang="fr-FR"/>
              </a:p>
            </c:txPr>
            <c:dLblPos val="t"/>
            <c:showLegendKey val="0"/>
            <c:showVal val="0"/>
            <c:showCatName val="0"/>
            <c:showSerName val="0"/>
            <c:showPercent val="0"/>
            <c:showBubbleSize val="0"/>
            <c:showLeaderLines val="0"/>
            <c:extLst>
              <c:ext xmlns:c15="http://schemas.microsoft.com/office/drawing/2012/chart" uri="{CE6537A1-D6FC-4f65-9D91-7224C49458BB}">
                <c15:showDataLabelsRange val="1"/>
                <c15:showLeaderLines val="0"/>
              </c:ext>
            </c:extLst>
          </c:dLbls>
          <c:xVal>
            <c:numRef>
              <c:f>Calculs!$N$15:$N$63</c:f>
              <c:numCache>
                <c:formatCode>0.00</c:formatCode>
                <c:ptCount val="49"/>
                <c:pt idx="0">
                  <c:v>1000000</c:v>
                </c:pt>
                <c:pt idx="1">
                  <c:v>1000000</c:v>
                </c:pt>
                <c:pt idx="2">
                  <c:v>1000000</c:v>
                </c:pt>
                <c:pt idx="3">
                  <c:v>1000000</c:v>
                </c:pt>
                <c:pt idx="4">
                  <c:v>-0.8835693608194487</c:v>
                </c:pt>
                <c:pt idx="5">
                  <c:v>-0.95357016274092743</c:v>
                </c:pt>
                <c:pt idx="6">
                  <c:v>0.11181755649771186</c:v>
                </c:pt>
                <c:pt idx="7">
                  <c:v>0.27515904125112034</c:v>
                </c:pt>
                <c:pt idx="8">
                  <c:v>1000000</c:v>
                </c:pt>
                <c:pt idx="9">
                  <c:v>-0.98974126198584877</c:v>
                </c:pt>
                <c:pt idx="10">
                  <c:v>-0.99215421215274913</c:v>
                </c:pt>
                <c:pt idx="11">
                  <c:v>1000000</c:v>
                </c:pt>
                <c:pt idx="12">
                  <c:v>0.89279272382369879</c:v>
                </c:pt>
                <c:pt idx="13">
                  <c:v>1000000</c:v>
                </c:pt>
                <c:pt idx="14">
                  <c:v>1000000</c:v>
                </c:pt>
                <c:pt idx="15">
                  <c:v>1000000</c:v>
                </c:pt>
                <c:pt idx="16">
                  <c:v>-0.97649205046088883</c:v>
                </c:pt>
                <c:pt idx="17">
                  <c:v>-0.99065767669173699</c:v>
                </c:pt>
                <c:pt idx="18">
                  <c:v>1000000</c:v>
                </c:pt>
                <c:pt idx="19">
                  <c:v>-0.78984564778939481</c:v>
                </c:pt>
                <c:pt idx="20">
                  <c:v>-0.68676205347532004</c:v>
                </c:pt>
                <c:pt idx="21">
                  <c:v>0.55245166006579138</c:v>
                </c:pt>
                <c:pt idx="22">
                  <c:v>-0.1324726473691144</c:v>
                </c:pt>
                <c:pt idx="23">
                  <c:v>1000000</c:v>
                </c:pt>
                <c:pt idx="24">
                  <c:v>0.26478903917054475</c:v>
                </c:pt>
                <c:pt idx="25">
                  <c:v>1000000</c:v>
                </c:pt>
                <c:pt idx="26">
                  <c:v>1000000</c:v>
                </c:pt>
                <c:pt idx="27">
                  <c:v>1000000</c:v>
                </c:pt>
                <c:pt idx="28">
                  <c:v>-0.71675186402051727</c:v>
                </c:pt>
                <c:pt idx="29">
                  <c:v>1000000</c:v>
                </c:pt>
                <c:pt idx="30">
                  <c:v>1000000</c:v>
                </c:pt>
                <c:pt idx="31">
                  <c:v>-0.49096926610321673</c:v>
                </c:pt>
                <c:pt idx="32">
                  <c:v>1000000</c:v>
                </c:pt>
                <c:pt idx="33">
                  <c:v>1000000</c:v>
                </c:pt>
                <c:pt idx="34">
                  <c:v>1000000</c:v>
                </c:pt>
                <c:pt idx="35">
                  <c:v>1000000</c:v>
                </c:pt>
                <c:pt idx="36">
                  <c:v>8.0612572896161778E-17</c:v>
                </c:pt>
                <c:pt idx="37">
                  <c:v>-0.80573038596412216</c:v>
                </c:pt>
                <c:pt idx="38">
                  <c:v>1000000</c:v>
                </c:pt>
                <c:pt idx="39">
                  <c:v>0.96729584435619564</c:v>
                </c:pt>
                <c:pt idx="40">
                  <c:v>1000000</c:v>
                </c:pt>
                <c:pt idx="41">
                  <c:v>-0.96218316039394958</c:v>
                </c:pt>
                <c:pt idx="42">
                  <c:v>1000000</c:v>
                </c:pt>
                <c:pt idx="43">
                  <c:v>1000000</c:v>
                </c:pt>
                <c:pt idx="44">
                  <c:v>1000000</c:v>
                </c:pt>
                <c:pt idx="45">
                  <c:v>1000000</c:v>
                </c:pt>
                <c:pt idx="46">
                  <c:v>2.2967009219450711E-3</c:v>
                </c:pt>
                <c:pt idx="47">
                  <c:v>0.78028950441649558</c:v>
                </c:pt>
                <c:pt idx="48">
                  <c:v>1000000</c:v>
                </c:pt>
              </c:numCache>
            </c:numRef>
          </c:xVal>
          <c:yVal>
            <c:numRef>
              <c:f>Calculs!$R$15:$R$63</c:f>
              <c:numCache>
                <c:formatCode>0.00</c:formatCode>
                <c:ptCount val="49"/>
                <c:pt idx="2">
                  <c:v>1000000</c:v>
                </c:pt>
                <c:pt idx="5">
                  <c:v>0.27159716446240834</c:v>
                </c:pt>
                <c:pt idx="6">
                  <c:v>0.95714872903714177</c:v>
                </c:pt>
                <c:pt idx="7">
                  <c:v>0.94479059746710325</c:v>
                </c:pt>
                <c:pt idx="8">
                  <c:v>1000000</c:v>
                </c:pt>
                <c:pt idx="9">
                  <c:v>-0.11856400112817905</c:v>
                </c:pt>
                <c:pt idx="10">
                  <c:v>-0.11334618031473702</c:v>
                </c:pt>
                <c:pt idx="11">
                  <c:v>1000000</c:v>
                </c:pt>
                <c:pt idx="13">
                  <c:v>1000000</c:v>
                </c:pt>
                <c:pt idx="15">
                  <c:v>1000000</c:v>
                </c:pt>
                <c:pt idx="16">
                  <c:v>-7.2170542174086888E-2</c:v>
                </c:pt>
                <c:pt idx="19">
                  <c:v>0.58125008045217375</c:v>
                </c:pt>
                <c:pt idx="22">
                  <c:v>0.92014551011195911</c:v>
                </c:pt>
                <c:pt idx="23">
                  <c:v>1000000</c:v>
                </c:pt>
                <c:pt idx="25">
                  <c:v>1000000</c:v>
                </c:pt>
                <c:pt idx="26">
                  <c:v>1000000</c:v>
                </c:pt>
                <c:pt idx="27">
                  <c:v>1000000</c:v>
                </c:pt>
                <c:pt idx="28">
                  <c:v>0.43353185301688318</c:v>
                </c:pt>
                <c:pt idx="29">
                  <c:v>1000000</c:v>
                </c:pt>
                <c:pt idx="30">
                  <c:v>1000000</c:v>
                </c:pt>
                <c:pt idx="31">
                  <c:v>0.17182920688460124</c:v>
                </c:pt>
                <c:pt idx="32">
                  <c:v>1000000</c:v>
                </c:pt>
                <c:pt idx="33">
                  <c:v>1000000</c:v>
                </c:pt>
                <c:pt idx="34">
                  <c:v>1000000</c:v>
                </c:pt>
                <c:pt idx="35">
                  <c:v>1000000</c:v>
                </c:pt>
                <c:pt idx="36">
                  <c:v>0.65825161142206379</c:v>
                </c:pt>
                <c:pt idx="39">
                  <c:v>0.24549967390825722</c:v>
                </c:pt>
                <c:pt idx="42">
                  <c:v>1000000</c:v>
                </c:pt>
                <c:pt idx="43">
                  <c:v>1000000</c:v>
                </c:pt>
                <c:pt idx="44">
                  <c:v>1000000</c:v>
                </c:pt>
                <c:pt idx="46">
                  <c:v>-0.35347259233065809</c:v>
                </c:pt>
                <c:pt idx="48">
                  <c:v>1000000</c:v>
                </c:pt>
              </c:numCache>
            </c:numRef>
          </c:yVal>
          <c:smooth val="0"/>
          <c:extLst>
            <c:ext xmlns:c15="http://schemas.microsoft.com/office/drawing/2012/chart" uri="{02D57815-91ED-43cb-92C2-25804820EDAC}">
              <c15:datalabelsRange>
                <c15:f>Calculs!$A$15:$A$63</c15:f>
                <c15:dlblRangeCache>
                  <c:ptCount val="49"/>
                  <c:pt idx="0">
                    <c:v>Achernar</c:v>
                  </c:pt>
                  <c:pt idx="1">
                    <c:v>Acrux</c:v>
                  </c:pt>
                  <c:pt idx="2">
                    <c:v>Adara</c:v>
                  </c:pt>
                  <c:pt idx="3">
                    <c:v>Agena</c:v>
                  </c:pt>
                  <c:pt idx="4">
                    <c:v>Aldebaran</c:v>
                  </c:pt>
                  <c:pt idx="5">
                    <c:v>Alhena</c:v>
                  </c:pt>
                  <c:pt idx="6">
                    <c:v>Alioth</c:v>
                  </c:pt>
                  <c:pt idx="7">
                    <c:v>Alkaid</c:v>
                  </c:pt>
                  <c:pt idx="8">
                    <c:v>AlNair</c:v>
                  </c:pt>
                  <c:pt idx="9">
                    <c:v>Alnilam</c:v>
                  </c:pt>
                  <c:pt idx="10">
                    <c:v>Alnitak</c:v>
                  </c:pt>
                  <c:pt idx="11">
                    <c:v>Alphard</c:v>
                  </c:pt>
                  <c:pt idx="12">
                    <c:v>Altair</c:v>
                  </c:pt>
                  <c:pt idx="13">
                    <c:v>Antares</c:v>
                  </c:pt>
                  <c:pt idx="14">
                    <c:v>Arcturus</c:v>
                  </c:pt>
                  <c:pt idx="15">
                    <c:v>Atria</c:v>
                  </c:pt>
                  <c:pt idx="16">
                    <c:v>Bellatrix</c:v>
                  </c:pt>
                  <c:pt idx="17">
                    <c:v>Betelgeuse</c:v>
                  </c:pt>
                  <c:pt idx="18">
                    <c:v>Canopus</c:v>
                  </c:pt>
                  <c:pt idx="19">
                    <c:v>Castor</c:v>
                  </c:pt>
                  <c:pt idx="20">
                    <c:v>Chèvre</c:v>
                  </c:pt>
                  <c:pt idx="21">
                    <c:v>Deneb</c:v>
                  </c:pt>
                  <c:pt idx="22">
                    <c:v>Dubhe</c:v>
                  </c:pt>
                  <c:pt idx="23">
                    <c:v>Epi</c:v>
                  </c:pt>
                  <c:pt idx="24">
                    <c:v>Fomalhaut</c:v>
                  </c:pt>
                  <c:pt idx="25">
                    <c:v>Gacrux</c:v>
                  </c:pt>
                  <c:pt idx="26">
                    <c:v>KausAustra</c:v>
                  </c:pt>
                  <c:pt idx="27">
                    <c:v>Kooshe</c:v>
                  </c:pt>
                  <c:pt idx="28">
                    <c:v>Menkalinan</c:v>
                  </c:pt>
                  <c:pt idx="29">
                    <c:v>Miaplacidus</c:v>
                  </c:pt>
                  <c:pt idx="30">
                    <c:v>Mimosa</c:v>
                  </c:pt>
                  <c:pt idx="31">
                    <c:v>Mirfak</c:v>
                  </c:pt>
                  <c:pt idx="32">
                    <c:v>Mirzam</c:v>
                  </c:pt>
                  <c:pt idx="33">
                    <c:v>Nath</c:v>
                  </c:pt>
                  <c:pt idx="34">
                    <c:v>Nunki</c:v>
                  </c:pt>
                  <c:pt idx="35">
                    <c:v>Peacock</c:v>
                  </c:pt>
                  <c:pt idx="36">
                    <c:v>Polaire</c:v>
                  </c:pt>
                  <c:pt idx="37">
                    <c:v>Pollux</c:v>
                  </c:pt>
                  <c:pt idx="38">
                    <c:v>Procyon</c:v>
                  </c:pt>
                  <c:pt idx="39">
                    <c:v>RasAlague</c:v>
                  </c:pt>
                  <c:pt idx="40">
                    <c:v>Regulus</c:v>
                  </c:pt>
                  <c:pt idx="41">
                    <c:v>Rigel</c:v>
                  </c:pt>
                  <c:pt idx="42">
                    <c:v>Rigil</c:v>
                  </c:pt>
                  <c:pt idx="43">
                    <c:v>Sargas</c:v>
                  </c:pt>
                  <c:pt idx="44">
                    <c:v>Schaula</c:v>
                  </c:pt>
                  <c:pt idx="45">
                    <c:v>Sirius</c:v>
                  </c:pt>
                  <c:pt idx="46">
                    <c:v>Sirrah</c:v>
                  </c:pt>
                  <c:pt idx="47">
                    <c:v>Vega</c:v>
                  </c:pt>
                  <c:pt idx="48">
                    <c:v>Wezen</c:v>
                  </c:pt>
                </c15:dlblRangeCache>
              </c15:datalabelsRange>
            </c:ext>
            <c:ext xmlns:c16="http://schemas.microsoft.com/office/drawing/2014/chart" uri="{C3380CC4-5D6E-409C-BE32-E72D297353CC}">
              <c16:uniqueId val="{00000005-144D-46A3-A8B6-38208979D1B5}"/>
            </c:ext>
          </c:extLst>
        </c:ser>
        <c:ser>
          <c:idx val="5"/>
          <c:order val="4"/>
          <c:tx>
            <c:v>Constellations</c:v>
          </c:tx>
          <c:spPr>
            <a:ln w="12700">
              <a:solidFill>
                <a:srgbClr val="FF0000"/>
              </a:solidFill>
              <a:prstDash val="solid"/>
            </a:ln>
          </c:spPr>
          <c:marker>
            <c:symbol val="none"/>
          </c:marker>
          <c:dLbls>
            <c:dLbl>
              <c:idx val="7"/>
              <c:tx>
                <c:rich>
                  <a:bodyPr/>
                  <a:lstStyle/>
                  <a:p>
                    <a:pPr>
                      <a:defRPr sz="600" b="0" i="0" u="none" strike="noStrike" baseline="0">
                        <a:solidFill>
                          <a:srgbClr val="FFFFFF"/>
                        </a:solidFill>
                        <a:latin typeface="Arial"/>
                        <a:ea typeface="Arial"/>
                        <a:cs typeface="Arial"/>
                      </a:defRPr>
                    </a:pPr>
                    <a:r>
                      <a:rPr lang="en-US"/>
                      <a:t>Petite Ourse</a:t>
                    </a:r>
                  </a:p>
                </c:rich>
              </c:tx>
              <c:spPr>
                <a:noFill/>
                <a:ln w="25400">
                  <a:noFill/>
                </a:ln>
              </c:spPr>
              <c:showLegendKey val="0"/>
              <c:showVal val="0"/>
              <c:showCatName val="0"/>
              <c:showSerName val="0"/>
              <c:showPercent val="0"/>
              <c:showBubbleSize val="0"/>
              <c:extLst>
                <c:ext xmlns:c15="http://schemas.microsoft.com/office/drawing/2012/chart" uri="{CE6537A1-D6FC-4f65-9D91-7224C49458BB}">
                  <c15:showDataLabelsRange val="0"/>
                </c:ext>
                <c:ext xmlns:c16="http://schemas.microsoft.com/office/drawing/2014/chart" uri="{C3380CC4-5D6E-409C-BE32-E72D297353CC}">
                  <c16:uniqueId val="{00000006-144D-46A3-A8B6-38208979D1B5}"/>
                </c:ext>
              </c:extLst>
            </c:dLbl>
            <c:dLbl>
              <c:idx val="15"/>
              <c:tx>
                <c:rich>
                  <a:bodyPr/>
                  <a:lstStyle/>
                  <a:p>
                    <a:pPr>
                      <a:defRPr sz="600" b="0" i="0" u="none" strike="noStrike" baseline="0">
                        <a:solidFill>
                          <a:srgbClr val="FFFFFF"/>
                        </a:solidFill>
                        <a:latin typeface="Arial"/>
                        <a:ea typeface="Arial"/>
                        <a:cs typeface="Arial"/>
                      </a:defRPr>
                    </a:pPr>
                    <a:r>
                      <a:rPr lang="en-US"/>
                      <a:t>Grande Ourse</a:t>
                    </a:r>
                  </a:p>
                </c:rich>
              </c:tx>
              <c:spPr>
                <a:noFill/>
                <a:ln w="25400">
                  <a:noFill/>
                </a:ln>
              </c:spPr>
              <c:showLegendKey val="0"/>
              <c:showVal val="0"/>
              <c:showCatName val="0"/>
              <c:showSerName val="0"/>
              <c:showPercent val="0"/>
              <c:showBubbleSize val="0"/>
              <c:extLst>
                <c:ext xmlns:c15="http://schemas.microsoft.com/office/drawing/2012/chart" uri="{CE6537A1-D6FC-4f65-9D91-7224C49458BB}">
                  <c15:showDataLabelsRange val="0"/>
                </c:ext>
                <c:ext xmlns:c16="http://schemas.microsoft.com/office/drawing/2014/chart" uri="{C3380CC4-5D6E-409C-BE32-E72D297353CC}">
                  <c16:uniqueId val="{00000007-144D-46A3-A8B6-38208979D1B5}"/>
                </c:ext>
              </c:extLst>
            </c:dLbl>
            <c:dLbl>
              <c:idx val="19"/>
              <c:tx>
                <c:rich>
                  <a:bodyPr/>
                  <a:lstStyle/>
                  <a:p>
                    <a:pPr>
                      <a:defRPr sz="600" b="0" i="0" u="none" strike="noStrike" baseline="0">
                        <a:solidFill>
                          <a:srgbClr val="FFFFFF"/>
                        </a:solidFill>
                        <a:latin typeface="Arial"/>
                        <a:ea typeface="Arial"/>
                        <a:cs typeface="Arial"/>
                      </a:defRPr>
                    </a:pPr>
                    <a:r>
                      <a:rPr lang="en-US"/>
                      <a:t>Cassiopée</a:t>
                    </a:r>
                  </a:p>
                </c:rich>
              </c:tx>
              <c:spPr>
                <a:noFill/>
                <a:ln w="25400">
                  <a:noFill/>
                </a:ln>
              </c:spPr>
              <c:showLegendKey val="0"/>
              <c:showVal val="0"/>
              <c:showCatName val="0"/>
              <c:showSerName val="0"/>
              <c:showPercent val="0"/>
              <c:showBubbleSize val="0"/>
              <c:extLst>
                <c:ext xmlns:c15="http://schemas.microsoft.com/office/drawing/2012/chart" uri="{CE6537A1-D6FC-4f65-9D91-7224C49458BB}">
                  <c15:showDataLabelsRange val="0"/>
                </c:ext>
                <c:ext xmlns:c16="http://schemas.microsoft.com/office/drawing/2014/chart" uri="{C3380CC4-5D6E-409C-BE32-E72D297353CC}">
                  <c16:uniqueId val="{00000008-144D-46A3-A8B6-38208979D1B5}"/>
                </c:ext>
              </c:extLst>
            </c:dLbl>
            <c:dLbl>
              <c:idx val="25"/>
              <c:tx>
                <c:rich>
                  <a:bodyPr/>
                  <a:lstStyle/>
                  <a:p>
                    <a:pPr>
                      <a:defRPr sz="600" b="0" i="0" u="none" strike="noStrike" baseline="0">
                        <a:solidFill>
                          <a:srgbClr val="FFFFFF"/>
                        </a:solidFill>
                        <a:latin typeface="Arial"/>
                        <a:ea typeface="Arial"/>
                        <a:cs typeface="Arial"/>
                      </a:defRPr>
                    </a:pPr>
                    <a:r>
                      <a:rPr lang="en-US"/>
                      <a:t>Orion</a:t>
                    </a:r>
                  </a:p>
                </c:rich>
              </c:tx>
              <c:spPr>
                <a:noFill/>
                <a:ln w="25400">
                  <a:noFill/>
                </a:ln>
              </c:spPr>
              <c:showLegendKey val="0"/>
              <c:showVal val="0"/>
              <c:showCatName val="0"/>
              <c:showSerName val="0"/>
              <c:showPercent val="0"/>
              <c:showBubbleSize val="0"/>
              <c:extLst>
                <c:ext xmlns:c15="http://schemas.microsoft.com/office/drawing/2012/chart" uri="{CE6537A1-D6FC-4f65-9D91-7224C49458BB}">
                  <c15:showDataLabelsRange val="0"/>
                </c:ext>
                <c:ext xmlns:c16="http://schemas.microsoft.com/office/drawing/2014/chart" uri="{C3380CC4-5D6E-409C-BE32-E72D297353CC}">
                  <c16:uniqueId val="{00000009-144D-46A3-A8B6-38208979D1B5}"/>
                </c:ext>
              </c:extLst>
            </c:dLbl>
            <c:dLbl>
              <c:idx val="35"/>
              <c:tx>
                <c:rich>
                  <a:bodyPr/>
                  <a:lstStyle/>
                  <a:p>
                    <a:pPr>
                      <a:defRPr sz="600" b="0" i="0" u="none" strike="noStrike" baseline="0">
                        <a:solidFill>
                          <a:srgbClr val="FFFFFF"/>
                        </a:solidFill>
                        <a:latin typeface="Arial"/>
                        <a:ea typeface="Arial"/>
                        <a:cs typeface="Arial"/>
                      </a:defRPr>
                    </a:pPr>
                    <a:r>
                      <a:rPr lang="en-US"/>
                      <a:t>Cygne</a:t>
                    </a:r>
                  </a:p>
                </c:rich>
              </c:tx>
              <c:spPr>
                <a:noFill/>
                <a:ln w="25400">
                  <a:noFill/>
                </a:ln>
              </c:spPr>
              <c:showLegendKey val="0"/>
              <c:showVal val="0"/>
              <c:showCatName val="0"/>
              <c:showSerName val="0"/>
              <c:showPercent val="0"/>
              <c:showBubbleSize val="0"/>
              <c:extLst>
                <c:ext xmlns:c15="http://schemas.microsoft.com/office/drawing/2012/chart" uri="{CE6537A1-D6FC-4f65-9D91-7224C49458BB}">
                  <c15:showDataLabelsRange val="0"/>
                </c:ext>
                <c:ext xmlns:c16="http://schemas.microsoft.com/office/drawing/2014/chart" uri="{C3380CC4-5D6E-409C-BE32-E72D297353CC}">
                  <c16:uniqueId val="{0000000A-144D-46A3-A8B6-38208979D1B5}"/>
                </c:ext>
              </c:extLst>
            </c:dLbl>
            <c:dLbl>
              <c:idx val="45"/>
              <c:tx>
                <c:rich>
                  <a:bodyPr/>
                  <a:lstStyle/>
                  <a:p>
                    <a:pPr>
                      <a:defRPr sz="600" b="0" i="0" u="none" strike="noStrike" baseline="0">
                        <a:solidFill>
                          <a:srgbClr val="FFFFFF"/>
                        </a:solidFill>
                        <a:latin typeface="Arial"/>
                        <a:ea typeface="Arial"/>
                        <a:cs typeface="Arial"/>
                      </a:defRPr>
                    </a:pPr>
                    <a:r>
                      <a:rPr lang="en-US"/>
                      <a:t>Pégase</a:t>
                    </a:r>
                  </a:p>
                </c:rich>
              </c:tx>
              <c:spPr>
                <a:noFill/>
                <a:ln w="25400">
                  <a:noFill/>
                </a:ln>
              </c:spPr>
              <c:showLegendKey val="0"/>
              <c:showVal val="0"/>
              <c:showCatName val="0"/>
              <c:showSerName val="0"/>
              <c:showPercent val="0"/>
              <c:showBubbleSize val="0"/>
              <c:extLst>
                <c:ext xmlns:c15="http://schemas.microsoft.com/office/drawing/2012/chart" uri="{CE6537A1-D6FC-4f65-9D91-7224C49458BB}">
                  <c15:showDataLabelsRange val="0"/>
                </c:ext>
                <c:ext xmlns:c16="http://schemas.microsoft.com/office/drawing/2014/chart" uri="{C3380CC4-5D6E-409C-BE32-E72D297353CC}">
                  <c16:uniqueId val="{0000000B-144D-46A3-A8B6-38208979D1B5}"/>
                </c:ext>
              </c:extLst>
            </c:dLbl>
            <c:dLbl>
              <c:idx val="55"/>
              <c:spPr>
                <a:noFill/>
                <a:ln w="25400">
                  <a:noFill/>
                </a:ln>
              </c:spPr>
              <c:txPr>
                <a:bodyPr/>
                <a:lstStyle/>
                <a:p>
                  <a:pPr>
                    <a:defRPr sz="600" b="0" i="0" u="none" strike="noStrike" baseline="0">
                      <a:solidFill>
                        <a:srgbClr val="FFFFFF"/>
                      </a:solidFill>
                      <a:latin typeface="Arial"/>
                      <a:ea typeface="Arial"/>
                      <a:cs typeface="Arial"/>
                    </a:defRPr>
                  </a:pPr>
                  <a:endParaRPr lang="fr-FR"/>
                </a:p>
              </c:txPr>
              <c:showLegendKey val="0"/>
              <c:showVal val="0"/>
              <c:showCatName val="0"/>
              <c:showSerName val="0"/>
              <c:showPercent val="0"/>
              <c:showBubbleSize val="0"/>
              <c:extLst>
                <c:ext xmlns:c16="http://schemas.microsoft.com/office/drawing/2014/chart" uri="{C3380CC4-5D6E-409C-BE32-E72D297353CC}">
                  <c16:uniqueId val="{0000000C-144D-46A3-A8B6-38208979D1B5}"/>
                </c:ext>
              </c:extLst>
            </c:dLbl>
            <c:dLbl>
              <c:idx val="59"/>
              <c:tx>
                <c:rich>
                  <a:bodyPr/>
                  <a:lstStyle/>
                  <a:p>
                    <a:pPr>
                      <a:defRPr sz="600" b="0" i="0" u="none" strike="noStrike" baseline="0">
                        <a:solidFill>
                          <a:srgbClr val="FFFFFF"/>
                        </a:solidFill>
                        <a:latin typeface="Arial"/>
                        <a:ea typeface="Arial"/>
                        <a:cs typeface="Arial"/>
                      </a:defRPr>
                    </a:pPr>
                    <a:r>
                      <a:rPr lang="en-US"/>
                      <a:t>Hydre</a:t>
                    </a:r>
                  </a:p>
                </c:rich>
              </c:tx>
              <c:spPr>
                <a:noFill/>
                <a:ln w="25400">
                  <a:noFill/>
                </a:ln>
              </c:spPr>
              <c:showLegendKey val="0"/>
              <c:showVal val="0"/>
              <c:showCatName val="0"/>
              <c:showSerName val="0"/>
              <c:showPercent val="0"/>
              <c:showBubbleSize val="0"/>
              <c:extLst>
                <c:ext xmlns:c15="http://schemas.microsoft.com/office/drawing/2012/chart" uri="{CE6537A1-D6FC-4f65-9D91-7224C49458BB}">
                  <c15:showDataLabelsRange val="0"/>
                </c:ext>
                <c:ext xmlns:c16="http://schemas.microsoft.com/office/drawing/2014/chart" uri="{C3380CC4-5D6E-409C-BE32-E72D297353CC}">
                  <c16:uniqueId val="{0000000D-144D-46A3-A8B6-38208979D1B5}"/>
                </c:ext>
              </c:extLst>
            </c:dLbl>
            <c:dLbl>
              <c:idx val="69"/>
              <c:tx>
                <c:rich>
                  <a:bodyPr/>
                  <a:lstStyle/>
                  <a:p>
                    <a:pPr>
                      <a:defRPr sz="600" b="0" i="0" u="none" strike="noStrike" baseline="0">
                        <a:solidFill>
                          <a:srgbClr val="FFFFFF"/>
                        </a:solidFill>
                        <a:latin typeface="Arial"/>
                        <a:ea typeface="Arial"/>
                        <a:cs typeface="Arial"/>
                      </a:defRPr>
                    </a:pPr>
                    <a:r>
                      <a:rPr lang="en-US"/>
                      <a:t>Croix</a:t>
                    </a:r>
                  </a:p>
                </c:rich>
              </c:tx>
              <c:spPr>
                <a:noFill/>
                <a:ln w="25400">
                  <a:noFill/>
                </a:ln>
              </c:spPr>
              <c:showLegendKey val="0"/>
              <c:showVal val="0"/>
              <c:showCatName val="0"/>
              <c:showSerName val="0"/>
              <c:showPercent val="0"/>
              <c:showBubbleSize val="0"/>
              <c:extLst>
                <c:ext xmlns:c15="http://schemas.microsoft.com/office/drawing/2012/chart" uri="{CE6537A1-D6FC-4f65-9D91-7224C49458BB}">
                  <c15:showDataLabelsRange val="0"/>
                </c:ext>
                <c:ext xmlns:c16="http://schemas.microsoft.com/office/drawing/2014/chart" uri="{C3380CC4-5D6E-409C-BE32-E72D297353CC}">
                  <c16:uniqueId val="{0000000E-144D-46A3-A8B6-38208979D1B5}"/>
                </c:ext>
              </c:extLst>
            </c:dLbl>
            <c:dLbl>
              <c:idx val="79"/>
              <c:tx>
                <c:rich>
                  <a:bodyPr/>
                  <a:lstStyle/>
                  <a:p>
                    <a:pPr>
                      <a:defRPr sz="600" b="0" i="0" u="none" strike="noStrike" baseline="0">
                        <a:solidFill>
                          <a:srgbClr val="FFFFFF"/>
                        </a:solidFill>
                        <a:latin typeface="Arial"/>
                        <a:ea typeface="Arial"/>
                        <a:cs typeface="Arial"/>
                      </a:defRPr>
                    </a:pPr>
                    <a:r>
                      <a:rPr lang="en-US"/>
                      <a:t>Triangle</a:t>
                    </a:r>
                  </a:p>
                </c:rich>
              </c:tx>
              <c:spPr>
                <a:noFill/>
                <a:ln w="25400">
                  <a:noFill/>
                </a:ln>
              </c:spPr>
              <c:showLegendKey val="0"/>
              <c:showVal val="0"/>
              <c:showCatName val="0"/>
              <c:showSerName val="0"/>
              <c:showPercent val="0"/>
              <c:showBubbleSize val="0"/>
              <c:extLst>
                <c:ext xmlns:c15="http://schemas.microsoft.com/office/drawing/2012/chart" uri="{CE6537A1-D6FC-4f65-9D91-7224C49458BB}">
                  <c15:showDataLabelsRange val="0"/>
                </c:ext>
                <c:ext xmlns:c16="http://schemas.microsoft.com/office/drawing/2014/chart" uri="{C3380CC4-5D6E-409C-BE32-E72D297353CC}">
                  <c16:uniqueId val="{0000000F-144D-46A3-A8B6-38208979D1B5}"/>
                </c:ext>
              </c:extLst>
            </c:dLbl>
            <c:dLbl>
              <c:idx val="84"/>
              <c:tx>
                <c:rich>
                  <a:bodyPr/>
                  <a:lstStyle/>
                  <a:p>
                    <a:pPr>
                      <a:defRPr sz="600" b="0" i="0" u="none" strike="noStrike" baseline="0">
                        <a:solidFill>
                          <a:srgbClr val="FFFFFF"/>
                        </a:solidFill>
                        <a:latin typeface="Arial"/>
                        <a:ea typeface="Arial"/>
                        <a:cs typeface="Arial"/>
                      </a:defRPr>
                    </a:pPr>
                    <a:r>
                      <a:rPr lang="en-US"/>
                      <a:t>Carène</a:t>
                    </a:r>
                  </a:p>
                </c:rich>
              </c:tx>
              <c:spPr>
                <a:noFill/>
                <a:ln w="25400">
                  <a:noFill/>
                </a:ln>
              </c:spPr>
              <c:showLegendKey val="0"/>
              <c:showVal val="0"/>
              <c:showCatName val="0"/>
              <c:showSerName val="0"/>
              <c:showPercent val="0"/>
              <c:showBubbleSize val="0"/>
              <c:extLst>
                <c:ext xmlns:c15="http://schemas.microsoft.com/office/drawing/2012/chart" uri="{CE6537A1-D6FC-4f65-9D91-7224C49458BB}">
                  <c15:showDataLabelsRange val="0"/>
                </c:ext>
                <c:ext xmlns:c16="http://schemas.microsoft.com/office/drawing/2014/chart" uri="{C3380CC4-5D6E-409C-BE32-E72D297353CC}">
                  <c16:uniqueId val="{00000010-144D-46A3-A8B6-38208979D1B5}"/>
                </c:ext>
              </c:extLst>
            </c:dLbl>
            <c:dLbl>
              <c:idx val="99"/>
              <c:tx>
                <c:rich>
                  <a:bodyPr/>
                  <a:lstStyle/>
                  <a:p>
                    <a:pPr>
                      <a:defRPr sz="600" b="0" i="0" u="none" strike="noStrike" baseline="0">
                        <a:solidFill>
                          <a:srgbClr val="FFFFFF"/>
                        </a:solidFill>
                        <a:latin typeface="Arial"/>
                        <a:ea typeface="Arial"/>
                        <a:cs typeface="Arial"/>
                      </a:defRPr>
                    </a:pPr>
                    <a:r>
                      <a:rPr lang="en-US"/>
                      <a:t>Centaure</a:t>
                    </a:r>
                  </a:p>
                </c:rich>
              </c:tx>
              <c:spPr>
                <a:noFill/>
                <a:ln w="25400">
                  <a:noFill/>
                </a:ln>
              </c:spPr>
              <c:showLegendKey val="0"/>
              <c:showVal val="0"/>
              <c:showCatName val="0"/>
              <c:showSerName val="0"/>
              <c:showPercent val="0"/>
              <c:showBubbleSize val="0"/>
              <c:extLst>
                <c:ext xmlns:c15="http://schemas.microsoft.com/office/drawing/2012/chart" uri="{CE6537A1-D6FC-4f65-9D91-7224C49458BB}">
                  <c15:showDataLabelsRange val="0"/>
                </c:ext>
                <c:ext xmlns:c16="http://schemas.microsoft.com/office/drawing/2014/chart" uri="{C3380CC4-5D6E-409C-BE32-E72D297353CC}">
                  <c16:uniqueId val="{00000011-144D-46A3-A8B6-38208979D1B5}"/>
                </c:ext>
              </c:extLst>
            </c:dLbl>
            <c:dLbl>
              <c:idx val="104"/>
              <c:tx>
                <c:rich>
                  <a:bodyPr/>
                  <a:lstStyle/>
                  <a:p>
                    <a:pPr>
                      <a:defRPr sz="600" b="0" i="0" u="none" strike="noStrike" baseline="0">
                        <a:solidFill>
                          <a:srgbClr val="FFFFFF"/>
                        </a:solidFill>
                        <a:latin typeface="Arial"/>
                        <a:ea typeface="Arial"/>
                        <a:cs typeface="Arial"/>
                      </a:defRPr>
                    </a:pPr>
                    <a:r>
                      <a:rPr lang="en-US"/>
                      <a:t>Hydrus</a:t>
                    </a:r>
                  </a:p>
                </c:rich>
              </c:tx>
              <c:spPr>
                <a:noFill/>
                <a:ln w="25400">
                  <a:noFill/>
                </a:ln>
              </c:spPr>
              <c:showLegendKey val="0"/>
              <c:showVal val="0"/>
              <c:showCatName val="0"/>
              <c:showSerName val="0"/>
              <c:showPercent val="0"/>
              <c:showBubbleSize val="0"/>
              <c:extLst>
                <c:ext xmlns:c15="http://schemas.microsoft.com/office/drawing/2012/chart" uri="{CE6537A1-D6FC-4f65-9D91-7224C49458BB}">
                  <c15:showDataLabelsRange val="0"/>
                </c:ext>
                <c:ext xmlns:c16="http://schemas.microsoft.com/office/drawing/2014/chart" uri="{C3380CC4-5D6E-409C-BE32-E72D297353CC}">
                  <c16:uniqueId val="{00000012-144D-46A3-A8B6-38208979D1B5}"/>
                </c:ext>
              </c:extLst>
            </c:dLbl>
            <c:spPr>
              <a:noFill/>
              <a:ln>
                <a:noFill/>
              </a:ln>
              <a:effectLst/>
            </c:spPr>
            <c:showLegendKey val="0"/>
            <c:showVal val="0"/>
            <c:showCatName val="0"/>
            <c:showSerName val="0"/>
            <c:showPercent val="0"/>
            <c:showBubbleSize val="0"/>
            <c:extLst>
              <c:ext xmlns:c15="http://schemas.microsoft.com/office/drawing/2012/chart" uri="{CE6537A1-D6FC-4f65-9D91-7224C49458BB}">
                <c15:showLeaderLines val="0"/>
              </c:ext>
            </c:extLst>
          </c:dLbls>
          <c:xVal>
            <c:numRef>
              <c:f>Calculs!$N$65:$N$172</c:f>
              <c:numCache>
                <c:formatCode>0.00</c:formatCode>
                <c:ptCount val="108"/>
                <c:pt idx="0">
                  <c:v>8.0612572896161778E-17</c:v>
                </c:pt>
                <c:pt idx="1">
                  <c:v>4.7848643076053667E-2</c:v>
                </c:pt>
                <c:pt idx="2">
                  <c:v>0.11142020005208368</c:v>
                </c:pt>
                <c:pt idx="3">
                  <c:v>0.17506853604532605</c:v>
                </c:pt>
                <c:pt idx="4">
                  <c:v>0.15249807985962249</c:v>
                </c:pt>
                <c:pt idx="5">
                  <c:v>0.24049299513685196</c:v>
                </c:pt>
                <c:pt idx="6">
                  <c:v>0.2142956839660965</c:v>
                </c:pt>
                <c:pt idx="7">
                  <c:v>0.17506853604532605</c:v>
                </c:pt>
                <c:pt idx="9">
                  <c:v>0.27515904125112034</c:v>
                </c:pt>
                <c:pt idx="10">
                  <c:v>0.17105248976804263</c:v>
                </c:pt>
                <c:pt idx="11">
                  <c:v>0.11230326229936233</c:v>
                </c:pt>
                <c:pt idx="12">
                  <c:v>1.046307496459927E-2</c:v>
                </c:pt>
                <c:pt idx="13">
                  <c:v>-0.1324726473691144</c:v>
                </c:pt>
                <c:pt idx="14">
                  <c:v>-0.15787605055783949</c:v>
                </c:pt>
                <c:pt idx="15">
                  <c:v>-3.9970417234201243E-2</c:v>
                </c:pt>
                <c:pt idx="16">
                  <c:v>1.046307496459927E-2</c:v>
                </c:pt>
                <c:pt idx="18">
                  <c:v>-0.19973374278663464</c:v>
                </c:pt>
                <c:pt idx="19">
                  <c:v>-0.16978582194958058</c:v>
                </c:pt>
                <c:pt idx="20">
                  <c:v>-0.11400556079931037</c:v>
                </c:pt>
                <c:pt idx="21">
                  <c:v>-9.5668260391371232E-2</c:v>
                </c:pt>
                <c:pt idx="22">
                  <c:v>-1.0037733801742166E-2</c:v>
                </c:pt>
                <c:pt idx="24">
                  <c:v>1000000</c:v>
                </c:pt>
                <c:pt idx="25">
                  <c:v>1000000</c:v>
                </c:pt>
                <c:pt idx="26">
                  <c:v>1000000</c:v>
                </c:pt>
                <c:pt idx="27">
                  <c:v>1000000</c:v>
                </c:pt>
                <c:pt idx="28">
                  <c:v>1000000</c:v>
                </c:pt>
                <c:pt idx="29">
                  <c:v>1000000</c:v>
                </c:pt>
                <c:pt idx="30">
                  <c:v>1000000</c:v>
                </c:pt>
                <c:pt idx="31">
                  <c:v>1000000</c:v>
                </c:pt>
                <c:pt idx="33">
                  <c:v>0.61396522424318667</c:v>
                </c:pt>
                <c:pt idx="34">
                  <c:v>0.62472496088465179</c:v>
                </c:pt>
                <c:pt idx="35">
                  <c:v>0.62864907970872452</c:v>
                </c:pt>
                <c:pt idx="36">
                  <c:v>0.55245166006579138</c:v>
                </c:pt>
                <c:pt idx="37">
                  <c:v>0.62864907970872452</c:v>
                </c:pt>
                <c:pt idx="38">
                  <c:v>0.64796245379898265</c:v>
                </c:pt>
                <c:pt idx="39">
                  <c:v>0.62864907970872452</c:v>
                </c:pt>
                <c:pt idx="40">
                  <c:v>0.82374475911418577</c:v>
                </c:pt>
                <c:pt idx="42">
                  <c:v>0.5841513736650179</c:v>
                </c:pt>
                <c:pt idx="43">
                  <c:v>0.49950238574530254</c:v>
                </c:pt>
                <c:pt idx="44">
                  <c:v>0.35932102831794677</c:v>
                </c:pt>
                <c:pt idx="45">
                  <c:v>0.27270831521615213</c:v>
                </c:pt>
                <c:pt idx="46">
                  <c:v>0.2492812014332203</c:v>
                </c:pt>
                <c:pt idx="47">
                  <c:v>2.2967009219450711E-3</c:v>
                </c:pt>
                <c:pt idx="48">
                  <c:v>-1.8556426699063742E-2</c:v>
                </c:pt>
                <c:pt idx="49">
                  <c:v>0.27253753075257836</c:v>
                </c:pt>
                <c:pt idx="51">
                  <c:v>2.2967009219450711E-3</c:v>
                </c:pt>
                <c:pt idx="52">
                  <c:v>-0.10966909280763645</c:v>
                </c:pt>
                <c:pt idx="53">
                  <c:v>-0.2073530830364857</c:v>
                </c:pt>
                <c:pt idx="54">
                  <c:v>-0.14530823468553372</c:v>
                </c:pt>
                <c:pt idx="55">
                  <c:v>-0.17804268114671726</c:v>
                </c:pt>
                <c:pt idx="57">
                  <c:v>1000000</c:v>
                </c:pt>
                <c:pt idx="58">
                  <c:v>1000000</c:v>
                </c:pt>
                <c:pt idx="59">
                  <c:v>1000000</c:v>
                </c:pt>
                <c:pt idx="60">
                  <c:v>1000000</c:v>
                </c:pt>
                <c:pt idx="61">
                  <c:v>1000000</c:v>
                </c:pt>
                <c:pt idx="62">
                  <c:v>1000000</c:v>
                </c:pt>
                <c:pt idx="63">
                  <c:v>1000000</c:v>
                </c:pt>
                <c:pt idx="64">
                  <c:v>1000000</c:v>
                </c:pt>
                <c:pt idx="65">
                  <c:v>1000000</c:v>
                </c:pt>
                <c:pt idx="66">
                  <c:v>1000000</c:v>
                </c:pt>
                <c:pt idx="67">
                  <c:v>1000000</c:v>
                </c:pt>
                <c:pt idx="69">
                  <c:v>1000000</c:v>
                </c:pt>
                <c:pt idx="70">
                  <c:v>1000000</c:v>
                </c:pt>
                <c:pt idx="71">
                  <c:v>1000000</c:v>
                </c:pt>
                <c:pt idx="72">
                  <c:v>1000000</c:v>
                </c:pt>
                <c:pt idx="73">
                  <c:v>1000000</c:v>
                </c:pt>
                <c:pt idx="74">
                  <c:v>1000000</c:v>
                </c:pt>
                <c:pt idx="75">
                  <c:v>1000000</c:v>
                </c:pt>
                <c:pt idx="77">
                  <c:v>1000000</c:v>
                </c:pt>
                <c:pt idx="78">
                  <c:v>1000000</c:v>
                </c:pt>
                <c:pt idx="79">
                  <c:v>1000000</c:v>
                </c:pt>
                <c:pt idx="80">
                  <c:v>1000000</c:v>
                </c:pt>
                <c:pt idx="82">
                  <c:v>1000000</c:v>
                </c:pt>
                <c:pt idx="83">
                  <c:v>1000000</c:v>
                </c:pt>
                <c:pt idx="84">
                  <c:v>1000000</c:v>
                </c:pt>
                <c:pt idx="85">
                  <c:v>1000000</c:v>
                </c:pt>
                <c:pt idx="86">
                  <c:v>1000000</c:v>
                </c:pt>
                <c:pt idx="87">
                  <c:v>1000000</c:v>
                </c:pt>
                <c:pt idx="88">
                  <c:v>1000000</c:v>
                </c:pt>
                <c:pt idx="89">
                  <c:v>1000000</c:v>
                </c:pt>
                <c:pt idx="90">
                  <c:v>1000000</c:v>
                </c:pt>
                <c:pt idx="91">
                  <c:v>1000000</c:v>
                </c:pt>
                <c:pt idx="92">
                  <c:v>1000000</c:v>
                </c:pt>
                <c:pt idx="94">
                  <c:v>1000000</c:v>
                </c:pt>
                <c:pt idx="95">
                  <c:v>1000000</c:v>
                </c:pt>
                <c:pt idx="96">
                  <c:v>1000000</c:v>
                </c:pt>
                <c:pt idx="97">
                  <c:v>1000000</c:v>
                </c:pt>
                <c:pt idx="98">
                  <c:v>1000000</c:v>
                </c:pt>
                <c:pt idx="99">
                  <c:v>1000000</c:v>
                </c:pt>
                <c:pt idx="100">
                  <c:v>1000000</c:v>
                </c:pt>
                <c:pt idx="101">
                  <c:v>1000000</c:v>
                </c:pt>
                <c:pt idx="102">
                  <c:v>1000000</c:v>
                </c:pt>
                <c:pt idx="104">
                  <c:v>1000000</c:v>
                </c:pt>
                <c:pt idx="105">
                  <c:v>1000000</c:v>
                </c:pt>
                <c:pt idx="106">
                  <c:v>1000000</c:v>
                </c:pt>
                <c:pt idx="107">
                  <c:v>1000000</c:v>
                </c:pt>
              </c:numCache>
            </c:numRef>
          </c:xVal>
          <c:yVal>
            <c:numRef>
              <c:f>Calculs!$S$65:$S$172</c:f>
              <c:numCache>
                <c:formatCode>0.00</c:formatCode>
                <c:ptCount val="108"/>
                <c:pt idx="0">
                  <c:v>0.65825161142206379</c:v>
                </c:pt>
                <c:pt idx="1">
                  <c:v>0.67331094247550072</c:v>
                </c:pt>
                <c:pt idx="2">
                  <c:v>0.6905128674833626</c:v>
                </c:pt>
                <c:pt idx="3">
                  <c:v>0.7477198355513639</c:v>
                </c:pt>
                <c:pt idx="4">
                  <c:v>0.79324817444383711</c:v>
                </c:pt>
                <c:pt idx="5">
                  <c:v>0.77211342091678659</c:v>
                </c:pt>
                <c:pt idx="6">
                  <c:v>0.72321203841470838</c:v>
                </c:pt>
                <c:pt idx="7">
                  <c:v>0.7477198355513639</c:v>
                </c:pt>
                <c:pt idx="9">
                  <c:v>0.94479059746710325</c:v>
                </c:pt>
                <c:pt idx="10">
                  <c:v>0.9513476762932086</c:v>
                </c:pt>
                <c:pt idx="11">
                  <c:v>0.95786282537538603</c:v>
                </c:pt>
                <c:pt idx="12">
                  <c:v>0.96198375888037557</c:v>
                </c:pt>
                <c:pt idx="13">
                  <c:v>0.92014551011195911</c:v>
                </c:pt>
                <c:pt idx="14">
                  <c:v>0.94954906689463014</c:v>
                </c:pt>
                <c:pt idx="15">
                  <c:v>0.97399603791514677</c:v>
                </c:pt>
                <c:pt idx="16">
                  <c:v>0.96198375888037557</c:v>
                </c:pt>
                <c:pt idx="18">
                  <c:v>0.27959580233728698</c:v>
                </c:pt>
                <c:pt idx="19">
                  <c:v>0.21602917765012711</c:v>
                </c:pt>
                <c:pt idx="20">
                  <c:v>0.2209905064333933</c:v>
                </c:pt>
                <c:pt idx="21">
                  <c:v>0.13096236814090803</c:v>
                </c:pt>
                <c:pt idx="22">
                  <c:v>0.16798848171351391</c:v>
                </c:pt>
                <c:pt idx="24">
                  <c:v>1000000</c:v>
                </c:pt>
                <c:pt idx="25">
                  <c:v>1000000</c:v>
                </c:pt>
                <c:pt idx="26">
                  <c:v>1000000</c:v>
                </c:pt>
                <c:pt idx="27">
                  <c:v>1000000</c:v>
                </c:pt>
                <c:pt idx="28">
                  <c:v>1000000</c:v>
                </c:pt>
                <c:pt idx="29">
                  <c:v>1000000</c:v>
                </c:pt>
                <c:pt idx="30">
                  <c:v>1000000</c:v>
                </c:pt>
                <c:pt idx="31">
                  <c:v>1000000</c:v>
                </c:pt>
                <c:pt idx="33">
                  <c:v>-0.13066475905027827</c:v>
                </c:pt>
                <c:pt idx="34">
                  <c:v>-4.2183217437502696E-2</c:v>
                </c:pt>
                <c:pt idx="35">
                  <c:v>9.3579208600863079E-2</c:v>
                </c:pt>
                <c:pt idx="36">
                  <c:v>0.13358406742350096</c:v>
                </c:pt>
                <c:pt idx="37">
                  <c:v>9.3579208600863079E-2</c:v>
                </c:pt>
                <c:pt idx="38">
                  <c:v>0.25233833188585936</c:v>
                </c:pt>
                <c:pt idx="39">
                  <c:v>9.3579208600863079E-2</c:v>
                </c:pt>
                <c:pt idx="40">
                  <c:v>6.9738886177732967E-2</c:v>
                </c:pt>
                <c:pt idx="42">
                  <c:v>-0.48066418702640323</c:v>
                </c:pt>
                <c:pt idx="43">
                  <c:v>-0.5785876237802261</c:v>
                </c:pt>
                <c:pt idx="44">
                  <c:v>-0.57594823107253168</c:v>
                </c:pt>
                <c:pt idx="45">
                  <c:v>-0.52719703557519648</c:v>
                </c:pt>
                <c:pt idx="46">
                  <c:v>-0.3286100763347326</c:v>
                </c:pt>
                <c:pt idx="47">
                  <c:v>-0.35347259233065809</c:v>
                </c:pt>
                <c:pt idx="48">
                  <c:v>-0.55664477438729032</c:v>
                </c:pt>
                <c:pt idx="49">
                  <c:v>-0.52528102030680823</c:v>
                </c:pt>
                <c:pt idx="51">
                  <c:v>-0.35347259233065809</c:v>
                </c:pt>
                <c:pt idx="52">
                  <c:v>-0.30094595922219175</c:v>
                </c:pt>
                <c:pt idx="53">
                  <c:v>-0.20177223966042879</c:v>
                </c:pt>
                <c:pt idx="54">
                  <c:v>-0.12566199898232844</c:v>
                </c:pt>
                <c:pt idx="55">
                  <c:v>-3.1962965693436651E-2</c:v>
                </c:pt>
                <c:pt idx="57">
                  <c:v>1000000</c:v>
                </c:pt>
                <c:pt idx="58">
                  <c:v>1000000</c:v>
                </c:pt>
                <c:pt idx="59">
                  <c:v>1000000</c:v>
                </c:pt>
                <c:pt idx="60">
                  <c:v>1000000</c:v>
                </c:pt>
                <c:pt idx="61">
                  <c:v>1000000</c:v>
                </c:pt>
                <c:pt idx="62">
                  <c:v>1000000</c:v>
                </c:pt>
                <c:pt idx="63">
                  <c:v>1000000</c:v>
                </c:pt>
                <c:pt idx="64">
                  <c:v>1000000</c:v>
                </c:pt>
                <c:pt idx="65">
                  <c:v>1000000</c:v>
                </c:pt>
                <c:pt idx="66">
                  <c:v>1000000</c:v>
                </c:pt>
                <c:pt idx="67">
                  <c:v>1000000</c:v>
                </c:pt>
                <c:pt idx="69">
                  <c:v>1000000</c:v>
                </c:pt>
                <c:pt idx="70">
                  <c:v>1000000</c:v>
                </c:pt>
                <c:pt idx="71">
                  <c:v>1000000</c:v>
                </c:pt>
                <c:pt idx="72">
                  <c:v>1000000</c:v>
                </c:pt>
                <c:pt idx="73">
                  <c:v>1000000</c:v>
                </c:pt>
                <c:pt idx="74">
                  <c:v>1000000</c:v>
                </c:pt>
                <c:pt idx="75">
                  <c:v>1000000</c:v>
                </c:pt>
                <c:pt idx="77">
                  <c:v>1000000</c:v>
                </c:pt>
                <c:pt idx="78">
                  <c:v>1000000</c:v>
                </c:pt>
                <c:pt idx="79">
                  <c:v>1000000</c:v>
                </c:pt>
                <c:pt idx="80">
                  <c:v>1000000</c:v>
                </c:pt>
                <c:pt idx="82">
                  <c:v>1000000</c:v>
                </c:pt>
                <c:pt idx="83">
                  <c:v>1000000</c:v>
                </c:pt>
                <c:pt idx="84">
                  <c:v>1000000</c:v>
                </c:pt>
                <c:pt idx="85">
                  <c:v>1000000</c:v>
                </c:pt>
                <c:pt idx="86">
                  <c:v>1000000</c:v>
                </c:pt>
                <c:pt idx="87">
                  <c:v>1000000</c:v>
                </c:pt>
                <c:pt idx="88">
                  <c:v>1000000</c:v>
                </c:pt>
                <c:pt idx="89">
                  <c:v>1000000</c:v>
                </c:pt>
                <c:pt idx="90">
                  <c:v>1000000</c:v>
                </c:pt>
                <c:pt idx="91">
                  <c:v>1000000</c:v>
                </c:pt>
                <c:pt idx="92">
                  <c:v>1000000</c:v>
                </c:pt>
                <c:pt idx="94">
                  <c:v>1000000</c:v>
                </c:pt>
                <c:pt idx="95">
                  <c:v>1000000</c:v>
                </c:pt>
                <c:pt idx="96">
                  <c:v>1000000</c:v>
                </c:pt>
                <c:pt idx="97">
                  <c:v>1000000</c:v>
                </c:pt>
                <c:pt idx="98">
                  <c:v>1000000</c:v>
                </c:pt>
                <c:pt idx="99">
                  <c:v>1000000</c:v>
                </c:pt>
                <c:pt idx="100">
                  <c:v>1000000</c:v>
                </c:pt>
                <c:pt idx="101">
                  <c:v>1000000</c:v>
                </c:pt>
                <c:pt idx="102">
                  <c:v>1000000</c:v>
                </c:pt>
                <c:pt idx="104">
                  <c:v>1000000</c:v>
                </c:pt>
                <c:pt idx="105">
                  <c:v>1000000</c:v>
                </c:pt>
                <c:pt idx="106">
                  <c:v>1000000</c:v>
                </c:pt>
                <c:pt idx="107">
                  <c:v>1000000</c:v>
                </c:pt>
              </c:numCache>
            </c:numRef>
          </c:yVal>
          <c:smooth val="0"/>
          <c:extLst>
            <c:ext xmlns:c16="http://schemas.microsoft.com/office/drawing/2014/chart" uri="{C3380CC4-5D6E-409C-BE32-E72D297353CC}">
              <c16:uniqueId val="{00000013-144D-46A3-A8B6-38208979D1B5}"/>
            </c:ext>
          </c:extLst>
        </c:ser>
        <c:ser>
          <c:idx val="6"/>
          <c:order val="5"/>
          <c:tx>
            <c:v>Zodiaque</c:v>
          </c:tx>
          <c:spPr>
            <a:ln w="12700">
              <a:solidFill>
                <a:srgbClr val="00FF00"/>
              </a:solidFill>
              <a:prstDash val="solid"/>
            </a:ln>
          </c:spPr>
          <c:marker>
            <c:symbol val="none"/>
          </c:marker>
          <c:dLbls>
            <c:dLbl>
              <c:idx val="4"/>
              <c:tx>
                <c:rich>
                  <a:bodyPr/>
                  <a:lstStyle/>
                  <a:p>
                    <a:pPr>
                      <a:defRPr sz="600" b="0" i="0" u="none" strike="noStrike" baseline="0">
                        <a:solidFill>
                          <a:srgbClr val="FFFFFF"/>
                        </a:solidFill>
                        <a:latin typeface="Arial"/>
                        <a:ea typeface="Arial"/>
                        <a:cs typeface="Arial"/>
                      </a:defRPr>
                    </a:pPr>
                    <a:r>
                      <a:rPr lang="en-US"/>
                      <a:t>Lion</a:t>
                    </a:r>
                  </a:p>
                </c:rich>
              </c:tx>
              <c:spPr>
                <a:noFill/>
                <a:ln w="25400">
                  <a:noFill/>
                </a:ln>
              </c:spPr>
              <c:showLegendKey val="0"/>
              <c:showVal val="0"/>
              <c:showCatName val="0"/>
              <c:showSerName val="0"/>
              <c:showPercent val="0"/>
              <c:showBubbleSize val="0"/>
              <c:extLst>
                <c:ext xmlns:c15="http://schemas.microsoft.com/office/drawing/2012/chart" uri="{CE6537A1-D6FC-4f65-9D91-7224C49458BB}">
                  <c15:showDataLabelsRange val="0"/>
                </c:ext>
                <c:ext xmlns:c16="http://schemas.microsoft.com/office/drawing/2014/chart" uri="{C3380CC4-5D6E-409C-BE32-E72D297353CC}">
                  <c16:uniqueId val="{00000014-144D-46A3-A8B6-38208979D1B5}"/>
                </c:ext>
              </c:extLst>
            </c:dLbl>
            <c:dLbl>
              <c:idx val="14"/>
              <c:tx>
                <c:rich>
                  <a:bodyPr/>
                  <a:lstStyle/>
                  <a:p>
                    <a:pPr>
                      <a:defRPr sz="600" b="0" i="0" u="none" strike="noStrike" baseline="0">
                        <a:solidFill>
                          <a:srgbClr val="FFFFFF"/>
                        </a:solidFill>
                        <a:latin typeface="Arial"/>
                        <a:ea typeface="Arial"/>
                        <a:cs typeface="Arial"/>
                      </a:defRPr>
                    </a:pPr>
                    <a:r>
                      <a:rPr lang="en-US"/>
                      <a:t>Scorpion</a:t>
                    </a:r>
                  </a:p>
                </c:rich>
              </c:tx>
              <c:spPr>
                <a:noFill/>
                <a:ln w="25400">
                  <a:noFill/>
                </a:ln>
              </c:spPr>
              <c:showLegendKey val="0"/>
              <c:showVal val="0"/>
              <c:showCatName val="0"/>
              <c:showSerName val="0"/>
              <c:showPercent val="0"/>
              <c:showBubbleSize val="0"/>
              <c:extLst>
                <c:ext xmlns:c15="http://schemas.microsoft.com/office/drawing/2012/chart" uri="{CE6537A1-D6FC-4f65-9D91-7224C49458BB}">
                  <c15:showDataLabelsRange val="0"/>
                </c:ext>
                <c:ext xmlns:c16="http://schemas.microsoft.com/office/drawing/2014/chart" uri="{C3380CC4-5D6E-409C-BE32-E72D297353CC}">
                  <c16:uniqueId val="{00000015-144D-46A3-A8B6-38208979D1B5}"/>
                </c:ext>
              </c:extLst>
            </c:dLbl>
            <c:dLbl>
              <c:idx val="29"/>
              <c:tx>
                <c:rich>
                  <a:bodyPr/>
                  <a:lstStyle/>
                  <a:p>
                    <a:pPr>
                      <a:defRPr sz="600" b="0" i="0" u="none" strike="noStrike" baseline="0">
                        <a:solidFill>
                          <a:srgbClr val="FFFFFF"/>
                        </a:solidFill>
                        <a:latin typeface="Arial"/>
                        <a:ea typeface="Arial"/>
                        <a:cs typeface="Arial"/>
                      </a:defRPr>
                    </a:pPr>
                    <a:r>
                      <a:rPr lang="en-US"/>
                      <a:t>Vierge</a:t>
                    </a:r>
                  </a:p>
                </c:rich>
              </c:tx>
              <c:spPr>
                <a:noFill/>
                <a:ln w="25400">
                  <a:noFill/>
                </a:ln>
              </c:spPr>
              <c:showLegendKey val="0"/>
              <c:showVal val="0"/>
              <c:showCatName val="0"/>
              <c:showSerName val="0"/>
              <c:showPercent val="0"/>
              <c:showBubbleSize val="0"/>
              <c:extLst>
                <c:ext xmlns:c15="http://schemas.microsoft.com/office/drawing/2012/chart" uri="{CE6537A1-D6FC-4f65-9D91-7224C49458BB}">
                  <c15:showDataLabelsRange val="0"/>
                </c:ext>
                <c:ext xmlns:c16="http://schemas.microsoft.com/office/drawing/2014/chart" uri="{C3380CC4-5D6E-409C-BE32-E72D297353CC}">
                  <c16:uniqueId val="{00000016-144D-46A3-A8B6-38208979D1B5}"/>
                </c:ext>
              </c:extLst>
            </c:dLbl>
            <c:dLbl>
              <c:idx val="36"/>
              <c:tx>
                <c:rich>
                  <a:bodyPr/>
                  <a:lstStyle/>
                  <a:p>
                    <a:pPr>
                      <a:defRPr sz="600" b="0" i="0" u="none" strike="noStrike" baseline="0">
                        <a:solidFill>
                          <a:srgbClr val="FFFFFF"/>
                        </a:solidFill>
                        <a:latin typeface="Arial"/>
                        <a:ea typeface="Arial"/>
                        <a:cs typeface="Arial"/>
                      </a:defRPr>
                    </a:pPr>
                    <a:r>
                      <a:rPr lang="en-US"/>
                      <a:t>Poisson</a:t>
                    </a:r>
                  </a:p>
                </c:rich>
              </c:tx>
              <c:spPr>
                <a:noFill/>
                <a:ln w="25400">
                  <a:noFill/>
                </a:ln>
              </c:spPr>
              <c:showLegendKey val="0"/>
              <c:showVal val="0"/>
              <c:showCatName val="0"/>
              <c:showSerName val="0"/>
              <c:showPercent val="0"/>
              <c:showBubbleSize val="0"/>
              <c:extLst>
                <c:ext xmlns:c15="http://schemas.microsoft.com/office/drawing/2012/chart" uri="{CE6537A1-D6FC-4f65-9D91-7224C49458BB}">
                  <c15:showDataLabelsRange val="0"/>
                </c:ext>
                <c:ext xmlns:c16="http://schemas.microsoft.com/office/drawing/2014/chart" uri="{C3380CC4-5D6E-409C-BE32-E72D297353CC}">
                  <c16:uniqueId val="{00000017-144D-46A3-A8B6-38208979D1B5}"/>
                </c:ext>
              </c:extLst>
            </c:dLbl>
            <c:dLbl>
              <c:idx val="45"/>
              <c:tx>
                <c:rich>
                  <a:bodyPr/>
                  <a:lstStyle/>
                  <a:p>
                    <a:pPr>
                      <a:defRPr sz="600" b="0" i="0" u="none" strike="noStrike" baseline="0">
                        <a:solidFill>
                          <a:srgbClr val="FFFFFF"/>
                        </a:solidFill>
                        <a:latin typeface="Arial"/>
                        <a:ea typeface="Arial"/>
                        <a:cs typeface="Arial"/>
                      </a:defRPr>
                    </a:pPr>
                    <a:r>
                      <a:rPr lang="en-US"/>
                      <a:t>Taureau</a:t>
                    </a:r>
                  </a:p>
                </c:rich>
              </c:tx>
              <c:spPr>
                <a:noFill/>
                <a:ln w="25400">
                  <a:noFill/>
                </a:ln>
              </c:spPr>
              <c:showLegendKey val="0"/>
              <c:showVal val="0"/>
              <c:showCatName val="0"/>
              <c:showSerName val="0"/>
              <c:showPercent val="0"/>
              <c:showBubbleSize val="0"/>
              <c:extLst>
                <c:ext xmlns:c15="http://schemas.microsoft.com/office/drawing/2012/chart" uri="{CE6537A1-D6FC-4f65-9D91-7224C49458BB}">
                  <c15:showDataLabelsRange val="0"/>
                </c:ext>
                <c:ext xmlns:c16="http://schemas.microsoft.com/office/drawing/2014/chart" uri="{C3380CC4-5D6E-409C-BE32-E72D297353CC}">
                  <c16:uniqueId val="{00000018-144D-46A3-A8B6-38208979D1B5}"/>
                </c:ext>
              </c:extLst>
            </c:dLbl>
            <c:dLbl>
              <c:idx val="51"/>
              <c:tx>
                <c:rich>
                  <a:bodyPr/>
                  <a:lstStyle/>
                  <a:p>
                    <a:pPr>
                      <a:defRPr sz="600" b="0" i="0" u="none" strike="noStrike" baseline="0">
                        <a:solidFill>
                          <a:srgbClr val="FFFFFF"/>
                        </a:solidFill>
                        <a:latin typeface="Arial"/>
                        <a:ea typeface="Arial"/>
                        <a:cs typeface="Arial"/>
                      </a:defRPr>
                    </a:pPr>
                    <a:r>
                      <a:rPr lang="en-US"/>
                      <a:t>Gémeaux</a:t>
                    </a:r>
                  </a:p>
                </c:rich>
              </c:tx>
              <c:spPr>
                <a:noFill/>
                <a:ln w="25400">
                  <a:noFill/>
                </a:ln>
              </c:spPr>
              <c:showLegendKey val="0"/>
              <c:showVal val="0"/>
              <c:showCatName val="0"/>
              <c:showSerName val="0"/>
              <c:showPercent val="0"/>
              <c:showBubbleSize val="0"/>
              <c:extLst>
                <c:ext xmlns:c15="http://schemas.microsoft.com/office/drawing/2012/chart" uri="{CE6537A1-D6FC-4f65-9D91-7224C49458BB}">
                  <c15:showDataLabelsRange val="0"/>
                </c:ext>
                <c:ext xmlns:c16="http://schemas.microsoft.com/office/drawing/2014/chart" uri="{C3380CC4-5D6E-409C-BE32-E72D297353CC}">
                  <c16:uniqueId val="{00000019-144D-46A3-A8B6-38208979D1B5}"/>
                </c:ext>
              </c:extLst>
            </c:dLbl>
            <c:dLbl>
              <c:idx val="60"/>
              <c:tx>
                <c:rich>
                  <a:bodyPr/>
                  <a:lstStyle/>
                  <a:p>
                    <a:pPr>
                      <a:defRPr sz="600" b="0" i="0" u="none" strike="noStrike" baseline="0">
                        <a:solidFill>
                          <a:srgbClr val="FFFFFF"/>
                        </a:solidFill>
                        <a:latin typeface="Arial"/>
                        <a:ea typeface="Arial"/>
                        <a:cs typeface="Arial"/>
                      </a:defRPr>
                    </a:pPr>
                    <a:r>
                      <a:rPr lang="en-US"/>
                      <a:t>Cancer</a:t>
                    </a:r>
                  </a:p>
                </c:rich>
              </c:tx>
              <c:spPr>
                <a:noFill/>
                <a:ln w="25400">
                  <a:noFill/>
                </a:ln>
              </c:spPr>
              <c:showLegendKey val="0"/>
              <c:showVal val="0"/>
              <c:showCatName val="0"/>
              <c:showSerName val="0"/>
              <c:showPercent val="0"/>
              <c:showBubbleSize val="0"/>
              <c:extLst>
                <c:ext xmlns:c15="http://schemas.microsoft.com/office/drawing/2012/chart" uri="{CE6537A1-D6FC-4f65-9D91-7224C49458BB}">
                  <c15:showDataLabelsRange val="0"/>
                </c:ext>
                <c:ext xmlns:c16="http://schemas.microsoft.com/office/drawing/2014/chart" uri="{C3380CC4-5D6E-409C-BE32-E72D297353CC}">
                  <c16:uniqueId val="{0000001A-144D-46A3-A8B6-38208979D1B5}"/>
                </c:ext>
              </c:extLst>
            </c:dLbl>
            <c:dLbl>
              <c:idx val="69"/>
              <c:tx>
                <c:rich>
                  <a:bodyPr/>
                  <a:lstStyle/>
                  <a:p>
                    <a:pPr>
                      <a:defRPr sz="600" b="0" i="0" u="none" strike="noStrike" baseline="0">
                        <a:solidFill>
                          <a:srgbClr val="FFFFFF"/>
                        </a:solidFill>
                        <a:latin typeface="Arial"/>
                        <a:ea typeface="Arial"/>
                        <a:cs typeface="Arial"/>
                      </a:defRPr>
                    </a:pPr>
                    <a:r>
                      <a:rPr lang="en-US"/>
                      <a:t>Capricorne</a:t>
                    </a:r>
                  </a:p>
                </c:rich>
              </c:tx>
              <c:spPr>
                <a:noFill/>
                <a:ln w="25400">
                  <a:noFill/>
                </a:ln>
              </c:spPr>
              <c:showLegendKey val="0"/>
              <c:showVal val="0"/>
              <c:showCatName val="0"/>
              <c:showSerName val="0"/>
              <c:showPercent val="0"/>
              <c:showBubbleSize val="0"/>
              <c:extLst>
                <c:ext xmlns:c15="http://schemas.microsoft.com/office/drawing/2012/chart" uri="{CE6537A1-D6FC-4f65-9D91-7224C49458BB}">
                  <c15:showDataLabelsRange val="0"/>
                </c:ext>
                <c:ext xmlns:c16="http://schemas.microsoft.com/office/drawing/2014/chart" uri="{C3380CC4-5D6E-409C-BE32-E72D297353CC}">
                  <c16:uniqueId val="{0000001B-144D-46A3-A8B6-38208979D1B5}"/>
                </c:ext>
              </c:extLst>
            </c:dLbl>
            <c:dLbl>
              <c:idx val="72"/>
              <c:tx>
                <c:rich>
                  <a:bodyPr/>
                  <a:lstStyle/>
                  <a:p>
                    <a:pPr>
                      <a:defRPr sz="600" b="0" i="0" u="none" strike="noStrike" baseline="0">
                        <a:solidFill>
                          <a:srgbClr val="FFFFFF"/>
                        </a:solidFill>
                        <a:latin typeface="Arial"/>
                        <a:ea typeface="Arial"/>
                        <a:cs typeface="Arial"/>
                      </a:defRPr>
                    </a:pPr>
                    <a:r>
                      <a:rPr lang="en-US"/>
                      <a:t>Verseau</a:t>
                    </a:r>
                  </a:p>
                </c:rich>
              </c:tx>
              <c:spPr>
                <a:noFill/>
                <a:ln w="25400">
                  <a:noFill/>
                </a:ln>
              </c:spPr>
              <c:showLegendKey val="0"/>
              <c:showVal val="0"/>
              <c:showCatName val="0"/>
              <c:showSerName val="0"/>
              <c:showPercent val="0"/>
              <c:showBubbleSize val="0"/>
              <c:extLst>
                <c:ext xmlns:c15="http://schemas.microsoft.com/office/drawing/2012/chart" uri="{CE6537A1-D6FC-4f65-9D91-7224C49458BB}">
                  <c15:showDataLabelsRange val="0"/>
                </c:ext>
                <c:ext xmlns:c16="http://schemas.microsoft.com/office/drawing/2014/chart" uri="{C3380CC4-5D6E-409C-BE32-E72D297353CC}">
                  <c16:uniqueId val="{0000001C-144D-46A3-A8B6-38208979D1B5}"/>
                </c:ext>
              </c:extLst>
            </c:dLbl>
            <c:dLbl>
              <c:idx val="84"/>
              <c:tx>
                <c:rich>
                  <a:bodyPr/>
                  <a:lstStyle/>
                  <a:p>
                    <a:pPr>
                      <a:defRPr sz="600" b="0" i="0" u="none" strike="noStrike" baseline="0">
                        <a:solidFill>
                          <a:srgbClr val="FFFFFF"/>
                        </a:solidFill>
                        <a:latin typeface="Arial"/>
                        <a:ea typeface="Arial"/>
                        <a:cs typeface="Arial"/>
                      </a:defRPr>
                    </a:pPr>
                    <a:r>
                      <a:rPr lang="en-US"/>
                      <a:t>Sagittaire</a:t>
                    </a:r>
                  </a:p>
                </c:rich>
              </c:tx>
              <c:spPr>
                <a:noFill/>
                <a:ln w="25400">
                  <a:noFill/>
                </a:ln>
              </c:spPr>
              <c:showLegendKey val="0"/>
              <c:showVal val="0"/>
              <c:showCatName val="0"/>
              <c:showSerName val="0"/>
              <c:showPercent val="0"/>
              <c:showBubbleSize val="0"/>
              <c:extLst>
                <c:ext xmlns:c15="http://schemas.microsoft.com/office/drawing/2012/chart" uri="{CE6537A1-D6FC-4f65-9D91-7224C49458BB}">
                  <c15:showDataLabelsRange val="0"/>
                </c:ext>
                <c:ext xmlns:c16="http://schemas.microsoft.com/office/drawing/2014/chart" uri="{C3380CC4-5D6E-409C-BE32-E72D297353CC}">
                  <c16:uniqueId val="{0000001D-144D-46A3-A8B6-38208979D1B5}"/>
                </c:ext>
              </c:extLst>
            </c:dLbl>
            <c:dLbl>
              <c:idx val="90"/>
              <c:tx>
                <c:rich>
                  <a:bodyPr/>
                  <a:lstStyle/>
                  <a:p>
                    <a:pPr>
                      <a:defRPr sz="600" b="0" i="0" u="none" strike="noStrike" baseline="0">
                        <a:solidFill>
                          <a:srgbClr val="FFFFFF"/>
                        </a:solidFill>
                        <a:latin typeface="Arial"/>
                        <a:ea typeface="Arial"/>
                        <a:cs typeface="Arial"/>
                      </a:defRPr>
                    </a:pPr>
                    <a:r>
                      <a:rPr lang="en-US"/>
                      <a:t>Balance</a:t>
                    </a:r>
                  </a:p>
                </c:rich>
              </c:tx>
              <c:spPr>
                <a:noFill/>
                <a:ln w="25400">
                  <a:noFill/>
                </a:ln>
              </c:spPr>
              <c:showLegendKey val="0"/>
              <c:showVal val="0"/>
              <c:showCatName val="0"/>
              <c:showSerName val="0"/>
              <c:showPercent val="0"/>
              <c:showBubbleSize val="0"/>
              <c:extLst>
                <c:ext xmlns:c15="http://schemas.microsoft.com/office/drawing/2012/chart" uri="{CE6537A1-D6FC-4f65-9D91-7224C49458BB}">
                  <c15:showDataLabelsRange val="0"/>
                </c:ext>
                <c:ext xmlns:c16="http://schemas.microsoft.com/office/drawing/2014/chart" uri="{C3380CC4-5D6E-409C-BE32-E72D297353CC}">
                  <c16:uniqueId val="{0000001E-144D-46A3-A8B6-38208979D1B5}"/>
                </c:ext>
              </c:extLst>
            </c:dLbl>
            <c:dLbl>
              <c:idx val="94"/>
              <c:tx>
                <c:rich>
                  <a:bodyPr/>
                  <a:lstStyle/>
                  <a:p>
                    <a:pPr>
                      <a:defRPr sz="600" b="0" i="0" u="none" strike="noStrike" baseline="0">
                        <a:solidFill>
                          <a:srgbClr val="FFFFFF"/>
                        </a:solidFill>
                        <a:latin typeface="Arial"/>
                        <a:ea typeface="Arial"/>
                        <a:cs typeface="Arial"/>
                      </a:defRPr>
                    </a:pPr>
                    <a:r>
                      <a:rPr lang="en-US"/>
                      <a:t>Bélier</a:t>
                    </a:r>
                  </a:p>
                </c:rich>
              </c:tx>
              <c:spPr>
                <a:noFill/>
                <a:ln w="25400">
                  <a:noFill/>
                </a:ln>
              </c:spPr>
              <c:showLegendKey val="0"/>
              <c:showVal val="0"/>
              <c:showCatName val="0"/>
              <c:showSerName val="0"/>
              <c:showPercent val="0"/>
              <c:showBubbleSize val="0"/>
              <c:extLst>
                <c:ext xmlns:c15="http://schemas.microsoft.com/office/drawing/2012/chart" uri="{CE6537A1-D6FC-4f65-9D91-7224C49458BB}">
                  <c15:showDataLabelsRange val="0"/>
                </c:ext>
                <c:ext xmlns:c16="http://schemas.microsoft.com/office/drawing/2014/chart" uri="{C3380CC4-5D6E-409C-BE32-E72D297353CC}">
                  <c16:uniqueId val="{0000001F-144D-46A3-A8B6-38208979D1B5}"/>
                </c:ext>
              </c:extLst>
            </c:dLbl>
            <c:spPr>
              <a:noFill/>
              <a:ln>
                <a:noFill/>
              </a:ln>
              <a:effectLst/>
            </c:spPr>
            <c:showLegendKey val="0"/>
            <c:showVal val="0"/>
            <c:showCatName val="0"/>
            <c:showSerName val="0"/>
            <c:showPercent val="0"/>
            <c:showBubbleSize val="0"/>
            <c:extLst>
              <c:ext xmlns:c15="http://schemas.microsoft.com/office/drawing/2012/chart" uri="{CE6537A1-D6FC-4f65-9D91-7224C49458BB}">
                <c15:showLeaderLines val="0"/>
              </c:ext>
            </c:extLst>
          </c:dLbls>
          <c:xVal>
            <c:numRef>
              <c:f>Calculs!$N$174:$N$269</c:f>
              <c:numCache>
                <c:formatCode>0.00</c:formatCode>
                <c:ptCount val="96"/>
                <c:pt idx="0">
                  <c:v>1000000</c:v>
                </c:pt>
                <c:pt idx="1">
                  <c:v>1000000</c:v>
                </c:pt>
                <c:pt idx="2">
                  <c:v>1000000</c:v>
                </c:pt>
                <c:pt idx="3">
                  <c:v>1000000</c:v>
                </c:pt>
                <c:pt idx="4">
                  <c:v>1000000</c:v>
                </c:pt>
                <c:pt idx="5">
                  <c:v>1000000</c:v>
                </c:pt>
                <c:pt idx="6">
                  <c:v>1000000</c:v>
                </c:pt>
                <c:pt idx="7">
                  <c:v>1000000</c:v>
                </c:pt>
                <c:pt idx="8">
                  <c:v>1000000</c:v>
                </c:pt>
                <c:pt idx="9">
                  <c:v>1000000</c:v>
                </c:pt>
                <c:pt idx="10">
                  <c:v>1000000</c:v>
                </c:pt>
                <c:pt idx="11">
                  <c:v>1000000</c:v>
                </c:pt>
                <c:pt idx="13">
                  <c:v>1000000</c:v>
                </c:pt>
                <c:pt idx="14">
                  <c:v>1000000</c:v>
                </c:pt>
                <c:pt idx="15">
                  <c:v>1000000</c:v>
                </c:pt>
                <c:pt idx="16">
                  <c:v>1000000</c:v>
                </c:pt>
                <c:pt idx="17">
                  <c:v>1000000</c:v>
                </c:pt>
                <c:pt idx="18">
                  <c:v>1000000</c:v>
                </c:pt>
                <c:pt idx="19">
                  <c:v>1000000</c:v>
                </c:pt>
                <c:pt idx="20">
                  <c:v>1000000</c:v>
                </c:pt>
                <c:pt idx="21">
                  <c:v>1000000</c:v>
                </c:pt>
                <c:pt idx="22">
                  <c:v>1000000</c:v>
                </c:pt>
                <c:pt idx="23">
                  <c:v>1000000</c:v>
                </c:pt>
                <c:pt idx="24">
                  <c:v>1000000</c:v>
                </c:pt>
                <c:pt idx="26">
                  <c:v>1000000</c:v>
                </c:pt>
                <c:pt idx="27">
                  <c:v>1000000</c:v>
                </c:pt>
                <c:pt idx="28">
                  <c:v>1000000</c:v>
                </c:pt>
                <c:pt idx="29">
                  <c:v>1000000</c:v>
                </c:pt>
                <c:pt idx="30">
                  <c:v>1000000</c:v>
                </c:pt>
                <c:pt idx="31">
                  <c:v>1000000</c:v>
                </c:pt>
                <c:pt idx="32">
                  <c:v>1000000</c:v>
                </c:pt>
                <c:pt idx="33">
                  <c:v>1000000</c:v>
                </c:pt>
                <c:pt idx="35">
                  <c:v>-0.34774245812130244</c:v>
                </c:pt>
                <c:pt idx="36">
                  <c:v>-0.47804773985088073</c:v>
                </c:pt>
                <c:pt idx="37">
                  <c:v>-0.39816826073625311</c:v>
                </c:pt>
                <c:pt idx="38">
                  <c:v>-0.23286680338803722</c:v>
                </c:pt>
                <c:pt idx="39">
                  <c:v>0.13237869392359145</c:v>
                </c:pt>
                <c:pt idx="40">
                  <c:v>0.17489896556041487</c:v>
                </c:pt>
                <c:pt idx="41">
                  <c:v>0.21868144277996557</c:v>
                </c:pt>
                <c:pt idx="42">
                  <c:v>0.28164068509453455</c:v>
                </c:pt>
                <c:pt idx="44">
                  <c:v>-0.8691313728584944</c:v>
                </c:pt>
                <c:pt idx="45">
                  <c:v>-0.86444930203658765</c:v>
                </c:pt>
                <c:pt idx="46">
                  <c:v>-0.86519695730794066</c:v>
                </c:pt>
                <c:pt idx="47">
                  <c:v>-0.8835693608194487</c:v>
                </c:pt>
                <c:pt idx="48">
                  <c:v>-0.92234195514576434</c:v>
                </c:pt>
                <c:pt idx="50">
                  <c:v>-0.92701274389925203</c:v>
                </c:pt>
                <c:pt idx="51">
                  <c:v>-0.92535347794632994</c:v>
                </c:pt>
                <c:pt idx="52">
                  <c:v>-0.89611576620950739</c:v>
                </c:pt>
                <c:pt idx="53">
                  <c:v>-0.78984564778939481</c:v>
                </c:pt>
                <c:pt idx="54">
                  <c:v>-0.80573038596412216</c:v>
                </c:pt>
                <c:pt idx="55">
                  <c:v>-0.83126332816673065</c:v>
                </c:pt>
                <c:pt idx="56">
                  <c:v>-0.89081542603207786</c:v>
                </c:pt>
                <c:pt idx="57">
                  <c:v>-0.91334157772465352</c:v>
                </c:pt>
                <c:pt idx="58">
                  <c:v>-0.95088872423346382</c:v>
                </c:pt>
                <c:pt idx="60">
                  <c:v>1000000</c:v>
                </c:pt>
                <c:pt idx="61">
                  <c:v>1000000</c:v>
                </c:pt>
                <c:pt idx="62">
                  <c:v>1000000</c:v>
                </c:pt>
                <c:pt idx="63">
                  <c:v>1000000</c:v>
                </c:pt>
                <c:pt idx="64">
                  <c:v>1000000</c:v>
                </c:pt>
                <c:pt idx="66">
                  <c:v>0.83754872970793359</c:v>
                </c:pt>
                <c:pt idx="67">
                  <c:v>0.81600248016919308</c:v>
                </c:pt>
                <c:pt idx="68">
                  <c:v>0.55055219724014526</c:v>
                </c:pt>
                <c:pt idx="69">
                  <c:v>0.61314823490621995</c:v>
                </c:pt>
                <c:pt idx="71">
                  <c:v>0.74210627521179895</c:v>
                </c:pt>
                <c:pt idx="72">
                  <c:v>0.63997442290050777</c:v>
                </c:pt>
                <c:pt idx="73">
                  <c:v>0.52099803488715435</c:v>
                </c:pt>
                <c:pt idx="74">
                  <c:v>0.44401366903012768</c:v>
                </c:pt>
                <c:pt idx="75">
                  <c:v>0.23656545027239442</c:v>
                </c:pt>
                <c:pt idx="76">
                  <c:v>8.6691785813620442E-2</c:v>
                </c:pt>
                <c:pt idx="78">
                  <c:v>1000000</c:v>
                </c:pt>
                <c:pt idx="79">
                  <c:v>1000000</c:v>
                </c:pt>
                <c:pt idx="80">
                  <c:v>1000000</c:v>
                </c:pt>
                <c:pt idx="81">
                  <c:v>1000000</c:v>
                </c:pt>
                <c:pt idx="82">
                  <c:v>1000000</c:v>
                </c:pt>
                <c:pt idx="83">
                  <c:v>1000000</c:v>
                </c:pt>
                <c:pt idx="84">
                  <c:v>1000000</c:v>
                </c:pt>
                <c:pt idx="85">
                  <c:v>1000000</c:v>
                </c:pt>
                <c:pt idx="87">
                  <c:v>1000000</c:v>
                </c:pt>
                <c:pt idx="88">
                  <c:v>1000000</c:v>
                </c:pt>
                <c:pt idx="89">
                  <c:v>1000000</c:v>
                </c:pt>
                <c:pt idx="90">
                  <c:v>1000000</c:v>
                </c:pt>
                <c:pt idx="91">
                  <c:v>1000000</c:v>
                </c:pt>
                <c:pt idx="93">
                  <c:v>-0.5804369308051488</c:v>
                </c:pt>
                <c:pt idx="94">
                  <c:v>-0.45817468526755173</c:v>
                </c:pt>
                <c:pt idx="95">
                  <c:v>-0.41341905684420177</c:v>
                </c:pt>
              </c:numCache>
            </c:numRef>
          </c:xVal>
          <c:yVal>
            <c:numRef>
              <c:f>Calculs!$T$174:$T$269</c:f>
              <c:numCache>
                <c:formatCode>0.00</c:formatCode>
                <c:ptCount val="96"/>
                <c:pt idx="0">
                  <c:v>1000000</c:v>
                </c:pt>
                <c:pt idx="1">
                  <c:v>1000000</c:v>
                </c:pt>
                <c:pt idx="2">
                  <c:v>1000000</c:v>
                </c:pt>
                <c:pt idx="3">
                  <c:v>1000000</c:v>
                </c:pt>
                <c:pt idx="4">
                  <c:v>1000000</c:v>
                </c:pt>
                <c:pt idx="5">
                  <c:v>1000000</c:v>
                </c:pt>
                <c:pt idx="6">
                  <c:v>1000000</c:v>
                </c:pt>
                <c:pt idx="7">
                  <c:v>1000000</c:v>
                </c:pt>
                <c:pt idx="8">
                  <c:v>1000000</c:v>
                </c:pt>
                <c:pt idx="9">
                  <c:v>1000000</c:v>
                </c:pt>
                <c:pt idx="10">
                  <c:v>1000000</c:v>
                </c:pt>
                <c:pt idx="11">
                  <c:v>1000000</c:v>
                </c:pt>
                <c:pt idx="13">
                  <c:v>1000000</c:v>
                </c:pt>
                <c:pt idx="14">
                  <c:v>1000000</c:v>
                </c:pt>
                <c:pt idx="15">
                  <c:v>1000000</c:v>
                </c:pt>
                <c:pt idx="16">
                  <c:v>1000000</c:v>
                </c:pt>
                <c:pt idx="17">
                  <c:v>1000000</c:v>
                </c:pt>
                <c:pt idx="18">
                  <c:v>1000000</c:v>
                </c:pt>
                <c:pt idx="19">
                  <c:v>1000000</c:v>
                </c:pt>
                <c:pt idx="20">
                  <c:v>1000000</c:v>
                </c:pt>
                <c:pt idx="21">
                  <c:v>1000000</c:v>
                </c:pt>
                <c:pt idx="22">
                  <c:v>1000000</c:v>
                </c:pt>
                <c:pt idx="23">
                  <c:v>1000000</c:v>
                </c:pt>
                <c:pt idx="24">
                  <c:v>1000000</c:v>
                </c:pt>
                <c:pt idx="26">
                  <c:v>1000000</c:v>
                </c:pt>
                <c:pt idx="27">
                  <c:v>1000000</c:v>
                </c:pt>
                <c:pt idx="28">
                  <c:v>1000000</c:v>
                </c:pt>
                <c:pt idx="29">
                  <c:v>1000000</c:v>
                </c:pt>
                <c:pt idx="30">
                  <c:v>1000000</c:v>
                </c:pt>
                <c:pt idx="31">
                  <c:v>1000000</c:v>
                </c:pt>
                <c:pt idx="32">
                  <c:v>1000000</c:v>
                </c:pt>
                <c:pt idx="33">
                  <c:v>1000000</c:v>
                </c:pt>
                <c:pt idx="35">
                  <c:v>-0.50802277435888366</c:v>
                </c:pt>
                <c:pt idx="36">
                  <c:v>-0.62558290302067299</c:v>
                </c:pt>
                <c:pt idx="37">
                  <c:v>-0.61724692663211755</c:v>
                </c:pt>
                <c:pt idx="38">
                  <c:v>-0.63295622981980837</c:v>
                </c:pt>
                <c:pt idx="39">
                  <c:v>-0.67320602152504194</c:v>
                </c:pt>
                <c:pt idx="40">
                  <c:v>-0.65527420132888869</c:v>
                </c:pt>
                <c:pt idx="41">
                  <c:v>-0.69906996029820745</c:v>
                </c:pt>
                <c:pt idx="42">
                  <c:v>-0.67449603379672551</c:v>
                </c:pt>
                <c:pt idx="44">
                  <c:v>0.19190533026326717</c:v>
                </c:pt>
                <c:pt idx="45">
                  <c:v>-7.4058891695273299E-2</c:v>
                </c:pt>
                <c:pt idx="46">
                  <c:v>-0.15293824370234269</c:v>
                </c:pt>
                <c:pt idx="47">
                  <c:v>-0.10221096451626388</c:v>
                </c:pt>
                <c:pt idx="48">
                  <c:v>0.1271756459093136</c:v>
                </c:pt>
                <c:pt idx="50">
                  <c:v>0.25999434725913884</c:v>
                </c:pt>
                <c:pt idx="51">
                  <c:v>0.29042151970774938</c:v>
                </c:pt>
                <c:pt idx="52">
                  <c:v>0.38022129988096898</c:v>
                </c:pt>
                <c:pt idx="53">
                  <c:v>0.58125008045217375</c:v>
                </c:pt>
                <c:pt idx="54">
                  <c:v>0.58070229820238772</c:v>
                </c:pt>
                <c:pt idx="55">
                  <c:v>0.54031559113740202</c:v>
                </c:pt>
                <c:pt idx="56">
                  <c:v>0.44015518118987834</c:v>
                </c:pt>
                <c:pt idx="57">
                  <c:v>0.39148388142593488</c:v>
                </c:pt>
                <c:pt idx="58">
                  <c:v>0.26896383332182905</c:v>
                </c:pt>
                <c:pt idx="60">
                  <c:v>1000000</c:v>
                </c:pt>
                <c:pt idx="61">
                  <c:v>1000000</c:v>
                </c:pt>
                <c:pt idx="62">
                  <c:v>1000000</c:v>
                </c:pt>
                <c:pt idx="63">
                  <c:v>1000000</c:v>
                </c:pt>
                <c:pt idx="64">
                  <c:v>1000000</c:v>
                </c:pt>
                <c:pt idx="66">
                  <c:v>-0.51721482282808739</c:v>
                </c:pt>
                <c:pt idx="67">
                  <c:v>-0.55946533669659182</c:v>
                </c:pt>
                <c:pt idx="68">
                  <c:v>-0.78108781349622258</c:v>
                </c:pt>
                <c:pt idx="69">
                  <c:v>-0.77015579734607587</c:v>
                </c:pt>
                <c:pt idx="71">
                  <c:v>-0.60166434892044063</c:v>
                </c:pt>
                <c:pt idx="72">
                  <c:v>-0.6513461583804917</c:v>
                </c:pt>
                <c:pt idx="73">
                  <c:v>-0.64255665469560264</c:v>
                </c:pt>
                <c:pt idx="74">
                  <c:v>-0.70782069204463982</c:v>
                </c:pt>
                <c:pt idx="75">
                  <c:v>-0.83395824370434146</c:v>
                </c:pt>
                <c:pt idx="76">
                  <c:v>-0.8945805506255825</c:v>
                </c:pt>
                <c:pt idx="78">
                  <c:v>1000000</c:v>
                </c:pt>
                <c:pt idx="79">
                  <c:v>1000000</c:v>
                </c:pt>
                <c:pt idx="80">
                  <c:v>1000000</c:v>
                </c:pt>
                <c:pt idx="81">
                  <c:v>1000000</c:v>
                </c:pt>
                <c:pt idx="82">
                  <c:v>1000000</c:v>
                </c:pt>
                <c:pt idx="83">
                  <c:v>1000000</c:v>
                </c:pt>
                <c:pt idx="84">
                  <c:v>1000000</c:v>
                </c:pt>
                <c:pt idx="85">
                  <c:v>1000000</c:v>
                </c:pt>
                <c:pt idx="87">
                  <c:v>1000000</c:v>
                </c:pt>
                <c:pt idx="88">
                  <c:v>1000000</c:v>
                </c:pt>
                <c:pt idx="89">
                  <c:v>1000000</c:v>
                </c:pt>
                <c:pt idx="90">
                  <c:v>1000000</c:v>
                </c:pt>
                <c:pt idx="91">
                  <c:v>1000000</c:v>
                </c:pt>
                <c:pt idx="93">
                  <c:v>-0.19184305129222826</c:v>
                </c:pt>
                <c:pt idx="94">
                  <c:v>-0.34381688129552335</c:v>
                </c:pt>
                <c:pt idx="95">
                  <c:v>-0.41012401657325226</c:v>
                </c:pt>
              </c:numCache>
            </c:numRef>
          </c:yVal>
          <c:smooth val="0"/>
          <c:extLst>
            <c:ext xmlns:c16="http://schemas.microsoft.com/office/drawing/2014/chart" uri="{C3380CC4-5D6E-409C-BE32-E72D297353CC}">
              <c16:uniqueId val="{00000020-144D-46A3-A8B6-38208979D1B5}"/>
            </c:ext>
          </c:extLst>
        </c:ser>
        <c:ser>
          <c:idx val="7"/>
          <c:order val="6"/>
          <c:tx>
            <c:v>Galaxies</c:v>
          </c:tx>
          <c:spPr>
            <a:ln w="28575">
              <a:noFill/>
            </a:ln>
          </c:spPr>
          <c:marker>
            <c:symbol val="picture"/>
            <c:spPr>
              <a:blipFill dpi="0" rotWithShape="0">
                <a:blip xmlns:r="http://schemas.openxmlformats.org/officeDocument/2006/relationships" r:embed="rId5"/>
                <a:srcRect/>
                <a:stretch>
                  <a:fillRect/>
                </a:stretch>
              </a:blipFill>
              <a:ln w="9525">
                <a:noFill/>
              </a:ln>
            </c:spPr>
          </c:marker>
          <c:dLbls>
            <c:dLbl>
              <c:idx val="0"/>
              <c:tx>
                <c:rich>
                  <a:bodyPr/>
                  <a:lstStyle/>
                  <a:p>
                    <a:pPr>
                      <a:defRPr sz="600" b="0" i="0" u="none" strike="noStrike" baseline="0">
                        <a:solidFill>
                          <a:srgbClr val="FFFFFF"/>
                        </a:solidFill>
                        <a:latin typeface="Arial"/>
                        <a:ea typeface="Arial"/>
                        <a:cs typeface="Arial"/>
                      </a:defRPr>
                    </a:pPr>
                    <a:r>
                      <a:rPr lang="en-US"/>
                      <a:t>Andromède</a:t>
                    </a:r>
                  </a:p>
                </c:rich>
              </c:tx>
              <c:spPr>
                <a:noFill/>
                <a:ln w="25400">
                  <a:noFill/>
                </a:ln>
              </c:spPr>
              <c:showLegendKey val="0"/>
              <c:showVal val="0"/>
              <c:showCatName val="0"/>
              <c:showSerName val="0"/>
              <c:showPercent val="0"/>
              <c:showBubbleSize val="0"/>
              <c:extLst>
                <c:ext xmlns:c15="http://schemas.microsoft.com/office/drawing/2012/chart" uri="{CE6537A1-D6FC-4f65-9D91-7224C49458BB}">
                  <c15:showDataLabelsRange val="0"/>
                </c:ext>
                <c:ext xmlns:c16="http://schemas.microsoft.com/office/drawing/2014/chart" uri="{C3380CC4-5D6E-409C-BE32-E72D297353CC}">
                  <c16:uniqueId val="{00000021-144D-46A3-A8B6-38208979D1B5}"/>
                </c:ext>
              </c:extLst>
            </c:dLbl>
            <c:dLbl>
              <c:idx val="1"/>
              <c:tx>
                <c:rich>
                  <a:bodyPr/>
                  <a:lstStyle/>
                  <a:p>
                    <a:pPr>
                      <a:defRPr sz="600" b="0" i="0" u="none" strike="noStrike" baseline="0">
                        <a:solidFill>
                          <a:srgbClr val="FFFFFF"/>
                        </a:solidFill>
                        <a:latin typeface="Arial"/>
                        <a:ea typeface="Arial"/>
                        <a:cs typeface="Arial"/>
                      </a:defRPr>
                    </a:pPr>
                    <a:r>
                      <a:rPr lang="en-US"/>
                      <a:t>Magellan</a:t>
                    </a:r>
                  </a:p>
                </c:rich>
              </c:tx>
              <c:spPr>
                <a:noFill/>
                <a:ln w="25400">
                  <a:noFill/>
                </a:ln>
              </c:spPr>
              <c:showLegendKey val="0"/>
              <c:showVal val="0"/>
              <c:showCatName val="0"/>
              <c:showSerName val="0"/>
              <c:showPercent val="0"/>
              <c:showBubbleSize val="0"/>
              <c:extLst>
                <c:ext xmlns:c15="http://schemas.microsoft.com/office/drawing/2012/chart" uri="{CE6537A1-D6FC-4f65-9D91-7224C49458BB}">
                  <c15:showDataLabelsRange val="0"/>
                </c:ext>
                <c:ext xmlns:c16="http://schemas.microsoft.com/office/drawing/2014/chart" uri="{C3380CC4-5D6E-409C-BE32-E72D297353CC}">
                  <c16:uniqueId val="{00000022-144D-46A3-A8B6-38208979D1B5}"/>
                </c:ext>
              </c:extLst>
            </c:dLbl>
            <c:spPr>
              <a:noFill/>
              <a:ln>
                <a:noFill/>
              </a:ln>
              <a:effectLst/>
            </c:spPr>
            <c:showLegendKey val="0"/>
            <c:showVal val="0"/>
            <c:showCatName val="0"/>
            <c:showSerName val="0"/>
            <c:showPercent val="0"/>
            <c:showBubbleSize val="0"/>
            <c:extLst>
              <c:ext xmlns:c15="http://schemas.microsoft.com/office/drawing/2012/chart" uri="{CE6537A1-D6FC-4f65-9D91-7224C49458BB}">
                <c15:showLeaderLines val="0"/>
              </c:ext>
            </c:extLst>
          </c:dLbls>
          <c:xVal>
            <c:numRef>
              <c:f>Calculs!$N$271:$N$272</c:f>
              <c:numCache>
                <c:formatCode>0.00</c:formatCode>
                <c:ptCount val="2"/>
                <c:pt idx="0">
                  <c:v>-0.11286589495979818</c:v>
                </c:pt>
                <c:pt idx="1">
                  <c:v>1000000</c:v>
                </c:pt>
              </c:numCache>
            </c:numRef>
          </c:xVal>
          <c:yVal>
            <c:numRef>
              <c:f>Calculs!$U$271:$U$272</c:f>
              <c:numCache>
                <c:formatCode>0.00</c:formatCode>
                <c:ptCount val="2"/>
                <c:pt idx="0">
                  <c:v>-0.12990279579229236</c:v>
                </c:pt>
                <c:pt idx="1">
                  <c:v>1000000</c:v>
                </c:pt>
              </c:numCache>
            </c:numRef>
          </c:yVal>
          <c:smooth val="0"/>
          <c:extLst>
            <c:ext xmlns:c16="http://schemas.microsoft.com/office/drawing/2014/chart" uri="{C3380CC4-5D6E-409C-BE32-E72D297353CC}">
              <c16:uniqueId val="{00000023-144D-46A3-A8B6-38208979D1B5}"/>
            </c:ext>
          </c:extLst>
        </c:ser>
        <c:ser>
          <c:idx val="8"/>
          <c:order val="7"/>
          <c:tx>
            <c:v>Soleil</c:v>
          </c:tx>
          <c:spPr>
            <a:ln w="28575">
              <a:noFill/>
            </a:ln>
          </c:spPr>
          <c:marker>
            <c:symbol val="picture"/>
            <c:spPr>
              <a:blipFill dpi="0" rotWithShape="0">
                <a:blip xmlns:r="http://schemas.openxmlformats.org/officeDocument/2006/relationships" r:embed="rId6"/>
                <a:srcRect/>
                <a:stretch>
                  <a:fillRect/>
                </a:stretch>
              </a:blipFill>
              <a:ln w="25400">
                <a:noFill/>
              </a:ln>
            </c:spPr>
          </c:marker>
          <c:xVal>
            <c:numRef>
              <c:f>Calculs!$P$277</c:f>
              <c:numCache>
                <c:formatCode>0.00</c:formatCode>
                <c:ptCount val="1"/>
                <c:pt idx="0">
                  <c:v>-3.3905707468567921E-2</c:v>
                </c:pt>
              </c:numCache>
            </c:numRef>
          </c:xVal>
          <c:yVal>
            <c:numRef>
              <c:f>Calculs!$Q$277</c:f>
              <c:numCache>
                <c:formatCode>0.00</c:formatCode>
                <c:ptCount val="1"/>
                <c:pt idx="0">
                  <c:v>-0.73689873658000959</c:v>
                </c:pt>
              </c:numCache>
            </c:numRef>
          </c:yVal>
          <c:smooth val="0"/>
          <c:extLst>
            <c:ext xmlns:c16="http://schemas.microsoft.com/office/drawing/2014/chart" uri="{C3380CC4-5D6E-409C-BE32-E72D297353CC}">
              <c16:uniqueId val="{00000024-144D-46A3-A8B6-38208979D1B5}"/>
            </c:ext>
          </c:extLst>
        </c:ser>
        <c:ser>
          <c:idx val="9"/>
          <c:order val="8"/>
          <c:tx>
            <c:v>Mercure</c:v>
          </c:tx>
          <c:spPr>
            <a:ln w="28575">
              <a:noFill/>
            </a:ln>
          </c:spPr>
          <c:marker>
            <c:symbol val="picture"/>
            <c:spPr>
              <a:blipFill dpi="0" rotWithShape="0">
                <a:blip xmlns:r="http://schemas.openxmlformats.org/officeDocument/2006/relationships" r:embed="rId7"/>
                <a:srcRect/>
                <a:stretch>
                  <a:fillRect/>
                </a:stretch>
              </a:blipFill>
              <a:ln w="25400">
                <a:noFill/>
              </a:ln>
            </c:spPr>
          </c:marker>
          <c:xVal>
            <c:numRef>
              <c:f>Calculs!$P$278</c:f>
              <c:numCache>
                <c:formatCode>0.00</c:formatCode>
                <c:ptCount val="1"/>
                <c:pt idx="0">
                  <c:v>0.28722299940285101</c:v>
                </c:pt>
              </c:numCache>
            </c:numRef>
          </c:xVal>
          <c:yVal>
            <c:numRef>
              <c:f>Calculs!$Q$278</c:f>
              <c:numCache>
                <c:formatCode>0.00</c:formatCode>
                <c:ptCount val="1"/>
                <c:pt idx="0">
                  <c:v>-0.78615570204948459</c:v>
                </c:pt>
              </c:numCache>
            </c:numRef>
          </c:yVal>
          <c:smooth val="0"/>
          <c:extLst>
            <c:ext xmlns:c16="http://schemas.microsoft.com/office/drawing/2014/chart" uri="{C3380CC4-5D6E-409C-BE32-E72D297353CC}">
              <c16:uniqueId val="{00000025-144D-46A3-A8B6-38208979D1B5}"/>
            </c:ext>
          </c:extLst>
        </c:ser>
        <c:ser>
          <c:idx val="10"/>
          <c:order val="9"/>
          <c:tx>
            <c:v>Vénus</c:v>
          </c:tx>
          <c:spPr>
            <a:ln w="28575">
              <a:noFill/>
            </a:ln>
          </c:spPr>
          <c:marker>
            <c:symbol val="picture"/>
            <c:spPr>
              <a:blipFill dpi="0" rotWithShape="0">
                <a:blip xmlns:r="http://schemas.openxmlformats.org/officeDocument/2006/relationships" r:embed="rId8"/>
                <a:srcRect/>
                <a:stretch>
                  <a:fillRect/>
                </a:stretch>
              </a:blipFill>
              <a:ln w="25400">
                <a:noFill/>
              </a:ln>
            </c:spPr>
          </c:marker>
          <c:xVal>
            <c:numRef>
              <c:f>Calculs!$P$279</c:f>
              <c:numCache>
                <c:formatCode>0.00</c:formatCode>
                <c:ptCount val="1"/>
                <c:pt idx="0">
                  <c:v>-0.36388708105826967</c:v>
                </c:pt>
              </c:numCache>
            </c:numRef>
          </c:xVal>
          <c:yVal>
            <c:numRef>
              <c:f>Calculs!$Q$279</c:f>
              <c:numCache>
                <c:formatCode>0.00</c:formatCode>
                <c:ptCount val="1"/>
                <c:pt idx="0">
                  <c:v>-0.58900808525903037</c:v>
                </c:pt>
              </c:numCache>
            </c:numRef>
          </c:yVal>
          <c:smooth val="0"/>
          <c:extLst>
            <c:ext xmlns:c16="http://schemas.microsoft.com/office/drawing/2014/chart" uri="{C3380CC4-5D6E-409C-BE32-E72D297353CC}">
              <c16:uniqueId val="{00000026-144D-46A3-A8B6-38208979D1B5}"/>
            </c:ext>
          </c:extLst>
        </c:ser>
        <c:ser>
          <c:idx val="16"/>
          <c:order val="10"/>
          <c:tx>
            <c:v>Lune</c:v>
          </c:tx>
          <c:spPr>
            <a:ln w="19050">
              <a:noFill/>
            </a:ln>
          </c:spPr>
          <c:marker>
            <c:symbol val="picture"/>
            <c:spPr>
              <a:blipFill dpi="0" rotWithShape="0">
                <a:blip xmlns:r="http://schemas.openxmlformats.org/officeDocument/2006/relationships" r:embed="rId9"/>
                <a:srcRect/>
                <a:stretch>
                  <a:fillRect/>
                </a:stretch>
              </a:blipFill>
              <a:ln w="25400">
                <a:noFill/>
              </a:ln>
            </c:spPr>
          </c:marker>
          <c:xVal>
            <c:numRef>
              <c:f>Calculs!$U$290</c:f>
              <c:numCache>
                <c:formatCode>0.00</c:formatCode>
                <c:ptCount val="1"/>
                <c:pt idx="0">
                  <c:v>-0.88200352245082281</c:v>
                </c:pt>
              </c:numCache>
            </c:numRef>
          </c:xVal>
          <c:yVal>
            <c:numRef>
              <c:f>Calculs!$V$290</c:f>
              <c:numCache>
                <c:formatCode>0.00</c:formatCode>
                <c:ptCount val="1"/>
                <c:pt idx="0">
                  <c:v>0.32665920124515241</c:v>
                </c:pt>
              </c:numCache>
            </c:numRef>
          </c:yVal>
          <c:smooth val="0"/>
          <c:extLst>
            <c:ext xmlns:c16="http://schemas.microsoft.com/office/drawing/2014/chart" uri="{C3380CC4-5D6E-409C-BE32-E72D297353CC}">
              <c16:uniqueId val="{0000002D-144D-46A3-A8B6-38208979D1B5}"/>
            </c:ext>
          </c:extLst>
        </c:ser>
        <c:ser>
          <c:idx val="11"/>
          <c:order val="11"/>
          <c:tx>
            <c:v>Mars</c:v>
          </c:tx>
          <c:spPr>
            <a:ln w="28575">
              <a:noFill/>
            </a:ln>
          </c:spPr>
          <c:marker>
            <c:symbol val="picture"/>
            <c:spPr>
              <a:blipFill dpi="0" rotWithShape="0">
                <a:blip xmlns:r="http://schemas.openxmlformats.org/officeDocument/2006/relationships" r:embed="rId10"/>
                <a:srcRect/>
                <a:stretch>
                  <a:fillRect/>
                </a:stretch>
              </a:blipFill>
              <a:ln w="25400">
                <a:noFill/>
              </a:ln>
            </c:spPr>
          </c:marker>
          <c:xVal>
            <c:numRef>
              <c:f>Calculs!$P$281</c:f>
              <c:numCache>
                <c:formatCode>0.00</c:formatCode>
                <c:ptCount val="1"/>
                <c:pt idx="0">
                  <c:v>0.18317235885309055</c:v>
                </c:pt>
              </c:numCache>
            </c:numRef>
          </c:xVal>
          <c:yVal>
            <c:numRef>
              <c:f>Calculs!$Q$281</c:f>
              <c:numCache>
                <c:formatCode>0.00</c:formatCode>
                <c:ptCount val="1"/>
                <c:pt idx="0">
                  <c:v>-0.78026822024743103</c:v>
                </c:pt>
              </c:numCache>
            </c:numRef>
          </c:yVal>
          <c:smooth val="0"/>
          <c:extLst>
            <c:ext xmlns:c16="http://schemas.microsoft.com/office/drawing/2014/chart" uri="{C3380CC4-5D6E-409C-BE32-E72D297353CC}">
              <c16:uniqueId val="{00000027-144D-46A3-A8B6-38208979D1B5}"/>
            </c:ext>
          </c:extLst>
        </c:ser>
        <c:ser>
          <c:idx val="12"/>
          <c:order val="12"/>
          <c:tx>
            <c:v>Jupiter</c:v>
          </c:tx>
          <c:spPr>
            <a:ln w="28575">
              <a:noFill/>
            </a:ln>
          </c:spPr>
          <c:marker>
            <c:symbol val="picture"/>
            <c:spPr>
              <a:blipFill dpi="0" rotWithShape="0">
                <a:blip xmlns:r="http://schemas.openxmlformats.org/officeDocument/2006/relationships" r:embed="rId11"/>
                <a:srcRect/>
                <a:stretch>
                  <a:fillRect/>
                </a:stretch>
              </a:blipFill>
              <a:ln w="25400">
                <a:noFill/>
              </a:ln>
            </c:spPr>
          </c:marker>
          <c:dPt>
            <c:idx val="0"/>
            <c:bubble3D val="0"/>
            <c:extLst>
              <c:ext xmlns:c16="http://schemas.microsoft.com/office/drawing/2014/chart" uri="{C3380CC4-5D6E-409C-BE32-E72D297353CC}">
                <c16:uniqueId val="{00000001-74D8-4940-BF20-BAE3D250D934}"/>
              </c:ext>
            </c:extLst>
          </c:dPt>
          <c:xVal>
            <c:numRef>
              <c:f>Calculs!$P$282</c:f>
              <c:numCache>
                <c:formatCode>0.00</c:formatCode>
                <c:ptCount val="1"/>
                <c:pt idx="0">
                  <c:v>-0.9120904057851662</c:v>
                </c:pt>
              </c:numCache>
            </c:numRef>
          </c:xVal>
          <c:yVal>
            <c:numRef>
              <c:f>Calculs!$Q$282</c:f>
              <c:numCache>
                <c:formatCode>0.00</c:formatCode>
                <c:ptCount val="1"/>
                <c:pt idx="0">
                  <c:v>0.3463557225220294</c:v>
                </c:pt>
              </c:numCache>
            </c:numRef>
          </c:yVal>
          <c:smooth val="0"/>
          <c:extLst>
            <c:ext xmlns:c16="http://schemas.microsoft.com/office/drawing/2014/chart" uri="{C3380CC4-5D6E-409C-BE32-E72D297353CC}">
              <c16:uniqueId val="{00000028-144D-46A3-A8B6-38208979D1B5}"/>
            </c:ext>
          </c:extLst>
        </c:ser>
        <c:ser>
          <c:idx val="13"/>
          <c:order val="13"/>
          <c:tx>
            <c:v>Saturne</c:v>
          </c:tx>
          <c:spPr>
            <a:ln w="28575">
              <a:noFill/>
            </a:ln>
          </c:spPr>
          <c:marker>
            <c:symbol val="picture"/>
            <c:spPr>
              <a:blipFill dpi="0" rotWithShape="0">
                <a:blip xmlns:r="http://schemas.openxmlformats.org/officeDocument/2006/relationships" r:embed="rId12"/>
                <a:srcRect/>
                <a:stretch>
                  <a:fillRect/>
                </a:stretch>
              </a:blipFill>
              <a:ln w="25400">
                <a:noFill/>
              </a:ln>
            </c:spPr>
          </c:marker>
          <c:xVal>
            <c:numRef>
              <c:f>Calculs!$P$283</c:f>
              <c:numCache>
                <c:formatCode>0.00</c:formatCode>
                <c:ptCount val="1"/>
                <c:pt idx="0">
                  <c:v>-0.14826460121280127</c:v>
                </c:pt>
              </c:numCache>
            </c:numRef>
          </c:xVal>
          <c:yVal>
            <c:numRef>
              <c:f>Calculs!$Q$283</c:f>
              <c:numCache>
                <c:formatCode>0.00</c:formatCode>
                <c:ptCount val="1"/>
                <c:pt idx="0">
                  <c:v>-0.69746664790302748</c:v>
                </c:pt>
              </c:numCache>
            </c:numRef>
          </c:yVal>
          <c:smooth val="0"/>
          <c:extLst>
            <c:ext xmlns:c16="http://schemas.microsoft.com/office/drawing/2014/chart" uri="{C3380CC4-5D6E-409C-BE32-E72D297353CC}">
              <c16:uniqueId val="{00000029-144D-46A3-A8B6-38208979D1B5}"/>
            </c:ext>
          </c:extLst>
        </c:ser>
        <c:ser>
          <c:idx val="14"/>
          <c:order val="14"/>
          <c:tx>
            <c:v>Uranus</c:v>
          </c:tx>
          <c:spPr>
            <a:ln w="28575">
              <a:noFill/>
            </a:ln>
          </c:spPr>
          <c:marker>
            <c:symbol val="picture"/>
            <c:spPr>
              <a:blipFill dpi="0" rotWithShape="0">
                <a:blip xmlns:r="http://schemas.openxmlformats.org/officeDocument/2006/relationships" r:embed="rId13"/>
                <a:srcRect/>
                <a:stretch>
                  <a:fillRect/>
                </a:stretch>
              </a:blipFill>
              <a:ln w="25400">
                <a:noFill/>
              </a:ln>
            </c:spPr>
          </c:marker>
          <c:dPt>
            <c:idx val="0"/>
            <c:bubble3D val="0"/>
            <c:extLst>
              <c:ext xmlns:c16="http://schemas.microsoft.com/office/drawing/2014/chart" uri="{C3380CC4-5D6E-409C-BE32-E72D297353CC}">
                <c16:uniqueId val="{00000002-74D8-4940-BF20-BAE3D250D934}"/>
              </c:ext>
            </c:extLst>
          </c:dPt>
          <c:xVal>
            <c:numRef>
              <c:f>Calculs!$P$284</c:f>
              <c:numCache>
                <c:formatCode>0.00</c:formatCode>
                <c:ptCount val="1"/>
                <c:pt idx="0">
                  <c:v>-0.81865933704312677</c:v>
                </c:pt>
              </c:numCache>
            </c:numRef>
          </c:xVal>
          <c:yVal>
            <c:numRef>
              <c:f>Calculs!$Q$284</c:f>
              <c:numCache>
                <c:formatCode>0.00</c:formatCode>
                <c:ptCount val="1"/>
                <c:pt idx="0">
                  <c:v>-0.10926277932051041</c:v>
                </c:pt>
              </c:numCache>
            </c:numRef>
          </c:yVal>
          <c:smooth val="0"/>
          <c:extLst>
            <c:ext xmlns:c16="http://schemas.microsoft.com/office/drawing/2014/chart" uri="{C3380CC4-5D6E-409C-BE32-E72D297353CC}">
              <c16:uniqueId val="{0000002A-144D-46A3-A8B6-38208979D1B5}"/>
            </c:ext>
          </c:extLst>
        </c:ser>
        <c:ser>
          <c:idx val="15"/>
          <c:order val="15"/>
          <c:tx>
            <c:v>Neptune</c:v>
          </c:tx>
          <c:spPr>
            <a:ln w="28575">
              <a:noFill/>
            </a:ln>
          </c:spPr>
          <c:marker>
            <c:symbol val="picture"/>
            <c:spPr>
              <a:blipFill dpi="0" rotWithShape="0">
                <a:blip xmlns:r="http://schemas.openxmlformats.org/officeDocument/2006/relationships" r:embed="rId14"/>
                <a:srcRect/>
                <a:stretch>
                  <a:fillRect/>
                </a:stretch>
              </a:blipFill>
              <a:ln w="25400">
                <a:noFill/>
              </a:ln>
            </c:spPr>
          </c:marker>
          <c:xVal>
            <c:numRef>
              <c:f>Calculs!$P$285</c:f>
              <c:numCache>
                <c:formatCode>0.00</c:formatCode>
                <c:ptCount val="1"/>
                <c:pt idx="0">
                  <c:v>-5.34328640381787E-2</c:v>
                </c:pt>
              </c:numCache>
            </c:numRef>
          </c:xVal>
          <c:yVal>
            <c:numRef>
              <c:f>Calculs!$Q$285</c:f>
              <c:numCache>
                <c:formatCode>0.00</c:formatCode>
                <c:ptCount val="1"/>
                <c:pt idx="0">
                  <c:v>-0.73098849001555899</c:v>
                </c:pt>
              </c:numCache>
            </c:numRef>
          </c:yVal>
          <c:smooth val="0"/>
          <c:extLst>
            <c:ext xmlns:c16="http://schemas.microsoft.com/office/drawing/2014/chart" uri="{C3380CC4-5D6E-409C-BE32-E72D297353CC}">
              <c16:uniqueId val="{0000002B-144D-46A3-A8B6-38208979D1B5}"/>
            </c:ext>
          </c:extLst>
        </c:ser>
        <c:ser>
          <c:idx val="0"/>
          <c:order val="16"/>
          <c:tx>
            <c:v>Horizon</c:v>
          </c:tx>
          <c:spPr>
            <a:ln w="3175">
              <a:solidFill>
                <a:srgbClr val="FFFFFF"/>
              </a:solidFill>
              <a:prstDash val="solid"/>
            </a:ln>
          </c:spPr>
          <c:marker>
            <c:symbol val="none"/>
          </c:marker>
          <c:xVal>
            <c:numRef>
              <c:f>Calculs!$AL$15:$AL$55</c:f>
              <c:numCache>
                <c:formatCode>0.00</c:formatCode>
                <c:ptCount val="41"/>
                <c:pt idx="0">
                  <c:v>1</c:v>
                </c:pt>
                <c:pt idx="1">
                  <c:v>0.98768834059513777</c:v>
                </c:pt>
                <c:pt idx="2">
                  <c:v>0.95105651629515353</c:v>
                </c:pt>
                <c:pt idx="3">
                  <c:v>0.8910065241883679</c:v>
                </c:pt>
                <c:pt idx="4">
                  <c:v>0.80901699437494745</c:v>
                </c:pt>
                <c:pt idx="5">
                  <c:v>0.70710678118654757</c:v>
                </c:pt>
                <c:pt idx="6">
                  <c:v>0.58778525229247314</c:v>
                </c:pt>
                <c:pt idx="7">
                  <c:v>0.4539904997395468</c:v>
                </c:pt>
                <c:pt idx="8">
                  <c:v>0.30901699437494745</c:v>
                </c:pt>
                <c:pt idx="9">
                  <c:v>0.15643446504023092</c:v>
                </c:pt>
                <c:pt idx="10">
                  <c:v>6.1257422745431001E-17</c:v>
                </c:pt>
                <c:pt idx="11">
                  <c:v>-0.15643446504023081</c:v>
                </c:pt>
                <c:pt idx="12">
                  <c:v>-0.30901699437494734</c:v>
                </c:pt>
                <c:pt idx="13">
                  <c:v>-0.45399049973954669</c:v>
                </c:pt>
                <c:pt idx="14">
                  <c:v>-0.58778525229247303</c:v>
                </c:pt>
                <c:pt idx="15">
                  <c:v>-0.70710678118654746</c:v>
                </c:pt>
                <c:pt idx="16">
                  <c:v>-0.80901699437494734</c:v>
                </c:pt>
                <c:pt idx="17">
                  <c:v>-0.89100652418836779</c:v>
                </c:pt>
                <c:pt idx="18">
                  <c:v>-0.95105651629515353</c:v>
                </c:pt>
                <c:pt idx="19">
                  <c:v>-0.98768834059513766</c:v>
                </c:pt>
                <c:pt idx="20">
                  <c:v>-1</c:v>
                </c:pt>
                <c:pt idx="21">
                  <c:v>-0.98768834059513777</c:v>
                </c:pt>
                <c:pt idx="22">
                  <c:v>-0.95105651629515364</c:v>
                </c:pt>
                <c:pt idx="23">
                  <c:v>-0.8910065241883679</c:v>
                </c:pt>
                <c:pt idx="24">
                  <c:v>-0.80901699437494756</c:v>
                </c:pt>
                <c:pt idx="25">
                  <c:v>-0.70710678118654768</c:v>
                </c:pt>
                <c:pt idx="26">
                  <c:v>-0.58778525229247325</c:v>
                </c:pt>
                <c:pt idx="27">
                  <c:v>-0.45399049973954692</c:v>
                </c:pt>
                <c:pt idx="28">
                  <c:v>-0.30901699437494756</c:v>
                </c:pt>
                <c:pt idx="29">
                  <c:v>-0.15643446504023104</c:v>
                </c:pt>
                <c:pt idx="30">
                  <c:v>-1.83772268236293E-16</c:v>
                </c:pt>
                <c:pt idx="31">
                  <c:v>0.15643446504023067</c:v>
                </c:pt>
                <c:pt idx="32">
                  <c:v>0.30901699437494723</c:v>
                </c:pt>
                <c:pt idx="33">
                  <c:v>0.45399049973954664</c:v>
                </c:pt>
                <c:pt idx="34">
                  <c:v>0.58778525229247292</c:v>
                </c:pt>
                <c:pt idx="35">
                  <c:v>0.70710678118654735</c:v>
                </c:pt>
                <c:pt idx="36">
                  <c:v>0.80901699437494734</c:v>
                </c:pt>
                <c:pt idx="37">
                  <c:v>0.89100652418836779</c:v>
                </c:pt>
                <c:pt idx="38">
                  <c:v>0.95105651629515353</c:v>
                </c:pt>
                <c:pt idx="39">
                  <c:v>0.98768834059513766</c:v>
                </c:pt>
                <c:pt idx="40">
                  <c:v>1</c:v>
                </c:pt>
              </c:numCache>
            </c:numRef>
          </c:xVal>
          <c:yVal>
            <c:numRef>
              <c:f>Calculs!$AM$15:$AM$55</c:f>
              <c:numCache>
                <c:formatCode>0.00</c:formatCode>
                <c:ptCount val="41"/>
                <c:pt idx="0">
                  <c:v>0</c:v>
                </c:pt>
                <c:pt idx="1">
                  <c:v>0.15643446504023087</c:v>
                </c:pt>
                <c:pt idx="2">
                  <c:v>0.3090169943749474</c:v>
                </c:pt>
                <c:pt idx="3">
                  <c:v>0.45399049973954675</c:v>
                </c:pt>
                <c:pt idx="4">
                  <c:v>0.58778525229247314</c:v>
                </c:pt>
                <c:pt idx="5">
                  <c:v>0.70710678118654746</c:v>
                </c:pt>
                <c:pt idx="6">
                  <c:v>0.80901699437494745</c:v>
                </c:pt>
                <c:pt idx="7">
                  <c:v>0.89100652418836779</c:v>
                </c:pt>
                <c:pt idx="8">
                  <c:v>0.95105651629515353</c:v>
                </c:pt>
                <c:pt idx="9">
                  <c:v>0.98768834059513777</c:v>
                </c:pt>
                <c:pt idx="10">
                  <c:v>1</c:v>
                </c:pt>
                <c:pt idx="11">
                  <c:v>0.98768834059513777</c:v>
                </c:pt>
                <c:pt idx="12">
                  <c:v>0.95105651629515364</c:v>
                </c:pt>
                <c:pt idx="13">
                  <c:v>0.8910065241883679</c:v>
                </c:pt>
                <c:pt idx="14">
                  <c:v>0.80901699437494745</c:v>
                </c:pt>
                <c:pt idx="15">
                  <c:v>0.70710678118654757</c:v>
                </c:pt>
                <c:pt idx="16">
                  <c:v>0.58778525229247325</c:v>
                </c:pt>
                <c:pt idx="17">
                  <c:v>0.45399049973954686</c:v>
                </c:pt>
                <c:pt idx="18">
                  <c:v>0.30901699437494751</c:v>
                </c:pt>
                <c:pt idx="19">
                  <c:v>0.15643446504023098</c:v>
                </c:pt>
                <c:pt idx="20">
                  <c:v>1.22514845490862E-16</c:v>
                </c:pt>
                <c:pt idx="21">
                  <c:v>-0.15643446504023073</c:v>
                </c:pt>
                <c:pt idx="22">
                  <c:v>-0.30901699437494728</c:v>
                </c:pt>
                <c:pt idx="23">
                  <c:v>-0.45399049973954669</c:v>
                </c:pt>
                <c:pt idx="24">
                  <c:v>-0.58778525229247303</c:v>
                </c:pt>
                <c:pt idx="25">
                  <c:v>-0.70710678118654746</c:v>
                </c:pt>
                <c:pt idx="26">
                  <c:v>-0.80901699437494734</c:v>
                </c:pt>
                <c:pt idx="27">
                  <c:v>-0.89100652418836779</c:v>
                </c:pt>
                <c:pt idx="28">
                  <c:v>-0.95105651629515353</c:v>
                </c:pt>
                <c:pt idx="29">
                  <c:v>-0.98768834059513766</c:v>
                </c:pt>
                <c:pt idx="30">
                  <c:v>-1</c:v>
                </c:pt>
                <c:pt idx="31">
                  <c:v>-0.98768834059513777</c:v>
                </c:pt>
                <c:pt idx="32">
                  <c:v>-0.95105651629515364</c:v>
                </c:pt>
                <c:pt idx="33">
                  <c:v>-0.8910065241883679</c:v>
                </c:pt>
                <c:pt idx="34">
                  <c:v>-0.80901699437494756</c:v>
                </c:pt>
                <c:pt idx="35">
                  <c:v>-0.70710678118654768</c:v>
                </c:pt>
                <c:pt idx="36">
                  <c:v>-0.58778525229247336</c:v>
                </c:pt>
                <c:pt idx="37">
                  <c:v>-0.45399049973954697</c:v>
                </c:pt>
                <c:pt idx="38">
                  <c:v>-0.30901699437494762</c:v>
                </c:pt>
                <c:pt idx="39">
                  <c:v>-0.15643446504023112</c:v>
                </c:pt>
                <c:pt idx="40">
                  <c:v>-2.45029690981724E-16</c:v>
                </c:pt>
              </c:numCache>
            </c:numRef>
          </c:yVal>
          <c:smooth val="0"/>
          <c:extLst>
            <c:ext xmlns:c16="http://schemas.microsoft.com/office/drawing/2014/chart" uri="{C3380CC4-5D6E-409C-BE32-E72D297353CC}">
              <c16:uniqueId val="{0000002E-144D-46A3-A8B6-38208979D1B5}"/>
            </c:ext>
          </c:extLst>
        </c:ser>
        <c:dLbls>
          <c:showLegendKey val="0"/>
          <c:showVal val="0"/>
          <c:showCatName val="0"/>
          <c:showSerName val="0"/>
          <c:showPercent val="0"/>
          <c:showBubbleSize val="0"/>
        </c:dLbls>
        <c:axId val="692289720"/>
        <c:axId val="692288152"/>
      </c:scatterChart>
      <c:valAx>
        <c:axId val="692289720"/>
        <c:scaling>
          <c:orientation val="minMax"/>
          <c:max val="1"/>
          <c:min val="-1"/>
        </c:scaling>
        <c:delete val="1"/>
        <c:axPos val="b"/>
        <c:numFmt formatCode="0.00" sourceLinked="1"/>
        <c:majorTickMark val="out"/>
        <c:minorTickMark val="none"/>
        <c:tickLblPos val="nextTo"/>
        <c:crossAx val="692288152"/>
        <c:crossesAt val="0"/>
        <c:crossBetween val="midCat"/>
        <c:majorUnit val="0.5"/>
        <c:minorUnit val="0.1"/>
      </c:valAx>
      <c:valAx>
        <c:axId val="692288152"/>
        <c:scaling>
          <c:orientation val="minMax"/>
          <c:max val="1"/>
          <c:min val="-1"/>
        </c:scaling>
        <c:delete val="1"/>
        <c:axPos val="l"/>
        <c:numFmt formatCode="0.00" sourceLinked="1"/>
        <c:majorTickMark val="out"/>
        <c:minorTickMark val="none"/>
        <c:tickLblPos val="nextTo"/>
        <c:crossAx val="692289720"/>
        <c:crossesAt val="0"/>
        <c:crossBetween val="midCat"/>
        <c:majorUnit val="0.5"/>
        <c:minorUnit val="0.1"/>
      </c:valAx>
      <c:spPr>
        <a:solidFill>
          <a:srgbClr val="000080"/>
        </a:solidFill>
        <a:ln w="25400">
          <a:noFill/>
        </a:ln>
      </c:spPr>
    </c:plotArea>
    <c:legend>
      <c:legendPos val="r"/>
      <c:legendEntry>
        <c:idx val="16"/>
        <c:txPr>
          <a:bodyPr/>
          <a:lstStyle/>
          <a:p>
            <a:pPr>
              <a:defRPr sz="900" b="0" i="0" u="none" strike="noStrike" baseline="0">
                <a:solidFill>
                  <a:srgbClr val="000000"/>
                </a:solidFill>
                <a:latin typeface="+mj-lt"/>
                <a:ea typeface="Arial"/>
                <a:cs typeface="Arial"/>
              </a:defRPr>
            </a:pPr>
            <a:endParaRPr lang="fr-FR"/>
          </a:p>
        </c:txPr>
      </c:legendEntry>
      <c:layout>
        <c:manualLayout>
          <c:xMode val="edge"/>
          <c:yMode val="edge"/>
          <c:x val="0.81839285309251031"/>
          <c:y val="6.1760178528408594E-2"/>
          <c:w val="0.17909109985105073"/>
          <c:h val="0.84066491688538936"/>
        </c:manualLayout>
      </c:layout>
      <c:overlay val="0"/>
      <c:spPr>
        <a:noFill/>
        <a:ln w="25400">
          <a:noFill/>
        </a:ln>
      </c:spPr>
      <c:txPr>
        <a:bodyPr/>
        <a:lstStyle/>
        <a:p>
          <a:pPr>
            <a:defRPr sz="900" b="0" i="0" u="none" strike="noStrike" baseline="0">
              <a:solidFill>
                <a:srgbClr val="000000"/>
              </a:solidFill>
              <a:latin typeface="+mj-lt"/>
              <a:ea typeface="Arial"/>
              <a:cs typeface="Arial"/>
            </a:defRPr>
          </a:pPr>
          <a:endParaRPr lang="fr-FR"/>
        </a:p>
      </c:txPr>
    </c:legend>
    <c:plotVisOnly val="0"/>
    <c:dispBlanksAs val="gap"/>
    <c:showDLblsOverMax val="0"/>
  </c:chart>
  <c:spPr>
    <a:solidFill>
      <a:srgbClr val="FFFFFF"/>
    </a:solidFill>
    <a:ln w="9525">
      <a:noFill/>
    </a:ln>
  </c:spPr>
  <c:txPr>
    <a:bodyPr/>
    <a:lstStyle/>
    <a:p>
      <a:pPr>
        <a:defRPr sz="1000" b="0" i="0" u="none" strike="noStrike" baseline="0">
          <a:solidFill>
            <a:srgbClr val="000000"/>
          </a:solidFill>
          <a:latin typeface="MS Sans Serif"/>
          <a:ea typeface="MS Sans Serif"/>
          <a:cs typeface="MS Sans Serif"/>
        </a:defRPr>
      </a:pPr>
      <a:endParaRPr lang="fr-FR"/>
    </a:p>
  </c:txPr>
  <c:printSettings>
    <c:headerFooter alignWithMargins="0">
      <c:oddHeader>&amp;F</c:oddHeader>
      <c:oddFooter>Page &amp;P</c:oddFooter>
    </c:headerFooter>
    <c:pageMargins b="0.98425196899999956" l="0.78740157499999996" r="0.78740157499999996" t="0.98425196899999956" header="0.49212598450000028" footer="0.49212598450000028"/>
    <c:pageSetup paperSize="9" orientation="portrait" horizontalDpi="360" verticalDpi="360"/>
  </c:printSettings>
  <c:userShapes r:id="rId15"/>
</c:chartSpace>
</file>

<file path=xl/charts/chart2.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strRef>
          <c:f>Calculs!$A$298</c:f>
          <c:strCache>
            <c:ptCount val="1"/>
            <c:pt idx="0">
              <c:v>Ciel visible le 25 3 2026 à 11 h 45 m TU</c:v>
            </c:pt>
          </c:strCache>
        </c:strRef>
      </c:tx>
      <c:layout>
        <c:manualLayout>
          <c:xMode val="edge"/>
          <c:yMode val="edge"/>
          <c:x val="0.33558113168416548"/>
          <c:y val="3.4864736948233548E-2"/>
        </c:manualLayout>
      </c:layout>
      <c:overlay val="0"/>
      <c:spPr>
        <a:noFill/>
        <a:ln w="25400">
          <a:noFill/>
        </a:ln>
      </c:spPr>
      <c:txPr>
        <a:bodyPr/>
        <a:lstStyle/>
        <a:p>
          <a:pPr>
            <a:defRPr sz="1000" b="1" i="0" u="none" strike="noStrike" baseline="0">
              <a:solidFill>
                <a:srgbClr val="000000"/>
              </a:solidFill>
              <a:latin typeface="Arial"/>
              <a:ea typeface="Arial"/>
              <a:cs typeface="Arial"/>
            </a:defRPr>
          </a:pPr>
          <a:endParaRPr lang="fr-FR"/>
        </a:p>
      </c:txPr>
    </c:title>
    <c:autoTitleDeleted val="0"/>
    <c:plotArea>
      <c:layout>
        <c:manualLayout>
          <c:layoutTarget val="inner"/>
          <c:xMode val="edge"/>
          <c:yMode val="edge"/>
          <c:x val="1.8801410105757949E-2"/>
          <c:y val="0.104141679121213"/>
          <c:w val="0.96357226792009398"/>
          <c:h val="0.87129865822412855"/>
        </c:manualLayout>
      </c:layout>
      <c:scatterChart>
        <c:scatterStyle val="lineMarker"/>
        <c:varyColors val="0"/>
        <c:ser>
          <c:idx val="0"/>
          <c:order val="0"/>
          <c:tx>
            <c:v>Bord</c:v>
          </c:tx>
          <c:spPr>
            <a:ln w="3175">
              <a:solidFill>
                <a:srgbClr val="FFFFFF"/>
              </a:solidFill>
              <a:prstDash val="solid"/>
            </a:ln>
          </c:spPr>
          <c:marker>
            <c:symbol val="none"/>
          </c:marker>
          <c:xVal>
            <c:numRef>
              <c:f>Calculs!$AL$15:$AL$35</c:f>
              <c:numCache>
                <c:formatCode>0.00</c:formatCode>
                <c:ptCount val="21"/>
                <c:pt idx="0">
                  <c:v>1</c:v>
                </c:pt>
                <c:pt idx="1">
                  <c:v>0.98768834059513777</c:v>
                </c:pt>
                <c:pt idx="2">
                  <c:v>0.95105651629515353</c:v>
                </c:pt>
                <c:pt idx="3">
                  <c:v>0.8910065241883679</c:v>
                </c:pt>
                <c:pt idx="4">
                  <c:v>0.80901699437494745</c:v>
                </c:pt>
                <c:pt idx="5">
                  <c:v>0.70710678118654757</c:v>
                </c:pt>
                <c:pt idx="6">
                  <c:v>0.58778525229247314</c:v>
                </c:pt>
                <c:pt idx="7">
                  <c:v>0.4539904997395468</c:v>
                </c:pt>
                <c:pt idx="8">
                  <c:v>0.30901699437494745</c:v>
                </c:pt>
                <c:pt idx="9">
                  <c:v>0.15643446504023092</c:v>
                </c:pt>
                <c:pt idx="10">
                  <c:v>6.1257422745431001E-17</c:v>
                </c:pt>
                <c:pt idx="11">
                  <c:v>-0.15643446504023081</c:v>
                </c:pt>
                <c:pt idx="12">
                  <c:v>-0.30901699437494734</c:v>
                </c:pt>
                <c:pt idx="13">
                  <c:v>-0.45399049973954669</c:v>
                </c:pt>
                <c:pt idx="14">
                  <c:v>-0.58778525229247303</c:v>
                </c:pt>
                <c:pt idx="15">
                  <c:v>-0.70710678118654746</c:v>
                </c:pt>
                <c:pt idx="16">
                  <c:v>-0.80901699437494734</c:v>
                </c:pt>
                <c:pt idx="17">
                  <c:v>-0.89100652418836779</c:v>
                </c:pt>
                <c:pt idx="18">
                  <c:v>-0.95105651629515353</c:v>
                </c:pt>
                <c:pt idx="19">
                  <c:v>-0.98768834059513766</c:v>
                </c:pt>
                <c:pt idx="20">
                  <c:v>-1</c:v>
                </c:pt>
              </c:numCache>
            </c:numRef>
          </c:xVal>
          <c:yVal>
            <c:numRef>
              <c:f>Calculs!$AM$15:$AM$35</c:f>
              <c:numCache>
                <c:formatCode>0.00</c:formatCode>
                <c:ptCount val="21"/>
                <c:pt idx="0">
                  <c:v>0</c:v>
                </c:pt>
                <c:pt idx="1">
                  <c:v>0.15643446504023087</c:v>
                </c:pt>
                <c:pt idx="2">
                  <c:v>0.3090169943749474</c:v>
                </c:pt>
                <c:pt idx="3">
                  <c:v>0.45399049973954675</c:v>
                </c:pt>
                <c:pt idx="4">
                  <c:v>0.58778525229247314</c:v>
                </c:pt>
                <c:pt idx="5">
                  <c:v>0.70710678118654746</c:v>
                </c:pt>
                <c:pt idx="6">
                  <c:v>0.80901699437494745</c:v>
                </c:pt>
                <c:pt idx="7">
                  <c:v>0.89100652418836779</c:v>
                </c:pt>
                <c:pt idx="8">
                  <c:v>0.95105651629515353</c:v>
                </c:pt>
                <c:pt idx="9">
                  <c:v>0.98768834059513777</c:v>
                </c:pt>
                <c:pt idx="10">
                  <c:v>1</c:v>
                </c:pt>
                <c:pt idx="11">
                  <c:v>0.98768834059513777</c:v>
                </c:pt>
                <c:pt idx="12">
                  <c:v>0.95105651629515364</c:v>
                </c:pt>
                <c:pt idx="13">
                  <c:v>0.8910065241883679</c:v>
                </c:pt>
                <c:pt idx="14">
                  <c:v>0.80901699437494745</c:v>
                </c:pt>
                <c:pt idx="15">
                  <c:v>0.70710678118654757</c:v>
                </c:pt>
                <c:pt idx="16">
                  <c:v>0.58778525229247325</c:v>
                </c:pt>
                <c:pt idx="17">
                  <c:v>0.45399049973954686</c:v>
                </c:pt>
                <c:pt idx="18">
                  <c:v>0.30901699437494751</c:v>
                </c:pt>
                <c:pt idx="19">
                  <c:v>0.15643446504023098</c:v>
                </c:pt>
                <c:pt idx="20">
                  <c:v>1.22514845490862E-16</c:v>
                </c:pt>
              </c:numCache>
            </c:numRef>
          </c:yVal>
          <c:smooth val="0"/>
          <c:extLst>
            <c:ext xmlns:c16="http://schemas.microsoft.com/office/drawing/2014/chart" uri="{C3380CC4-5D6E-409C-BE32-E72D297353CC}">
              <c16:uniqueId val="{00000000-A97E-4CF4-9C00-E4A97EA25B36}"/>
            </c:ext>
          </c:extLst>
        </c:ser>
        <c:ser>
          <c:idx val="1"/>
          <c:order val="1"/>
          <c:tx>
            <c:v>Points Cardinaux</c:v>
          </c:tx>
          <c:spPr>
            <a:ln w="28575">
              <a:noFill/>
            </a:ln>
          </c:spPr>
          <c:marker>
            <c:symbol val="picture"/>
            <c:spPr>
              <a:blipFill dpi="0" rotWithShape="0">
                <a:blip xmlns:r="http://schemas.openxmlformats.org/officeDocument/2006/relationships" r:embed="rId1"/>
                <a:srcRect/>
                <a:stretch>
                  <a:fillRect/>
                </a:stretch>
              </a:blipFill>
              <a:ln w="9525">
                <a:noFill/>
              </a:ln>
            </c:spPr>
          </c:marker>
          <c:dLbls>
            <c:dLbl>
              <c:idx val="0"/>
              <c:tx>
                <c:rich>
                  <a:bodyPr/>
                  <a:lstStyle/>
                  <a:p>
                    <a:pPr>
                      <a:defRPr sz="1200" b="0" i="0" u="none" strike="noStrike" baseline="30000">
                        <a:solidFill>
                          <a:srgbClr val="FFFFFF"/>
                        </a:solidFill>
                        <a:latin typeface="Arial"/>
                        <a:ea typeface="Arial"/>
                        <a:cs typeface="Arial"/>
                      </a:defRPr>
                    </a:pPr>
                    <a:r>
                      <a:rPr lang="en-US"/>
                      <a:t>S</a:t>
                    </a:r>
                  </a:p>
                </c:rich>
              </c:tx>
              <c:spPr>
                <a:noFill/>
                <a:ln w="25400">
                  <a:noFill/>
                </a:ln>
              </c:spPr>
              <c:dLblPos val="t"/>
              <c:showLegendKey val="0"/>
              <c:showVal val="0"/>
              <c:showCatName val="0"/>
              <c:showSerName val="0"/>
              <c:showPercent val="0"/>
              <c:showBubbleSize val="0"/>
              <c:extLst>
                <c:ext xmlns:c15="http://schemas.microsoft.com/office/drawing/2012/chart" uri="{CE6537A1-D6FC-4f65-9D91-7224C49458BB}">
                  <c15:showDataLabelsRange val="1"/>
                </c:ext>
                <c:ext xmlns:c16="http://schemas.microsoft.com/office/drawing/2014/chart" uri="{C3380CC4-5D6E-409C-BE32-E72D297353CC}">
                  <c16:uniqueId val="{00000001-A97E-4CF4-9C00-E4A97EA25B36}"/>
                </c:ext>
              </c:extLst>
            </c:dLbl>
            <c:dLbl>
              <c:idx val="1"/>
              <c:tx>
                <c:rich>
                  <a:bodyPr/>
                  <a:lstStyle/>
                  <a:p>
                    <a:pPr>
                      <a:defRPr sz="1200" b="0" i="0" u="none" strike="noStrike" baseline="30000">
                        <a:solidFill>
                          <a:srgbClr val="FFFFFF"/>
                        </a:solidFill>
                        <a:latin typeface="Arial"/>
                        <a:ea typeface="Arial"/>
                        <a:cs typeface="Arial"/>
                      </a:defRPr>
                    </a:pPr>
                    <a:r>
                      <a:rPr lang="en-US"/>
                      <a:t>SE</a:t>
                    </a:r>
                  </a:p>
                </c:rich>
              </c:tx>
              <c:spPr>
                <a:noFill/>
                <a:ln w="25400">
                  <a:noFill/>
                </a:ln>
              </c:spPr>
              <c:dLblPos val="t"/>
              <c:showLegendKey val="0"/>
              <c:showVal val="0"/>
              <c:showCatName val="0"/>
              <c:showSerName val="0"/>
              <c:showPercent val="0"/>
              <c:showBubbleSize val="0"/>
              <c:extLst>
                <c:ext xmlns:c15="http://schemas.microsoft.com/office/drawing/2012/chart" uri="{CE6537A1-D6FC-4f65-9D91-7224C49458BB}">
                  <c15:showDataLabelsRange val="1"/>
                </c:ext>
                <c:ext xmlns:c16="http://schemas.microsoft.com/office/drawing/2014/chart" uri="{C3380CC4-5D6E-409C-BE32-E72D297353CC}">
                  <c16:uniqueId val="{00000002-A97E-4CF4-9C00-E4A97EA25B36}"/>
                </c:ext>
              </c:extLst>
            </c:dLbl>
            <c:dLbl>
              <c:idx val="2"/>
              <c:tx>
                <c:rich>
                  <a:bodyPr/>
                  <a:lstStyle/>
                  <a:p>
                    <a:pPr>
                      <a:defRPr sz="1200" b="0" i="0" u="none" strike="noStrike" baseline="30000">
                        <a:solidFill>
                          <a:srgbClr val="FFFFFF"/>
                        </a:solidFill>
                        <a:latin typeface="Arial"/>
                        <a:ea typeface="Arial"/>
                        <a:cs typeface="Arial"/>
                      </a:defRPr>
                    </a:pPr>
                    <a:r>
                      <a:rPr lang="en-US"/>
                      <a:t>E</a:t>
                    </a:r>
                  </a:p>
                </c:rich>
              </c:tx>
              <c:spPr>
                <a:noFill/>
                <a:ln w="25400">
                  <a:noFill/>
                </a:ln>
              </c:spPr>
              <c:dLblPos val="t"/>
              <c:showLegendKey val="0"/>
              <c:showVal val="0"/>
              <c:showCatName val="0"/>
              <c:showSerName val="0"/>
              <c:showPercent val="0"/>
              <c:showBubbleSize val="0"/>
              <c:extLst>
                <c:ext xmlns:c15="http://schemas.microsoft.com/office/drawing/2012/chart" uri="{CE6537A1-D6FC-4f65-9D91-7224C49458BB}">
                  <c15:showDataLabelsRange val="1"/>
                </c:ext>
                <c:ext xmlns:c16="http://schemas.microsoft.com/office/drawing/2014/chart" uri="{C3380CC4-5D6E-409C-BE32-E72D297353CC}">
                  <c16:uniqueId val="{00000003-A97E-4CF4-9C00-E4A97EA25B36}"/>
                </c:ext>
              </c:extLst>
            </c:dLbl>
            <c:dLbl>
              <c:idx val="3"/>
              <c:tx>
                <c:rich>
                  <a:bodyPr/>
                  <a:lstStyle/>
                  <a:p>
                    <a:pPr>
                      <a:defRPr sz="1200" b="0" i="0" u="none" strike="noStrike" baseline="30000">
                        <a:solidFill>
                          <a:srgbClr val="FFFFFF"/>
                        </a:solidFill>
                        <a:latin typeface="Arial"/>
                        <a:ea typeface="Arial"/>
                        <a:cs typeface="Arial"/>
                      </a:defRPr>
                    </a:pPr>
                    <a:r>
                      <a:rPr lang="en-US"/>
                      <a:t>NE</a:t>
                    </a:r>
                  </a:p>
                </c:rich>
              </c:tx>
              <c:spPr>
                <a:noFill/>
                <a:ln w="25400">
                  <a:noFill/>
                </a:ln>
              </c:spPr>
              <c:dLblPos val="t"/>
              <c:showLegendKey val="0"/>
              <c:showVal val="0"/>
              <c:showCatName val="0"/>
              <c:showSerName val="0"/>
              <c:showPercent val="0"/>
              <c:showBubbleSize val="0"/>
              <c:extLst>
                <c:ext xmlns:c15="http://schemas.microsoft.com/office/drawing/2012/chart" uri="{CE6537A1-D6FC-4f65-9D91-7224C49458BB}">
                  <c15:showDataLabelsRange val="1"/>
                </c:ext>
                <c:ext xmlns:c16="http://schemas.microsoft.com/office/drawing/2014/chart" uri="{C3380CC4-5D6E-409C-BE32-E72D297353CC}">
                  <c16:uniqueId val="{00000004-A97E-4CF4-9C00-E4A97EA25B36}"/>
                </c:ext>
              </c:extLst>
            </c:dLbl>
            <c:dLbl>
              <c:idx val="4"/>
              <c:tx>
                <c:rich>
                  <a:bodyPr/>
                  <a:lstStyle/>
                  <a:p>
                    <a:pPr>
                      <a:defRPr sz="1200" b="0" i="0" u="none" strike="noStrike" baseline="30000">
                        <a:solidFill>
                          <a:srgbClr val="FFFFFF"/>
                        </a:solidFill>
                        <a:latin typeface="Arial"/>
                        <a:ea typeface="Arial"/>
                        <a:cs typeface="Arial"/>
                      </a:defRPr>
                    </a:pPr>
                    <a:r>
                      <a:rPr lang="en-US"/>
                      <a:t>N</a:t>
                    </a:r>
                  </a:p>
                </c:rich>
              </c:tx>
              <c:spPr>
                <a:noFill/>
                <a:ln w="25400">
                  <a:noFill/>
                </a:ln>
              </c:spPr>
              <c:dLblPos val="t"/>
              <c:showLegendKey val="0"/>
              <c:showVal val="0"/>
              <c:showCatName val="0"/>
              <c:showSerName val="0"/>
              <c:showPercent val="0"/>
              <c:showBubbleSize val="0"/>
              <c:extLst>
                <c:ext xmlns:c15="http://schemas.microsoft.com/office/drawing/2012/chart" uri="{CE6537A1-D6FC-4f65-9D91-7224C49458BB}">
                  <c15:showDataLabelsRange val="1"/>
                </c:ext>
                <c:ext xmlns:c16="http://schemas.microsoft.com/office/drawing/2014/chart" uri="{C3380CC4-5D6E-409C-BE32-E72D297353CC}">
                  <c16:uniqueId val="{00000005-A97E-4CF4-9C00-E4A97EA25B36}"/>
                </c:ext>
              </c:extLst>
            </c:dLbl>
            <c:dLbl>
              <c:idx val="5"/>
              <c:tx>
                <c:rich>
                  <a:bodyPr/>
                  <a:lstStyle/>
                  <a:p>
                    <a:pPr>
                      <a:defRPr sz="1200" b="0" i="0" u="none" strike="noStrike" baseline="30000">
                        <a:solidFill>
                          <a:srgbClr val="FFFFFF"/>
                        </a:solidFill>
                        <a:latin typeface="Arial"/>
                        <a:ea typeface="Arial"/>
                        <a:cs typeface="Arial"/>
                      </a:defRPr>
                    </a:pPr>
                    <a:r>
                      <a:rPr lang="en-US"/>
                      <a:t>NO</a:t>
                    </a:r>
                  </a:p>
                </c:rich>
              </c:tx>
              <c:spPr>
                <a:noFill/>
                <a:ln w="25400">
                  <a:noFill/>
                </a:ln>
              </c:spPr>
              <c:dLblPos val="t"/>
              <c:showLegendKey val="0"/>
              <c:showVal val="0"/>
              <c:showCatName val="0"/>
              <c:showSerName val="0"/>
              <c:showPercent val="0"/>
              <c:showBubbleSize val="0"/>
              <c:extLst>
                <c:ext xmlns:c15="http://schemas.microsoft.com/office/drawing/2012/chart" uri="{CE6537A1-D6FC-4f65-9D91-7224C49458BB}">
                  <c15:showDataLabelsRange val="1"/>
                </c:ext>
                <c:ext xmlns:c16="http://schemas.microsoft.com/office/drawing/2014/chart" uri="{C3380CC4-5D6E-409C-BE32-E72D297353CC}">
                  <c16:uniqueId val="{00000006-A97E-4CF4-9C00-E4A97EA25B36}"/>
                </c:ext>
              </c:extLst>
            </c:dLbl>
            <c:dLbl>
              <c:idx val="6"/>
              <c:tx>
                <c:rich>
                  <a:bodyPr/>
                  <a:lstStyle/>
                  <a:p>
                    <a:pPr>
                      <a:defRPr sz="1200" b="0" i="0" u="none" strike="noStrike" baseline="30000">
                        <a:solidFill>
                          <a:srgbClr val="FFFFFF"/>
                        </a:solidFill>
                        <a:latin typeface="Arial"/>
                        <a:ea typeface="Arial"/>
                        <a:cs typeface="Arial"/>
                      </a:defRPr>
                    </a:pPr>
                    <a:r>
                      <a:rPr lang="en-US"/>
                      <a:t>O</a:t>
                    </a:r>
                  </a:p>
                </c:rich>
              </c:tx>
              <c:spPr>
                <a:noFill/>
                <a:ln w="25400">
                  <a:noFill/>
                </a:ln>
              </c:spPr>
              <c:dLblPos val="t"/>
              <c:showLegendKey val="0"/>
              <c:showVal val="0"/>
              <c:showCatName val="0"/>
              <c:showSerName val="0"/>
              <c:showPercent val="0"/>
              <c:showBubbleSize val="0"/>
              <c:extLst>
                <c:ext xmlns:c15="http://schemas.microsoft.com/office/drawing/2012/chart" uri="{CE6537A1-D6FC-4f65-9D91-7224C49458BB}">
                  <c15:showDataLabelsRange val="1"/>
                </c:ext>
                <c:ext xmlns:c16="http://schemas.microsoft.com/office/drawing/2014/chart" uri="{C3380CC4-5D6E-409C-BE32-E72D297353CC}">
                  <c16:uniqueId val="{00000007-A97E-4CF4-9C00-E4A97EA25B36}"/>
                </c:ext>
              </c:extLst>
            </c:dLbl>
            <c:dLbl>
              <c:idx val="7"/>
              <c:tx>
                <c:rich>
                  <a:bodyPr/>
                  <a:lstStyle/>
                  <a:p>
                    <a:pPr>
                      <a:defRPr sz="1200" b="0" i="0" u="none" strike="noStrike" baseline="30000">
                        <a:solidFill>
                          <a:srgbClr val="FFFFFF"/>
                        </a:solidFill>
                        <a:latin typeface="Arial"/>
                        <a:ea typeface="Arial"/>
                        <a:cs typeface="Arial"/>
                      </a:defRPr>
                    </a:pPr>
                    <a:r>
                      <a:rPr lang="en-US"/>
                      <a:t>SO</a:t>
                    </a:r>
                  </a:p>
                </c:rich>
              </c:tx>
              <c:spPr>
                <a:noFill/>
                <a:ln w="25400">
                  <a:noFill/>
                </a:ln>
              </c:spPr>
              <c:dLblPos val="t"/>
              <c:showLegendKey val="0"/>
              <c:showVal val="0"/>
              <c:showCatName val="0"/>
              <c:showSerName val="0"/>
              <c:showPercent val="0"/>
              <c:showBubbleSize val="0"/>
              <c:extLst>
                <c:ext xmlns:c15="http://schemas.microsoft.com/office/drawing/2012/chart" uri="{CE6537A1-D6FC-4f65-9D91-7224C49458BB}">
                  <c15:showDataLabelsRange val="1"/>
                </c:ext>
                <c:ext xmlns:c16="http://schemas.microsoft.com/office/drawing/2014/chart" uri="{C3380CC4-5D6E-409C-BE32-E72D297353CC}">
                  <c16:uniqueId val="{00000008-A97E-4CF4-9C00-E4A97EA25B36}"/>
                </c:ext>
              </c:extLst>
            </c:dLbl>
            <c:spPr>
              <a:noFill/>
              <a:ln>
                <a:noFill/>
              </a:ln>
              <a:effectLst/>
            </c:spPr>
            <c:dLblPos val="t"/>
            <c:showLegendKey val="0"/>
            <c:showVal val="0"/>
            <c:showCatName val="0"/>
            <c:showSerName val="0"/>
            <c:showPercent val="0"/>
            <c:showBubbleSize val="0"/>
            <c:showLeaderLines val="0"/>
            <c:extLst>
              <c:ext xmlns:c15="http://schemas.microsoft.com/office/drawing/2012/chart" uri="{CE6537A1-D6FC-4f65-9D91-7224C49458BB}">
                <c15:showDataLabelsRange val="1"/>
                <c15:showLeaderLines val="0"/>
              </c:ext>
            </c:extLst>
          </c:dLbls>
          <c:xVal>
            <c:numRef>
              <c:f>Calculs!$AI$15:$AI$22</c:f>
              <c:numCache>
                <c:formatCode>0.00</c:formatCode>
                <c:ptCount val="8"/>
                <c:pt idx="0">
                  <c:v>-2.4492935982947064E-16</c:v>
                </c:pt>
                <c:pt idx="1">
                  <c:v>-0.70710678118654768</c:v>
                </c:pt>
                <c:pt idx="2">
                  <c:v>1000000</c:v>
                </c:pt>
                <c:pt idx="3">
                  <c:v>1000000</c:v>
                </c:pt>
                <c:pt idx="4">
                  <c:v>1000000</c:v>
                </c:pt>
                <c:pt idx="5">
                  <c:v>1000000</c:v>
                </c:pt>
                <c:pt idx="6">
                  <c:v>1</c:v>
                </c:pt>
                <c:pt idx="7">
                  <c:v>0.70710678118654735</c:v>
                </c:pt>
              </c:numCache>
            </c:numRef>
          </c:xVal>
          <c:yVal>
            <c:numRef>
              <c:f>Calculs!$AJ$15:$AJ$22</c:f>
              <c:numCache>
                <c:formatCode>0.00</c:formatCode>
                <c:ptCount val="8"/>
                <c:pt idx="0">
                  <c:v>0</c:v>
                </c:pt>
                <c:pt idx="1">
                  <c:v>0</c:v>
                </c:pt>
                <c:pt idx="2">
                  <c:v>0</c:v>
                </c:pt>
                <c:pt idx="3">
                  <c:v>0</c:v>
                </c:pt>
                <c:pt idx="4">
                  <c:v>0</c:v>
                </c:pt>
                <c:pt idx="5">
                  <c:v>0</c:v>
                </c:pt>
                <c:pt idx="6">
                  <c:v>0</c:v>
                </c:pt>
                <c:pt idx="7">
                  <c:v>0</c:v>
                </c:pt>
              </c:numCache>
            </c:numRef>
          </c:yVal>
          <c:smooth val="0"/>
          <c:extLst>
            <c:ext xmlns:c15="http://schemas.microsoft.com/office/drawing/2012/chart" uri="{02D57815-91ED-43cb-92C2-25804820EDAC}">
              <c15:datalabelsRange>
                <c15:f>Calculs!$AG$15:$AG$22</c15:f>
                <c15:dlblRangeCache>
                  <c:ptCount val="8"/>
                  <c:pt idx="0">
                    <c:v>S</c:v>
                  </c:pt>
                  <c:pt idx="1">
                    <c:v>SO</c:v>
                  </c:pt>
                  <c:pt idx="2">
                    <c:v>O</c:v>
                  </c:pt>
                  <c:pt idx="3">
                    <c:v>NO</c:v>
                  </c:pt>
                  <c:pt idx="4">
                    <c:v>N</c:v>
                  </c:pt>
                  <c:pt idx="5">
                    <c:v>NE</c:v>
                  </c:pt>
                  <c:pt idx="6">
                    <c:v>E</c:v>
                  </c:pt>
                  <c:pt idx="7">
                    <c:v>SE</c:v>
                  </c:pt>
                </c15:dlblRangeCache>
              </c15:datalabelsRange>
            </c:ext>
            <c:ext xmlns:c16="http://schemas.microsoft.com/office/drawing/2014/chart" uri="{C3380CC4-5D6E-409C-BE32-E72D297353CC}">
              <c16:uniqueId val="{00000009-A97E-4CF4-9C00-E4A97EA25B36}"/>
            </c:ext>
          </c:extLst>
        </c:ser>
        <c:ser>
          <c:idx val="2"/>
          <c:order val="2"/>
          <c:tx>
            <c:v>Magnitude &lt;=0</c:v>
          </c:tx>
          <c:spPr>
            <a:ln w="28575">
              <a:noFill/>
            </a:ln>
          </c:spPr>
          <c:marker>
            <c:symbol val="picture"/>
            <c:spPr>
              <a:blipFill dpi="0" rotWithShape="0">
                <a:blip xmlns:r="http://schemas.openxmlformats.org/officeDocument/2006/relationships" r:embed="rId2"/>
                <a:srcRect/>
                <a:stretch>
                  <a:fillRect/>
                </a:stretch>
              </a:blipFill>
              <a:ln w="9525">
                <a:noFill/>
              </a:ln>
            </c:spPr>
          </c:marker>
          <c:dLbls>
            <c:dLbl>
              <c:idx val="0"/>
              <c:tx>
                <c:rich>
                  <a:bodyPr/>
                  <a:lstStyle/>
                  <a:p>
                    <a:pPr>
                      <a:defRPr sz="800" b="0" i="0" u="none" strike="noStrike" baseline="0">
                        <a:solidFill>
                          <a:schemeClr val="bg1"/>
                        </a:solidFill>
                        <a:latin typeface="Calibri"/>
                        <a:ea typeface="Calibri"/>
                        <a:cs typeface="Calibri"/>
                      </a:defRPr>
                    </a:pPr>
                    <a:endParaRPr lang="fr-FR" sz="800">
                      <a:solidFill>
                        <a:schemeClr val="bg1"/>
                      </a:solidFill>
                    </a:endParaRPr>
                  </a:p>
                </c:rich>
              </c:tx>
              <c:spPr>
                <a:noFill/>
                <a:ln w="25400">
                  <a:noFill/>
                </a:ln>
              </c:spPr>
              <c:dLblPos val="t"/>
              <c:showLegendKey val="0"/>
              <c:showVal val="0"/>
              <c:showCatName val="0"/>
              <c:showSerName val="0"/>
              <c:showPercent val="0"/>
              <c:showBubbleSize val="0"/>
              <c:extLst>
                <c:ext xmlns:c15="http://schemas.microsoft.com/office/drawing/2012/chart" uri="{CE6537A1-D6FC-4f65-9D91-7224C49458BB}">
                  <c15:showDataLabelsRange val="1"/>
                </c:ext>
                <c:ext xmlns:c16="http://schemas.microsoft.com/office/drawing/2014/chart" uri="{C3380CC4-5D6E-409C-BE32-E72D297353CC}">
                  <c16:uniqueId val="{0000000A-A97E-4CF4-9C00-E4A97EA25B36}"/>
                </c:ext>
              </c:extLst>
            </c:dLbl>
            <c:dLbl>
              <c:idx val="1"/>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01-4F90-4403-A845-2ACE72B7E1BF}"/>
                </c:ext>
              </c:extLst>
            </c:dLbl>
            <c:dLbl>
              <c:idx val="2"/>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02-4F90-4403-A845-2ACE72B7E1BF}"/>
                </c:ext>
              </c:extLst>
            </c:dLbl>
            <c:dLbl>
              <c:idx val="3"/>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03-4F90-4403-A845-2ACE72B7E1BF}"/>
                </c:ext>
              </c:extLst>
            </c:dLbl>
            <c:dLbl>
              <c:idx val="4"/>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04-4F90-4403-A845-2ACE72B7E1BF}"/>
                </c:ext>
              </c:extLst>
            </c:dLbl>
            <c:dLbl>
              <c:idx val="5"/>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05-4F90-4403-A845-2ACE72B7E1BF}"/>
                </c:ext>
              </c:extLst>
            </c:dLbl>
            <c:dLbl>
              <c:idx val="6"/>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06-4F90-4403-A845-2ACE72B7E1BF}"/>
                </c:ext>
              </c:extLst>
            </c:dLbl>
            <c:dLbl>
              <c:idx val="7"/>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07-4F90-4403-A845-2ACE72B7E1BF}"/>
                </c:ext>
              </c:extLst>
            </c:dLbl>
            <c:dLbl>
              <c:idx val="8"/>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08-4F90-4403-A845-2ACE72B7E1BF}"/>
                </c:ext>
              </c:extLst>
            </c:dLbl>
            <c:dLbl>
              <c:idx val="9"/>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09-4F90-4403-A845-2ACE72B7E1BF}"/>
                </c:ext>
              </c:extLst>
            </c:dLbl>
            <c:dLbl>
              <c:idx val="10"/>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0A-4F90-4403-A845-2ACE72B7E1BF}"/>
                </c:ext>
              </c:extLst>
            </c:dLbl>
            <c:dLbl>
              <c:idx val="11"/>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0B-4F90-4403-A845-2ACE72B7E1BF}"/>
                </c:ext>
              </c:extLst>
            </c:dLbl>
            <c:dLbl>
              <c:idx val="12"/>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0C-4F90-4403-A845-2ACE72B7E1BF}"/>
                </c:ext>
              </c:extLst>
            </c:dLbl>
            <c:dLbl>
              <c:idx val="13"/>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0D-4F90-4403-A845-2ACE72B7E1BF}"/>
                </c:ext>
              </c:extLst>
            </c:dLbl>
            <c:dLbl>
              <c:idx val="14"/>
              <c:tx>
                <c:rich>
                  <a:bodyPr/>
                  <a:lstStyle/>
                  <a:p>
                    <a:fld id="{941375DE-B4FB-44E7-B264-94FE26B85F7F}"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E-4F90-4403-A845-2ACE72B7E1BF}"/>
                </c:ext>
              </c:extLst>
            </c:dLbl>
            <c:dLbl>
              <c:idx val="15"/>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0F-4F90-4403-A845-2ACE72B7E1BF}"/>
                </c:ext>
              </c:extLst>
            </c:dLbl>
            <c:dLbl>
              <c:idx val="16"/>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10-4F90-4403-A845-2ACE72B7E1BF}"/>
                </c:ext>
              </c:extLst>
            </c:dLbl>
            <c:dLbl>
              <c:idx val="17"/>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11-4F90-4403-A845-2ACE72B7E1BF}"/>
                </c:ext>
              </c:extLst>
            </c:dLbl>
            <c:dLbl>
              <c:idx val="18"/>
              <c:tx>
                <c:rich>
                  <a:bodyPr/>
                  <a:lstStyle/>
                  <a:p>
                    <a:fld id="{D6342597-8993-4908-9F16-71A0C77CC313}"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12-4F90-4403-A845-2ACE72B7E1BF}"/>
                </c:ext>
              </c:extLst>
            </c:dLbl>
            <c:dLbl>
              <c:idx val="19"/>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13-4F90-4403-A845-2ACE72B7E1BF}"/>
                </c:ext>
              </c:extLst>
            </c:dLbl>
            <c:dLbl>
              <c:idx val="20"/>
              <c:tx>
                <c:rich>
                  <a:bodyPr/>
                  <a:lstStyle/>
                  <a:p>
                    <a:fld id="{25CAE6E3-C6BF-451E-8DA3-EA7EC8E0E460}"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14-4F90-4403-A845-2ACE72B7E1BF}"/>
                </c:ext>
              </c:extLst>
            </c:dLbl>
            <c:dLbl>
              <c:idx val="21"/>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15-4F90-4403-A845-2ACE72B7E1BF}"/>
                </c:ext>
              </c:extLst>
            </c:dLbl>
            <c:dLbl>
              <c:idx val="22"/>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16-4F90-4403-A845-2ACE72B7E1BF}"/>
                </c:ext>
              </c:extLst>
            </c:dLbl>
            <c:dLbl>
              <c:idx val="23"/>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17-4F90-4403-A845-2ACE72B7E1BF}"/>
                </c:ext>
              </c:extLst>
            </c:dLbl>
            <c:dLbl>
              <c:idx val="24"/>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18-4F90-4403-A845-2ACE72B7E1BF}"/>
                </c:ext>
              </c:extLst>
            </c:dLbl>
            <c:dLbl>
              <c:idx val="25"/>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19-4F90-4403-A845-2ACE72B7E1BF}"/>
                </c:ext>
              </c:extLst>
            </c:dLbl>
            <c:dLbl>
              <c:idx val="26"/>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1A-4F90-4403-A845-2ACE72B7E1BF}"/>
                </c:ext>
              </c:extLst>
            </c:dLbl>
            <c:dLbl>
              <c:idx val="27"/>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1B-4F90-4403-A845-2ACE72B7E1BF}"/>
                </c:ext>
              </c:extLst>
            </c:dLbl>
            <c:dLbl>
              <c:idx val="28"/>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1C-4F90-4403-A845-2ACE72B7E1BF}"/>
                </c:ext>
              </c:extLst>
            </c:dLbl>
            <c:dLbl>
              <c:idx val="29"/>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1D-4F90-4403-A845-2ACE72B7E1BF}"/>
                </c:ext>
              </c:extLst>
            </c:dLbl>
            <c:dLbl>
              <c:idx val="30"/>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1E-4F90-4403-A845-2ACE72B7E1BF}"/>
                </c:ext>
              </c:extLst>
            </c:dLbl>
            <c:dLbl>
              <c:idx val="31"/>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1F-4F90-4403-A845-2ACE72B7E1BF}"/>
                </c:ext>
              </c:extLst>
            </c:dLbl>
            <c:dLbl>
              <c:idx val="32"/>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20-4F90-4403-A845-2ACE72B7E1BF}"/>
                </c:ext>
              </c:extLst>
            </c:dLbl>
            <c:dLbl>
              <c:idx val="33"/>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21-4F90-4403-A845-2ACE72B7E1BF}"/>
                </c:ext>
              </c:extLst>
            </c:dLbl>
            <c:dLbl>
              <c:idx val="34"/>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22-4F90-4403-A845-2ACE72B7E1BF}"/>
                </c:ext>
              </c:extLst>
            </c:dLbl>
            <c:dLbl>
              <c:idx val="35"/>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23-4F90-4403-A845-2ACE72B7E1BF}"/>
                </c:ext>
              </c:extLst>
            </c:dLbl>
            <c:dLbl>
              <c:idx val="36"/>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24-4F90-4403-A845-2ACE72B7E1BF}"/>
                </c:ext>
              </c:extLst>
            </c:dLbl>
            <c:dLbl>
              <c:idx val="37"/>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25-4F90-4403-A845-2ACE72B7E1BF}"/>
                </c:ext>
              </c:extLst>
            </c:dLbl>
            <c:dLbl>
              <c:idx val="38"/>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26-4F90-4403-A845-2ACE72B7E1BF}"/>
                </c:ext>
              </c:extLst>
            </c:dLbl>
            <c:dLbl>
              <c:idx val="39"/>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27-4F90-4403-A845-2ACE72B7E1BF}"/>
                </c:ext>
              </c:extLst>
            </c:dLbl>
            <c:dLbl>
              <c:idx val="40"/>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28-4F90-4403-A845-2ACE72B7E1BF}"/>
                </c:ext>
              </c:extLst>
            </c:dLbl>
            <c:dLbl>
              <c:idx val="41"/>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29-4F90-4403-A845-2ACE72B7E1BF}"/>
                </c:ext>
              </c:extLst>
            </c:dLbl>
            <c:dLbl>
              <c:idx val="42"/>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2A-4F90-4403-A845-2ACE72B7E1BF}"/>
                </c:ext>
              </c:extLst>
            </c:dLbl>
            <c:dLbl>
              <c:idx val="43"/>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2B-4F90-4403-A845-2ACE72B7E1BF}"/>
                </c:ext>
              </c:extLst>
            </c:dLbl>
            <c:dLbl>
              <c:idx val="44"/>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2C-4F90-4403-A845-2ACE72B7E1BF}"/>
                </c:ext>
              </c:extLst>
            </c:dLbl>
            <c:dLbl>
              <c:idx val="45"/>
              <c:tx>
                <c:rich>
                  <a:bodyPr/>
                  <a:lstStyle/>
                  <a:p>
                    <a:fld id="{1CADA0E3-6A98-4A6F-8B49-47B2265D6417}"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0-4F90-4403-A845-2ACE72B7E1BF}"/>
                </c:ext>
              </c:extLst>
            </c:dLbl>
            <c:dLbl>
              <c:idx val="46"/>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2D-4F90-4403-A845-2ACE72B7E1BF}"/>
                </c:ext>
              </c:extLst>
            </c:dLbl>
            <c:dLbl>
              <c:idx val="47"/>
              <c:tx>
                <c:rich>
                  <a:bodyPr/>
                  <a:lstStyle/>
                  <a:p>
                    <a:fld id="{DDCAB24A-5385-4F68-BC82-3B861E7A9C7E}"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2E-4F90-4403-A845-2ACE72B7E1BF}"/>
                </c:ext>
              </c:extLst>
            </c:dLbl>
            <c:dLbl>
              <c:idx val="48"/>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2F-4F90-4403-A845-2ACE72B7E1BF}"/>
                </c:ext>
              </c:extLst>
            </c:dLbl>
            <c:spPr>
              <a:noFill/>
              <a:ln>
                <a:noFill/>
              </a:ln>
              <a:effectLst/>
            </c:spPr>
            <c:txPr>
              <a:bodyPr wrap="square" lIns="38100" tIns="19050" rIns="38100" bIns="19050" anchor="ctr">
                <a:spAutoFit/>
              </a:bodyPr>
              <a:lstStyle/>
              <a:p>
                <a:pPr>
                  <a:defRPr sz="800">
                    <a:solidFill>
                      <a:schemeClr val="bg1"/>
                    </a:solidFill>
                  </a:defRPr>
                </a:pPr>
                <a:endParaRPr lang="fr-FR"/>
              </a:p>
            </c:txPr>
            <c:dLblPos val="t"/>
            <c:showLegendKey val="0"/>
            <c:showVal val="0"/>
            <c:showCatName val="0"/>
            <c:showSerName val="0"/>
            <c:showPercent val="0"/>
            <c:showBubbleSize val="0"/>
            <c:showLeaderLines val="0"/>
            <c:extLst>
              <c:ext xmlns:c15="http://schemas.microsoft.com/office/drawing/2012/chart" uri="{CE6537A1-D6FC-4f65-9D91-7224C49458BB}">
                <c15:showDataLabelsRange val="1"/>
                <c15:showLeaderLines val="0"/>
              </c:ext>
            </c:extLst>
          </c:dLbls>
          <c:xVal>
            <c:numRef>
              <c:f>Calculs!$V$15:$V$63</c:f>
              <c:numCache>
                <c:formatCode>0.00</c:formatCode>
                <c:ptCount val="49"/>
                <c:pt idx="0">
                  <c:v>1000000</c:v>
                </c:pt>
                <c:pt idx="1">
                  <c:v>1000000</c:v>
                </c:pt>
                <c:pt idx="2">
                  <c:v>1000000</c:v>
                </c:pt>
                <c:pt idx="3">
                  <c:v>1000000</c:v>
                </c:pt>
                <c:pt idx="4">
                  <c:v>-0.8835693608194487</c:v>
                </c:pt>
                <c:pt idx="5">
                  <c:v>1000000</c:v>
                </c:pt>
                <c:pt idx="6">
                  <c:v>1000000</c:v>
                </c:pt>
                <c:pt idx="7">
                  <c:v>1000000</c:v>
                </c:pt>
                <c:pt idx="8">
                  <c:v>1000000</c:v>
                </c:pt>
                <c:pt idx="9">
                  <c:v>-0.98974126198584877</c:v>
                </c:pt>
                <c:pt idx="10">
                  <c:v>-0.99215421215274913</c:v>
                </c:pt>
                <c:pt idx="11">
                  <c:v>1000000</c:v>
                </c:pt>
                <c:pt idx="12">
                  <c:v>0.89279272382369868</c:v>
                </c:pt>
                <c:pt idx="13">
                  <c:v>1000000</c:v>
                </c:pt>
                <c:pt idx="14">
                  <c:v>1000000</c:v>
                </c:pt>
                <c:pt idx="15">
                  <c:v>1000000</c:v>
                </c:pt>
                <c:pt idx="16">
                  <c:v>-0.97649205046088883</c:v>
                </c:pt>
                <c:pt idx="17">
                  <c:v>1000000</c:v>
                </c:pt>
                <c:pt idx="18">
                  <c:v>1000000</c:v>
                </c:pt>
                <c:pt idx="19">
                  <c:v>1000000</c:v>
                </c:pt>
                <c:pt idx="20">
                  <c:v>1000000</c:v>
                </c:pt>
                <c:pt idx="21">
                  <c:v>1000000</c:v>
                </c:pt>
                <c:pt idx="22">
                  <c:v>1000000</c:v>
                </c:pt>
                <c:pt idx="23">
                  <c:v>1000000</c:v>
                </c:pt>
                <c:pt idx="24">
                  <c:v>0.26478903917054469</c:v>
                </c:pt>
                <c:pt idx="25">
                  <c:v>1000000</c:v>
                </c:pt>
                <c:pt idx="26">
                  <c:v>1000000</c:v>
                </c:pt>
                <c:pt idx="27">
                  <c:v>1000000</c:v>
                </c:pt>
                <c:pt idx="28">
                  <c:v>1000000</c:v>
                </c:pt>
                <c:pt idx="29">
                  <c:v>1000000</c:v>
                </c:pt>
                <c:pt idx="30">
                  <c:v>1000000</c:v>
                </c:pt>
                <c:pt idx="31">
                  <c:v>1000000</c:v>
                </c:pt>
                <c:pt idx="32">
                  <c:v>1000000</c:v>
                </c:pt>
                <c:pt idx="33">
                  <c:v>1000000</c:v>
                </c:pt>
                <c:pt idx="34">
                  <c:v>1000000</c:v>
                </c:pt>
                <c:pt idx="35">
                  <c:v>1000000</c:v>
                </c:pt>
                <c:pt idx="36">
                  <c:v>1000000</c:v>
                </c:pt>
                <c:pt idx="37">
                  <c:v>1000000</c:v>
                </c:pt>
                <c:pt idx="38">
                  <c:v>1000000</c:v>
                </c:pt>
                <c:pt idx="39">
                  <c:v>1000000</c:v>
                </c:pt>
                <c:pt idx="40">
                  <c:v>1000000</c:v>
                </c:pt>
                <c:pt idx="41">
                  <c:v>-0.96218316039394958</c:v>
                </c:pt>
                <c:pt idx="42">
                  <c:v>1000000</c:v>
                </c:pt>
                <c:pt idx="43">
                  <c:v>1000000</c:v>
                </c:pt>
                <c:pt idx="44">
                  <c:v>1000000</c:v>
                </c:pt>
                <c:pt idx="45">
                  <c:v>1000000</c:v>
                </c:pt>
                <c:pt idx="46">
                  <c:v>2.2967009219450069E-3</c:v>
                </c:pt>
                <c:pt idx="47">
                  <c:v>1000000</c:v>
                </c:pt>
                <c:pt idx="48">
                  <c:v>1000000</c:v>
                </c:pt>
              </c:numCache>
            </c:numRef>
          </c:xVal>
          <c:yVal>
            <c:numRef>
              <c:f>Calculs!$W$15:$W$63</c:f>
              <c:numCache>
                <c:formatCode>0.00</c:formatCode>
                <c:ptCount val="49"/>
                <c:pt idx="14">
                  <c:v>1000000</c:v>
                </c:pt>
                <c:pt idx="18">
                  <c:v>1000000</c:v>
                </c:pt>
                <c:pt idx="20">
                  <c:v>1000000</c:v>
                </c:pt>
                <c:pt idx="45">
                  <c:v>1000000</c:v>
                </c:pt>
                <c:pt idx="47">
                  <c:v>1000000</c:v>
                </c:pt>
              </c:numCache>
            </c:numRef>
          </c:yVal>
          <c:smooth val="0"/>
          <c:extLst>
            <c:ext xmlns:c15="http://schemas.microsoft.com/office/drawing/2012/chart" uri="{02D57815-91ED-43cb-92C2-25804820EDAC}">
              <c15:datalabelsRange>
                <c15:f>Calculs!$A$15:$A$63</c15:f>
                <c15:dlblRangeCache>
                  <c:ptCount val="49"/>
                  <c:pt idx="0">
                    <c:v>Achernar</c:v>
                  </c:pt>
                  <c:pt idx="1">
                    <c:v>Acrux</c:v>
                  </c:pt>
                  <c:pt idx="2">
                    <c:v>Adara</c:v>
                  </c:pt>
                  <c:pt idx="3">
                    <c:v>Agena</c:v>
                  </c:pt>
                  <c:pt idx="4">
                    <c:v>Aldebaran</c:v>
                  </c:pt>
                  <c:pt idx="5">
                    <c:v>Alhena</c:v>
                  </c:pt>
                  <c:pt idx="6">
                    <c:v>Alioth</c:v>
                  </c:pt>
                  <c:pt idx="7">
                    <c:v>Alkaid</c:v>
                  </c:pt>
                  <c:pt idx="8">
                    <c:v>AlNair</c:v>
                  </c:pt>
                  <c:pt idx="9">
                    <c:v>Alnilam</c:v>
                  </c:pt>
                  <c:pt idx="10">
                    <c:v>Alnitak</c:v>
                  </c:pt>
                  <c:pt idx="11">
                    <c:v>Alphard</c:v>
                  </c:pt>
                  <c:pt idx="12">
                    <c:v>Altair</c:v>
                  </c:pt>
                  <c:pt idx="13">
                    <c:v>Antares</c:v>
                  </c:pt>
                  <c:pt idx="14">
                    <c:v>Arcturus</c:v>
                  </c:pt>
                  <c:pt idx="15">
                    <c:v>Atria</c:v>
                  </c:pt>
                  <c:pt idx="16">
                    <c:v>Bellatrix</c:v>
                  </c:pt>
                  <c:pt idx="17">
                    <c:v>Betelgeuse</c:v>
                  </c:pt>
                  <c:pt idx="18">
                    <c:v>Canopus</c:v>
                  </c:pt>
                  <c:pt idx="19">
                    <c:v>Castor</c:v>
                  </c:pt>
                  <c:pt idx="20">
                    <c:v>Chèvre</c:v>
                  </c:pt>
                  <c:pt idx="21">
                    <c:v>Deneb</c:v>
                  </c:pt>
                  <c:pt idx="22">
                    <c:v>Dubhe</c:v>
                  </c:pt>
                  <c:pt idx="23">
                    <c:v>Epi</c:v>
                  </c:pt>
                  <c:pt idx="24">
                    <c:v>Fomalhaut</c:v>
                  </c:pt>
                  <c:pt idx="25">
                    <c:v>Gacrux</c:v>
                  </c:pt>
                  <c:pt idx="26">
                    <c:v>KausAustra</c:v>
                  </c:pt>
                  <c:pt idx="27">
                    <c:v>Kooshe</c:v>
                  </c:pt>
                  <c:pt idx="28">
                    <c:v>Menkalinan</c:v>
                  </c:pt>
                  <c:pt idx="29">
                    <c:v>Miaplacidus</c:v>
                  </c:pt>
                  <c:pt idx="30">
                    <c:v>Mimosa</c:v>
                  </c:pt>
                  <c:pt idx="31">
                    <c:v>Mirfak</c:v>
                  </c:pt>
                  <c:pt idx="32">
                    <c:v>Mirzam</c:v>
                  </c:pt>
                  <c:pt idx="33">
                    <c:v>Nath</c:v>
                  </c:pt>
                  <c:pt idx="34">
                    <c:v>Nunki</c:v>
                  </c:pt>
                  <c:pt idx="35">
                    <c:v>Peacock</c:v>
                  </c:pt>
                  <c:pt idx="36">
                    <c:v>Polaire</c:v>
                  </c:pt>
                  <c:pt idx="37">
                    <c:v>Pollux</c:v>
                  </c:pt>
                  <c:pt idx="38">
                    <c:v>Procyon</c:v>
                  </c:pt>
                  <c:pt idx="39">
                    <c:v>RasAlague</c:v>
                  </c:pt>
                  <c:pt idx="40">
                    <c:v>Regulus</c:v>
                  </c:pt>
                  <c:pt idx="41">
                    <c:v>Rigel</c:v>
                  </c:pt>
                  <c:pt idx="42">
                    <c:v>Rigil</c:v>
                  </c:pt>
                  <c:pt idx="43">
                    <c:v>Sargas</c:v>
                  </c:pt>
                  <c:pt idx="44">
                    <c:v>Schaula</c:v>
                  </c:pt>
                  <c:pt idx="45">
                    <c:v>Sirius</c:v>
                  </c:pt>
                  <c:pt idx="46">
                    <c:v>Sirrah</c:v>
                  </c:pt>
                  <c:pt idx="47">
                    <c:v>Vega</c:v>
                  </c:pt>
                  <c:pt idx="48">
                    <c:v>Wezen</c:v>
                  </c:pt>
                </c15:dlblRangeCache>
              </c15:datalabelsRange>
            </c:ext>
            <c:ext xmlns:c16="http://schemas.microsoft.com/office/drawing/2014/chart" uri="{C3380CC4-5D6E-409C-BE32-E72D297353CC}">
              <c16:uniqueId val="{0000000B-A97E-4CF4-9C00-E4A97EA25B36}"/>
            </c:ext>
          </c:extLst>
        </c:ser>
        <c:ser>
          <c:idx val="3"/>
          <c:order val="3"/>
          <c:tx>
            <c:v>1&gt; Magnitude &gt;0</c:v>
          </c:tx>
          <c:spPr>
            <a:ln w="28575">
              <a:noFill/>
            </a:ln>
          </c:spPr>
          <c:marker>
            <c:symbol val="picture"/>
            <c:spPr>
              <a:blipFill dpi="0" rotWithShape="0">
                <a:blip xmlns:r="http://schemas.openxmlformats.org/officeDocument/2006/relationships" r:embed="rId3"/>
                <a:srcRect/>
                <a:stretch>
                  <a:fillRect/>
                </a:stretch>
              </a:blipFill>
              <a:ln w="9525">
                <a:noFill/>
              </a:ln>
            </c:spPr>
          </c:marker>
          <c:dLbls>
            <c:dLbl>
              <c:idx val="0"/>
              <c:tx>
                <c:rich>
                  <a:bodyPr/>
                  <a:lstStyle/>
                  <a:p>
                    <a:fld id="{C6C0FCFE-B640-477B-9E5C-2CD68EF261B5}" type="CELLRANGE">
                      <a:rPr lang="en-US"/>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showDataLabelsRange val="1"/>
                </c:ext>
                <c:ext xmlns:c16="http://schemas.microsoft.com/office/drawing/2014/chart" uri="{C3380CC4-5D6E-409C-BE32-E72D297353CC}">
                  <c16:uniqueId val="{00000061-4F90-4403-A845-2ACE72B7E1BF}"/>
                </c:ext>
              </c:extLst>
            </c:dLbl>
            <c:dLbl>
              <c:idx val="1"/>
              <c:tx>
                <c:rich>
                  <a:bodyPr/>
                  <a:lstStyle/>
                  <a:p>
                    <a:fld id="{1F88DEAB-95BD-411E-95A9-6698C9F68C49}"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62-4F90-4403-A845-2ACE72B7E1BF}"/>
                </c:ext>
              </c:extLst>
            </c:dLbl>
            <c:dLbl>
              <c:idx val="2"/>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63-4F90-4403-A845-2ACE72B7E1BF}"/>
                </c:ext>
              </c:extLst>
            </c:dLbl>
            <c:dLbl>
              <c:idx val="3"/>
              <c:tx>
                <c:rich>
                  <a:bodyPr/>
                  <a:lstStyle/>
                  <a:p>
                    <a:fld id="{A830EF62-8319-42F7-BC36-69A22BBE4C0D}"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64-4F90-4403-A845-2ACE72B7E1BF}"/>
                </c:ext>
              </c:extLst>
            </c:dLbl>
            <c:dLbl>
              <c:idx val="4"/>
              <c:tx>
                <c:rich>
                  <a:bodyPr/>
                  <a:lstStyle/>
                  <a:p>
                    <a:fld id="{ABC6823F-9256-48BE-AABA-BA4D1C2F7567}"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60-4F90-4403-A845-2ACE72B7E1BF}"/>
                </c:ext>
              </c:extLst>
            </c:dLbl>
            <c:dLbl>
              <c:idx val="5"/>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65-4F90-4403-A845-2ACE72B7E1BF}"/>
                </c:ext>
              </c:extLst>
            </c:dLbl>
            <c:dLbl>
              <c:idx val="6"/>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66-4F90-4403-A845-2ACE72B7E1BF}"/>
                </c:ext>
              </c:extLst>
            </c:dLbl>
            <c:dLbl>
              <c:idx val="7"/>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67-4F90-4403-A845-2ACE72B7E1BF}"/>
                </c:ext>
              </c:extLst>
            </c:dLbl>
            <c:dLbl>
              <c:idx val="8"/>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68-4F90-4403-A845-2ACE72B7E1BF}"/>
                </c:ext>
              </c:extLst>
            </c:dLbl>
            <c:dLbl>
              <c:idx val="9"/>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69-4F90-4403-A845-2ACE72B7E1BF}"/>
                </c:ext>
              </c:extLst>
            </c:dLbl>
            <c:dLbl>
              <c:idx val="10"/>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6A-4F90-4403-A845-2ACE72B7E1BF}"/>
                </c:ext>
              </c:extLst>
            </c:dLbl>
            <c:dLbl>
              <c:idx val="11"/>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6B-4F90-4403-A845-2ACE72B7E1BF}"/>
                </c:ext>
              </c:extLst>
            </c:dLbl>
            <c:dLbl>
              <c:idx val="12"/>
              <c:tx>
                <c:rich>
                  <a:bodyPr/>
                  <a:lstStyle/>
                  <a:p>
                    <a:fld id="{FDD96CE1-2FAD-4088-9180-02EC2B232C5E}"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6C-4F90-4403-A845-2ACE72B7E1BF}"/>
                </c:ext>
              </c:extLst>
            </c:dLbl>
            <c:dLbl>
              <c:idx val="13"/>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6D-4F90-4403-A845-2ACE72B7E1BF}"/>
                </c:ext>
              </c:extLst>
            </c:dLbl>
            <c:dLbl>
              <c:idx val="14"/>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6E-4F90-4403-A845-2ACE72B7E1BF}"/>
                </c:ext>
              </c:extLst>
            </c:dLbl>
            <c:dLbl>
              <c:idx val="15"/>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6F-4F90-4403-A845-2ACE72B7E1BF}"/>
                </c:ext>
              </c:extLst>
            </c:dLbl>
            <c:dLbl>
              <c:idx val="16"/>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70-4F90-4403-A845-2ACE72B7E1BF}"/>
                </c:ext>
              </c:extLst>
            </c:dLbl>
            <c:dLbl>
              <c:idx val="17"/>
              <c:tx>
                <c:rich>
                  <a:bodyPr/>
                  <a:lstStyle/>
                  <a:p>
                    <a:fld id="{9C4CAA49-5051-4696-8785-DC6BD630DE2B}"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71-4F90-4403-A845-2ACE72B7E1BF}"/>
                </c:ext>
              </c:extLst>
            </c:dLbl>
            <c:dLbl>
              <c:idx val="18"/>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72-4F90-4403-A845-2ACE72B7E1BF}"/>
                </c:ext>
              </c:extLst>
            </c:dLbl>
            <c:dLbl>
              <c:idx val="19"/>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73-4F90-4403-A845-2ACE72B7E1BF}"/>
                </c:ext>
              </c:extLst>
            </c:dLbl>
            <c:dLbl>
              <c:idx val="20"/>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74-4F90-4403-A845-2ACE72B7E1BF}"/>
                </c:ext>
              </c:extLst>
            </c:dLbl>
            <c:dLbl>
              <c:idx val="21"/>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75-4F90-4403-A845-2ACE72B7E1BF}"/>
                </c:ext>
              </c:extLst>
            </c:dLbl>
            <c:dLbl>
              <c:idx val="22"/>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76-4F90-4403-A845-2ACE72B7E1BF}"/>
                </c:ext>
              </c:extLst>
            </c:dLbl>
            <c:dLbl>
              <c:idx val="23"/>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77-4F90-4403-A845-2ACE72B7E1BF}"/>
                </c:ext>
              </c:extLst>
            </c:dLbl>
            <c:dLbl>
              <c:idx val="24"/>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78-4F90-4403-A845-2ACE72B7E1BF}"/>
                </c:ext>
              </c:extLst>
            </c:dLbl>
            <c:dLbl>
              <c:idx val="25"/>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79-4F90-4403-A845-2ACE72B7E1BF}"/>
                </c:ext>
              </c:extLst>
            </c:dLbl>
            <c:dLbl>
              <c:idx val="26"/>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7A-4F90-4403-A845-2ACE72B7E1BF}"/>
                </c:ext>
              </c:extLst>
            </c:dLbl>
            <c:dLbl>
              <c:idx val="27"/>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7B-4F90-4403-A845-2ACE72B7E1BF}"/>
                </c:ext>
              </c:extLst>
            </c:dLbl>
            <c:dLbl>
              <c:idx val="28"/>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7C-4F90-4403-A845-2ACE72B7E1BF}"/>
                </c:ext>
              </c:extLst>
            </c:dLbl>
            <c:dLbl>
              <c:idx val="29"/>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7D-4F90-4403-A845-2ACE72B7E1BF}"/>
                </c:ext>
              </c:extLst>
            </c:dLbl>
            <c:dLbl>
              <c:idx val="30"/>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7E-4F90-4403-A845-2ACE72B7E1BF}"/>
                </c:ext>
              </c:extLst>
            </c:dLbl>
            <c:dLbl>
              <c:idx val="31"/>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7F-4F90-4403-A845-2ACE72B7E1BF}"/>
                </c:ext>
              </c:extLst>
            </c:dLbl>
            <c:dLbl>
              <c:idx val="32"/>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80-4F90-4403-A845-2ACE72B7E1BF}"/>
                </c:ext>
              </c:extLst>
            </c:dLbl>
            <c:dLbl>
              <c:idx val="33"/>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81-4F90-4403-A845-2ACE72B7E1BF}"/>
                </c:ext>
              </c:extLst>
            </c:dLbl>
            <c:dLbl>
              <c:idx val="34"/>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82-4F90-4403-A845-2ACE72B7E1BF}"/>
                </c:ext>
              </c:extLst>
            </c:dLbl>
            <c:dLbl>
              <c:idx val="35"/>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83-4F90-4403-A845-2ACE72B7E1BF}"/>
                </c:ext>
              </c:extLst>
            </c:dLbl>
            <c:dLbl>
              <c:idx val="36"/>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84-4F90-4403-A845-2ACE72B7E1BF}"/>
                </c:ext>
              </c:extLst>
            </c:dLbl>
            <c:dLbl>
              <c:idx val="37"/>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85-4F90-4403-A845-2ACE72B7E1BF}"/>
                </c:ext>
              </c:extLst>
            </c:dLbl>
            <c:dLbl>
              <c:idx val="38"/>
              <c:tx>
                <c:rich>
                  <a:bodyPr/>
                  <a:lstStyle/>
                  <a:p>
                    <a:fld id="{E4BF7731-5539-497B-B5A6-48A588A6A47C}"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86-4F90-4403-A845-2ACE72B7E1BF}"/>
                </c:ext>
              </c:extLst>
            </c:dLbl>
            <c:dLbl>
              <c:idx val="39"/>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87-4F90-4403-A845-2ACE72B7E1BF}"/>
                </c:ext>
              </c:extLst>
            </c:dLbl>
            <c:dLbl>
              <c:idx val="40"/>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88-4F90-4403-A845-2ACE72B7E1BF}"/>
                </c:ext>
              </c:extLst>
            </c:dLbl>
            <c:dLbl>
              <c:idx val="41"/>
              <c:tx>
                <c:rich>
                  <a:bodyPr/>
                  <a:lstStyle/>
                  <a:p>
                    <a:fld id="{6DB5FB3B-C691-4018-9291-AD63A6219081}"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89-4F90-4403-A845-2ACE72B7E1BF}"/>
                </c:ext>
              </c:extLst>
            </c:dLbl>
            <c:dLbl>
              <c:idx val="42"/>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8A-4F90-4403-A845-2ACE72B7E1BF}"/>
                </c:ext>
              </c:extLst>
            </c:dLbl>
            <c:dLbl>
              <c:idx val="43"/>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8B-4F90-4403-A845-2ACE72B7E1BF}"/>
                </c:ext>
              </c:extLst>
            </c:dLbl>
            <c:dLbl>
              <c:idx val="44"/>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8C-4F90-4403-A845-2ACE72B7E1BF}"/>
                </c:ext>
              </c:extLst>
            </c:dLbl>
            <c:dLbl>
              <c:idx val="45"/>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8D-4F90-4403-A845-2ACE72B7E1BF}"/>
                </c:ext>
              </c:extLst>
            </c:dLbl>
            <c:dLbl>
              <c:idx val="46"/>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8E-4F90-4403-A845-2ACE72B7E1BF}"/>
                </c:ext>
              </c:extLst>
            </c:dLbl>
            <c:dLbl>
              <c:idx val="47"/>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8F-4F90-4403-A845-2ACE72B7E1BF}"/>
                </c:ext>
              </c:extLst>
            </c:dLbl>
            <c:dLbl>
              <c:idx val="48"/>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90-4F90-4403-A845-2ACE72B7E1BF}"/>
                </c:ext>
              </c:extLst>
            </c:dLbl>
            <c:spPr>
              <a:noFill/>
              <a:ln>
                <a:noFill/>
              </a:ln>
              <a:effectLst/>
            </c:spPr>
            <c:txPr>
              <a:bodyPr wrap="square" lIns="38100" tIns="19050" rIns="38100" bIns="19050" anchor="ctr">
                <a:spAutoFit/>
              </a:bodyPr>
              <a:lstStyle/>
              <a:p>
                <a:pPr>
                  <a:defRPr sz="800">
                    <a:solidFill>
                      <a:schemeClr val="bg1"/>
                    </a:solidFill>
                  </a:defRPr>
                </a:pPr>
                <a:endParaRPr lang="fr-FR"/>
              </a:p>
            </c:txPr>
            <c:dLblPos val="t"/>
            <c:showLegendKey val="0"/>
            <c:showVal val="0"/>
            <c:showCatName val="0"/>
            <c:showSerName val="0"/>
            <c:showPercent val="0"/>
            <c:showBubbleSize val="0"/>
            <c:showLeaderLines val="0"/>
            <c:extLst>
              <c:ext xmlns:c15="http://schemas.microsoft.com/office/drawing/2012/chart" uri="{CE6537A1-D6FC-4f65-9D91-7224C49458BB}">
                <c15:showDataLabelsRange val="1"/>
                <c15:showLeaderLines val="0"/>
              </c:ext>
            </c:extLst>
          </c:dLbls>
          <c:xVal>
            <c:numRef>
              <c:f>Calculs!$V$15:$V$63</c:f>
              <c:numCache>
                <c:formatCode>0.00</c:formatCode>
                <c:ptCount val="49"/>
                <c:pt idx="0">
                  <c:v>1000000</c:v>
                </c:pt>
                <c:pt idx="1">
                  <c:v>1000000</c:v>
                </c:pt>
                <c:pt idx="2">
                  <c:v>1000000</c:v>
                </c:pt>
                <c:pt idx="3">
                  <c:v>1000000</c:v>
                </c:pt>
                <c:pt idx="4">
                  <c:v>-0.8835693608194487</c:v>
                </c:pt>
                <c:pt idx="5">
                  <c:v>1000000</c:v>
                </c:pt>
                <c:pt idx="6">
                  <c:v>1000000</c:v>
                </c:pt>
                <c:pt idx="7">
                  <c:v>1000000</c:v>
                </c:pt>
                <c:pt idx="8">
                  <c:v>1000000</c:v>
                </c:pt>
                <c:pt idx="9">
                  <c:v>-0.98974126198584877</c:v>
                </c:pt>
                <c:pt idx="10">
                  <c:v>-0.99215421215274913</c:v>
                </c:pt>
                <c:pt idx="11">
                  <c:v>1000000</c:v>
                </c:pt>
                <c:pt idx="12">
                  <c:v>0.89279272382369868</c:v>
                </c:pt>
                <c:pt idx="13">
                  <c:v>1000000</c:v>
                </c:pt>
                <c:pt idx="14">
                  <c:v>1000000</c:v>
                </c:pt>
                <c:pt idx="15">
                  <c:v>1000000</c:v>
                </c:pt>
                <c:pt idx="16">
                  <c:v>-0.97649205046088883</c:v>
                </c:pt>
                <c:pt idx="17">
                  <c:v>1000000</c:v>
                </c:pt>
                <c:pt idx="18">
                  <c:v>1000000</c:v>
                </c:pt>
                <c:pt idx="19">
                  <c:v>1000000</c:v>
                </c:pt>
                <c:pt idx="20">
                  <c:v>1000000</c:v>
                </c:pt>
                <c:pt idx="21">
                  <c:v>1000000</c:v>
                </c:pt>
                <c:pt idx="22">
                  <c:v>1000000</c:v>
                </c:pt>
                <c:pt idx="23">
                  <c:v>1000000</c:v>
                </c:pt>
                <c:pt idx="24">
                  <c:v>0.26478903917054469</c:v>
                </c:pt>
                <c:pt idx="25">
                  <c:v>1000000</c:v>
                </c:pt>
                <c:pt idx="26">
                  <c:v>1000000</c:v>
                </c:pt>
                <c:pt idx="27">
                  <c:v>1000000</c:v>
                </c:pt>
                <c:pt idx="28">
                  <c:v>1000000</c:v>
                </c:pt>
                <c:pt idx="29">
                  <c:v>1000000</c:v>
                </c:pt>
                <c:pt idx="30">
                  <c:v>1000000</c:v>
                </c:pt>
                <c:pt idx="31">
                  <c:v>1000000</c:v>
                </c:pt>
                <c:pt idx="32">
                  <c:v>1000000</c:v>
                </c:pt>
                <c:pt idx="33">
                  <c:v>1000000</c:v>
                </c:pt>
                <c:pt idx="34">
                  <c:v>1000000</c:v>
                </c:pt>
                <c:pt idx="35">
                  <c:v>1000000</c:v>
                </c:pt>
                <c:pt idx="36">
                  <c:v>1000000</c:v>
                </c:pt>
                <c:pt idx="37">
                  <c:v>1000000</c:v>
                </c:pt>
                <c:pt idx="38">
                  <c:v>1000000</c:v>
                </c:pt>
                <c:pt idx="39">
                  <c:v>1000000</c:v>
                </c:pt>
                <c:pt idx="40">
                  <c:v>1000000</c:v>
                </c:pt>
                <c:pt idx="41">
                  <c:v>-0.96218316039394958</c:v>
                </c:pt>
                <c:pt idx="42">
                  <c:v>1000000</c:v>
                </c:pt>
                <c:pt idx="43">
                  <c:v>1000000</c:v>
                </c:pt>
                <c:pt idx="44">
                  <c:v>1000000</c:v>
                </c:pt>
                <c:pt idx="45">
                  <c:v>1000000</c:v>
                </c:pt>
                <c:pt idx="46">
                  <c:v>2.2967009219450069E-3</c:v>
                </c:pt>
                <c:pt idx="47">
                  <c:v>1000000</c:v>
                </c:pt>
                <c:pt idx="48">
                  <c:v>1000000</c:v>
                </c:pt>
              </c:numCache>
            </c:numRef>
          </c:xVal>
          <c:yVal>
            <c:numRef>
              <c:f>Calculs!$X$15:$X$63</c:f>
              <c:numCache>
                <c:formatCode>0.00</c:formatCode>
                <c:ptCount val="49"/>
                <c:pt idx="0">
                  <c:v>1000000</c:v>
                </c:pt>
                <c:pt idx="1">
                  <c:v>1000000</c:v>
                </c:pt>
                <c:pt idx="3">
                  <c:v>1000000</c:v>
                </c:pt>
                <c:pt idx="4">
                  <c:v>0.45700995979712061</c:v>
                </c:pt>
                <c:pt idx="12">
                  <c:v>0.387866928451364</c:v>
                </c:pt>
                <c:pt idx="17">
                  <c:v>1000000</c:v>
                </c:pt>
                <c:pt idx="38">
                  <c:v>1000000</c:v>
                </c:pt>
                <c:pt idx="41">
                  <c:v>4.8381906905136954E-2</c:v>
                </c:pt>
              </c:numCache>
            </c:numRef>
          </c:yVal>
          <c:smooth val="0"/>
          <c:extLst>
            <c:ext xmlns:c15="http://schemas.microsoft.com/office/drawing/2012/chart" uri="{02D57815-91ED-43cb-92C2-25804820EDAC}">
              <c15:datalabelsRange>
                <c15:f>Calculs!$A$15:$A$63</c15:f>
                <c15:dlblRangeCache>
                  <c:ptCount val="49"/>
                  <c:pt idx="0">
                    <c:v>Achernar</c:v>
                  </c:pt>
                  <c:pt idx="1">
                    <c:v>Acrux</c:v>
                  </c:pt>
                  <c:pt idx="2">
                    <c:v>Adara</c:v>
                  </c:pt>
                  <c:pt idx="3">
                    <c:v>Agena</c:v>
                  </c:pt>
                  <c:pt idx="4">
                    <c:v>Aldebaran</c:v>
                  </c:pt>
                  <c:pt idx="5">
                    <c:v>Alhena</c:v>
                  </c:pt>
                  <c:pt idx="6">
                    <c:v>Alioth</c:v>
                  </c:pt>
                  <c:pt idx="7">
                    <c:v>Alkaid</c:v>
                  </c:pt>
                  <c:pt idx="8">
                    <c:v>AlNair</c:v>
                  </c:pt>
                  <c:pt idx="9">
                    <c:v>Alnilam</c:v>
                  </c:pt>
                  <c:pt idx="10">
                    <c:v>Alnitak</c:v>
                  </c:pt>
                  <c:pt idx="11">
                    <c:v>Alphard</c:v>
                  </c:pt>
                  <c:pt idx="12">
                    <c:v>Altair</c:v>
                  </c:pt>
                  <c:pt idx="13">
                    <c:v>Antares</c:v>
                  </c:pt>
                  <c:pt idx="14">
                    <c:v>Arcturus</c:v>
                  </c:pt>
                  <c:pt idx="15">
                    <c:v>Atria</c:v>
                  </c:pt>
                  <c:pt idx="16">
                    <c:v>Bellatrix</c:v>
                  </c:pt>
                  <c:pt idx="17">
                    <c:v>Betelgeuse</c:v>
                  </c:pt>
                  <c:pt idx="18">
                    <c:v>Canopus</c:v>
                  </c:pt>
                  <c:pt idx="19">
                    <c:v>Castor</c:v>
                  </c:pt>
                  <c:pt idx="20">
                    <c:v>Chèvre</c:v>
                  </c:pt>
                  <c:pt idx="21">
                    <c:v>Deneb</c:v>
                  </c:pt>
                  <c:pt idx="22">
                    <c:v>Dubhe</c:v>
                  </c:pt>
                  <c:pt idx="23">
                    <c:v>Epi</c:v>
                  </c:pt>
                  <c:pt idx="24">
                    <c:v>Fomalhaut</c:v>
                  </c:pt>
                  <c:pt idx="25">
                    <c:v>Gacrux</c:v>
                  </c:pt>
                  <c:pt idx="26">
                    <c:v>KausAustra</c:v>
                  </c:pt>
                  <c:pt idx="27">
                    <c:v>Kooshe</c:v>
                  </c:pt>
                  <c:pt idx="28">
                    <c:v>Menkalinan</c:v>
                  </c:pt>
                  <c:pt idx="29">
                    <c:v>Miaplacidus</c:v>
                  </c:pt>
                  <c:pt idx="30">
                    <c:v>Mimosa</c:v>
                  </c:pt>
                  <c:pt idx="31">
                    <c:v>Mirfak</c:v>
                  </c:pt>
                  <c:pt idx="32">
                    <c:v>Mirzam</c:v>
                  </c:pt>
                  <c:pt idx="33">
                    <c:v>Nath</c:v>
                  </c:pt>
                  <c:pt idx="34">
                    <c:v>Nunki</c:v>
                  </c:pt>
                  <c:pt idx="35">
                    <c:v>Peacock</c:v>
                  </c:pt>
                  <c:pt idx="36">
                    <c:v>Polaire</c:v>
                  </c:pt>
                  <c:pt idx="37">
                    <c:v>Pollux</c:v>
                  </c:pt>
                  <c:pt idx="38">
                    <c:v>Procyon</c:v>
                  </c:pt>
                  <c:pt idx="39">
                    <c:v>RasAlague</c:v>
                  </c:pt>
                  <c:pt idx="40">
                    <c:v>Regulus</c:v>
                  </c:pt>
                  <c:pt idx="41">
                    <c:v>Rigel</c:v>
                  </c:pt>
                  <c:pt idx="42">
                    <c:v>Rigil</c:v>
                  </c:pt>
                  <c:pt idx="43">
                    <c:v>Sargas</c:v>
                  </c:pt>
                  <c:pt idx="44">
                    <c:v>Schaula</c:v>
                  </c:pt>
                  <c:pt idx="45">
                    <c:v>Sirius</c:v>
                  </c:pt>
                  <c:pt idx="46">
                    <c:v>Sirrah</c:v>
                  </c:pt>
                  <c:pt idx="47">
                    <c:v>Vega</c:v>
                  </c:pt>
                  <c:pt idx="48">
                    <c:v>Wezen</c:v>
                  </c:pt>
                </c15:dlblRangeCache>
              </c15:datalabelsRange>
            </c:ext>
            <c:ext xmlns:c16="http://schemas.microsoft.com/office/drawing/2014/chart" uri="{C3380CC4-5D6E-409C-BE32-E72D297353CC}">
              <c16:uniqueId val="{0000000C-A97E-4CF4-9C00-E4A97EA25B36}"/>
            </c:ext>
          </c:extLst>
        </c:ser>
        <c:ser>
          <c:idx val="4"/>
          <c:order val="4"/>
          <c:tx>
            <c:v>1.5&gt; Magnitude &gt;1</c:v>
          </c:tx>
          <c:spPr>
            <a:ln w="28575">
              <a:noFill/>
            </a:ln>
          </c:spPr>
          <c:marker>
            <c:symbol val="picture"/>
            <c:spPr>
              <a:blipFill dpi="0" rotWithShape="0">
                <a:blip xmlns:r="http://schemas.openxmlformats.org/officeDocument/2006/relationships" r:embed="rId4"/>
                <a:srcRect/>
                <a:stretch>
                  <a:fillRect/>
                </a:stretch>
              </a:blipFill>
              <a:ln w="9525">
                <a:noFill/>
              </a:ln>
            </c:spPr>
          </c:marker>
          <c:dLbls>
            <c:dLbl>
              <c:idx val="0"/>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91-4F90-4403-A845-2ACE72B7E1BF}"/>
                </c:ext>
              </c:extLst>
            </c:dLbl>
            <c:dLbl>
              <c:idx val="1"/>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92-4F90-4403-A845-2ACE72B7E1BF}"/>
                </c:ext>
              </c:extLst>
            </c:dLbl>
            <c:dLbl>
              <c:idx val="2"/>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93-4F90-4403-A845-2ACE72B7E1BF}"/>
                </c:ext>
              </c:extLst>
            </c:dLbl>
            <c:dLbl>
              <c:idx val="3"/>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94-4F90-4403-A845-2ACE72B7E1BF}"/>
                </c:ext>
              </c:extLst>
            </c:dLbl>
            <c:dLbl>
              <c:idx val="4"/>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95-4F90-4403-A845-2ACE72B7E1BF}"/>
                </c:ext>
              </c:extLst>
            </c:dLbl>
            <c:dLbl>
              <c:idx val="5"/>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96-4F90-4403-A845-2ACE72B7E1BF}"/>
                </c:ext>
              </c:extLst>
            </c:dLbl>
            <c:dLbl>
              <c:idx val="6"/>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97-4F90-4403-A845-2ACE72B7E1BF}"/>
                </c:ext>
              </c:extLst>
            </c:dLbl>
            <c:dLbl>
              <c:idx val="7"/>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98-4F90-4403-A845-2ACE72B7E1BF}"/>
                </c:ext>
              </c:extLst>
            </c:dLbl>
            <c:dLbl>
              <c:idx val="8"/>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99-4F90-4403-A845-2ACE72B7E1BF}"/>
                </c:ext>
              </c:extLst>
            </c:dLbl>
            <c:dLbl>
              <c:idx val="9"/>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9A-4F90-4403-A845-2ACE72B7E1BF}"/>
                </c:ext>
              </c:extLst>
            </c:dLbl>
            <c:dLbl>
              <c:idx val="10"/>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9B-4F90-4403-A845-2ACE72B7E1BF}"/>
                </c:ext>
              </c:extLst>
            </c:dLbl>
            <c:dLbl>
              <c:idx val="11"/>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9C-4F90-4403-A845-2ACE72B7E1BF}"/>
                </c:ext>
              </c:extLst>
            </c:dLbl>
            <c:dLbl>
              <c:idx val="12"/>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9D-4F90-4403-A845-2ACE72B7E1BF}"/>
                </c:ext>
              </c:extLst>
            </c:dLbl>
            <c:dLbl>
              <c:idx val="13"/>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9E-4F90-4403-A845-2ACE72B7E1BF}"/>
                </c:ext>
              </c:extLst>
            </c:dLbl>
            <c:dLbl>
              <c:idx val="14"/>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9F-4F90-4403-A845-2ACE72B7E1BF}"/>
                </c:ext>
              </c:extLst>
            </c:dLbl>
            <c:dLbl>
              <c:idx val="15"/>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A0-4F90-4403-A845-2ACE72B7E1BF}"/>
                </c:ext>
              </c:extLst>
            </c:dLbl>
            <c:dLbl>
              <c:idx val="16"/>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A1-4F90-4403-A845-2ACE72B7E1BF}"/>
                </c:ext>
              </c:extLst>
            </c:dLbl>
            <c:dLbl>
              <c:idx val="17"/>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A2-4F90-4403-A845-2ACE72B7E1BF}"/>
                </c:ext>
              </c:extLst>
            </c:dLbl>
            <c:dLbl>
              <c:idx val="18"/>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A3-4F90-4403-A845-2ACE72B7E1BF}"/>
                </c:ext>
              </c:extLst>
            </c:dLbl>
            <c:dLbl>
              <c:idx val="19"/>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A4-4F90-4403-A845-2ACE72B7E1BF}"/>
                </c:ext>
              </c:extLst>
            </c:dLbl>
            <c:dLbl>
              <c:idx val="20"/>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A5-4F90-4403-A845-2ACE72B7E1BF}"/>
                </c:ext>
              </c:extLst>
            </c:dLbl>
            <c:dLbl>
              <c:idx val="21"/>
              <c:tx>
                <c:rich>
                  <a:bodyPr/>
                  <a:lstStyle/>
                  <a:p>
                    <a:fld id="{F524B6C4-7E21-43A0-AD50-5064AED30308}"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A6-4F90-4403-A845-2ACE72B7E1BF}"/>
                </c:ext>
              </c:extLst>
            </c:dLbl>
            <c:dLbl>
              <c:idx val="22"/>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A7-4F90-4403-A845-2ACE72B7E1BF}"/>
                </c:ext>
              </c:extLst>
            </c:dLbl>
            <c:dLbl>
              <c:idx val="23"/>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A8-4F90-4403-A845-2ACE72B7E1BF}"/>
                </c:ext>
              </c:extLst>
            </c:dLbl>
            <c:dLbl>
              <c:idx val="24"/>
              <c:tx>
                <c:rich>
                  <a:bodyPr/>
                  <a:lstStyle/>
                  <a:p>
                    <a:fld id="{220CA721-B302-4DA5-B46B-2183FB034806}"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A9-4F90-4403-A845-2ACE72B7E1BF}"/>
                </c:ext>
              </c:extLst>
            </c:dLbl>
            <c:dLbl>
              <c:idx val="25"/>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AA-4F90-4403-A845-2ACE72B7E1BF}"/>
                </c:ext>
              </c:extLst>
            </c:dLbl>
            <c:dLbl>
              <c:idx val="26"/>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AB-4F90-4403-A845-2ACE72B7E1BF}"/>
                </c:ext>
              </c:extLst>
            </c:dLbl>
            <c:dLbl>
              <c:idx val="27"/>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AC-4F90-4403-A845-2ACE72B7E1BF}"/>
                </c:ext>
              </c:extLst>
            </c:dLbl>
            <c:dLbl>
              <c:idx val="28"/>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AD-4F90-4403-A845-2ACE72B7E1BF}"/>
                </c:ext>
              </c:extLst>
            </c:dLbl>
            <c:dLbl>
              <c:idx val="29"/>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AE-4F90-4403-A845-2ACE72B7E1BF}"/>
                </c:ext>
              </c:extLst>
            </c:dLbl>
            <c:dLbl>
              <c:idx val="30"/>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AF-4F90-4403-A845-2ACE72B7E1BF}"/>
                </c:ext>
              </c:extLst>
            </c:dLbl>
            <c:dLbl>
              <c:idx val="31"/>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B0-4F90-4403-A845-2ACE72B7E1BF}"/>
                </c:ext>
              </c:extLst>
            </c:dLbl>
            <c:dLbl>
              <c:idx val="32"/>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B1-4F90-4403-A845-2ACE72B7E1BF}"/>
                </c:ext>
              </c:extLst>
            </c:dLbl>
            <c:dLbl>
              <c:idx val="33"/>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B2-4F90-4403-A845-2ACE72B7E1BF}"/>
                </c:ext>
              </c:extLst>
            </c:dLbl>
            <c:dLbl>
              <c:idx val="34"/>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B3-4F90-4403-A845-2ACE72B7E1BF}"/>
                </c:ext>
              </c:extLst>
            </c:dLbl>
            <c:dLbl>
              <c:idx val="35"/>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B4-4F90-4403-A845-2ACE72B7E1BF}"/>
                </c:ext>
              </c:extLst>
            </c:dLbl>
            <c:dLbl>
              <c:idx val="36"/>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B5-4F90-4403-A845-2ACE72B7E1BF}"/>
                </c:ext>
              </c:extLst>
            </c:dLbl>
            <c:dLbl>
              <c:idx val="37"/>
              <c:tx>
                <c:rich>
                  <a:bodyPr/>
                  <a:lstStyle/>
                  <a:p>
                    <a:fld id="{0DE85F87-DFF8-45DF-96B2-A19DA6C3B9D9}"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B6-4F90-4403-A845-2ACE72B7E1BF}"/>
                </c:ext>
              </c:extLst>
            </c:dLbl>
            <c:dLbl>
              <c:idx val="38"/>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B7-4F90-4403-A845-2ACE72B7E1BF}"/>
                </c:ext>
              </c:extLst>
            </c:dLbl>
            <c:dLbl>
              <c:idx val="39"/>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B8-4F90-4403-A845-2ACE72B7E1BF}"/>
                </c:ext>
              </c:extLst>
            </c:dLbl>
            <c:dLbl>
              <c:idx val="40"/>
              <c:tx>
                <c:rich>
                  <a:bodyPr/>
                  <a:lstStyle/>
                  <a:p>
                    <a:fld id="{811A94B3-2102-4ABB-B4DD-A835168D0DC0}"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B9-4F90-4403-A845-2ACE72B7E1BF}"/>
                </c:ext>
              </c:extLst>
            </c:dLbl>
            <c:dLbl>
              <c:idx val="41"/>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BA-4F90-4403-A845-2ACE72B7E1BF}"/>
                </c:ext>
              </c:extLst>
            </c:dLbl>
            <c:dLbl>
              <c:idx val="42"/>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BB-4F90-4403-A845-2ACE72B7E1BF}"/>
                </c:ext>
              </c:extLst>
            </c:dLbl>
            <c:dLbl>
              <c:idx val="43"/>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BC-4F90-4403-A845-2ACE72B7E1BF}"/>
                </c:ext>
              </c:extLst>
            </c:dLbl>
            <c:dLbl>
              <c:idx val="44"/>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BD-4F90-4403-A845-2ACE72B7E1BF}"/>
                </c:ext>
              </c:extLst>
            </c:dLbl>
            <c:dLbl>
              <c:idx val="45"/>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BE-4F90-4403-A845-2ACE72B7E1BF}"/>
                </c:ext>
              </c:extLst>
            </c:dLbl>
            <c:dLbl>
              <c:idx val="46"/>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BF-4F90-4403-A845-2ACE72B7E1BF}"/>
                </c:ext>
              </c:extLst>
            </c:dLbl>
            <c:dLbl>
              <c:idx val="47"/>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C0-4F90-4403-A845-2ACE72B7E1BF}"/>
                </c:ext>
              </c:extLst>
            </c:dLbl>
            <c:dLbl>
              <c:idx val="48"/>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C1-4F90-4403-A845-2ACE72B7E1BF}"/>
                </c:ext>
              </c:extLst>
            </c:dLbl>
            <c:spPr>
              <a:noFill/>
              <a:ln>
                <a:noFill/>
              </a:ln>
              <a:effectLst/>
            </c:spPr>
            <c:txPr>
              <a:bodyPr wrap="square" lIns="38100" tIns="19050" rIns="38100" bIns="19050" anchor="ctr">
                <a:spAutoFit/>
              </a:bodyPr>
              <a:lstStyle/>
              <a:p>
                <a:pPr>
                  <a:defRPr sz="800">
                    <a:solidFill>
                      <a:schemeClr val="bg1"/>
                    </a:solidFill>
                  </a:defRPr>
                </a:pPr>
                <a:endParaRPr lang="fr-FR"/>
              </a:p>
            </c:txPr>
            <c:dLblPos val="t"/>
            <c:showLegendKey val="0"/>
            <c:showVal val="0"/>
            <c:showCatName val="0"/>
            <c:showSerName val="0"/>
            <c:showPercent val="0"/>
            <c:showBubbleSize val="0"/>
            <c:showLeaderLines val="0"/>
            <c:extLst>
              <c:ext xmlns:c15="http://schemas.microsoft.com/office/drawing/2012/chart" uri="{CE6537A1-D6FC-4f65-9D91-7224C49458BB}">
                <c15:showDataLabelsRange val="1"/>
                <c15:showLeaderLines val="0"/>
              </c:ext>
            </c:extLst>
          </c:dLbls>
          <c:xVal>
            <c:numRef>
              <c:f>Calculs!$V$15:$V$63</c:f>
              <c:numCache>
                <c:formatCode>0.00</c:formatCode>
                <c:ptCount val="49"/>
                <c:pt idx="0">
                  <c:v>1000000</c:v>
                </c:pt>
                <c:pt idx="1">
                  <c:v>1000000</c:v>
                </c:pt>
                <c:pt idx="2">
                  <c:v>1000000</c:v>
                </c:pt>
                <c:pt idx="3">
                  <c:v>1000000</c:v>
                </c:pt>
                <c:pt idx="4">
                  <c:v>-0.8835693608194487</c:v>
                </c:pt>
                <c:pt idx="5">
                  <c:v>1000000</c:v>
                </c:pt>
                <c:pt idx="6">
                  <c:v>1000000</c:v>
                </c:pt>
                <c:pt idx="7">
                  <c:v>1000000</c:v>
                </c:pt>
                <c:pt idx="8">
                  <c:v>1000000</c:v>
                </c:pt>
                <c:pt idx="9">
                  <c:v>-0.98974126198584877</c:v>
                </c:pt>
                <c:pt idx="10">
                  <c:v>-0.99215421215274913</c:v>
                </c:pt>
                <c:pt idx="11">
                  <c:v>1000000</c:v>
                </c:pt>
                <c:pt idx="12">
                  <c:v>0.89279272382369868</c:v>
                </c:pt>
                <c:pt idx="13">
                  <c:v>1000000</c:v>
                </c:pt>
                <c:pt idx="14">
                  <c:v>1000000</c:v>
                </c:pt>
                <c:pt idx="15">
                  <c:v>1000000</c:v>
                </c:pt>
                <c:pt idx="16">
                  <c:v>-0.97649205046088883</c:v>
                </c:pt>
                <c:pt idx="17">
                  <c:v>1000000</c:v>
                </c:pt>
                <c:pt idx="18">
                  <c:v>1000000</c:v>
                </c:pt>
                <c:pt idx="19">
                  <c:v>1000000</c:v>
                </c:pt>
                <c:pt idx="20">
                  <c:v>1000000</c:v>
                </c:pt>
                <c:pt idx="21">
                  <c:v>1000000</c:v>
                </c:pt>
                <c:pt idx="22">
                  <c:v>1000000</c:v>
                </c:pt>
                <c:pt idx="23">
                  <c:v>1000000</c:v>
                </c:pt>
                <c:pt idx="24">
                  <c:v>0.26478903917054469</c:v>
                </c:pt>
                <c:pt idx="25">
                  <c:v>1000000</c:v>
                </c:pt>
                <c:pt idx="26">
                  <c:v>1000000</c:v>
                </c:pt>
                <c:pt idx="27">
                  <c:v>1000000</c:v>
                </c:pt>
                <c:pt idx="28">
                  <c:v>1000000</c:v>
                </c:pt>
                <c:pt idx="29">
                  <c:v>1000000</c:v>
                </c:pt>
                <c:pt idx="30">
                  <c:v>1000000</c:v>
                </c:pt>
                <c:pt idx="31">
                  <c:v>1000000</c:v>
                </c:pt>
                <c:pt idx="32">
                  <c:v>1000000</c:v>
                </c:pt>
                <c:pt idx="33">
                  <c:v>1000000</c:v>
                </c:pt>
                <c:pt idx="34">
                  <c:v>1000000</c:v>
                </c:pt>
                <c:pt idx="35">
                  <c:v>1000000</c:v>
                </c:pt>
                <c:pt idx="36">
                  <c:v>1000000</c:v>
                </c:pt>
                <c:pt idx="37">
                  <c:v>1000000</c:v>
                </c:pt>
                <c:pt idx="38">
                  <c:v>1000000</c:v>
                </c:pt>
                <c:pt idx="39">
                  <c:v>1000000</c:v>
                </c:pt>
                <c:pt idx="40">
                  <c:v>1000000</c:v>
                </c:pt>
                <c:pt idx="41">
                  <c:v>-0.96218316039394958</c:v>
                </c:pt>
                <c:pt idx="42">
                  <c:v>1000000</c:v>
                </c:pt>
                <c:pt idx="43">
                  <c:v>1000000</c:v>
                </c:pt>
                <c:pt idx="44">
                  <c:v>1000000</c:v>
                </c:pt>
                <c:pt idx="45">
                  <c:v>1000000</c:v>
                </c:pt>
                <c:pt idx="46">
                  <c:v>2.2967009219450069E-3</c:v>
                </c:pt>
                <c:pt idx="47">
                  <c:v>1000000</c:v>
                </c:pt>
                <c:pt idx="48">
                  <c:v>1000000</c:v>
                </c:pt>
              </c:numCache>
            </c:numRef>
          </c:xVal>
          <c:yVal>
            <c:numRef>
              <c:f>Calculs!$Y$15:$Y$63</c:f>
              <c:numCache>
                <c:formatCode>0.00</c:formatCode>
                <c:ptCount val="49"/>
                <c:pt idx="21">
                  <c:v>1000000</c:v>
                </c:pt>
                <c:pt idx="24">
                  <c:v>0.18113681970925391</c:v>
                </c:pt>
                <c:pt idx="37">
                  <c:v>1000000</c:v>
                </c:pt>
                <c:pt idx="40">
                  <c:v>1000000</c:v>
                </c:pt>
              </c:numCache>
            </c:numRef>
          </c:yVal>
          <c:smooth val="0"/>
          <c:extLst>
            <c:ext xmlns:c15="http://schemas.microsoft.com/office/drawing/2012/chart" uri="{02D57815-91ED-43cb-92C2-25804820EDAC}">
              <c15:datalabelsRange>
                <c15:f>Calculs!$A$15:$A$63</c15:f>
                <c15:dlblRangeCache>
                  <c:ptCount val="49"/>
                  <c:pt idx="0">
                    <c:v>Achernar</c:v>
                  </c:pt>
                  <c:pt idx="1">
                    <c:v>Acrux</c:v>
                  </c:pt>
                  <c:pt idx="2">
                    <c:v>Adara</c:v>
                  </c:pt>
                  <c:pt idx="3">
                    <c:v>Agena</c:v>
                  </c:pt>
                  <c:pt idx="4">
                    <c:v>Aldebaran</c:v>
                  </c:pt>
                  <c:pt idx="5">
                    <c:v>Alhena</c:v>
                  </c:pt>
                  <c:pt idx="6">
                    <c:v>Alioth</c:v>
                  </c:pt>
                  <c:pt idx="7">
                    <c:v>Alkaid</c:v>
                  </c:pt>
                  <c:pt idx="8">
                    <c:v>AlNair</c:v>
                  </c:pt>
                  <c:pt idx="9">
                    <c:v>Alnilam</c:v>
                  </c:pt>
                  <c:pt idx="10">
                    <c:v>Alnitak</c:v>
                  </c:pt>
                  <c:pt idx="11">
                    <c:v>Alphard</c:v>
                  </c:pt>
                  <c:pt idx="12">
                    <c:v>Altair</c:v>
                  </c:pt>
                  <c:pt idx="13">
                    <c:v>Antares</c:v>
                  </c:pt>
                  <c:pt idx="14">
                    <c:v>Arcturus</c:v>
                  </c:pt>
                  <c:pt idx="15">
                    <c:v>Atria</c:v>
                  </c:pt>
                  <c:pt idx="16">
                    <c:v>Bellatrix</c:v>
                  </c:pt>
                  <c:pt idx="17">
                    <c:v>Betelgeuse</c:v>
                  </c:pt>
                  <c:pt idx="18">
                    <c:v>Canopus</c:v>
                  </c:pt>
                  <c:pt idx="19">
                    <c:v>Castor</c:v>
                  </c:pt>
                  <c:pt idx="20">
                    <c:v>Chèvre</c:v>
                  </c:pt>
                  <c:pt idx="21">
                    <c:v>Deneb</c:v>
                  </c:pt>
                  <c:pt idx="22">
                    <c:v>Dubhe</c:v>
                  </c:pt>
                  <c:pt idx="23">
                    <c:v>Epi</c:v>
                  </c:pt>
                  <c:pt idx="24">
                    <c:v>Fomalhaut</c:v>
                  </c:pt>
                  <c:pt idx="25">
                    <c:v>Gacrux</c:v>
                  </c:pt>
                  <c:pt idx="26">
                    <c:v>KausAustra</c:v>
                  </c:pt>
                  <c:pt idx="27">
                    <c:v>Kooshe</c:v>
                  </c:pt>
                  <c:pt idx="28">
                    <c:v>Menkalinan</c:v>
                  </c:pt>
                  <c:pt idx="29">
                    <c:v>Miaplacidus</c:v>
                  </c:pt>
                  <c:pt idx="30">
                    <c:v>Mimosa</c:v>
                  </c:pt>
                  <c:pt idx="31">
                    <c:v>Mirfak</c:v>
                  </c:pt>
                  <c:pt idx="32">
                    <c:v>Mirzam</c:v>
                  </c:pt>
                  <c:pt idx="33">
                    <c:v>Nath</c:v>
                  </c:pt>
                  <c:pt idx="34">
                    <c:v>Nunki</c:v>
                  </c:pt>
                  <c:pt idx="35">
                    <c:v>Peacock</c:v>
                  </c:pt>
                  <c:pt idx="36">
                    <c:v>Polaire</c:v>
                  </c:pt>
                  <c:pt idx="37">
                    <c:v>Pollux</c:v>
                  </c:pt>
                  <c:pt idx="38">
                    <c:v>Procyon</c:v>
                  </c:pt>
                  <c:pt idx="39">
                    <c:v>RasAlague</c:v>
                  </c:pt>
                  <c:pt idx="40">
                    <c:v>Regulus</c:v>
                  </c:pt>
                  <c:pt idx="41">
                    <c:v>Rigel</c:v>
                  </c:pt>
                  <c:pt idx="42">
                    <c:v>Rigil</c:v>
                  </c:pt>
                  <c:pt idx="43">
                    <c:v>Sargas</c:v>
                  </c:pt>
                  <c:pt idx="44">
                    <c:v>Schaula</c:v>
                  </c:pt>
                  <c:pt idx="45">
                    <c:v>Sirius</c:v>
                  </c:pt>
                  <c:pt idx="46">
                    <c:v>Sirrah</c:v>
                  </c:pt>
                  <c:pt idx="47">
                    <c:v>Vega</c:v>
                  </c:pt>
                  <c:pt idx="48">
                    <c:v>Wezen</c:v>
                  </c:pt>
                </c15:dlblRangeCache>
              </c15:datalabelsRange>
            </c:ext>
            <c:ext xmlns:c16="http://schemas.microsoft.com/office/drawing/2014/chart" uri="{C3380CC4-5D6E-409C-BE32-E72D297353CC}">
              <c16:uniqueId val="{0000000D-A97E-4CF4-9C00-E4A97EA25B36}"/>
            </c:ext>
          </c:extLst>
        </c:ser>
        <c:ser>
          <c:idx val="5"/>
          <c:order val="5"/>
          <c:tx>
            <c:v>Magnitude &gt;1.5</c:v>
          </c:tx>
          <c:spPr>
            <a:ln w="28575">
              <a:noFill/>
            </a:ln>
          </c:spPr>
          <c:marker>
            <c:symbol val="picture"/>
            <c:spPr>
              <a:blipFill dpi="0" rotWithShape="0">
                <a:blip xmlns:r="http://schemas.openxmlformats.org/officeDocument/2006/relationships" r:embed="rId5"/>
                <a:srcRect/>
                <a:stretch>
                  <a:fillRect/>
                </a:stretch>
              </a:blipFill>
              <a:ln w="9525">
                <a:noFill/>
              </a:ln>
            </c:spPr>
          </c:marker>
          <c:dLbls>
            <c:dLbl>
              <c:idx val="0"/>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31-4F90-4403-A845-2ACE72B7E1BF}"/>
                </c:ext>
              </c:extLst>
            </c:dLbl>
            <c:dLbl>
              <c:idx val="1"/>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32-4F90-4403-A845-2ACE72B7E1BF}"/>
                </c:ext>
              </c:extLst>
            </c:dLbl>
            <c:dLbl>
              <c:idx val="2"/>
              <c:tx>
                <c:rich>
                  <a:bodyPr/>
                  <a:lstStyle/>
                  <a:p>
                    <a:fld id="{B640F08A-C0D6-4031-94C3-A9A29B96FF38}"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33-4F90-4403-A845-2ACE72B7E1BF}"/>
                </c:ext>
              </c:extLst>
            </c:dLbl>
            <c:dLbl>
              <c:idx val="3"/>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34-4F90-4403-A845-2ACE72B7E1BF}"/>
                </c:ext>
              </c:extLst>
            </c:dLbl>
            <c:dLbl>
              <c:idx val="4"/>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35-4F90-4403-A845-2ACE72B7E1BF}"/>
                </c:ext>
              </c:extLst>
            </c:dLbl>
            <c:dLbl>
              <c:idx val="5"/>
              <c:tx>
                <c:rich>
                  <a:bodyPr/>
                  <a:lstStyle/>
                  <a:p>
                    <a:fld id="{8E7B777D-B889-42A6-B621-920BA4A24D77}"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36-4F90-4403-A845-2ACE72B7E1BF}"/>
                </c:ext>
              </c:extLst>
            </c:dLbl>
            <c:dLbl>
              <c:idx val="6"/>
              <c:tx>
                <c:rich>
                  <a:bodyPr/>
                  <a:lstStyle/>
                  <a:p>
                    <a:fld id="{7EEC2132-0929-497C-A6E8-F4E26B12E0F3}"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37-4F90-4403-A845-2ACE72B7E1BF}"/>
                </c:ext>
              </c:extLst>
            </c:dLbl>
            <c:dLbl>
              <c:idx val="7"/>
              <c:tx>
                <c:rich>
                  <a:bodyPr/>
                  <a:lstStyle/>
                  <a:p>
                    <a:fld id="{F44ABED1-8459-4568-AEEE-D42784C26FA7}"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38-4F90-4403-A845-2ACE72B7E1BF}"/>
                </c:ext>
              </c:extLst>
            </c:dLbl>
            <c:dLbl>
              <c:idx val="8"/>
              <c:tx>
                <c:rich>
                  <a:bodyPr/>
                  <a:lstStyle/>
                  <a:p>
                    <a:fld id="{F7F79484-2876-450B-8DDF-97DEF96FEA18}"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39-4F90-4403-A845-2ACE72B7E1BF}"/>
                </c:ext>
              </c:extLst>
            </c:dLbl>
            <c:dLbl>
              <c:idx val="9"/>
              <c:tx>
                <c:rich>
                  <a:bodyPr/>
                  <a:lstStyle/>
                  <a:p>
                    <a:fld id="{D590E783-F891-41A7-B893-EA2142D40150}"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3A-4F90-4403-A845-2ACE72B7E1BF}"/>
                </c:ext>
              </c:extLst>
            </c:dLbl>
            <c:dLbl>
              <c:idx val="10"/>
              <c:tx>
                <c:rich>
                  <a:bodyPr/>
                  <a:lstStyle/>
                  <a:p>
                    <a:fld id="{40B2624C-D0F8-410F-8813-59182E97BDCA}"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3B-4F90-4403-A845-2ACE72B7E1BF}"/>
                </c:ext>
              </c:extLst>
            </c:dLbl>
            <c:dLbl>
              <c:idx val="11"/>
              <c:tx>
                <c:rich>
                  <a:bodyPr/>
                  <a:lstStyle/>
                  <a:p>
                    <a:fld id="{D666B969-C1F2-4656-9EDA-22E12A3B3B6D}"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3C-4F90-4403-A845-2ACE72B7E1BF}"/>
                </c:ext>
              </c:extLst>
            </c:dLbl>
            <c:dLbl>
              <c:idx val="12"/>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3D-4F90-4403-A845-2ACE72B7E1BF}"/>
                </c:ext>
              </c:extLst>
            </c:dLbl>
            <c:dLbl>
              <c:idx val="13"/>
              <c:tx>
                <c:rich>
                  <a:bodyPr/>
                  <a:lstStyle/>
                  <a:p>
                    <a:fld id="{BFDAC4C3-1124-4325-8D72-64B4F58F00B8}"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3E-4F90-4403-A845-2ACE72B7E1BF}"/>
                </c:ext>
              </c:extLst>
            </c:dLbl>
            <c:dLbl>
              <c:idx val="14"/>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3F-4F90-4403-A845-2ACE72B7E1BF}"/>
                </c:ext>
              </c:extLst>
            </c:dLbl>
            <c:dLbl>
              <c:idx val="15"/>
              <c:tx>
                <c:rich>
                  <a:bodyPr/>
                  <a:lstStyle/>
                  <a:p>
                    <a:fld id="{8F57AC11-8F89-4CD3-8726-8BBB8B9F6C69}"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40-4F90-4403-A845-2ACE72B7E1BF}"/>
                </c:ext>
              </c:extLst>
            </c:dLbl>
            <c:dLbl>
              <c:idx val="16"/>
              <c:tx>
                <c:rich>
                  <a:bodyPr/>
                  <a:lstStyle/>
                  <a:p>
                    <a:fld id="{79A61F98-A3D7-4963-B0C7-424580440A70}"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41-4F90-4403-A845-2ACE72B7E1BF}"/>
                </c:ext>
              </c:extLst>
            </c:dLbl>
            <c:dLbl>
              <c:idx val="17"/>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42-4F90-4403-A845-2ACE72B7E1BF}"/>
                </c:ext>
              </c:extLst>
            </c:dLbl>
            <c:dLbl>
              <c:idx val="18"/>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43-4F90-4403-A845-2ACE72B7E1BF}"/>
                </c:ext>
              </c:extLst>
            </c:dLbl>
            <c:dLbl>
              <c:idx val="19"/>
              <c:tx>
                <c:rich>
                  <a:bodyPr/>
                  <a:lstStyle/>
                  <a:p>
                    <a:fld id="{3CD13535-2B0A-4241-B0B1-1192250CEB11}"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44-4F90-4403-A845-2ACE72B7E1BF}"/>
                </c:ext>
              </c:extLst>
            </c:dLbl>
            <c:dLbl>
              <c:idx val="20"/>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45-4F90-4403-A845-2ACE72B7E1BF}"/>
                </c:ext>
              </c:extLst>
            </c:dLbl>
            <c:dLbl>
              <c:idx val="21"/>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46-4F90-4403-A845-2ACE72B7E1BF}"/>
                </c:ext>
              </c:extLst>
            </c:dLbl>
            <c:dLbl>
              <c:idx val="22"/>
              <c:tx>
                <c:rich>
                  <a:bodyPr/>
                  <a:lstStyle/>
                  <a:p>
                    <a:fld id="{CEABD1DC-726A-436E-BD82-11093DCE7F44}"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47-4F90-4403-A845-2ACE72B7E1BF}"/>
                </c:ext>
              </c:extLst>
            </c:dLbl>
            <c:dLbl>
              <c:idx val="23"/>
              <c:tx>
                <c:rich>
                  <a:bodyPr/>
                  <a:lstStyle/>
                  <a:p>
                    <a:fld id="{0E99A1F8-F9BF-487B-8EE0-95873A430CE6}"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48-4F90-4403-A845-2ACE72B7E1BF}"/>
                </c:ext>
              </c:extLst>
            </c:dLbl>
            <c:dLbl>
              <c:idx val="24"/>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49-4F90-4403-A845-2ACE72B7E1BF}"/>
                </c:ext>
              </c:extLst>
            </c:dLbl>
            <c:dLbl>
              <c:idx val="25"/>
              <c:tx>
                <c:rich>
                  <a:bodyPr/>
                  <a:lstStyle/>
                  <a:p>
                    <a:fld id="{2CBD5621-1E15-4635-9B6C-62E541B1A9BD}"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4A-4F90-4403-A845-2ACE72B7E1BF}"/>
                </c:ext>
              </c:extLst>
            </c:dLbl>
            <c:dLbl>
              <c:idx val="26"/>
              <c:tx>
                <c:rich>
                  <a:bodyPr/>
                  <a:lstStyle/>
                  <a:p>
                    <a:fld id="{78F430CF-0E31-4E9E-85D9-82620E42EB8E}"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4B-4F90-4403-A845-2ACE72B7E1BF}"/>
                </c:ext>
              </c:extLst>
            </c:dLbl>
            <c:dLbl>
              <c:idx val="27"/>
              <c:tx>
                <c:rich>
                  <a:bodyPr/>
                  <a:lstStyle/>
                  <a:p>
                    <a:fld id="{0C603AA0-FA6A-4CCF-B67B-DEC2C24B78D7}"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4C-4F90-4403-A845-2ACE72B7E1BF}"/>
                </c:ext>
              </c:extLst>
            </c:dLbl>
            <c:dLbl>
              <c:idx val="28"/>
              <c:tx>
                <c:rich>
                  <a:bodyPr/>
                  <a:lstStyle/>
                  <a:p>
                    <a:fld id="{801ACE7F-B37D-423A-A962-322308B8B685}"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4D-4F90-4403-A845-2ACE72B7E1BF}"/>
                </c:ext>
              </c:extLst>
            </c:dLbl>
            <c:dLbl>
              <c:idx val="29"/>
              <c:tx>
                <c:rich>
                  <a:bodyPr/>
                  <a:lstStyle/>
                  <a:p>
                    <a:fld id="{E56B0770-32E7-4EAF-A1AC-A1BFFEF6FAF3}"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4E-4F90-4403-A845-2ACE72B7E1BF}"/>
                </c:ext>
              </c:extLst>
            </c:dLbl>
            <c:dLbl>
              <c:idx val="30"/>
              <c:tx>
                <c:rich>
                  <a:bodyPr/>
                  <a:lstStyle/>
                  <a:p>
                    <a:fld id="{1649125E-4976-4346-834A-CF700FD73078}"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4F-4F90-4403-A845-2ACE72B7E1BF}"/>
                </c:ext>
              </c:extLst>
            </c:dLbl>
            <c:dLbl>
              <c:idx val="31"/>
              <c:tx>
                <c:rich>
                  <a:bodyPr/>
                  <a:lstStyle/>
                  <a:p>
                    <a:fld id="{EEB8E6F4-6FE2-4A6C-838B-A9994B59E977}"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50-4F90-4403-A845-2ACE72B7E1BF}"/>
                </c:ext>
              </c:extLst>
            </c:dLbl>
            <c:dLbl>
              <c:idx val="32"/>
              <c:tx>
                <c:rich>
                  <a:bodyPr/>
                  <a:lstStyle/>
                  <a:p>
                    <a:fld id="{16437AFE-3A39-4916-9912-536BEACA0933}"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30-4F90-4403-A845-2ACE72B7E1BF}"/>
                </c:ext>
              </c:extLst>
            </c:dLbl>
            <c:dLbl>
              <c:idx val="33"/>
              <c:tx>
                <c:rich>
                  <a:bodyPr/>
                  <a:lstStyle/>
                  <a:p>
                    <a:fld id="{74C80A2A-DF20-4269-8E95-79D7C0F6E9B5}"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51-4F90-4403-A845-2ACE72B7E1BF}"/>
                </c:ext>
              </c:extLst>
            </c:dLbl>
            <c:dLbl>
              <c:idx val="34"/>
              <c:tx>
                <c:rich>
                  <a:bodyPr/>
                  <a:lstStyle/>
                  <a:p>
                    <a:fld id="{B9EAF9A1-62B0-43BF-BE20-FB38EF2E80F3}"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52-4F90-4403-A845-2ACE72B7E1BF}"/>
                </c:ext>
              </c:extLst>
            </c:dLbl>
            <c:dLbl>
              <c:idx val="35"/>
              <c:tx>
                <c:rich>
                  <a:bodyPr/>
                  <a:lstStyle/>
                  <a:p>
                    <a:fld id="{ADB1D998-7BBE-4923-9834-515A4AB3D321}"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53-4F90-4403-A845-2ACE72B7E1BF}"/>
                </c:ext>
              </c:extLst>
            </c:dLbl>
            <c:dLbl>
              <c:idx val="36"/>
              <c:tx>
                <c:rich>
                  <a:bodyPr/>
                  <a:lstStyle/>
                  <a:p>
                    <a:fld id="{272F32F6-DA5E-41CE-92A4-D50511600E05}"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E-A97E-4CF4-9C00-E4A97EA25B36}"/>
                </c:ext>
              </c:extLst>
            </c:dLbl>
            <c:dLbl>
              <c:idx val="37"/>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54-4F90-4403-A845-2ACE72B7E1BF}"/>
                </c:ext>
              </c:extLst>
            </c:dLbl>
            <c:dLbl>
              <c:idx val="38"/>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55-4F90-4403-A845-2ACE72B7E1BF}"/>
                </c:ext>
              </c:extLst>
            </c:dLbl>
            <c:dLbl>
              <c:idx val="39"/>
              <c:tx>
                <c:rich>
                  <a:bodyPr/>
                  <a:lstStyle/>
                  <a:p>
                    <a:fld id="{72BC7011-5195-495E-AAE6-EBCE1D177541}"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56-4F90-4403-A845-2ACE72B7E1BF}"/>
                </c:ext>
              </c:extLst>
            </c:dLbl>
            <c:dLbl>
              <c:idx val="40"/>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57-4F90-4403-A845-2ACE72B7E1BF}"/>
                </c:ext>
              </c:extLst>
            </c:dLbl>
            <c:dLbl>
              <c:idx val="41"/>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58-4F90-4403-A845-2ACE72B7E1BF}"/>
                </c:ext>
              </c:extLst>
            </c:dLbl>
            <c:dLbl>
              <c:idx val="42"/>
              <c:tx>
                <c:rich>
                  <a:bodyPr/>
                  <a:lstStyle/>
                  <a:p>
                    <a:fld id="{628069E8-D126-40A9-8E25-CBD8806F4C73}"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59-4F90-4403-A845-2ACE72B7E1BF}"/>
                </c:ext>
              </c:extLst>
            </c:dLbl>
            <c:dLbl>
              <c:idx val="43"/>
              <c:tx>
                <c:rich>
                  <a:bodyPr/>
                  <a:lstStyle/>
                  <a:p>
                    <a:fld id="{4A660FF7-3CE6-40AF-BF0E-6471068D3335}"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5A-4F90-4403-A845-2ACE72B7E1BF}"/>
                </c:ext>
              </c:extLst>
            </c:dLbl>
            <c:dLbl>
              <c:idx val="44"/>
              <c:tx>
                <c:rich>
                  <a:bodyPr/>
                  <a:lstStyle/>
                  <a:p>
                    <a:fld id="{2DF7AD8C-4D96-454D-9565-7700FA20092B}"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5B-4F90-4403-A845-2ACE72B7E1BF}"/>
                </c:ext>
              </c:extLst>
            </c:dLbl>
            <c:dLbl>
              <c:idx val="45"/>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5C-4F90-4403-A845-2ACE72B7E1BF}"/>
                </c:ext>
              </c:extLst>
            </c:dLbl>
            <c:dLbl>
              <c:idx val="46"/>
              <c:tx>
                <c:rich>
                  <a:bodyPr/>
                  <a:lstStyle/>
                  <a:p>
                    <a:fld id="{DB588ACE-9DF2-480E-940F-8D15FE7AB79F}"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5D-4F90-4403-A845-2ACE72B7E1BF}"/>
                </c:ext>
              </c:extLst>
            </c:dLbl>
            <c:dLbl>
              <c:idx val="47"/>
              <c:tx>
                <c:rich>
                  <a:bodyPr/>
                  <a:lstStyle/>
                  <a:p>
                    <a:endParaRPr lang="fr-FR"/>
                  </a:p>
                </c:rich>
              </c:tx>
              <c:dLblPos val="t"/>
              <c:showLegendKey val="0"/>
              <c:showVal val="0"/>
              <c:showCatName val="0"/>
              <c:showSerName val="0"/>
              <c:showPercent val="0"/>
              <c:showBubbleSize val="0"/>
              <c:extLst>
                <c:ext xmlns:c15="http://schemas.microsoft.com/office/drawing/2012/chart" uri="{CE6537A1-D6FC-4f65-9D91-7224C49458BB}">
                  <c15:xForSave val="1"/>
                  <c15:showDataLabelsRange val="1"/>
                </c:ext>
                <c:ext xmlns:c16="http://schemas.microsoft.com/office/drawing/2014/chart" uri="{C3380CC4-5D6E-409C-BE32-E72D297353CC}">
                  <c16:uniqueId val="{0000005E-4F90-4403-A845-2ACE72B7E1BF}"/>
                </c:ext>
              </c:extLst>
            </c:dLbl>
            <c:dLbl>
              <c:idx val="48"/>
              <c:tx>
                <c:rich>
                  <a:bodyPr/>
                  <a:lstStyle/>
                  <a:p>
                    <a:fld id="{D2546C5D-4A43-4E0B-9A94-B086CFE01DED}" type="CELLRANGE">
                      <a:rPr lang="fr-FR"/>
                      <a:pPr/>
                      <a:t>[PLAGECELL]</a:t>
                    </a:fld>
                    <a:endParaRPr lang="fr-FR"/>
                  </a:p>
                </c:rich>
              </c:tx>
              <c:dLblPos val="t"/>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5F-4F90-4403-A845-2ACE72B7E1BF}"/>
                </c:ext>
              </c:extLst>
            </c:dLbl>
            <c:spPr>
              <a:noFill/>
              <a:ln>
                <a:noFill/>
              </a:ln>
              <a:effectLst/>
            </c:spPr>
            <c:txPr>
              <a:bodyPr wrap="square" lIns="38100" tIns="19050" rIns="38100" bIns="19050" anchor="ctr">
                <a:spAutoFit/>
              </a:bodyPr>
              <a:lstStyle/>
              <a:p>
                <a:pPr>
                  <a:defRPr sz="800">
                    <a:solidFill>
                      <a:schemeClr val="bg1"/>
                    </a:solidFill>
                  </a:defRPr>
                </a:pPr>
                <a:endParaRPr lang="fr-FR"/>
              </a:p>
            </c:txPr>
            <c:dLblPos val="t"/>
            <c:showLegendKey val="0"/>
            <c:showVal val="0"/>
            <c:showCatName val="0"/>
            <c:showSerName val="0"/>
            <c:showPercent val="0"/>
            <c:showBubbleSize val="0"/>
            <c:showLeaderLines val="0"/>
            <c:extLst>
              <c:ext xmlns:c15="http://schemas.microsoft.com/office/drawing/2012/chart" uri="{CE6537A1-D6FC-4f65-9D91-7224C49458BB}">
                <c15:showDataLabelsRange val="1"/>
                <c15:showLeaderLines val="0"/>
              </c:ext>
            </c:extLst>
          </c:dLbls>
          <c:xVal>
            <c:numRef>
              <c:f>Calculs!$V$15:$V$63</c:f>
              <c:numCache>
                <c:formatCode>0.00</c:formatCode>
                <c:ptCount val="49"/>
                <c:pt idx="0">
                  <c:v>1000000</c:v>
                </c:pt>
                <c:pt idx="1">
                  <c:v>1000000</c:v>
                </c:pt>
                <c:pt idx="2">
                  <c:v>1000000</c:v>
                </c:pt>
                <c:pt idx="3">
                  <c:v>1000000</c:v>
                </c:pt>
                <c:pt idx="4">
                  <c:v>-0.8835693608194487</c:v>
                </c:pt>
                <c:pt idx="5">
                  <c:v>1000000</c:v>
                </c:pt>
                <c:pt idx="6">
                  <c:v>1000000</c:v>
                </c:pt>
                <c:pt idx="7">
                  <c:v>1000000</c:v>
                </c:pt>
                <c:pt idx="8">
                  <c:v>1000000</c:v>
                </c:pt>
                <c:pt idx="9">
                  <c:v>-0.98974126198584877</c:v>
                </c:pt>
                <c:pt idx="10">
                  <c:v>-0.99215421215274913</c:v>
                </c:pt>
                <c:pt idx="11">
                  <c:v>1000000</c:v>
                </c:pt>
                <c:pt idx="12">
                  <c:v>0.89279272382369868</c:v>
                </c:pt>
                <c:pt idx="13">
                  <c:v>1000000</c:v>
                </c:pt>
                <c:pt idx="14">
                  <c:v>1000000</c:v>
                </c:pt>
                <c:pt idx="15">
                  <c:v>1000000</c:v>
                </c:pt>
                <c:pt idx="16">
                  <c:v>-0.97649205046088883</c:v>
                </c:pt>
                <c:pt idx="17">
                  <c:v>1000000</c:v>
                </c:pt>
                <c:pt idx="18">
                  <c:v>1000000</c:v>
                </c:pt>
                <c:pt idx="19">
                  <c:v>1000000</c:v>
                </c:pt>
                <c:pt idx="20">
                  <c:v>1000000</c:v>
                </c:pt>
                <c:pt idx="21">
                  <c:v>1000000</c:v>
                </c:pt>
                <c:pt idx="22">
                  <c:v>1000000</c:v>
                </c:pt>
                <c:pt idx="23">
                  <c:v>1000000</c:v>
                </c:pt>
                <c:pt idx="24">
                  <c:v>0.26478903917054469</c:v>
                </c:pt>
                <c:pt idx="25">
                  <c:v>1000000</c:v>
                </c:pt>
                <c:pt idx="26">
                  <c:v>1000000</c:v>
                </c:pt>
                <c:pt idx="27">
                  <c:v>1000000</c:v>
                </c:pt>
                <c:pt idx="28">
                  <c:v>1000000</c:v>
                </c:pt>
                <c:pt idx="29">
                  <c:v>1000000</c:v>
                </c:pt>
                <c:pt idx="30">
                  <c:v>1000000</c:v>
                </c:pt>
                <c:pt idx="31">
                  <c:v>1000000</c:v>
                </c:pt>
                <c:pt idx="32">
                  <c:v>1000000</c:v>
                </c:pt>
                <c:pt idx="33">
                  <c:v>1000000</c:v>
                </c:pt>
                <c:pt idx="34">
                  <c:v>1000000</c:v>
                </c:pt>
                <c:pt idx="35">
                  <c:v>1000000</c:v>
                </c:pt>
                <c:pt idx="36">
                  <c:v>1000000</c:v>
                </c:pt>
                <c:pt idx="37">
                  <c:v>1000000</c:v>
                </c:pt>
                <c:pt idx="38">
                  <c:v>1000000</c:v>
                </c:pt>
                <c:pt idx="39">
                  <c:v>1000000</c:v>
                </c:pt>
                <c:pt idx="40">
                  <c:v>1000000</c:v>
                </c:pt>
                <c:pt idx="41">
                  <c:v>-0.96218316039394958</c:v>
                </c:pt>
                <c:pt idx="42">
                  <c:v>1000000</c:v>
                </c:pt>
                <c:pt idx="43">
                  <c:v>1000000</c:v>
                </c:pt>
                <c:pt idx="44">
                  <c:v>1000000</c:v>
                </c:pt>
                <c:pt idx="45">
                  <c:v>1000000</c:v>
                </c:pt>
                <c:pt idx="46">
                  <c:v>2.2967009219450069E-3</c:v>
                </c:pt>
                <c:pt idx="47">
                  <c:v>1000000</c:v>
                </c:pt>
                <c:pt idx="48">
                  <c:v>1000000</c:v>
                </c:pt>
              </c:numCache>
            </c:numRef>
          </c:xVal>
          <c:yVal>
            <c:numRef>
              <c:f>Calculs!$Z$15:$Z$63</c:f>
              <c:numCache>
                <c:formatCode>0.00</c:formatCode>
                <c:ptCount val="49"/>
                <c:pt idx="2">
                  <c:v>1000000</c:v>
                </c:pt>
                <c:pt idx="5">
                  <c:v>1000000</c:v>
                </c:pt>
                <c:pt idx="6">
                  <c:v>1000000</c:v>
                </c:pt>
                <c:pt idx="7">
                  <c:v>1000000</c:v>
                </c:pt>
                <c:pt idx="8">
                  <c:v>1000000</c:v>
                </c:pt>
                <c:pt idx="9">
                  <c:v>7.9717074451692307E-2</c:v>
                </c:pt>
                <c:pt idx="10">
                  <c:v>5.2750949902507387E-2</c:v>
                </c:pt>
                <c:pt idx="11">
                  <c:v>1000000</c:v>
                </c:pt>
                <c:pt idx="13">
                  <c:v>1000000</c:v>
                </c:pt>
                <c:pt idx="15">
                  <c:v>1000000</c:v>
                </c:pt>
                <c:pt idx="16">
                  <c:v>0.2031125014099012</c:v>
                </c:pt>
                <c:pt idx="19">
                  <c:v>1000000</c:v>
                </c:pt>
                <c:pt idx="22">
                  <c:v>1000000</c:v>
                </c:pt>
                <c:pt idx="23">
                  <c:v>1000000</c:v>
                </c:pt>
                <c:pt idx="25">
                  <c:v>1000000</c:v>
                </c:pt>
                <c:pt idx="26">
                  <c:v>1000000</c:v>
                </c:pt>
                <c:pt idx="27">
                  <c:v>1000000</c:v>
                </c:pt>
                <c:pt idx="28">
                  <c:v>1000000</c:v>
                </c:pt>
                <c:pt idx="29">
                  <c:v>1000000</c:v>
                </c:pt>
                <c:pt idx="30">
                  <c:v>1000000</c:v>
                </c:pt>
                <c:pt idx="31">
                  <c:v>1000000</c:v>
                </c:pt>
                <c:pt idx="32">
                  <c:v>1000000</c:v>
                </c:pt>
                <c:pt idx="33">
                  <c:v>1000000</c:v>
                </c:pt>
                <c:pt idx="34">
                  <c:v>1000000</c:v>
                </c:pt>
                <c:pt idx="35">
                  <c:v>1000000</c:v>
                </c:pt>
                <c:pt idx="36">
                  <c:v>1000000</c:v>
                </c:pt>
                <c:pt idx="39">
                  <c:v>1000000</c:v>
                </c:pt>
                <c:pt idx="42">
                  <c:v>1000000</c:v>
                </c:pt>
                <c:pt idx="43">
                  <c:v>1000000</c:v>
                </c:pt>
                <c:pt idx="44">
                  <c:v>1000000</c:v>
                </c:pt>
                <c:pt idx="46">
                  <c:v>0.93544206214811587</c:v>
                </c:pt>
                <c:pt idx="48">
                  <c:v>1000000</c:v>
                </c:pt>
              </c:numCache>
            </c:numRef>
          </c:yVal>
          <c:smooth val="0"/>
          <c:extLst>
            <c:ext xmlns:c15="http://schemas.microsoft.com/office/drawing/2012/chart" uri="{02D57815-91ED-43cb-92C2-25804820EDAC}">
              <c15:datalabelsRange>
                <c15:f>Calculs!$A$15:$A$63</c15:f>
                <c15:dlblRangeCache>
                  <c:ptCount val="49"/>
                  <c:pt idx="0">
                    <c:v>Achernar</c:v>
                  </c:pt>
                  <c:pt idx="1">
                    <c:v>Acrux</c:v>
                  </c:pt>
                  <c:pt idx="2">
                    <c:v>Adara</c:v>
                  </c:pt>
                  <c:pt idx="3">
                    <c:v>Agena</c:v>
                  </c:pt>
                  <c:pt idx="4">
                    <c:v>Aldebaran</c:v>
                  </c:pt>
                  <c:pt idx="5">
                    <c:v>Alhena</c:v>
                  </c:pt>
                  <c:pt idx="6">
                    <c:v>Alioth</c:v>
                  </c:pt>
                  <c:pt idx="7">
                    <c:v>Alkaid</c:v>
                  </c:pt>
                  <c:pt idx="8">
                    <c:v>AlNair</c:v>
                  </c:pt>
                  <c:pt idx="9">
                    <c:v>Alnilam</c:v>
                  </c:pt>
                  <c:pt idx="10">
                    <c:v>Alnitak</c:v>
                  </c:pt>
                  <c:pt idx="11">
                    <c:v>Alphard</c:v>
                  </c:pt>
                  <c:pt idx="12">
                    <c:v>Altair</c:v>
                  </c:pt>
                  <c:pt idx="13">
                    <c:v>Antares</c:v>
                  </c:pt>
                  <c:pt idx="14">
                    <c:v>Arcturus</c:v>
                  </c:pt>
                  <c:pt idx="15">
                    <c:v>Atria</c:v>
                  </c:pt>
                  <c:pt idx="16">
                    <c:v>Bellatrix</c:v>
                  </c:pt>
                  <c:pt idx="17">
                    <c:v>Betelgeuse</c:v>
                  </c:pt>
                  <c:pt idx="18">
                    <c:v>Canopus</c:v>
                  </c:pt>
                  <c:pt idx="19">
                    <c:v>Castor</c:v>
                  </c:pt>
                  <c:pt idx="20">
                    <c:v>Chèvre</c:v>
                  </c:pt>
                  <c:pt idx="21">
                    <c:v>Deneb</c:v>
                  </c:pt>
                  <c:pt idx="22">
                    <c:v>Dubhe</c:v>
                  </c:pt>
                  <c:pt idx="23">
                    <c:v>Epi</c:v>
                  </c:pt>
                  <c:pt idx="24">
                    <c:v>Fomalhaut</c:v>
                  </c:pt>
                  <c:pt idx="25">
                    <c:v>Gacrux</c:v>
                  </c:pt>
                  <c:pt idx="26">
                    <c:v>KausAustra</c:v>
                  </c:pt>
                  <c:pt idx="27">
                    <c:v>Kooshe</c:v>
                  </c:pt>
                  <c:pt idx="28">
                    <c:v>Menkalinan</c:v>
                  </c:pt>
                  <c:pt idx="29">
                    <c:v>Miaplacidus</c:v>
                  </c:pt>
                  <c:pt idx="30">
                    <c:v>Mimosa</c:v>
                  </c:pt>
                  <c:pt idx="31">
                    <c:v>Mirfak</c:v>
                  </c:pt>
                  <c:pt idx="32">
                    <c:v>Mirzam</c:v>
                  </c:pt>
                  <c:pt idx="33">
                    <c:v>Nath</c:v>
                  </c:pt>
                  <c:pt idx="34">
                    <c:v>Nunki</c:v>
                  </c:pt>
                  <c:pt idx="35">
                    <c:v>Peacock</c:v>
                  </c:pt>
                  <c:pt idx="36">
                    <c:v>Polaire</c:v>
                  </c:pt>
                  <c:pt idx="37">
                    <c:v>Pollux</c:v>
                  </c:pt>
                  <c:pt idx="38">
                    <c:v>Procyon</c:v>
                  </c:pt>
                  <c:pt idx="39">
                    <c:v>RasAlague</c:v>
                  </c:pt>
                  <c:pt idx="40">
                    <c:v>Regulus</c:v>
                  </c:pt>
                  <c:pt idx="41">
                    <c:v>Rigel</c:v>
                  </c:pt>
                  <c:pt idx="42">
                    <c:v>Rigil</c:v>
                  </c:pt>
                  <c:pt idx="43">
                    <c:v>Sargas</c:v>
                  </c:pt>
                  <c:pt idx="44">
                    <c:v>Schaula</c:v>
                  </c:pt>
                  <c:pt idx="45">
                    <c:v>Sirius</c:v>
                  </c:pt>
                  <c:pt idx="46">
                    <c:v>Sirrah</c:v>
                  </c:pt>
                  <c:pt idx="47">
                    <c:v>Vega</c:v>
                  </c:pt>
                  <c:pt idx="48">
                    <c:v>Wezen</c:v>
                  </c:pt>
                </c15:dlblRangeCache>
              </c15:datalabelsRange>
            </c:ext>
            <c:ext xmlns:c16="http://schemas.microsoft.com/office/drawing/2014/chart" uri="{C3380CC4-5D6E-409C-BE32-E72D297353CC}">
              <c16:uniqueId val="{0000000F-A97E-4CF4-9C00-E4A97EA25B36}"/>
            </c:ext>
          </c:extLst>
        </c:ser>
        <c:ser>
          <c:idx val="6"/>
          <c:order val="6"/>
          <c:tx>
            <c:v>Constellations</c:v>
          </c:tx>
          <c:spPr>
            <a:ln w="12700">
              <a:solidFill>
                <a:srgbClr val="FF0000"/>
              </a:solidFill>
              <a:prstDash val="solid"/>
            </a:ln>
          </c:spPr>
          <c:marker>
            <c:symbol val="none"/>
          </c:marker>
          <c:xVal>
            <c:numRef>
              <c:f>Calculs!$V$65:$V$172</c:f>
              <c:numCache>
                <c:formatCode>0.00</c:formatCode>
                <c:ptCount val="108"/>
                <c:pt idx="0">
                  <c:v>1000000</c:v>
                </c:pt>
                <c:pt idx="1">
                  <c:v>1000000</c:v>
                </c:pt>
                <c:pt idx="2">
                  <c:v>1000000</c:v>
                </c:pt>
                <c:pt idx="3">
                  <c:v>1000000</c:v>
                </c:pt>
                <c:pt idx="4">
                  <c:v>1000000</c:v>
                </c:pt>
                <c:pt idx="5">
                  <c:v>1000000</c:v>
                </c:pt>
                <c:pt idx="6">
                  <c:v>1000000</c:v>
                </c:pt>
                <c:pt idx="7">
                  <c:v>1000000</c:v>
                </c:pt>
                <c:pt idx="9">
                  <c:v>1000000</c:v>
                </c:pt>
                <c:pt idx="10">
                  <c:v>1000000</c:v>
                </c:pt>
                <c:pt idx="11">
                  <c:v>1000000</c:v>
                </c:pt>
                <c:pt idx="12">
                  <c:v>1000000</c:v>
                </c:pt>
                <c:pt idx="13">
                  <c:v>1000000</c:v>
                </c:pt>
                <c:pt idx="14">
                  <c:v>1000000</c:v>
                </c:pt>
                <c:pt idx="15">
                  <c:v>1000000</c:v>
                </c:pt>
                <c:pt idx="16">
                  <c:v>1000000</c:v>
                </c:pt>
                <c:pt idx="18">
                  <c:v>1000000</c:v>
                </c:pt>
                <c:pt idx="19">
                  <c:v>1000000</c:v>
                </c:pt>
                <c:pt idx="20">
                  <c:v>1000000</c:v>
                </c:pt>
                <c:pt idx="21">
                  <c:v>1000000</c:v>
                </c:pt>
                <c:pt idx="22">
                  <c:v>1000000</c:v>
                </c:pt>
                <c:pt idx="24">
                  <c:v>1000000</c:v>
                </c:pt>
                <c:pt idx="25">
                  <c:v>1000000</c:v>
                </c:pt>
                <c:pt idx="26">
                  <c:v>1000000</c:v>
                </c:pt>
                <c:pt idx="27">
                  <c:v>1000000</c:v>
                </c:pt>
                <c:pt idx="28">
                  <c:v>1000000</c:v>
                </c:pt>
                <c:pt idx="29">
                  <c:v>1000000</c:v>
                </c:pt>
                <c:pt idx="30">
                  <c:v>1000000</c:v>
                </c:pt>
                <c:pt idx="31">
                  <c:v>1000000</c:v>
                </c:pt>
                <c:pt idx="33">
                  <c:v>1000000</c:v>
                </c:pt>
                <c:pt idx="34">
                  <c:v>1000000</c:v>
                </c:pt>
                <c:pt idx="35">
                  <c:v>1000000</c:v>
                </c:pt>
                <c:pt idx="36">
                  <c:v>1000000</c:v>
                </c:pt>
                <c:pt idx="37">
                  <c:v>1000000</c:v>
                </c:pt>
                <c:pt idx="38">
                  <c:v>1000000</c:v>
                </c:pt>
                <c:pt idx="39">
                  <c:v>1000000</c:v>
                </c:pt>
                <c:pt idx="40">
                  <c:v>1000000</c:v>
                </c:pt>
                <c:pt idx="42">
                  <c:v>0.58415137366501768</c:v>
                </c:pt>
                <c:pt idx="43">
                  <c:v>0.49950238574530254</c:v>
                </c:pt>
                <c:pt idx="44">
                  <c:v>0.35932102831794677</c:v>
                </c:pt>
                <c:pt idx="45">
                  <c:v>0.27270831521615208</c:v>
                </c:pt>
                <c:pt idx="46">
                  <c:v>0.24928120143322019</c:v>
                </c:pt>
                <c:pt idx="47">
                  <c:v>2.2967009219450069E-3</c:v>
                </c:pt>
                <c:pt idx="48">
                  <c:v>-1.8556426699063849E-2</c:v>
                </c:pt>
                <c:pt idx="49">
                  <c:v>0.27253753075257825</c:v>
                </c:pt>
                <c:pt idx="51">
                  <c:v>2.2967009219450069E-3</c:v>
                </c:pt>
                <c:pt idx="52">
                  <c:v>-0.10966909280763643</c:v>
                </c:pt>
                <c:pt idx="53">
                  <c:v>-0.20735308303648572</c:v>
                </c:pt>
                <c:pt idx="54">
                  <c:v>-0.14530823468553375</c:v>
                </c:pt>
                <c:pt idx="55">
                  <c:v>-0.17804268114671726</c:v>
                </c:pt>
                <c:pt idx="57">
                  <c:v>1000000</c:v>
                </c:pt>
                <c:pt idx="58">
                  <c:v>1000000</c:v>
                </c:pt>
                <c:pt idx="59">
                  <c:v>1000000</c:v>
                </c:pt>
                <c:pt idx="60">
                  <c:v>1000000</c:v>
                </c:pt>
                <c:pt idx="61">
                  <c:v>1000000</c:v>
                </c:pt>
                <c:pt idx="62">
                  <c:v>1000000</c:v>
                </c:pt>
                <c:pt idx="63">
                  <c:v>1000000</c:v>
                </c:pt>
                <c:pt idx="64">
                  <c:v>1000000</c:v>
                </c:pt>
                <c:pt idx="65">
                  <c:v>1000000</c:v>
                </c:pt>
                <c:pt idx="66">
                  <c:v>1000000</c:v>
                </c:pt>
                <c:pt idx="67">
                  <c:v>1000000</c:v>
                </c:pt>
                <c:pt idx="69">
                  <c:v>1000000</c:v>
                </c:pt>
                <c:pt idx="70">
                  <c:v>1000000</c:v>
                </c:pt>
                <c:pt idx="71">
                  <c:v>1000000</c:v>
                </c:pt>
                <c:pt idx="72">
                  <c:v>1000000</c:v>
                </c:pt>
                <c:pt idx="73">
                  <c:v>1000000</c:v>
                </c:pt>
                <c:pt idx="74">
                  <c:v>1000000</c:v>
                </c:pt>
                <c:pt idx="75">
                  <c:v>1000000</c:v>
                </c:pt>
                <c:pt idx="77">
                  <c:v>1000000</c:v>
                </c:pt>
                <c:pt idx="78">
                  <c:v>1000000</c:v>
                </c:pt>
                <c:pt idx="79">
                  <c:v>1000000</c:v>
                </c:pt>
                <c:pt idx="80">
                  <c:v>1000000</c:v>
                </c:pt>
                <c:pt idx="82">
                  <c:v>1000000</c:v>
                </c:pt>
                <c:pt idx="83">
                  <c:v>1000000</c:v>
                </c:pt>
                <c:pt idx="84">
                  <c:v>1000000</c:v>
                </c:pt>
                <c:pt idx="85">
                  <c:v>1000000</c:v>
                </c:pt>
                <c:pt idx="86">
                  <c:v>1000000</c:v>
                </c:pt>
                <c:pt idx="87">
                  <c:v>1000000</c:v>
                </c:pt>
                <c:pt idx="88">
                  <c:v>1000000</c:v>
                </c:pt>
                <c:pt idx="89">
                  <c:v>1000000</c:v>
                </c:pt>
                <c:pt idx="90">
                  <c:v>1000000</c:v>
                </c:pt>
                <c:pt idx="91">
                  <c:v>1000000</c:v>
                </c:pt>
                <c:pt idx="92">
                  <c:v>1000000</c:v>
                </c:pt>
                <c:pt idx="94">
                  <c:v>1000000</c:v>
                </c:pt>
                <c:pt idx="95">
                  <c:v>1000000</c:v>
                </c:pt>
                <c:pt idx="96">
                  <c:v>1000000</c:v>
                </c:pt>
                <c:pt idx="97">
                  <c:v>1000000</c:v>
                </c:pt>
                <c:pt idx="98">
                  <c:v>1000000</c:v>
                </c:pt>
                <c:pt idx="99">
                  <c:v>1000000</c:v>
                </c:pt>
                <c:pt idx="100">
                  <c:v>1000000</c:v>
                </c:pt>
                <c:pt idx="101">
                  <c:v>1000000</c:v>
                </c:pt>
                <c:pt idx="102">
                  <c:v>1000000</c:v>
                </c:pt>
                <c:pt idx="104">
                  <c:v>1000000</c:v>
                </c:pt>
                <c:pt idx="105">
                  <c:v>1000000</c:v>
                </c:pt>
                <c:pt idx="106">
                  <c:v>1000000</c:v>
                </c:pt>
                <c:pt idx="107">
                  <c:v>1000000</c:v>
                </c:pt>
              </c:numCache>
            </c:numRef>
          </c:xVal>
          <c:yVal>
            <c:numRef>
              <c:f>Calculs!$AA$65:$AA$172</c:f>
              <c:numCache>
                <c:formatCode>0.00</c:formatCode>
                <c:ptCount val="108"/>
                <c:pt idx="0">
                  <c:v>1000000</c:v>
                </c:pt>
                <c:pt idx="1">
                  <c:v>1000000</c:v>
                </c:pt>
                <c:pt idx="2">
                  <c:v>1000000</c:v>
                </c:pt>
                <c:pt idx="3">
                  <c:v>1000000</c:v>
                </c:pt>
                <c:pt idx="4">
                  <c:v>1000000</c:v>
                </c:pt>
                <c:pt idx="5">
                  <c:v>1000000</c:v>
                </c:pt>
                <c:pt idx="6">
                  <c:v>1000000</c:v>
                </c:pt>
                <c:pt idx="7">
                  <c:v>1000000</c:v>
                </c:pt>
                <c:pt idx="9">
                  <c:v>1000000</c:v>
                </c:pt>
                <c:pt idx="10">
                  <c:v>1000000</c:v>
                </c:pt>
                <c:pt idx="11">
                  <c:v>1000000</c:v>
                </c:pt>
                <c:pt idx="12">
                  <c:v>1000000</c:v>
                </c:pt>
                <c:pt idx="13">
                  <c:v>1000000</c:v>
                </c:pt>
                <c:pt idx="14">
                  <c:v>1000000</c:v>
                </c:pt>
                <c:pt idx="15">
                  <c:v>1000000</c:v>
                </c:pt>
                <c:pt idx="16">
                  <c:v>1000000</c:v>
                </c:pt>
                <c:pt idx="18">
                  <c:v>1000000</c:v>
                </c:pt>
                <c:pt idx="19">
                  <c:v>1000000</c:v>
                </c:pt>
                <c:pt idx="20">
                  <c:v>1000000</c:v>
                </c:pt>
                <c:pt idx="21">
                  <c:v>1000000</c:v>
                </c:pt>
                <c:pt idx="22">
                  <c:v>1000000</c:v>
                </c:pt>
                <c:pt idx="24">
                  <c:v>1000000</c:v>
                </c:pt>
                <c:pt idx="25">
                  <c:v>1000000</c:v>
                </c:pt>
                <c:pt idx="26">
                  <c:v>1000000</c:v>
                </c:pt>
                <c:pt idx="27">
                  <c:v>1000000</c:v>
                </c:pt>
                <c:pt idx="28">
                  <c:v>1000000</c:v>
                </c:pt>
                <c:pt idx="29">
                  <c:v>1000000</c:v>
                </c:pt>
                <c:pt idx="30">
                  <c:v>1000000</c:v>
                </c:pt>
                <c:pt idx="31">
                  <c:v>1000000</c:v>
                </c:pt>
                <c:pt idx="33">
                  <c:v>1000000</c:v>
                </c:pt>
                <c:pt idx="34">
                  <c:v>1000000</c:v>
                </c:pt>
                <c:pt idx="35">
                  <c:v>1000000</c:v>
                </c:pt>
                <c:pt idx="36">
                  <c:v>1000000</c:v>
                </c:pt>
                <c:pt idx="37">
                  <c:v>1000000</c:v>
                </c:pt>
                <c:pt idx="38">
                  <c:v>1000000</c:v>
                </c:pt>
                <c:pt idx="39">
                  <c:v>1000000</c:v>
                </c:pt>
                <c:pt idx="40">
                  <c:v>1000000</c:v>
                </c:pt>
                <c:pt idx="42">
                  <c:v>0.65401002435400002</c:v>
                </c:pt>
                <c:pt idx="43">
                  <c:v>0.64477416840557633</c:v>
                </c:pt>
                <c:pt idx="44">
                  <c:v>0.73428334703502229</c:v>
                </c:pt>
                <c:pt idx="45">
                  <c:v>0.80479404849482639</c:v>
                </c:pt>
                <c:pt idx="46">
                  <c:v>0.91097436865330716</c:v>
                </c:pt>
                <c:pt idx="47">
                  <c:v>0.93544206214811587</c:v>
                </c:pt>
                <c:pt idx="48">
                  <c:v>0.83054334876361802</c:v>
                </c:pt>
                <c:pt idx="49">
                  <c:v>0.8061036806991555</c:v>
                </c:pt>
                <c:pt idx="51">
                  <c:v>0.93544206214811587</c:v>
                </c:pt>
                <c:pt idx="52">
                  <c:v>0.94731421382273417</c:v>
                </c:pt>
                <c:pt idx="53">
                  <c:v>0.95723177039715868</c:v>
                </c:pt>
                <c:pt idx="54">
                  <c:v>0.98137382222287706</c:v>
                </c:pt>
                <c:pt idx="55">
                  <c:v>0.98350351931966595</c:v>
                </c:pt>
                <c:pt idx="57">
                  <c:v>1000000</c:v>
                </c:pt>
                <c:pt idx="58">
                  <c:v>1000000</c:v>
                </c:pt>
                <c:pt idx="59">
                  <c:v>1000000</c:v>
                </c:pt>
                <c:pt idx="60">
                  <c:v>1000000</c:v>
                </c:pt>
                <c:pt idx="61">
                  <c:v>1000000</c:v>
                </c:pt>
                <c:pt idx="62">
                  <c:v>1000000</c:v>
                </c:pt>
                <c:pt idx="63">
                  <c:v>1000000</c:v>
                </c:pt>
                <c:pt idx="64">
                  <c:v>1000000</c:v>
                </c:pt>
                <c:pt idx="65">
                  <c:v>1000000</c:v>
                </c:pt>
                <c:pt idx="66">
                  <c:v>1000000</c:v>
                </c:pt>
                <c:pt idx="67">
                  <c:v>1000000</c:v>
                </c:pt>
                <c:pt idx="69">
                  <c:v>1000000</c:v>
                </c:pt>
                <c:pt idx="70">
                  <c:v>1000000</c:v>
                </c:pt>
                <c:pt idx="71">
                  <c:v>1000000</c:v>
                </c:pt>
                <c:pt idx="72">
                  <c:v>1000000</c:v>
                </c:pt>
                <c:pt idx="73">
                  <c:v>1000000</c:v>
                </c:pt>
                <c:pt idx="74">
                  <c:v>1000000</c:v>
                </c:pt>
                <c:pt idx="75">
                  <c:v>1000000</c:v>
                </c:pt>
                <c:pt idx="77">
                  <c:v>1000000</c:v>
                </c:pt>
                <c:pt idx="78">
                  <c:v>1000000</c:v>
                </c:pt>
                <c:pt idx="79">
                  <c:v>1000000</c:v>
                </c:pt>
                <c:pt idx="80">
                  <c:v>1000000</c:v>
                </c:pt>
                <c:pt idx="82">
                  <c:v>1000000</c:v>
                </c:pt>
                <c:pt idx="83">
                  <c:v>1000000</c:v>
                </c:pt>
                <c:pt idx="84">
                  <c:v>1000000</c:v>
                </c:pt>
                <c:pt idx="85">
                  <c:v>1000000</c:v>
                </c:pt>
                <c:pt idx="86">
                  <c:v>1000000</c:v>
                </c:pt>
                <c:pt idx="87">
                  <c:v>1000000</c:v>
                </c:pt>
                <c:pt idx="88">
                  <c:v>1000000</c:v>
                </c:pt>
                <c:pt idx="89">
                  <c:v>1000000</c:v>
                </c:pt>
                <c:pt idx="90">
                  <c:v>1000000</c:v>
                </c:pt>
                <c:pt idx="91">
                  <c:v>1000000</c:v>
                </c:pt>
                <c:pt idx="92">
                  <c:v>1000000</c:v>
                </c:pt>
                <c:pt idx="94">
                  <c:v>1000000</c:v>
                </c:pt>
                <c:pt idx="95">
                  <c:v>1000000</c:v>
                </c:pt>
                <c:pt idx="96">
                  <c:v>1000000</c:v>
                </c:pt>
                <c:pt idx="97">
                  <c:v>1000000</c:v>
                </c:pt>
                <c:pt idx="98">
                  <c:v>1000000</c:v>
                </c:pt>
                <c:pt idx="99">
                  <c:v>1000000</c:v>
                </c:pt>
                <c:pt idx="100">
                  <c:v>1000000</c:v>
                </c:pt>
                <c:pt idx="101">
                  <c:v>1000000</c:v>
                </c:pt>
                <c:pt idx="102">
                  <c:v>1000000</c:v>
                </c:pt>
                <c:pt idx="104">
                  <c:v>1000000</c:v>
                </c:pt>
                <c:pt idx="105">
                  <c:v>1000000</c:v>
                </c:pt>
                <c:pt idx="106">
                  <c:v>1000000</c:v>
                </c:pt>
                <c:pt idx="107">
                  <c:v>1000000</c:v>
                </c:pt>
              </c:numCache>
            </c:numRef>
          </c:yVal>
          <c:smooth val="0"/>
          <c:extLst>
            <c:ext xmlns:c16="http://schemas.microsoft.com/office/drawing/2014/chart" uri="{C3380CC4-5D6E-409C-BE32-E72D297353CC}">
              <c16:uniqueId val="{00000010-A97E-4CF4-9C00-E4A97EA25B36}"/>
            </c:ext>
          </c:extLst>
        </c:ser>
        <c:ser>
          <c:idx val="7"/>
          <c:order val="7"/>
          <c:tx>
            <c:v>Zodiaque</c:v>
          </c:tx>
          <c:spPr>
            <a:ln w="12700">
              <a:solidFill>
                <a:srgbClr val="00FF00"/>
              </a:solidFill>
              <a:prstDash val="solid"/>
            </a:ln>
          </c:spPr>
          <c:marker>
            <c:symbol val="none"/>
          </c:marker>
          <c:xVal>
            <c:numRef>
              <c:f>Calculs!$V$174:$V$269</c:f>
              <c:numCache>
                <c:formatCode>0.00</c:formatCode>
                <c:ptCount val="96"/>
                <c:pt idx="0">
                  <c:v>1000000</c:v>
                </c:pt>
                <c:pt idx="1">
                  <c:v>1000000</c:v>
                </c:pt>
                <c:pt idx="2">
                  <c:v>1000000</c:v>
                </c:pt>
                <c:pt idx="3">
                  <c:v>1000000</c:v>
                </c:pt>
                <c:pt idx="4">
                  <c:v>1000000</c:v>
                </c:pt>
                <c:pt idx="5">
                  <c:v>1000000</c:v>
                </c:pt>
                <c:pt idx="6">
                  <c:v>1000000</c:v>
                </c:pt>
                <c:pt idx="7">
                  <c:v>1000000</c:v>
                </c:pt>
                <c:pt idx="8">
                  <c:v>1000000</c:v>
                </c:pt>
                <c:pt idx="9">
                  <c:v>1000000</c:v>
                </c:pt>
                <c:pt idx="10">
                  <c:v>1000000</c:v>
                </c:pt>
                <c:pt idx="11">
                  <c:v>1000000</c:v>
                </c:pt>
                <c:pt idx="13">
                  <c:v>1000000</c:v>
                </c:pt>
                <c:pt idx="14">
                  <c:v>1000000</c:v>
                </c:pt>
                <c:pt idx="15">
                  <c:v>1000000</c:v>
                </c:pt>
                <c:pt idx="16">
                  <c:v>1000000</c:v>
                </c:pt>
                <c:pt idx="17">
                  <c:v>1000000</c:v>
                </c:pt>
                <c:pt idx="18">
                  <c:v>1000000</c:v>
                </c:pt>
                <c:pt idx="19">
                  <c:v>1000000</c:v>
                </c:pt>
                <c:pt idx="20">
                  <c:v>1000000</c:v>
                </c:pt>
                <c:pt idx="21">
                  <c:v>1000000</c:v>
                </c:pt>
                <c:pt idx="22">
                  <c:v>1000000</c:v>
                </c:pt>
                <c:pt idx="23">
                  <c:v>1000000</c:v>
                </c:pt>
                <c:pt idx="24">
                  <c:v>1000000</c:v>
                </c:pt>
                <c:pt idx="26">
                  <c:v>1000000</c:v>
                </c:pt>
                <c:pt idx="27">
                  <c:v>1000000</c:v>
                </c:pt>
                <c:pt idx="28">
                  <c:v>1000000</c:v>
                </c:pt>
                <c:pt idx="29">
                  <c:v>1000000</c:v>
                </c:pt>
                <c:pt idx="30">
                  <c:v>1000000</c:v>
                </c:pt>
                <c:pt idx="31">
                  <c:v>1000000</c:v>
                </c:pt>
                <c:pt idx="32">
                  <c:v>1000000</c:v>
                </c:pt>
                <c:pt idx="33">
                  <c:v>1000000</c:v>
                </c:pt>
                <c:pt idx="35">
                  <c:v>-0.34774245812130261</c:v>
                </c:pt>
                <c:pt idx="36">
                  <c:v>-0.478047739850881</c:v>
                </c:pt>
                <c:pt idx="37">
                  <c:v>-0.39816826073625311</c:v>
                </c:pt>
                <c:pt idx="38">
                  <c:v>-0.23286680338803731</c:v>
                </c:pt>
                <c:pt idx="39">
                  <c:v>0.13237869392359128</c:v>
                </c:pt>
                <c:pt idx="40">
                  <c:v>0.17489896556041479</c:v>
                </c:pt>
                <c:pt idx="41">
                  <c:v>0.2186814427799656</c:v>
                </c:pt>
                <c:pt idx="42">
                  <c:v>0.28164068509453444</c:v>
                </c:pt>
                <c:pt idx="44">
                  <c:v>1000000</c:v>
                </c:pt>
                <c:pt idx="45">
                  <c:v>1000000</c:v>
                </c:pt>
                <c:pt idx="46">
                  <c:v>1000000</c:v>
                </c:pt>
                <c:pt idx="47">
                  <c:v>1000000</c:v>
                </c:pt>
                <c:pt idx="48">
                  <c:v>1000000</c:v>
                </c:pt>
                <c:pt idx="50">
                  <c:v>1000000</c:v>
                </c:pt>
                <c:pt idx="51">
                  <c:v>1000000</c:v>
                </c:pt>
                <c:pt idx="52">
                  <c:v>1000000</c:v>
                </c:pt>
                <c:pt idx="53">
                  <c:v>1000000</c:v>
                </c:pt>
                <c:pt idx="54">
                  <c:v>1000000</c:v>
                </c:pt>
                <c:pt idx="55">
                  <c:v>1000000</c:v>
                </c:pt>
                <c:pt idx="56">
                  <c:v>1000000</c:v>
                </c:pt>
                <c:pt idx="57">
                  <c:v>1000000</c:v>
                </c:pt>
                <c:pt idx="58">
                  <c:v>1000000</c:v>
                </c:pt>
                <c:pt idx="60">
                  <c:v>1000000</c:v>
                </c:pt>
                <c:pt idx="61">
                  <c:v>1000000</c:v>
                </c:pt>
                <c:pt idx="62">
                  <c:v>1000000</c:v>
                </c:pt>
                <c:pt idx="63">
                  <c:v>1000000</c:v>
                </c:pt>
                <c:pt idx="64">
                  <c:v>1000000</c:v>
                </c:pt>
                <c:pt idx="66">
                  <c:v>0.83754872970793359</c:v>
                </c:pt>
                <c:pt idx="67">
                  <c:v>0.81600248016919297</c:v>
                </c:pt>
                <c:pt idx="68">
                  <c:v>0.55055219724014504</c:v>
                </c:pt>
                <c:pt idx="69">
                  <c:v>0.61314823490621984</c:v>
                </c:pt>
                <c:pt idx="71">
                  <c:v>0.74210627521179895</c:v>
                </c:pt>
                <c:pt idx="72">
                  <c:v>0.63997442290050754</c:v>
                </c:pt>
                <c:pt idx="73">
                  <c:v>0.52099803488715446</c:v>
                </c:pt>
                <c:pt idx="74">
                  <c:v>0.44401366903012751</c:v>
                </c:pt>
                <c:pt idx="75">
                  <c:v>0.23656545027239423</c:v>
                </c:pt>
                <c:pt idx="76">
                  <c:v>8.6691785813620276E-2</c:v>
                </c:pt>
                <c:pt idx="78">
                  <c:v>1000000</c:v>
                </c:pt>
                <c:pt idx="79">
                  <c:v>1000000</c:v>
                </c:pt>
                <c:pt idx="80">
                  <c:v>1000000</c:v>
                </c:pt>
                <c:pt idx="81">
                  <c:v>1000000</c:v>
                </c:pt>
                <c:pt idx="82">
                  <c:v>1000000</c:v>
                </c:pt>
                <c:pt idx="83">
                  <c:v>1000000</c:v>
                </c:pt>
                <c:pt idx="84">
                  <c:v>1000000</c:v>
                </c:pt>
                <c:pt idx="85">
                  <c:v>1000000</c:v>
                </c:pt>
                <c:pt idx="87">
                  <c:v>1000000</c:v>
                </c:pt>
                <c:pt idx="88">
                  <c:v>1000000</c:v>
                </c:pt>
                <c:pt idx="89">
                  <c:v>1000000</c:v>
                </c:pt>
                <c:pt idx="90">
                  <c:v>1000000</c:v>
                </c:pt>
                <c:pt idx="91">
                  <c:v>1000000</c:v>
                </c:pt>
                <c:pt idx="93">
                  <c:v>-0.5804369308051488</c:v>
                </c:pt>
                <c:pt idx="94">
                  <c:v>-0.45817468526755173</c:v>
                </c:pt>
                <c:pt idx="95">
                  <c:v>-0.41341905684420188</c:v>
                </c:pt>
              </c:numCache>
            </c:numRef>
          </c:xVal>
          <c:yVal>
            <c:numRef>
              <c:f>Calculs!$AB$174:$AB$269</c:f>
              <c:numCache>
                <c:formatCode>0.00</c:formatCode>
                <c:ptCount val="96"/>
                <c:pt idx="0">
                  <c:v>1000000</c:v>
                </c:pt>
                <c:pt idx="1">
                  <c:v>1000000</c:v>
                </c:pt>
                <c:pt idx="2">
                  <c:v>1000000</c:v>
                </c:pt>
                <c:pt idx="3">
                  <c:v>1000000</c:v>
                </c:pt>
                <c:pt idx="4">
                  <c:v>1000000</c:v>
                </c:pt>
                <c:pt idx="5">
                  <c:v>1000000</c:v>
                </c:pt>
                <c:pt idx="6">
                  <c:v>1000000</c:v>
                </c:pt>
                <c:pt idx="7">
                  <c:v>1000000</c:v>
                </c:pt>
                <c:pt idx="8">
                  <c:v>1000000</c:v>
                </c:pt>
                <c:pt idx="9">
                  <c:v>1000000</c:v>
                </c:pt>
                <c:pt idx="10">
                  <c:v>1000000</c:v>
                </c:pt>
                <c:pt idx="11">
                  <c:v>1000000</c:v>
                </c:pt>
                <c:pt idx="13">
                  <c:v>1000000</c:v>
                </c:pt>
                <c:pt idx="14">
                  <c:v>1000000</c:v>
                </c:pt>
                <c:pt idx="15">
                  <c:v>1000000</c:v>
                </c:pt>
                <c:pt idx="16">
                  <c:v>1000000</c:v>
                </c:pt>
                <c:pt idx="17">
                  <c:v>1000000</c:v>
                </c:pt>
                <c:pt idx="18">
                  <c:v>1000000</c:v>
                </c:pt>
                <c:pt idx="19">
                  <c:v>1000000</c:v>
                </c:pt>
                <c:pt idx="20">
                  <c:v>1000000</c:v>
                </c:pt>
                <c:pt idx="21">
                  <c:v>1000000</c:v>
                </c:pt>
                <c:pt idx="22">
                  <c:v>1000000</c:v>
                </c:pt>
                <c:pt idx="23">
                  <c:v>1000000</c:v>
                </c:pt>
                <c:pt idx="24">
                  <c:v>1000000</c:v>
                </c:pt>
                <c:pt idx="26">
                  <c:v>1000000</c:v>
                </c:pt>
                <c:pt idx="27">
                  <c:v>1000000</c:v>
                </c:pt>
                <c:pt idx="28">
                  <c:v>1000000</c:v>
                </c:pt>
                <c:pt idx="29">
                  <c:v>1000000</c:v>
                </c:pt>
                <c:pt idx="30">
                  <c:v>1000000</c:v>
                </c:pt>
                <c:pt idx="31">
                  <c:v>1000000</c:v>
                </c:pt>
                <c:pt idx="32">
                  <c:v>1000000</c:v>
                </c:pt>
                <c:pt idx="33">
                  <c:v>1000000</c:v>
                </c:pt>
                <c:pt idx="35">
                  <c:v>0.78802794592099135</c:v>
                </c:pt>
                <c:pt idx="36">
                  <c:v>0.61653579772117995</c:v>
                </c:pt>
                <c:pt idx="37">
                  <c:v>0.67857812203568169</c:v>
                </c:pt>
                <c:pt idx="38">
                  <c:v>0.73833560324024128</c:v>
                </c:pt>
                <c:pt idx="39">
                  <c:v>0.7275091298241616</c:v>
                </c:pt>
                <c:pt idx="40">
                  <c:v>0.73486466299495179</c:v>
                </c:pt>
                <c:pt idx="41">
                  <c:v>0.68079337334637402</c:v>
                </c:pt>
                <c:pt idx="42">
                  <c:v>0.68244679271864683</c:v>
                </c:pt>
                <c:pt idx="44">
                  <c:v>1000000</c:v>
                </c:pt>
                <c:pt idx="45">
                  <c:v>1000000</c:v>
                </c:pt>
                <c:pt idx="46">
                  <c:v>1000000</c:v>
                </c:pt>
                <c:pt idx="47">
                  <c:v>1000000</c:v>
                </c:pt>
                <c:pt idx="48">
                  <c:v>1000000</c:v>
                </c:pt>
                <c:pt idx="50">
                  <c:v>1000000</c:v>
                </c:pt>
                <c:pt idx="51">
                  <c:v>1000000</c:v>
                </c:pt>
                <c:pt idx="52">
                  <c:v>1000000</c:v>
                </c:pt>
                <c:pt idx="53">
                  <c:v>1000000</c:v>
                </c:pt>
                <c:pt idx="54">
                  <c:v>1000000</c:v>
                </c:pt>
                <c:pt idx="55">
                  <c:v>1000000</c:v>
                </c:pt>
                <c:pt idx="56">
                  <c:v>1000000</c:v>
                </c:pt>
                <c:pt idx="57">
                  <c:v>1000000</c:v>
                </c:pt>
                <c:pt idx="58">
                  <c:v>1000000</c:v>
                </c:pt>
                <c:pt idx="60">
                  <c:v>1000000</c:v>
                </c:pt>
                <c:pt idx="61">
                  <c:v>1000000</c:v>
                </c:pt>
                <c:pt idx="62">
                  <c:v>1000000</c:v>
                </c:pt>
                <c:pt idx="63">
                  <c:v>1000000</c:v>
                </c:pt>
                <c:pt idx="64">
                  <c:v>1000000</c:v>
                </c:pt>
                <c:pt idx="66">
                  <c:v>0.17607087326283388</c:v>
                </c:pt>
                <c:pt idx="67">
                  <c:v>0.14539081605347356</c:v>
                </c:pt>
                <c:pt idx="68">
                  <c:v>0.29460839384127985</c:v>
                </c:pt>
                <c:pt idx="69">
                  <c:v>0.17581038036935542</c:v>
                </c:pt>
                <c:pt idx="71">
                  <c:v>0.29542898897943648</c:v>
                </c:pt>
                <c:pt idx="72">
                  <c:v>0.40765294062000557</c:v>
                </c:pt>
                <c:pt idx="73">
                  <c:v>0.56185584730437699</c:v>
                </c:pt>
                <c:pt idx="74">
                  <c:v>0.54940124647460675</c:v>
                </c:pt>
                <c:pt idx="75">
                  <c:v>0.49854832814381161</c:v>
                </c:pt>
                <c:pt idx="76">
                  <c:v>0.43841780611064951</c:v>
                </c:pt>
                <c:pt idx="78">
                  <c:v>1000000</c:v>
                </c:pt>
                <c:pt idx="79">
                  <c:v>1000000</c:v>
                </c:pt>
                <c:pt idx="80">
                  <c:v>1000000</c:v>
                </c:pt>
                <c:pt idx="81">
                  <c:v>1000000</c:v>
                </c:pt>
                <c:pt idx="82">
                  <c:v>1000000</c:v>
                </c:pt>
                <c:pt idx="83">
                  <c:v>1000000</c:v>
                </c:pt>
                <c:pt idx="84">
                  <c:v>1000000</c:v>
                </c:pt>
                <c:pt idx="85">
                  <c:v>1000000</c:v>
                </c:pt>
                <c:pt idx="87">
                  <c:v>1000000</c:v>
                </c:pt>
                <c:pt idx="88">
                  <c:v>1000000</c:v>
                </c:pt>
                <c:pt idx="89">
                  <c:v>1000000</c:v>
                </c:pt>
                <c:pt idx="90">
                  <c:v>1000000</c:v>
                </c:pt>
                <c:pt idx="91">
                  <c:v>1000000</c:v>
                </c:pt>
                <c:pt idx="93">
                  <c:v>0.79138436491276876</c:v>
                </c:pt>
                <c:pt idx="94">
                  <c:v>0.81967427061986031</c:v>
                </c:pt>
                <c:pt idx="95">
                  <c:v>0.8129470920471229</c:v>
                </c:pt>
              </c:numCache>
            </c:numRef>
          </c:yVal>
          <c:smooth val="0"/>
          <c:extLst>
            <c:ext xmlns:c16="http://schemas.microsoft.com/office/drawing/2014/chart" uri="{C3380CC4-5D6E-409C-BE32-E72D297353CC}">
              <c16:uniqueId val="{00000011-A97E-4CF4-9C00-E4A97EA25B36}"/>
            </c:ext>
          </c:extLst>
        </c:ser>
        <c:ser>
          <c:idx val="8"/>
          <c:order val="8"/>
          <c:tx>
            <c:v>Galaxies</c:v>
          </c:tx>
          <c:spPr>
            <a:ln w="28575">
              <a:noFill/>
            </a:ln>
          </c:spPr>
          <c:marker>
            <c:symbol val="picture"/>
            <c:spPr>
              <a:blipFill dpi="0" rotWithShape="0">
                <a:blip xmlns:r="http://schemas.openxmlformats.org/officeDocument/2006/relationships" r:embed="rId6"/>
                <a:srcRect/>
                <a:stretch>
                  <a:fillRect/>
                </a:stretch>
              </a:blipFill>
              <a:ln w="9525">
                <a:noFill/>
              </a:ln>
            </c:spPr>
          </c:marker>
          <c:xVal>
            <c:numRef>
              <c:f>Calculs!$V$271:$V$272</c:f>
              <c:numCache>
                <c:formatCode>0.00</c:formatCode>
                <c:ptCount val="2"/>
                <c:pt idx="0">
                  <c:v>-0.11286589495979818</c:v>
                </c:pt>
                <c:pt idx="1">
                  <c:v>1000000</c:v>
                </c:pt>
              </c:numCache>
            </c:numRef>
          </c:xVal>
          <c:yVal>
            <c:numRef>
              <c:f>Calculs!$AC$271:$AC$272</c:f>
              <c:numCache>
                <c:formatCode>0.00</c:formatCode>
                <c:ptCount val="2"/>
                <c:pt idx="0">
                  <c:v>0.98508200338868734</c:v>
                </c:pt>
                <c:pt idx="1">
                  <c:v>1000000</c:v>
                </c:pt>
              </c:numCache>
            </c:numRef>
          </c:yVal>
          <c:smooth val="0"/>
          <c:extLst>
            <c:ext xmlns:c16="http://schemas.microsoft.com/office/drawing/2014/chart" uri="{C3380CC4-5D6E-409C-BE32-E72D297353CC}">
              <c16:uniqueId val="{00000012-A97E-4CF4-9C00-E4A97EA25B36}"/>
            </c:ext>
          </c:extLst>
        </c:ser>
        <c:ser>
          <c:idx val="9"/>
          <c:order val="9"/>
          <c:tx>
            <c:v>Soleil</c:v>
          </c:tx>
          <c:spPr>
            <a:ln w="28575">
              <a:noFill/>
            </a:ln>
          </c:spPr>
          <c:marker>
            <c:symbol val="picture"/>
            <c:spPr>
              <a:blipFill dpi="0" rotWithShape="0">
                <a:blip xmlns:r="http://schemas.openxmlformats.org/officeDocument/2006/relationships" r:embed="rId7"/>
                <a:srcRect/>
                <a:stretch>
                  <a:fillRect/>
                </a:stretch>
              </a:blipFill>
              <a:ln w="25400">
                <a:noFill/>
              </a:ln>
            </c:spPr>
          </c:marker>
          <c:xVal>
            <c:numRef>
              <c:f>Calculs!$T$277</c:f>
              <c:numCache>
                <c:formatCode>0.00</c:formatCode>
                <c:ptCount val="1"/>
                <c:pt idx="0">
                  <c:v>-3.3905707468568129E-2</c:v>
                </c:pt>
              </c:numCache>
            </c:numRef>
          </c:xVal>
          <c:yVal>
            <c:numRef>
              <c:f>Calculs!$U$277</c:f>
              <c:numCache>
                <c:formatCode>0.00</c:formatCode>
                <c:ptCount val="1"/>
                <c:pt idx="0">
                  <c:v>0.67515231987148017</c:v>
                </c:pt>
              </c:numCache>
            </c:numRef>
          </c:yVal>
          <c:smooth val="0"/>
          <c:extLst>
            <c:ext xmlns:c16="http://schemas.microsoft.com/office/drawing/2014/chart" uri="{C3380CC4-5D6E-409C-BE32-E72D297353CC}">
              <c16:uniqueId val="{00000013-A97E-4CF4-9C00-E4A97EA25B36}"/>
            </c:ext>
          </c:extLst>
        </c:ser>
        <c:ser>
          <c:idx val="10"/>
          <c:order val="10"/>
          <c:tx>
            <c:v>Mercure</c:v>
          </c:tx>
          <c:spPr>
            <a:ln w="28575">
              <a:noFill/>
            </a:ln>
          </c:spPr>
          <c:marker>
            <c:symbol val="picture"/>
            <c:spPr>
              <a:blipFill dpi="0" rotWithShape="0">
                <a:blip xmlns:r="http://schemas.openxmlformats.org/officeDocument/2006/relationships" r:embed="rId8"/>
                <a:srcRect/>
                <a:stretch>
                  <a:fillRect/>
                </a:stretch>
              </a:blipFill>
              <a:ln w="25400">
                <a:noFill/>
              </a:ln>
            </c:spPr>
          </c:marker>
          <c:xVal>
            <c:numRef>
              <c:f>Calculs!$T$278</c:f>
              <c:numCache>
                <c:formatCode>0.00</c:formatCode>
                <c:ptCount val="1"/>
                <c:pt idx="0">
                  <c:v>0.28722299940285084</c:v>
                </c:pt>
              </c:numCache>
            </c:numRef>
          </c:xVal>
          <c:yVal>
            <c:numRef>
              <c:f>Calculs!$U$278</c:f>
              <c:numCache>
                <c:formatCode>0.00</c:formatCode>
                <c:ptCount val="1"/>
                <c:pt idx="0">
                  <c:v>0.54723135943503087</c:v>
                </c:pt>
              </c:numCache>
            </c:numRef>
          </c:yVal>
          <c:smooth val="0"/>
          <c:extLst>
            <c:ext xmlns:c16="http://schemas.microsoft.com/office/drawing/2014/chart" uri="{C3380CC4-5D6E-409C-BE32-E72D297353CC}">
              <c16:uniqueId val="{00000014-A97E-4CF4-9C00-E4A97EA25B36}"/>
            </c:ext>
          </c:extLst>
        </c:ser>
        <c:ser>
          <c:idx val="11"/>
          <c:order val="11"/>
          <c:tx>
            <c:v>Vénus</c:v>
          </c:tx>
          <c:spPr>
            <a:ln w="28575">
              <a:noFill/>
            </a:ln>
          </c:spPr>
          <c:marker>
            <c:symbol val="picture"/>
            <c:spPr>
              <a:blipFill dpi="0" rotWithShape="0">
                <a:blip xmlns:r="http://schemas.openxmlformats.org/officeDocument/2006/relationships" r:embed="rId9"/>
                <a:srcRect/>
                <a:stretch>
                  <a:fillRect/>
                </a:stretch>
              </a:blipFill>
              <a:ln w="25400">
                <a:noFill/>
              </a:ln>
            </c:spPr>
          </c:marker>
          <c:xVal>
            <c:numRef>
              <c:f>Calculs!$T$279</c:f>
              <c:numCache>
                <c:formatCode>0.00</c:formatCode>
                <c:ptCount val="1"/>
                <c:pt idx="0">
                  <c:v>-0.36388708105826978</c:v>
                </c:pt>
              </c:numCache>
            </c:numRef>
          </c:xVal>
          <c:yVal>
            <c:numRef>
              <c:f>Calculs!$U$279</c:f>
              <c:numCache>
                <c:formatCode>0.00</c:formatCode>
                <c:ptCount val="1"/>
                <c:pt idx="0">
                  <c:v>0.72156473565327661</c:v>
                </c:pt>
              </c:numCache>
            </c:numRef>
          </c:yVal>
          <c:smooth val="0"/>
          <c:extLst>
            <c:ext xmlns:c16="http://schemas.microsoft.com/office/drawing/2014/chart" uri="{C3380CC4-5D6E-409C-BE32-E72D297353CC}">
              <c16:uniqueId val="{00000015-A97E-4CF4-9C00-E4A97EA25B36}"/>
            </c:ext>
          </c:extLst>
        </c:ser>
        <c:ser>
          <c:idx val="12"/>
          <c:order val="12"/>
          <c:tx>
            <c:v>Mars</c:v>
          </c:tx>
          <c:spPr>
            <a:ln w="28575">
              <a:noFill/>
            </a:ln>
          </c:spPr>
          <c:marker>
            <c:symbol val="picture"/>
            <c:spPr>
              <a:blipFill dpi="0" rotWithShape="0">
                <a:blip xmlns:r="http://schemas.openxmlformats.org/officeDocument/2006/relationships" r:embed="rId10"/>
                <a:srcRect/>
                <a:stretch>
                  <a:fillRect/>
                </a:stretch>
              </a:blipFill>
              <a:ln w="25400">
                <a:noFill/>
              </a:ln>
            </c:spPr>
          </c:marker>
          <c:xVal>
            <c:numRef>
              <c:f>Calculs!$T$281</c:f>
              <c:numCache>
                <c:formatCode>0.00</c:formatCode>
                <c:ptCount val="1"/>
                <c:pt idx="0">
                  <c:v>0.1831723588530903</c:v>
                </c:pt>
              </c:numCache>
            </c:numRef>
          </c:xVal>
          <c:yVal>
            <c:numRef>
              <c:f>Calculs!$U$281</c:f>
              <c:numCache>
                <c:formatCode>0.00</c:formatCode>
                <c:ptCount val="1"/>
                <c:pt idx="0">
                  <c:v>0.59802122991086293</c:v>
                </c:pt>
              </c:numCache>
            </c:numRef>
          </c:yVal>
          <c:smooth val="0"/>
          <c:extLst>
            <c:ext xmlns:c16="http://schemas.microsoft.com/office/drawing/2014/chart" uri="{C3380CC4-5D6E-409C-BE32-E72D297353CC}">
              <c16:uniqueId val="{00000016-A97E-4CF4-9C00-E4A97EA25B36}"/>
            </c:ext>
          </c:extLst>
        </c:ser>
        <c:ser>
          <c:idx val="13"/>
          <c:order val="13"/>
          <c:tx>
            <c:v>Jupiter</c:v>
          </c:tx>
          <c:spPr>
            <a:ln w="28575">
              <a:noFill/>
            </a:ln>
          </c:spPr>
          <c:marker>
            <c:symbol val="picture"/>
            <c:spPr>
              <a:blipFill dpi="0" rotWithShape="0">
                <a:blip xmlns:r="http://schemas.openxmlformats.org/officeDocument/2006/relationships" r:embed="rId11"/>
                <a:srcRect/>
                <a:stretch>
                  <a:fillRect/>
                </a:stretch>
              </a:blipFill>
              <a:ln w="25400">
                <a:noFill/>
              </a:ln>
            </c:spPr>
          </c:marker>
          <c:xVal>
            <c:numRef>
              <c:f>Calculs!$T$282</c:f>
              <c:numCache>
                <c:formatCode>0.00</c:formatCode>
                <c:ptCount val="1"/>
                <c:pt idx="0">
                  <c:v>1000000</c:v>
                </c:pt>
              </c:numCache>
            </c:numRef>
          </c:xVal>
          <c:yVal>
            <c:numRef>
              <c:f>Calculs!$U$282</c:f>
              <c:numCache>
                <c:formatCode>0.00</c:formatCode>
                <c:ptCount val="1"/>
                <c:pt idx="0">
                  <c:v>1000000</c:v>
                </c:pt>
              </c:numCache>
            </c:numRef>
          </c:yVal>
          <c:smooth val="0"/>
          <c:extLst>
            <c:ext xmlns:c16="http://schemas.microsoft.com/office/drawing/2014/chart" uri="{C3380CC4-5D6E-409C-BE32-E72D297353CC}">
              <c16:uniqueId val="{00000017-A97E-4CF4-9C00-E4A97EA25B36}"/>
            </c:ext>
          </c:extLst>
        </c:ser>
        <c:ser>
          <c:idx val="14"/>
          <c:order val="14"/>
          <c:tx>
            <c:v>Saturne</c:v>
          </c:tx>
          <c:spPr>
            <a:ln w="28575">
              <a:noFill/>
            </a:ln>
          </c:spPr>
          <c:marker>
            <c:symbol val="picture"/>
            <c:spPr>
              <a:blipFill dpi="0" rotWithShape="0">
                <a:blip xmlns:r="http://schemas.openxmlformats.org/officeDocument/2006/relationships" r:embed="rId12"/>
                <a:srcRect/>
                <a:stretch>
                  <a:fillRect/>
                </a:stretch>
              </a:blipFill>
              <a:ln w="25400">
                <a:noFill/>
              </a:ln>
            </c:spPr>
          </c:marker>
          <c:xVal>
            <c:numRef>
              <c:f>Calculs!$T$283</c:f>
              <c:numCache>
                <c:formatCode>0.00</c:formatCode>
                <c:ptCount val="1"/>
                <c:pt idx="0">
                  <c:v>-0.14826460121280136</c:v>
                </c:pt>
              </c:numCache>
            </c:numRef>
          </c:xVal>
          <c:yVal>
            <c:numRef>
              <c:f>Calculs!$U$283</c:f>
              <c:numCache>
                <c:formatCode>0.00</c:formatCode>
                <c:ptCount val="1"/>
                <c:pt idx="0">
                  <c:v>0.70111189056392653</c:v>
                </c:pt>
              </c:numCache>
            </c:numRef>
          </c:yVal>
          <c:smooth val="0"/>
          <c:extLst>
            <c:ext xmlns:c16="http://schemas.microsoft.com/office/drawing/2014/chart" uri="{C3380CC4-5D6E-409C-BE32-E72D297353CC}">
              <c16:uniqueId val="{00000018-A97E-4CF4-9C00-E4A97EA25B36}"/>
            </c:ext>
          </c:extLst>
        </c:ser>
        <c:ser>
          <c:idx val="15"/>
          <c:order val="15"/>
          <c:tx>
            <c:v>Uranus</c:v>
          </c:tx>
          <c:spPr>
            <a:ln w="28575">
              <a:noFill/>
            </a:ln>
          </c:spPr>
          <c:marker>
            <c:symbol val="picture"/>
            <c:spPr>
              <a:blipFill dpi="0" rotWithShape="0">
                <a:blip xmlns:r="http://schemas.openxmlformats.org/officeDocument/2006/relationships" r:embed="rId13"/>
                <a:srcRect/>
                <a:stretch>
                  <a:fillRect/>
                </a:stretch>
              </a:blipFill>
              <a:ln w="25400">
                <a:noFill/>
              </a:ln>
            </c:spPr>
          </c:marker>
          <c:xVal>
            <c:numRef>
              <c:f>Calculs!$T$284</c:f>
              <c:numCache>
                <c:formatCode>0.00</c:formatCode>
                <c:ptCount val="1"/>
                <c:pt idx="0">
                  <c:v>-0.81865933704312677</c:v>
                </c:pt>
              </c:numCache>
            </c:numRef>
          </c:xVal>
          <c:yVal>
            <c:numRef>
              <c:f>Calculs!$U$284</c:f>
              <c:numCache>
                <c:formatCode>0.00</c:formatCode>
                <c:ptCount val="1"/>
                <c:pt idx="0">
                  <c:v>0.5637894420147167</c:v>
                </c:pt>
              </c:numCache>
            </c:numRef>
          </c:yVal>
          <c:smooth val="0"/>
          <c:extLst>
            <c:ext xmlns:c16="http://schemas.microsoft.com/office/drawing/2014/chart" uri="{C3380CC4-5D6E-409C-BE32-E72D297353CC}">
              <c16:uniqueId val="{00000019-A97E-4CF4-9C00-E4A97EA25B36}"/>
            </c:ext>
          </c:extLst>
        </c:ser>
        <c:ser>
          <c:idx val="16"/>
          <c:order val="16"/>
          <c:tx>
            <c:v>Neptune</c:v>
          </c:tx>
          <c:spPr>
            <a:ln w="28575">
              <a:noFill/>
            </a:ln>
          </c:spPr>
          <c:marker>
            <c:symbol val="picture"/>
            <c:spPr>
              <a:blipFill dpi="0" rotWithShape="0">
                <a:blip xmlns:r="http://schemas.openxmlformats.org/officeDocument/2006/relationships" r:embed="rId14"/>
                <a:srcRect/>
                <a:stretch>
                  <a:fillRect/>
                </a:stretch>
              </a:blipFill>
              <a:ln w="25400">
                <a:noFill/>
              </a:ln>
            </c:spPr>
          </c:marker>
          <c:xVal>
            <c:numRef>
              <c:f>Calculs!$T$285</c:f>
              <c:numCache>
                <c:formatCode>0.00</c:formatCode>
                <c:ptCount val="1"/>
                <c:pt idx="0">
                  <c:v>-5.3432864038178936E-2</c:v>
                </c:pt>
              </c:numCache>
            </c:numRef>
          </c:xVal>
          <c:yVal>
            <c:numRef>
              <c:f>Calculs!$U$285</c:f>
              <c:numCache>
                <c:formatCode>0.00</c:formatCode>
                <c:ptCount val="1"/>
                <c:pt idx="0">
                  <c:v>0.68029461008114012</c:v>
                </c:pt>
              </c:numCache>
            </c:numRef>
          </c:yVal>
          <c:smooth val="0"/>
          <c:extLst>
            <c:ext xmlns:c16="http://schemas.microsoft.com/office/drawing/2014/chart" uri="{C3380CC4-5D6E-409C-BE32-E72D297353CC}">
              <c16:uniqueId val="{0000001A-A97E-4CF4-9C00-E4A97EA25B36}"/>
            </c:ext>
          </c:extLst>
        </c:ser>
        <c:ser>
          <c:idx val="17"/>
          <c:order val="17"/>
          <c:tx>
            <c:v>Lune</c:v>
          </c:tx>
          <c:spPr>
            <a:ln w="28575">
              <a:noFill/>
            </a:ln>
          </c:spPr>
          <c:marker>
            <c:symbol val="picture"/>
            <c:spPr>
              <a:blipFill dpi="0" rotWithShape="0">
                <a:blip xmlns:r="http://schemas.openxmlformats.org/officeDocument/2006/relationships" r:embed="rId15"/>
                <a:srcRect/>
                <a:stretch>
                  <a:fillRect/>
                </a:stretch>
              </a:blipFill>
              <a:ln w="25400">
                <a:noFill/>
              </a:ln>
            </c:spPr>
          </c:marker>
          <c:xVal>
            <c:numRef>
              <c:f>Calculs!$R$290</c:f>
              <c:numCache>
                <c:formatCode>0.00</c:formatCode>
                <c:ptCount val="1"/>
                <c:pt idx="0">
                  <c:v>-0.93775179757073646</c:v>
                </c:pt>
              </c:numCache>
            </c:numRef>
          </c:xVal>
          <c:yVal>
            <c:numRef>
              <c:f>Calculs!$S$290</c:f>
              <c:numCache>
                <c:formatCode>0.00</c:formatCode>
                <c:ptCount val="1"/>
                <c:pt idx="0">
                  <c:v>-0.34730615622653799</c:v>
                </c:pt>
              </c:numCache>
            </c:numRef>
          </c:yVal>
          <c:smooth val="0"/>
          <c:extLst>
            <c:ext xmlns:c16="http://schemas.microsoft.com/office/drawing/2014/chart" uri="{C3380CC4-5D6E-409C-BE32-E72D297353CC}">
              <c16:uniqueId val="{0000001B-A97E-4CF4-9C00-E4A97EA25B36}"/>
            </c:ext>
          </c:extLst>
        </c:ser>
        <c:dLbls>
          <c:showLegendKey val="0"/>
          <c:showVal val="0"/>
          <c:showCatName val="0"/>
          <c:showSerName val="0"/>
          <c:showPercent val="0"/>
          <c:showBubbleSize val="0"/>
        </c:dLbls>
        <c:axId val="692291680"/>
        <c:axId val="692295992"/>
      </c:scatterChart>
      <c:valAx>
        <c:axId val="692291680"/>
        <c:scaling>
          <c:orientation val="minMax"/>
          <c:max val="1"/>
          <c:min val="-1"/>
        </c:scaling>
        <c:delete val="0"/>
        <c:axPos val="b"/>
        <c:numFmt formatCode="0.00" sourceLinked="1"/>
        <c:majorTickMark val="none"/>
        <c:minorTickMark val="none"/>
        <c:tickLblPos val="none"/>
        <c:spPr>
          <a:ln w="3175">
            <a:solidFill>
              <a:srgbClr val="FFFFFF"/>
            </a:solidFill>
            <a:prstDash val="solid"/>
          </a:ln>
        </c:spPr>
        <c:crossAx val="692295992"/>
        <c:crossesAt val="0"/>
        <c:crossBetween val="midCat"/>
        <c:majorUnit val="0.5"/>
        <c:minorUnit val="0.1"/>
      </c:valAx>
      <c:valAx>
        <c:axId val="692295992"/>
        <c:scaling>
          <c:orientation val="minMax"/>
          <c:max val="1"/>
          <c:min val="0"/>
        </c:scaling>
        <c:delete val="1"/>
        <c:axPos val="l"/>
        <c:numFmt formatCode="0.00" sourceLinked="1"/>
        <c:majorTickMark val="out"/>
        <c:minorTickMark val="none"/>
        <c:tickLblPos val="nextTo"/>
        <c:crossAx val="692291680"/>
        <c:crossesAt val="0"/>
        <c:crossBetween val="midCat"/>
        <c:majorUnit val="0.5"/>
        <c:minorUnit val="0.1"/>
      </c:valAx>
      <c:spPr>
        <a:solidFill>
          <a:srgbClr val="000080"/>
        </a:solidFill>
        <a:ln w="25400">
          <a:noFill/>
        </a:ln>
      </c:spPr>
    </c:plotArea>
    <c:plotVisOnly val="0"/>
    <c:dispBlanksAs val="gap"/>
    <c:showDLblsOverMax val="0"/>
  </c:chart>
  <c:spPr>
    <a:solidFill>
      <a:srgbClr val="FFFFFF"/>
    </a:solidFill>
    <a:ln w="3175">
      <a:noFill/>
      <a:prstDash val="solid"/>
    </a:ln>
  </c:spPr>
  <c:txPr>
    <a:bodyPr/>
    <a:lstStyle/>
    <a:p>
      <a:pPr>
        <a:defRPr sz="1000" b="0" i="0" u="none" strike="noStrike" baseline="0">
          <a:solidFill>
            <a:srgbClr val="000000"/>
          </a:solidFill>
          <a:latin typeface="MS Sans Serif"/>
          <a:ea typeface="MS Sans Serif"/>
          <a:cs typeface="MS Sans Serif"/>
        </a:defRPr>
      </a:pPr>
      <a:endParaRPr lang="fr-FR"/>
    </a:p>
  </c:txPr>
  <c:printSettings>
    <c:headerFooter alignWithMargins="0">
      <c:oddHeader>&amp;F</c:oddHeader>
      <c:oddFooter>Page &amp;P</c:oddFooter>
    </c:headerFooter>
    <c:pageMargins b="0.98425196899999956" l="0.78740157499999996" r="0.78740157499999996" t="0.98425196899999956" header="0.49212598450000028" footer="0.49212598450000028"/>
    <c:pageSetup paperSize="9" orientation="portrait" horizontalDpi="360" verticalDpi="360"/>
  </c:printSettings>
  <c:userShapes r:id="rId16"/>
</c:chartSpace>
</file>

<file path=xl/charts/chart3.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strRef>
          <c:f>Calculs!$A$297</c:f>
          <c:strCache>
            <c:ptCount val="1"/>
            <c:pt idx="0">
              <c:v>Positions héliocentriques le 25 3 2026</c:v>
            </c:pt>
          </c:strCache>
        </c:strRef>
      </c:tx>
      <c:layout>
        <c:manualLayout>
          <c:xMode val="edge"/>
          <c:yMode val="edge"/>
          <c:x val="0.2989254269086194"/>
          <c:y val="2.2090275355859303E-2"/>
        </c:manualLayout>
      </c:layout>
      <c:overlay val="0"/>
      <c:spPr>
        <a:noFill/>
        <a:ln w="25400">
          <a:noFill/>
        </a:ln>
      </c:spPr>
      <c:txPr>
        <a:bodyPr/>
        <a:lstStyle/>
        <a:p>
          <a:pPr>
            <a:defRPr sz="1200" b="1" i="0" u="none" strike="noStrike" baseline="0">
              <a:solidFill>
                <a:srgbClr val="000000"/>
              </a:solidFill>
              <a:latin typeface="Arial"/>
              <a:ea typeface="Arial"/>
              <a:cs typeface="Arial"/>
            </a:defRPr>
          </a:pPr>
          <a:endParaRPr lang="fr-FR"/>
        </a:p>
      </c:txPr>
    </c:title>
    <c:autoTitleDeleted val="0"/>
    <c:plotArea>
      <c:layout>
        <c:manualLayout>
          <c:layoutTarget val="inner"/>
          <c:xMode val="edge"/>
          <c:yMode val="edge"/>
          <c:x val="2.2535211267605652E-2"/>
          <c:y val="6.9226905670184302E-2"/>
          <c:w val="0.95633802816901403"/>
          <c:h val="0.90928311063652723"/>
        </c:manualLayout>
      </c:layout>
      <c:scatterChart>
        <c:scatterStyle val="lineMarker"/>
        <c:varyColors val="0"/>
        <c:ser>
          <c:idx val="12"/>
          <c:order val="0"/>
          <c:tx>
            <c:v>Orbite Mercure</c:v>
          </c:tx>
          <c:spPr>
            <a:ln w="3175">
              <a:solidFill>
                <a:srgbClr val="FFFFFF"/>
              </a:solidFill>
              <a:prstDash val="solid"/>
            </a:ln>
          </c:spPr>
          <c:marker>
            <c:symbol val="none"/>
          </c:marker>
          <c:xVal>
            <c:numRef>
              <c:f>Calculs!$AC$277:$AC$317</c:f>
              <c:numCache>
                <c:formatCode>0.00</c:formatCode>
                <c:ptCount val="41"/>
                <c:pt idx="0">
                  <c:v>7.7419800000000011E-2</c:v>
                </c:pt>
                <c:pt idx="1">
                  <c:v>7.6466633791207453E-2</c:v>
                </c:pt>
                <c:pt idx="2">
                  <c:v>7.3630605280267533E-2</c:v>
                </c:pt>
                <c:pt idx="3">
                  <c:v>6.8981546901358617E-2</c:v>
                </c:pt>
                <c:pt idx="4">
                  <c:v>6.2633933901109565E-2</c:v>
                </c:pt>
                <c:pt idx="5">
                  <c:v>5.4744065578106287E-2</c:v>
                </c:pt>
                <c:pt idx="6">
                  <c:v>4.5506216675432816E-2</c:v>
                </c:pt>
                <c:pt idx="7">
                  <c:v>3.5147853691735773E-2</c:v>
                </c:pt>
                <c:pt idx="8">
                  <c:v>2.3924033901109559E-2</c:v>
                </c:pt>
                <c:pt idx="9">
                  <c:v>1.2111124996521672E-2</c:v>
                </c:pt>
                <c:pt idx="10">
                  <c:v>4.7425374174667191E-18</c:v>
                </c:pt>
                <c:pt idx="11">
                  <c:v>-1.2111124996521663E-2</c:v>
                </c:pt>
                <c:pt idx="12">
                  <c:v>-2.3924033901109552E-2</c:v>
                </c:pt>
                <c:pt idx="13">
                  <c:v>-3.5147853691735759E-2</c:v>
                </c:pt>
                <c:pt idx="14">
                  <c:v>-4.5506216675432809E-2</c:v>
                </c:pt>
                <c:pt idx="15">
                  <c:v>-5.4744065578106273E-2</c:v>
                </c:pt>
                <c:pt idx="16">
                  <c:v>-6.2633933901109551E-2</c:v>
                </c:pt>
                <c:pt idx="17">
                  <c:v>-6.8981546901358604E-2</c:v>
                </c:pt>
                <c:pt idx="18">
                  <c:v>-7.3630605280267533E-2</c:v>
                </c:pt>
                <c:pt idx="19">
                  <c:v>-7.6466633791207439E-2</c:v>
                </c:pt>
                <c:pt idx="20">
                  <c:v>-7.7419800000000011E-2</c:v>
                </c:pt>
                <c:pt idx="21">
                  <c:v>-7.6466633791207453E-2</c:v>
                </c:pt>
                <c:pt idx="22">
                  <c:v>-7.3630605280267533E-2</c:v>
                </c:pt>
                <c:pt idx="23">
                  <c:v>-6.8981546901358617E-2</c:v>
                </c:pt>
                <c:pt idx="24">
                  <c:v>-6.2633933901109579E-2</c:v>
                </c:pt>
                <c:pt idx="25">
                  <c:v>-5.4744065578106293E-2</c:v>
                </c:pt>
                <c:pt idx="26">
                  <c:v>-4.550621667543283E-2</c:v>
                </c:pt>
                <c:pt idx="27">
                  <c:v>-3.514785369173578E-2</c:v>
                </c:pt>
                <c:pt idx="28">
                  <c:v>-2.392403390110957E-2</c:v>
                </c:pt>
                <c:pt idx="29">
                  <c:v>-1.211112499652168E-2</c:v>
                </c:pt>
                <c:pt idx="30">
                  <c:v>-1.422761225240016E-17</c:v>
                </c:pt>
                <c:pt idx="31">
                  <c:v>1.2111124996521653E-2</c:v>
                </c:pt>
                <c:pt idx="32">
                  <c:v>2.3924033901109542E-2</c:v>
                </c:pt>
                <c:pt idx="33">
                  <c:v>3.5147853691735752E-2</c:v>
                </c:pt>
                <c:pt idx="34">
                  <c:v>4.5506216675432802E-2</c:v>
                </c:pt>
                <c:pt idx="35">
                  <c:v>5.4744065578106266E-2</c:v>
                </c:pt>
                <c:pt idx="36">
                  <c:v>6.2633933901109551E-2</c:v>
                </c:pt>
                <c:pt idx="37">
                  <c:v>6.8981546901358604E-2</c:v>
                </c:pt>
                <c:pt idx="38">
                  <c:v>7.3630605280267533E-2</c:v>
                </c:pt>
                <c:pt idx="39">
                  <c:v>7.6466633791207439E-2</c:v>
                </c:pt>
                <c:pt idx="40">
                  <c:v>7.7419800000000011E-2</c:v>
                </c:pt>
              </c:numCache>
            </c:numRef>
          </c:xVal>
          <c:yVal>
            <c:numRef>
              <c:f>Calculs!$AD$277:$AD$317</c:f>
              <c:numCache>
                <c:formatCode>0.00</c:formatCode>
                <c:ptCount val="41"/>
                <c:pt idx="0">
                  <c:v>0</c:v>
                </c:pt>
                <c:pt idx="1">
                  <c:v>1.2111124996521666E-2</c:v>
                </c:pt>
                <c:pt idx="2">
                  <c:v>2.3924033901109556E-2</c:v>
                </c:pt>
                <c:pt idx="3">
                  <c:v>3.5147853691735766E-2</c:v>
                </c:pt>
                <c:pt idx="4">
                  <c:v>4.5506216675432816E-2</c:v>
                </c:pt>
                <c:pt idx="5">
                  <c:v>5.4744065578106273E-2</c:v>
                </c:pt>
                <c:pt idx="6">
                  <c:v>6.2633933901109565E-2</c:v>
                </c:pt>
                <c:pt idx="7">
                  <c:v>6.8981546901358604E-2</c:v>
                </c:pt>
                <c:pt idx="8">
                  <c:v>7.3630605280267533E-2</c:v>
                </c:pt>
                <c:pt idx="9">
                  <c:v>7.6466633791207453E-2</c:v>
                </c:pt>
                <c:pt idx="10">
                  <c:v>7.7419800000000011E-2</c:v>
                </c:pt>
                <c:pt idx="11">
                  <c:v>7.6466633791207453E-2</c:v>
                </c:pt>
                <c:pt idx="12">
                  <c:v>7.3630605280267533E-2</c:v>
                </c:pt>
                <c:pt idx="13">
                  <c:v>6.8981546901358617E-2</c:v>
                </c:pt>
                <c:pt idx="14">
                  <c:v>6.2633933901109565E-2</c:v>
                </c:pt>
                <c:pt idx="15">
                  <c:v>5.4744065578106287E-2</c:v>
                </c:pt>
                <c:pt idx="16">
                  <c:v>4.550621667543283E-2</c:v>
                </c:pt>
                <c:pt idx="17">
                  <c:v>3.5147853691735773E-2</c:v>
                </c:pt>
                <c:pt idx="18">
                  <c:v>2.3924033901109563E-2</c:v>
                </c:pt>
                <c:pt idx="19">
                  <c:v>1.2111124996521677E-2</c:v>
                </c:pt>
                <c:pt idx="20">
                  <c:v>9.4850748349334382E-18</c:v>
                </c:pt>
                <c:pt idx="21">
                  <c:v>-1.2111124996521658E-2</c:v>
                </c:pt>
                <c:pt idx="22">
                  <c:v>-2.3924033901109545E-2</c:v>
                </c:pt>
                <c:pt idx="23">
                  <c:v>-3.5147853691735759E-2</c:v>
                </c:pt>
                <c:pt idx="24">
                  <c:v>-4.5506216675432809E-2</c:v>
                </c:pt>
                <c:pt idx="25">
                  <c:v>-5.4744065578106273E-2</c:v>
                </c:pt>
                <c:pt idx="26">
                  <c:v>-6.2633933901109551E-2</c:v>
                </c:pt>
                <c:pt idx="27">
                  <c:v>-6.8981546901358604E-2</c:v>
                </c:pt>
                <c:pt idx="28">
                  <c:v>-7.3630605280267533E-2</c:v>
                </c:pt>
                <c:pt idx="29">
                  <c:v>-7.6466633791207439E-2</c:v>
                </c:pt>
                <c:pt idx="30">
                  <c:v>-7.7419800000000011E-2</c:v>
                </c:pt>
                <c:pt idx="31">
                  <c:v>-7.6466633791207453E-2</c:v>
                </c:pt>
                <c:pt idx="32">
                  <c:v>-7.3630605280267533E-2</c:v>
                </c:pt>
                <c:pt idx="33">
                  <c:v>-6.8981546901358617E-2</c:v>
                </c:pt>
                <c:pt idx="34">
                  <c:v>-6.2633933901109579E-2</c:v>
                </c:pt>
                <c:pt idx="35">
                  <c:v>-5.4744065578106293E-2</c:v>
                </c:pt>
                <c:pt idx="36">
                  <c:v>-4.5506216675432837E-2</c:v>
                </c:pt>
                <c:pt idx="37">
                  <c:v>-3.514785369173578E-2</c:v>
                </c:pt>
                <c:pt idx="38">
                  <c:v>-2.3924033901109573E-2</c:v>
                </c:pt>
                <c:pt idx="39">
                  <c:v>-1.2111124996521686E-2</c:v>
                </c:pt>
                <c:pt idx="40">
                  <c:v>-1.8970149669866876E-17</c:v>
                </c:pt>
              </c:numCache>
            </c:numRef>
          </c:yVal>
          <c:smooth val="0"/>
          <c:extLst>
            <c:ext xmlns:c16="http://schemas.microsoft.com/office/drawing/2014/chart" uri="{C3380CC4-5D6E-409C-BE32-E72D297353CC}">
              <c16:uniqueId val="{00000024-CB5A-4FD2-AFAE-82985F21A93C}"/>
            </c:ext>
          </c:extLst>
        </c:ser>
        <c:ser>
          <c:idx val="19"/>
          <c:order val="1"/>
          <c:tx>
            <c:v>Orbite Vénus</c:v>
          </c:tx>
          <c:spPr>
            <a:ln w="3175">
              <a:solidFill>
                <a:srgbClr val="FFFFFF"/>
              </a:solidFill>
              <a:prstDash val="solid"/>
            </a:ln>
          </c:spPr>
          <c:marker>
            <c:symbol val="none"/>
          </c:marker>
          <c:xVal>
            <c:numRef>
              <c:f>Calculs!$AE$277:$AE$317</c:f>
              <c:numCache>
                <c:formatCode>0.00</c:formatCode>
                <c:ptCount val="41"/>
                <c:pt idx="0">
                  <c:v>0.1446664</c:v>
                </c:pt>
                <c:pt idx="1">
                  <c:v>0.14288531655587244</c:v>
                </c:pt>
                <c:pt idx="2">
                  <c:v>0.1375859224089612</c:v>
                </c:pt>
                <c:pt idx="3">
                  <c:v>0.1288987062308441</c:v>
                </c:pt>
                <c:pt idx="4">
                  <c:v>0.1170375761150439</c:v>
                </c:pt>
                <c:pt idx="5">
                  <c:v>0.10229459244984557</c:v>
                </c:pt>
                <c:pt idx="6">
                  <c:v>8.5032776422243828E-2</c:v>
                </c:pt>
                <c:pt idx="7">
                  <c:v>6.567717123152117E-2</c:v>
                </c:pt>
                <c:pt idx="8">
                  <c:v>4.4704376115043902E-2</c:v>
                </c:pt>
                <c:pt idx="9">
                  <c:v>2.2630810893296063E-2</c:v>
                </c:pt>
                <c:pt idx="10">
                  <c:v>8.8618908218596187E-18</c:v>
                </c:pt>
                <c:pt idx="11">
                  <c:v>-2.2630810893296049E-2</c:v>
                </c:pt>
                <c:pt idx="12">
                  <c:v>-4.4704376115043881E-2</c:v>
                </c:pt>
                <c:pt idx="13">
                  <c:v>-6.5677171231521156E-2</c:v>
                </c:pt>
                <c:pt idx="14">
                  <c:v>-8.5032776422243828E-2</c:v>
                </c:pt>
                <c:pt idx="15">
                  <c:v>-0.10229459244984557</c:v>
                </c:pt>
                <c:pt idx="16">
                  <c:v>-0.1170375761150439</c:v>
                </c:pt>
                <c:pt idx="17">
                  <c:v>-0.1288987062308441</c:v>
                </c:pt>
                <c:pt idx="18">
                  <c:v>-0.1375859224089612</c:v>
                </c:pt>
                <c:pt idx="19">
                  <c:v>-0.14288531655587242</c:v>
                </c:pt>
                <c:pt idx="20">
                  <c:v>-0.1446664</c:v>
                </c:pt>
                <c:pt idx="21">
                  <c:v>-0.14288531655587244</c:v>
                </c:pt>
                <c:pt idx="22">
                  <c:v>-0.13758592240896123</c:v>
                </c:pt>
                <c:pt idx="23">
                  <c:v>-0.1288987062308441</c:v>
                </c:pt>
                <c:pt idx="24">
                  <c:v>-0.11703757611504391</c:v>
                </c:pt>
                <c:pt idx="25">
                  <c:v>-0.10229459244984558</c:v>
                </c:pt>
                <c:pt idx="26">
                  <c:v>-8.5032776422243855E-2</c:v>
                </c:pt>
                <c:pt idx="27">
                  <c:v>-6.5677171231521198E-2</c:v>
                </c:pt>
                <c:pt idx="28">
                  <c:v>-4.4704376115043916E-2</c:v>
                </c:pt>
                <c:pt idx="29">
                  <c:v>-2.2630810893296077E-2</c:v>
                </c:pt>
                <c:pt idx="30">
                  <c:v>-2.6585672465578859E-17</c:v>
                </c:pt>
                <c:pt idx="31">
                  <c:v>2.2630810893296029E-2</c:v>
                </c:pt>
                <c:pt idx="32">
                  <c:v>4.4704376115043867E-2</c:v>
                </c:pt>
                <c:pt idx="33">
                  <c:v>6.5677171231521156E-2</c:v>
                </c:pt>
                <c:pt idx="34">
                  <c:v>8.5032776422243814E-2</c:v>
                </c:pt>
                <c:pt idx="35">
                  <c:v>0.10229459244984554</c:v>
                </c:pt>
                <c:pt idx="36">
                  <c:v>0.1170375761150439</c:v>
                </c:pt>
                <c:pt idx="37">
                  <c:v>0.1288987062308441</c:v>
                </c:pt>
                <c:pt idx="38">
                  <c:v>0.1375859224089612</c:v>
                </c:pt>
                <c:pt idx="39">
                  <c:v>0.14288531655587242</c:v>
                </c:pt>
                <c:pt idx="40">
                  <c:v>0.1446664</c:v>
                </c:pt>
              </c:numCache>
            </c:numRef>
          </c:xVal>
          <c:yVal>
            <c:numRef>
              <c:f>Calculs!$AF$277:$AF$317</c:f>
              <c:numCache>
                <c:formatCode>0.00</c:formatCode>
                <c:ptCount val="41"/>
                <c:pt idx="0">
                  <c:v>0</c:v>
                </c:pt>
                <c:pt idx="1">
                  <c:v>2.2630810893296056E-2</c:v>
                </c:pt>
                <c:pt idx="2">
                  <c:v>4.4704376115043888E-2</c:v>
                </c:pt>
                <c:pt idx="3">
                  <c:v>6.5677171231521156E-2</c:v>
                </c:pt>
                <c:pt idx="4">
                  <c:v>8.5032776422243828E-2</c:v>
                </c:pt>
                <c:pt idx="5">
                  <c:v>0.10229459244984557</c:v>
                </c:pt>
                <c:pt idx="6">
                  <c:v>0.1170375761150439</c:v>
                </c:pt>
                <c:pt idx="7">
                  <c:v>0.1288987062308441</c:v>
                </c:pt>
                <c:pt idx="8">
                  <c:v>0.1375859224089612</c:v>
                </c:pt>
                <c:pt idx="9">
                  <c:v>0.14288531655587244</c:v>
                </c:pt>
                <c:pt idx="10">
                  <c:v>0.1446664</c:v>
                </c:pt>
                <c:pt idx="11">
                  <c:v>0.14288531655587244</c:v>
                </c:pt>
                <c:pt idx="12">
                  <c:v>0.13758592240896123</c:v>
                </c:pt>
                <c:pt idx="13">
                  <c:v>0.1288987062308441</c:v>
                </c:pt>
                <c:pt idx="14">
                  <c:v>0.1170375761150439</c:v>
                </c:pt>
                <c:pt idx="15">
                  <c:v>0.10229459244984557</c:v>
                </c:pt>
                <c:pt idx="16">
                  <c:v>8.5032776422243855E-2</c:v>
                </c:pt>
                <c:pt idx="17">
                  <c:v>6.5677171231521184E-2</c:v>
                </c:pt>
                <c:pt idx="18">
                  <c:v>4.4704376115043909E-2</c:v>
                </c:pt>
                <c:pt idx="19">
                  <c:v>2.263081089329607E-2</c:v>
                </c:pt>
                <c:pt idx="20">
                  <c:v>1.7723781643719237E-17</c:v>
                </c:pt>
                <c:pt idx="21">
                  <c:v>-2.2630810893296036E-2</c:v>
                </c:pt>
                <c:pt idx="22">
                  <c:v>-4.4704376115043874E-2</c:v>
                </c:pt>
                <c:pt idx="23">
                  <c:v>-6.5677171231521156E-2</c:v>
                </c:pt>
                <c:pt idx="24">
                  <c:v>-8.5032776422243828E-2</c:v>
                </c:pt>
                <c:pt idx="25">
                  <c:v>-0.10229459244984557</c:v>
                </c:pt>
                <c:pt idx="26">
                  <c:v>-0.1170375761150439</c:v>
                </c:pt>
                <c:pt idx="27">
                  <c:v>-0.1288987062308441</c:v>
                </c:pt>
                <c:pt idx="28">
                  <c:v>-0.1375859224089612</c:v>
                </c:pt>
                <c:pt idx="29">
                  <c:v>-0.14288531655587242</c:v>
                </c:pt>
                <c:pt idx="30">
                  <c:v>-0.1446664</c:v>
                </c:pt>
                <c:pt idx="31">
                  <c:v>-0.14288531655587244</c:v>
                </c:pt>
                <c:pt idx="32">
                  <c:v>-0.13758592240896123</c:v>
                </c:pt>
                <c:pt idx="33">
                  <c:v>-0.1288987062308441</c:v>
                </c:pt>
                <c:pt idx="34">
                  <c:v>-0.11703757611504391</c:v>
                </c:pt>
                <c:pt idx="35">
                  <c:v>-0.10229459244984558</c:v>
                </c:pt>
                <c:pt idx="36">
                  <c:v>-8.5032776422243869E-2</c:v>
                </c:pt>
                <c:pt idx="37">
                  <c:v>-6.5677171231521198E-2</c:v>
                </c:pt>
                <c:pt idx="38">
                  <c:v>-4.4704376115043923E-2</c:v>
                </c:pt>
                <c:pt idx="39">
                  <c:v>-2.2630810893296091E-2</c:v>
                </c:pt>
                <c:pt idx="40">
                  <c:v>-3.5447563287438475E-17</c:v>
                </c:pt>
              </c:numCache>
            </c:numRef>
          </c:yVal>
          <c:smooth val="0"/>
          <c:extLst>
            <c:ext xmlns:c16="http://schemas.microsoft.com/office/drawing/2014/chart" uri="{C3380CC4-5D6E-409C-BE32-E72D297353CC}">
              <c16:uniqueId val="{00000025-CB5A-4FD2-AFAE-82985F21A93C}"/>
            </c:ext>
          </c:extLst>
        </c:ser>
        <c:ser>
          <c:idx val="20"/>
          <c:order val="2"/>
          <c:tx>
            <c:v>Orbite Terre</c:v>
          </c:tx>
          <c:spPr>
            <a:ln w="3175">
              <a:solidFill>
                <a:srgbClr val="FFFFFF"/>
              </a:solidFill>
              <a:prstDash val="solid"/>
            </a:ln>
          </c:spPr>
          <c:marker>
            <c:symbol val="none"/>
          </c:marker>
          <c:xVal>
            <c:numRef>
              <c:f>Calculs!$AG$277:$AG$317</c:f>
              <c:numCache>
                <c:formatCode>0.00</c:formatCode>
                <c:ptCount val="41"/>
                <c:pt idx="0">
                  <c:v>0.2</c:v>
                </c:pt>
                <c:pt idx="1">
                  <c:v>0.19753766811902757</c:v>
                </c:pt>
                <c:pt idx="2">
                  <c:v>0.19021130325903071</c:v>
                </c:pt>
                <c:pt idx="3">
                  <c:v>0.1782013048376736</c:v>
                </c:pt>
                <c:pt idx="4">
                  <c:v>0.16180339887498951</c:v>
                </c:pt>
                <c:pt idx="5">
                  <c:v>0.14142135623730953</c:v>
                </c:pt>
                <c:pt idx="6">
                  <c:v>0.11755705045849463</c:v>
                </c:pt>
                <c:pt idx="7">
                  <c:v>9.0798099947909369E-2</c:v>
                </c:pt>
                <c:pt idx="8">
                  <c:v>6.1803398874989493E-2</c:v>
                </c:pt>
                <c:pt idx="9">
                  <c:v>3.1286893008046185E-2</c:v>
                </c:pt>
                <c:pt idx="10">
                  <c:v>1.22514845490862E-17</c:v>
                </c:pt>
                <c:pt idx="11">
                  <c:v>-3.1286893008046164E-2</c:v>
                </c:pt>
                <c:pt idx="12">
                  <c:v>-6.1803398874989472E-2</c:v>
                </c:pt>
                <c:pt idx="13">
                  <c:v>-9.0798099947909341E-2</c:v>
                </c:pt>
                <c:pt idx="14">
                  <c:v>-0.11755705045849461</c:v>
                </c:pt>
                <c:pt idx="15">
                  <c:v>-0.1414213562373095</c:v>
                </c:pt>
                <c:pt idx="16">
                  <c:v>-0.16180339887498948</c:v>
                </c:pt>
                <c:pt idx="17">
                  <c:v>-0.17820130483767357</c:v>
                </c:pt>
                <c:pt idx="18">
                  <c:v>-0.19021130325903071</c:v>
                </c:pt>
                <c:pt idx="19">
                  <c:v>-0.19753766811902754</c:v>
                </c:pt>
                <c:pt idx="20">
                  <c:v>-0.2</c:v>
                </c:pt>
                <c:pt idx="21">
                  <c:v>-0.19753766811902757</c:v>
                </c:pt>
                <c:pt idx="22">
                  <c:v>-0.19021130325903074</c:v>
                </c:pt>
                <c:pt idx="23">
                  <c:v>-0.1782013048376736</c:v>
                </c:pt>
                <c:pt idx="24">
                  <c:v>-0.16180339887498951</c:v>
                </c:pt>
                <c:pt idx="25">
                  <c:v>-0.14142135623730953</c:v>
                </c:pt>
                <c:pt idx="26">
                  <c:v>-0.11755705045849466</c:v>
                </c:pt>
                <c:pt idx="27">
                  <c:v>-9.0798099947909383E-2</c:v>
                </c:pt>
                <c:pt idx="28">
                  <c:v>-6.1803398874989514E-2</c:v>
                </c:pt>
                <c:pt idx="29">
                  <c:v>-3.1286893008046206E-2</c:v>
                </c:pt>
                <c:pt idx="30">
                  <c:v>-3.67544536472586E-17</c:v>
                </c:pt>
                <c:pt idx="31">
                  <c:v>3.1286893008046136E-2</c:v>
                </c:pt>
                <c:pt idx="32">
                  <c:v>6.1803398874989451E-2</c:v>
                </c:pt>
                <c:pt idx="33">
                  <c:v>9.0798099947909328E-2</c:v>
                </c:pt>
                <c:pt idx="34">
                  <c:v>0.11755705045849459</c:v>
                </c:pt>
                <c:pt idx="35">
                  <c:v>0.14142135623730948</c:v>
                </c:pt>
                <c:pt idx="36">
                  <c:v>0.16180339887498948</c:v>
                </c:pt>
                <c:pt idx="37">
                  <c:v>0.17820130483767357</c:v>
                </c:pt>
                <c:pt idx="38">
                  <c:v>0.19021130325903071</c:v>
                </c:pt>
                <c:pt idx="39">
                  <c:v>0.19753766811902754</c:v>
                </c:pt>
                <c:pt idx="40">
                  <c:v>0.2</c:v>
                </c:pt>
              </c:numCache>
            </c:numRef>
          </c:xVal>
          <c:yVal>
            <c:numRef>
              <c:f>Calculs!$AH$277:$AH$317</c:f>
              <c:numCache>
                <c:formatCode>0.00</c:formatCode>
                <c:ptCount val="41"/>
                <c:pt idx="0">
                  <c:v>0</c:v>
                </c:pt>
                <c:pt idx="1">
                  <c:v>3.1286893008046178E-2</c:v>
                </c:pt>
                <c:pt idx="2">
                  <c:v>6.1803398874989479E-2</c:v>
                </c:pt>
                <c:pt idx="3">
                  <c:v>9.0798099947909355E-2</c:v>
                </c:pt>
                <c:pt idx="4">
                  <c:v>0.11755705045849463</c:v>
                </c:pt>
                <c:pt idx="5">
                  <c:v>0.1414213562373095</c:v>
                </c:pt>
                <c:pt idx="6">
                  <c:v>0.16180339887498951</c:v>
                </c:pt>
                <c:pt idx="7">
                  <c:v>0.17820130483767357</c:v>
                </c:pt>
                <c:pt idx="8">
                  <c:v>0.19021130325903071</c:v>
                </c:pt>
                <c:pt idx="9">
                  <c:v>0.19753766811902757</c:v>
                </c:pt>
                <c:pt idx="10">
                  <c:v>0.2</c:v>
                </c:pt>
                <c:pt idx="11">
                  <c:v>0.19753766811902757</c:v>
                </c:pt>
                <c:pt idx="12">
                  <c:v>0.19021130325903074</c:v>
                </c:pt>
                <c:pt idx="13">
                  <c:v>0.1782013048376736</c:v>
                </c:pt>
                <c:pt idx="14">
                  <c:v>0.16180339887498951</c:v>
                </c:pt>
                <c:pt idx="15">
                  <c:v>0.14142135623730953</c:v>
                </c:pt>
                <c:pt idx="16">
                  <c:v>0.11755705045849466</c:v>
                </c:pt>
                <c:pt idx="17">
                  <c:v>9.0798099947909383E-2</c:v>
                </c:pt>
                <c:pt idx="18">
                  <c:v>6.1803398874989507E-2</c:v>
                </c:pt>
                <c:pt idx="19">
                  <c:v>3.1286893008046199E-2</c:v>
                </c:pt>
                <c:pt idx="20">
                  <c:v>2.45029690981724E-17</c:v>
                </c:pt>
                <c:pt idx="21">
                  <c:v>-3.128689300804615E-2</c:v>
                </c:pt>
                <c:pt idx="22">
                  <c:v>-6.1803398874989458E-2</c:v>
                </c:pt>
                <c:pt idx="23">
                  <c:v>-9.0798099947909341E-2</c:v>
                </c:pt>
                <c:pt idx="24">
                  <c:v>-0.11755705045849461</c:v>
                </c:pt>
                <c:pt idx="25">
                  <c:v>-0.1414213562373095</c:v>
                </c:pt>
                <c:pt idx="26">
                  <c:v>-0.16180339887498948</c:v>
                </c:pt>
                <c:pt idx="27">
                  <c:v>-0.17820130483767357</c:v>
                </c:pt>
                <c:pt idx="28">
                  <c:v>-0.19021130325903071</c:v>
                </c:pt>
                <c:pt idx="29">
                  <c:v>-0.19753766811902754</c:v>
                </c:pt>
                <c:pt idx="30">
                  <c:v>-0.2</c:v>
                </c:pt>
                <c:pt idx="31">
                  <c:v>-0.19753766811902757</c:v>
                </c:pt>
                <c:pt idx="32">
                  <c:v>-0.19021130325903074</c:v>
                </c:pt>
                <c:pt idx="33">
                  <c:v>-0.1782013048376736</c:v>
                </c:pt>
                <c:pt idx="34">
                  <c:v>-0.16180339887498951</c:v>
                </c:pt>
                <c:pt idx="35">
                  <c:v>-0.14142135623730953</c:v>
                </c:pt>
                <c:pt idx="36">
                  <c:v>-0.11755705045849468</c:v>
                </c:pt>
                <c:pt idx="37">
                  <c:v>-9.0798099947909397E-2</c:v>
                </c:pt>
                <c:pt idx="38">
                  <c:v>-6.1803398874989528E-2</c:v>
                </c:pt>
                <c:pt idx="39">
                  <c:v>-3.1286893008046227E-2</c:v>
                </c:pt>
                <c:pt idx="40">
                  <c:v>-4.90059381963448E-17</c:v>
                </c:pt>
              </c:numCache>
            </c:numRef>
          </c:yVal>
          <c:smooth val="0"/>
          <c:extLst>
            <c:ext xmlns:c16="http://schemas.microsoft.com/office/drawing/2014/chart" uri="{C3380CC4-5D6E-409C-BE32-E72D297353CC}">
              <c16:uniqueId val="{00000026-CB5A-4FD2-AFAE-82985F21A93C}"/>
            </c:ext>
          </c:extLst>
        </c:ser>
        <c:ser>
          <c:idx val="21"/>
          <c:order val="3"/>
          <c:tx>
            <c:v>Orbite Mars</c:v>
          </c:tx>
          <c:spPr>
            <a:ln w="3175">
              <a:solidFill>
                <a:srgbClr val="FFFFFF"/>
              </a:solidFill>
              <a:prstDash val="solid"/>
            </a:ln>
          </c:spPr>
          <c:marker>
            <c:symbol val="none"/>
          </c:marker>
          <c:xVal>
            <c:numRef>
              <c:f>Calculs!$AI$277:$AI$317</c:f>
              <c:numCache>
                <c:formatCode>0.00</c:formatCode>
                <c:ptCount val="41"/>
                <c:pt idx="0">
                  <c:v>0.30473820000000001</c:v>
                </c:pt>
                <c:pt idx="1">
                  <c:v>0.30098636707394921</c:v>
                </c:pt>
                <c:pt idx="2">
                  <c:v>0.28982325087405575</c:v>
                </c:pt>
                <c:pt idx="3">
                  <c:v>0.27152372436941968</c:v>
                </c:pt>
                <c:pt idx="4">
                  <c:v>0.24653838263523162</c:v>
                </c:pt>
                <c:pt idx="5">
                  <c:v>0.21548244770658234</c:v>
                </c:pt>
                <c:pt idx="6">
                  <c:v>0.17912061977015414</c:v>
                </c:pt>
                <c:pt idx="7">
                  <c:v>0.13834824770772997</c:v>
                </c:pt>
                <c:pt idx="8">
                  <c:v>9.416928263523161E-2</c:v>
                </c:pt>
                <c:pt idx="9">
                  <c:v>4.7671557294322903E-2</c:v>
                </c:pt>
                <c:pt idx="10">
                  <c:v>1.8667476744081702E-17</c:v>
                </c:pt>
                <c:pt idx="11">
                  <c:v>-4.7671557294322868E-2</c:v>
                </c:pt>
                <c:pt idx="12">
                  <c:v>-9.4169282635231583E-2</c:v>
                </c:pt>
                <c:pt idx="13">
                  <c:v>-0.13834824770772991</c:v>
                </c:pt>
                <c:pt idx="14">
                  <c:v>-0.17912061977015412</c:v>
                </c:pt>
                <c:pt idx="15">
                  <c:v>-0.21548244770658234</c:v>
                </c:pt>
                <c:pt idx="16">
                  <c:v>-0.24653838263523156</c:v>
                </c:pt>
                <c:pt idx="17">
                  <c:v>-0.27152372436941968</c:v>
                </c:pt>
                <c:pt idx="18">
                  <c:v>-0.28982325087405575</c:v>
                </c:pt>
                <c:pt idx="19">
                  <c:v>-0.30098636707394921</c:v>
                </c:pt>
                <c:pt idx="20">
                  <c:v>-0.30473820000000001</c:v>
                </c:pt>
                <c:pt idx="21">
                  <c:v>-0.30098636707394921</c:v>
                </c:pt>
                <c:pt idx="22">
                  <c:v>-0.2898232508740558</c:v>
                </c:pt>
                <c:pt idx="23">
                  <c:v>-0.27152372436941968</c:v>
                </c:pt>
                <c:pt idx="24">
                  <c:v>-0.24653838263523165</c:v>
                </c:pt>
                <c:pt idx="25">
                  <c:v>-0.2154824477065824</c:v>
                </c:pt>
                <c:pt idx="26">
                  <c:v>-0.17912061977015417</c:v>
                </c:pt>
                <c:pt idx="27">
                  <c:v>-0.13834824770772999</c:v>
                </c:pt>
                <c:pt idx="28">
                  <c:v>-9.4169282635231652E-2</c:v>
                </c:pt>
                <c:pt idx="29">
                  <c:v>-4.767155729432293E-2</c:v>
                </c:pt>
                <c:pt idx="30">
                  <c:v>-5.6002430232245104E-17</c:v>
                </c:pt>
                <c:pt idx="31">
                  <c:v>4.7671557294322819E-2</c:v>
                </c:pt>
                <c:pt idx="32">
                  <c:v>9.4169282635231541E-2</c:v>
                </c:pt>
                <c:pt idx="33">
                  <c:v>0.13834824770772991</c:v>
                </c:pt>
                <c:pt idx="34">
                  <c:v>0.17912061977015406</c:v>
                </c:pt>
                <c:pt idx="35">
                  <c:v>0.21548244770658231</c:v>
                </c:pt>
                <c:pt idx="36">
                  <c:v>0.24653838263523156</c:v>
                </c:pt>
                <c:pt idx="37">
                  <c:v>0.27152372436941968</c:v>
                </c:pt>
                <c:pt idx="38">
                  <c:v>0.28982325087405575</c:v>
                </c:pt>
                <c:pt idx="39">
                  <c:v>0.30098636707394921</c:v>
                </c:pt>
                <c:pt idx="40">
                  <c:v>0.30473820000000001</c:v>
                </c:pt>
              </c:numCache>
            </c:numRef>
          </c:xVal>
          <c:yVal>
            <c:numRef>
              <c:f>Calculs!$AJ$277:$AJ$317</c:f>
              <c:numCache>
                <c:formatCode>0.00</c:formatCode>
                <c:ptCount val="41"/>
                <c:pt idx="0">
                  <c:v>0</c:v>
                </c:pt>
                <c:pt idx="1">
                  <c:v>4.7671557294322882E-2</c:v>
                </c:pt>
                <c:pt idx="2">
                  <c:v>9.4169282635231596E-2</c:v>
                </c:pt>
                <c:pt idx="3">
                  <c:v>0.13834824770772994</c:v>
                </c:pt>
                <c:pt idx="4">
                  <c:v>0.17912061977015414</c:v>
                </c:pt>
                <c:pt idx="5">
                  <c:v>0.21548244770658234</c:v>
                </c:pt>
                <c:pt idx="6">
                  <c:v>0.24653838263523162</c:v>
                </c:pt>
                <c:pt idx="7">
                  <c:v>0.27152372436941968</c:v>
                </c:pt>
                <c:pt idx="8">
                  <c:v>0.28982325087405575</c:v>
                </c:pt>
                <c:pt idx="9">
                  <c:v>0.30098636707394921</c:v>
                </c:pt>
                <c:pt idx="10">
                  <c:v>0.30473820000000001</c:v>
                </c:pt>
                <c:pt idx="11">
                  <c:v>0.30098636707394921</c:v>
                </c:pt>
                <c:pt idx="12">
                  <c:v>0.2898232508740558</c:v>
                </c:pt>
                <c:pt idx="13">
                  <c:v>0.27152372436941968</c:v>
                </c:pt>
                <c:pt idx="14">
                  <c:v>0.24653838263523162</c:v>
                </c:pt>
                <c:pt idx="15">
                  <c:v>0.21548244770658234</c:v>
                </c:pt>
                <c:pt idx="16">
                  <c:v>0.17912061977015417</c:v>
                </c:pt>
                <c:pt idx="17">
                  <c:v>0.13834824770772999</c:v>
                </c:pt>
                <c:pt idx="18">
                  <c:v>9.4169282635231624E-2</c:v>
                </c:pt>
                <c:pt idx="19">
                  <c:v>4.7671557294322917E-2</c:v>
                </c:pt>
                <c:pt idx="20">
                  <c:v>3.7334953488163405E-17</c:v>
                </c:pt>
                <c:pt idx="21">
                  <c:v>-4.767155729432284E-2</c:v>
                </c:pt>
                <c:pt idx="22">
                  <c:v>-9.4169282635231555E-2</c:v>
                </c:pt>
                <c:pt idx="23">
                  <c:v>-0.13834824770772991</c:v>
                </c:pt>
                <c:pt idx="24">
                  <c:v>-0.17912061977015412</c:v>
                </c:pt>
                <c:pt idx="25">
                  <c:v>-0.21548244770658234</c:v>
                </c:pt>
                <c:pt idx="26">
                  <c:v>-0.24653838263523156</c:v>
                </c:pt>
                <c:pt idx="27">
                  <c:v>-0.27152372436941968</c:v>
                </c:pt>
                <c:pt idx="28">
                  <c:v>-0.28982325087405575</c:v>
                </c:pt>
                <c:pt idx="29">
                  <c:v>-0.30098636707394921</c:v>
                </c:pt>
                <c:pt idx="30">
                  <c:v>-0.30473820000000001</c:v>
                </c:pt>
                <c:pt idx="31">
                  <c:v>-0.30098636707394921</c:v>
                </c:pt>
                <c:pt idx="32">
                  <c:v>-0.2898232508740558</c:v>
                </c:pt>
                <c:pt idx="33">
                  <c:v>-0.27152372436941968</c:v>
                </c:pt>
                <c:pt idx="34">
                  <c:v>-0.24653838263523165</c:v>
                </c:pt>
                <c:pt idx="35">
                  <c:v>-0.2154824477065824</c:v>
                </c:pt>
                <c:pt idx="36">
                  <c:v>-0.1791206197701542</c:v>
                </c:pt>
                <c:pt idx="37">
                  <c:v>-0.13834824770772999</c:v>
                </c:pt>
                <c:pt idx="38">
                  <c:v>-9.4169282635231666E-2</c:v>
                </c:pt>
                <c:pt idx="39">
                  <c:v>-4.7671557294322958E-2</c:v>
                </c:pt>
                <c:pt idx="40">
                  <c:v>-7.466990697632681E-17</c:v>
                </c:pt>
              </c:numCache>
            </c:numRef>
          </c:yVal>
          <c:smooth val="0"/>
          <c:extLst>
            <c:ext xmlns:c16="http://schemas.microsoft.com/office/drawing/2014/chart" uri="{C3380CC4-5D6E-409C-BE32-E72D297353CC}">
              <c16:uniqueId val="{00000027-CB5A-4FD2-AFAE-82985F21A93C}"/>
            </c:ext>
          </c:extLst>
        </c:ser>
        <c:ser>
          <c:idx val="22"/>
          <c:order val="4"/>
          <c:tx>
            <c:v>Orbite Jupiter</c:v>
          </c:tx>
          <c:spPr>
            <a:ln w="3175">
              <a:solidFill>
                <a:srgbClr val="FFFFFF"/>
              </a:solidFill>
              <a:prstDash val="solid"/>
            </a:ln>
          </c:spPr>
          <c:marker>
            <c:symbol val="none"/>
          </c:marker>
          <c:xVal>
            <c:numRef>
              <c:f>Calculs!$AK$277:$AK$317</c:f>
              <c:numCache>
                <c:formatCode>0.00</c:formatCode>
                <c:ptCount val="41"/>
                <c:pt idx="0">
                  <c:v>1.0405606000000001</c:v>
                </c:pt>
                <c:pt idx="1">
                  <c:v>1.027749572302681</c:v>
                </c:pt>
                <c:pt idx="2">
                  <c:v>0.98963193922999482</c:v>
                </c:pt>
                <c:pt idx="3">
                  <c:v>0.92714628341336258</c:v>
                </c:pt>
                <c:pt idx="4">
                  <c:v>0.84183120907699205</c:v>
                </c:pt>
                <c:pt idx="5">
                  <c:v>0.73578745649554278</c:v>
                </c:pt>
                <c:pt idx="6">
                  <c:v>0.6116261747966073</c:v>
                </c:pt>
                <c:pt idx="7">
                  <c:v>0.47240462680328266</c:v>
                </c:pt>
                <c:pt idx="8">
                  <c:v>0.32155090907699196</c:v>
                </c:pt>
                <c:pt idx="9">
                  <c:v>0.16277954080294174</c:v>
                </c:pt>
                <c:pt idx="10">
                  <c:v>6.3742060566439342E-17</c:v>
                </c:pt>
                <c:pt idx="11">
                  <c:v>-0.16277954080294163</c:v>
                </c:pt>
                <c:pt idx="12">
                  <c:v>-0.32155090907699191</c:v>
                </c:pt>
                <c:pt idx="13">
                  <c:v>-0.4724046268032826</c:v>
                </c:pt>
                <c:pt idx="14">
                  <c:v>-0.61162617479660719</c:v>
                </c:pt>
                <c:pt idx="15">
                  <c:v>-0.73578745649554256</c:v>
                </c:pt>
                <c:pt idx="16">
                  <c:v>-0.84183120907699183</c:v>
                </c:pt>
                <c:pt idx="17">
                  <c:v>-0.92714628341336258</c:v>
                </c:pt>
                <c:pt idx="18">
                  <c:v>-0.98963193922999482</c:v>
                </c:pt>
                <c:pt idx="19">
                  <c:v>-1.0277495723026808</c:v>
                </c:pt>
                <c:pt idx="20">
                  <c:v>-1.0405606000000001</c:v>
                </c:pt>
                <c:pt idx="21">
                  <c:v>-1.027749572302681</c:v>
                </c:pt>
                <c:pt idx="22">
                  <c:v>-0.98963193922999493</c:v>
                </c:pt>
                <c:pt idx="23">
                  <c:v>-0.92714628341336258</c:v>
                </c:pt>
                <c:pt idx="24">
                  <c:v>-0.84183120907699216</c:v>
                </c:pt>
                <c:pt idx="25">
                  <c:v>-0.73578745649554289</c:v>
                </c:pt>
                <c:pt idx="26">
                  <c:v>-0.61162617479660741</c:v>
                </c:pt>
                <c:pt idx="27">
                  <c:v>-0.47240462680328288</c:v>
                </c:pt>
                <c:pt idx="28">
                  <c:v>-0.32155090907699213</c:v>
                </c:pt>
                <c:pt idx="29">
                  <c:v>-0.16277954080294185</c:v>
                </c:pt>
                <c:pt idx="30">
                  <c:v>-1.9122618169931799E-16</c:v>
                </c:pt>
                <c:pt idx="31">
                  <c:v>0.16277954080294146</c:v>
                </c:pt>
                <c:pt idx="32">
                  <c:v>0.32155090907699174</c:v>
                </c:pt>
                <c:pt idx="33">
                  <c:v>0.47240462680328249</c:v>
                </c:pt>
                <c:pt idx="34">
                  <c:v>0.61162617479660708</c:v>
                </c:pt>
                <c:pt idx="35">
                  <c:v>0.73578745649554245</c:v>
                </c:pt>
                <c:pt idx="36">
                  <c:v>0.84183120907699183</c:v>
                </c:pt>
                <c:pt idx="37">
                  <c:v>0.92714628341336258</c:v>
                </c:pt>
                <c:pt idx="38">
                  <c:v>0.98963193922999482</c:v>
                </c:pt>
                <c:pt idx="39">
                  <c:v>1.0277495723026808</c:v>
                </c:pt>
                <c:pt idx="40">
                  <c:v>1.0405606000000001</c:v>
                </c:pt>
              </c:numCache>
            </c:numRef>
          </c:xVal>
          <c:yVal>
            <c:numRef>
              <c:f>Calculs!$AL$277:$AL$317</c:f>
              <c:numCache>
                <c:formatCode>0.00</c:formatCode>
                <c:ptCount val="41"/>
                <c:pt idx="0">
                  <c:v>0</c:v>
                </c:pt>
                <c:pt idx="1">
                  <c:v>0.16277954080294166</c:v>
                </c:pt>
                <c:pt idx="2">
                  <c:v>0.32155090907699191</c:v>
                </c:pt>
                <c:pt idx="3">
                  <c:v>0.47240462680328266</c:v>
                </c:pt>
                <c:pt idx="4">
                  <c:v>0.6116261747966073</c:v>
                </c:pt>
                <c:pt idx="5">
                  <c:v>0.73578745649554256</c:v>
                </c:pt>
                <c:pt idx="6">
                  <c:v>0.84183120907699205</c:v>
                </c:pt>
                <c:pt idx="7">
                  <c:v>0.92714628341336258</c:v>
                </c:pt>
                <c:pt idx="8">
                  <c:v>0.98963193922999482</c:v>
                </c:pt>
                <c:pt idx="9">
                  <c:v>1.027749572302681</c:v>
                </c:pt>
                <c:pt idx="10">
                  <c:v>1.0405606000000001</c:v>
                </c:pt>
                <c:pt idx="11">
                  <c:v>1.027749572302681</c:v>
                </c:pt>
                <c:pt idx="12">
                  <c:v>0.98963193922999493</c:v>
                </c:pt>
                <c:pt idx="13">
                  <c:v>0.92714628341336258</c:v>
                </c:pt>
                <c:pt idx="14">
                  <c:v>0.84183120907699205</c:v>
                </c:pt>
                <c:pt idx="15">
                  <c:v>0.73578745649554278</c:v>
                </c:pt>
                <c:pt idx="16">
                  <c:v>0.61162617479660741</c:v>
                </c:pt>
                <c:pt idx="17">
                  <c:v>0.47240462680328277</c:v>
                </c:pt>
                <c:pt idx="18">
                  <c:v>0.32155090907699208</c:v>
                </c:pt>
                <c:pt idx="19">
                  <c:v>0.1627795408029418</c:v>
                </c:pt>
                <c:pt idx="20">
                  <c:v>1.2748412113287868E-16</c:v>
                </c:pt>
                <c:pt idx="21">
                  <c:v>-0.16277954080294155</c:v>
                </c:pt>
                <c:pt idx="22">
                  <c:v>-0.3215509090769918</c:v>
                </c:pt>
                <c:pt idx="23">
                  <c:v>-0.4724046268032826</c:v>
                </c:pt>
                <c:pt idx="24">
                  <c:v>-0.61162617479660719</c:v>
                </c:pt>
                <c:pt idx="25">
                  <c:v>-0.73578745649554256</c:v>
                </c:pt>
                <c:pt idx="26">
                  <c:v>-0.84183120907699183</c:v>
                </c:pt>
                <c:pt idx="27">
                  <c:v>-0.92714628341336258</c:v>
                </c:pt>
                <c:pt idx="28">
                  <c:v>-0.98963193922999482</c:v>
                </c:pt>
                <c:pt idx="29">
                  <c:v>-1.0277495723026808</c:v>
                </c:pt>
                <c:pt idx="30">
                  <c:v>-1.0405606000000001</c:v>
                </c:pt>
                <c:pt idx="31">
                  <c:v>-1.027749572302681</c:v>
                </c:pt>
                <c:pt idx="32">
                  <c:v>-0.98963193922999493</c:v>
                </c:pt>
                <c:pt idx="33">
                  <c:v>-0.92714628341336258</c:v>
                </c:pt>
                <c:pt idx="34">
                  <c:v>-0.84183120907699216</c:v>
                </c:pt>
                <c:pt idx="35">
                  <c:v>-0.73578745649554289</c:v>
                </c:pt>
                <c:pt idx="36">
                  <c:v>-0.61162617479660752</c:v>
                </c:pt>
                <c:pt idx="37">
                  <c:v>-0.47240462680328288</c:v>
                </c:pt>
                <c:pt idx="38">
                  <c:v>-0.32155090907699213</c:v>
                </c:pt>
                <c:pt idx="39">
                  <c:v>-0.16277954080294194</c:v>
                </c:pt>
                <c:pt idx="40">
                  <c:v>-2.5496824226575737E-16</c:v>
                </c:pt>
              </c:numCache>
            </c:numRef>
          </c:yVal>
          <c:smooth val="0"/>
          <c:extLst>
            <c:ext xmlns:c16="http://schemas.microsoft.com/office/drawing/2014/chart" uri="{C3380CC4-5D6E-409C-BE32-E72D297353CC}">
              <c16:uniqueId val="{00000028-CB5A-4FD2-AFAE-82985F21A93C}"/>
            </c:ext>
          </c:extLst>
        </c:ser>
        <c:ser>
          <c:idx val="23"/>
          <c:order val="5"/>
          <c:tx>
            <c:v>Orbite Saturne</c:v>
          </c:tx>
          <c:spPr>
            <a:ln w="3175">
              <a:solidFill>
                <a:srgbClr val="FFFFFF"/>
              </a:solidFill>
              <a:prstDash val="solid"/>
            </a:ln>
          </c:spPr>
          <c:marker>
            <c:symbol val="none"/>
          </c:marker>
          <c:xVal>
            <c:numRef>
              <c:f>Calculs!$AM$277:$AM$317</c:f>
              <c:numCache>
                <c:formatCode>0.00</c:formatCode>
                <c:ptCount val="41"/>
                <c:pt idx="0">
                  <c:v>1.9077680000000001</c:v>
                </c:pt>
                <c:pt idx="1">
                  <c:v>1.884280210160505</c:v>
                </c:pt>
                <c:pt idx="2">
                  <c:v>1.8143951879793727</c:v>
                </c:pt>
                <c:pt idx="3">
                  <c:v>1.6998337346377945</c:v>
                </c:pt>
                <c:pt idx="4">
                  <c:v>1.5434167333247049</c:v>
                </c:pt>
                <c:pt idx="5">
                  <c:v>1.3489956897306976</c:v>
                </c:pt>
                <c:pt idx="6">
                  <c:v>1.121357895195507</c:v>
                </c:pt>
                <c:pt idx="7">
                  <c:v>0.86610854770711576</c:v>
                </c:pt>
                <c:pt idx="8">
                  <c:v>0.58953273332470479</c:v>
                </c:pt>
                <c:pt idx="9">
                  <c:v>0.29844066650087131</c:v>
                </c:pt>
                <c:pt idx="10">
                  <c:v>1.1686495087620542E-16</c:v>
                </c:pt>
                <c:pt idx="11">
                  <c:v>-0.29844066650087109</c:v>
                </c:pt>
                <c:pt idx="12">
                  <c:v>-0.58953273332470457</c:v>
                </c:pt>
                <c:pt idx="13">
                  <c:v>-0.86610854770711565</c:v>
                </c:pt>
                <c:pt idx="14">
                  <c:v>-1.1213578951955068</c:v>
                </c:pt>
                <c:pt idx="15">
                  <c:v>-1.3489956897306974</c:v>
                </c:pt>
                <c:pt idx="16">
                  <c:v>-1.5434167333247046</c:v>
                </c:pt>
                <c:pt idx="17">
                  <c:v>-1.6998337346377941</c:v>
                </c:pt>
                <c:pt idx="18">
                  <c:v>-1.8143951879793727</c:v>
                </c:pt>
                <c:pt idx="19">
                  <c:v>-1.8842802101605045</c:v>
                </c:pt>
                <c:pt idx="20">
                  <c:v>-1.9077680000000001</c:v>
                </c:pt>
                <c:pt idx="21">
                  <c:v>-1.884280210160505</c:v>
                </c:pt>
                <c:pt idx="22">
                  <c:v>-1.8143951879793729</c:v>
                </c:pt>
                <c:pt idx="23">
                  <c:v>-1.6998337346377945</c:v>
                </c:pt>
                <c:pt idx="24">
                  <c:v>-1.5434167333247051</c:v>
                </c:pt>
                <c:pt idx="25">
                  <c:v>-1.3489956897306978</c:v>
                </c:pt>
                <c:pt idx="26">
                  <c:v>-1.1213578951955072</c:v>
                </c:pt>
                <c:pt idx="27">
                  <c:v>-0.86610854770711598</c:v>
                </c:pt>
                <c:pt idx="28">
                  <c:v>-0.58953273332470502</c:v>
                </c:pt>
                <c:pt idx="29">
                  <c:v>-0.29844066650087153</c:v>
                </c:pt>
                <c:pt idx="30">
                  <c:v>-3.5059485262861623E-16</c:v>
                </c:pt>
                <c:pt idx="31">
                  <c:v>0.29844066650087081</c:v>
                </c:pt>
                <c:pt idx="32">
                  <c:v>0.58953273332470435</c:v>
                </c:pt>
                <c:pt idx="33">
                  <c:v>0.86610854770711543</c:v>
                </c:pt>
                <c:pt idx="34">
                  <c:v>1.1213578951955065</c:v>
                </c:pt>
                <c:pt idx="35">
                  <c:v>1.3489956897306972</c:v>
                </c:pt>
                <c:pt idx="36">
                  <c:v>1.5434167333247046</c:v>
                </c:pt>
                <c:pt idx="37">
                  <c:v>1.6998337346377941</c:v>
                </c:pt>
                <c:pt idx="38">
                  <c:v>1.8143951879793727</c:v>
                </c:pt>
                <c:pt idx="39">
                  <c:v>1.8842802101605045</c:v>
                </c:pt>
                <c:pt idx="40">
                  <c:v>1.9077680000000001</c:v>
                </c:pt>
              </c:numCache>
            </c:numRef>
          </c:xVal>
          <c:yVal>
            <c:numRef>
              <c:f>Calculs!$AN$277:$AN$317</c:f>
              <c:numCache>
                <c:formatCode>0.00</c:formatCode>
                <c:ptCount val="41"/>
                <c:pt idx="0">
                  <c:v>0</c:v>
                </c:pt>
                <c:pt idx="1">
                  <c:v>0.2984406665008712</c:v>
                </c:pt>
                <c:pt idx="2">
                  <c:v>0.58953273332470468</c:v>
                </c:pt>
                <c:pt idx="3">
                  <c:v>0.86610854770711565</c:v>
                </c:pt>
                <c:pt idx="4">
                  <c:v>1.121357895195507</c:v>
                </c:pt>
                <c:pt idx="5">
                  <c:v>1.3489956897306974</c:v>
                </c:pt>
                <c:pt idx="6">
                  <c:v>1.5434167333247049</c:v>
                </c:pt>
                <c:pt idx="7">
                  <c:v>1.6998337346377941</c:v>
                </c:pt>
                <c:pt idx="8">
                  <c:v>1.8143951879793727</c:v>
                </c:pt>
                <c:pt idx="9">
                  <c:v>1.884280210160505</c:v>
                </c:pt>
                <c:pt idx="10">
                  <c:v>1.9077680000000001</c:v>
                </c:pt>
                <c:pt idx="11">
                  <c:v>1.884280210160505</c:v>
                </c:pt>
                <c:pt idx="12">
                  <c:v>1.8143951879793729</c:v>
                </c:pt>
                <c:pt idx="13">
                  <c:v>1.6998337346377945</c:v>
                </c:pt>
                <c:pt idx="14">
                  <c:v>1.5434167333247049</c:v>
                </c:pt>
                <c:pt idx="15">
                  <c:v>1.3489956897306976</c:v>
                </c:pt>
                <c:pt idx="16">
                  <c:v>1.1213578951955072</c:v>
                </c:pt>
                <c:pt idx="17">
                  <c:v>0.86610854770711598</c:v>
                </c:pt>
                <c:pt idx="18">
                  <c:v>0.58953273332470491</c:v>
                </c:pt>
                <c:pt idx="19">
                  <c:v>0.29844066650087137</c:v>
                </c:pt>
                <c:pt idx="20">
                  <c:v>2.3372990175241084E-16</c:v>
                </c:pt>
                <c:pt idx="21">
                  <c:v>-0.29844066650087092</c:v>
                </c:pt>
                <c:pt idx="22">
                  <c:v>-0.58953273332470446</c:v>
                </c:pt>
                <c:pt idx="23">
                  <c:v>-0.86610854770711565</c:v>
                </c:pt>
                <c:pt idx="24">
                  <c:v>-1.1213578951955068</c:v>
                </c:pt>
                <c:pt idx="25">
                  <c:v>-1.3489956897306974</c:v>
                </c:pt>
                <c:pt idx="26">
                  <c:v>-1.5434167333247046</c:v>
                </c:pt>
                <c:pt idx="27">
                  <c:v>-1.6998337346377941</c:v>
                </c:pt>
                <c:pt idx="28">
                  <c:v>-1.8143951879793727</c:v>
                </c:pt>
                <c:pt idx="29">
                  <c:v>-1.8842802101605045</c:v>
                </c:pt>
                <c:pt idx="30">
                  <c:v>-1.9077680000000001</c:v>
                </c:pt>
                <c:pt idx="31">
                  <c:v>-1.884280210160505</c:v>
                </c:pt>
                <c:pt idx="32">
                  <c:v>-1.8143951879793729</c:v>
                </c:pt>
                <c:pt idx="33">
                  <c:v>-1.6998337346377945</c:v>
                </c:pt>
                <c:pt idx="34">
                  <c:v>-1.5434167333247051</c:v>
                </c:pt>
                <c:pt idx="35">
                  <c:v>-1.3489956897306978</c:v>
                </c:pt>
                <c:pt idx="36">
                  <c:v>-1.1213578951955074</c:v>
                </c:pt>
                <c:pt idx="37">
                  <c:v>-0.86610854770711621</c:v>
                </c:pt>
                <c:pt idx="38">
                  <c:v>-0.58953273332470513</c:v>
                </c:pt>
                <c:pt idx="39">
                  <c:v>-0.29844066650087164</c:v>
                </c:pt>
                <c:pt idx="40">
                  <c:v>-4.6745980350482168E-16</c:v>
                </c:pt>
              </c:numCache>
            </c:numRef>
          </c:yVal>
          <c:smooth val="0"/>
          <c:extLst>
            <c:ext xmlns:c16="http://schemas.microsoft.com/office/drawing/2014/chart" uri="{C3380CC4-5D6E-409C-BE32-E72D297353CC}">
              <c16:uniqueId val="{00000029-CB5A-4FD2-AFAE-82985F21A93C}"/>
            </c:ext>
          </c:extLst>
        </c:ser>
        <c:ser>
          <c:idx val="24"/>
          <c:order val="6"/>
          <c:tx>
            <c:v>Orbite Uranus</c:v>
          </c:tx>
          <c:spPr>
            <a:ln w="3175">
              <a:solidFill>
                <a:srgbClr val="FFFFFF"/>
              </a:solidFill>
              <a:prstDash val="solid"/>
            </a:ln>
          </c:spPr>
          <c:marker>
            <c:symbol val="none"/>
          </c:marker>
          <c:xVal>
            <c:numRef>
              <c:f>Calculs!$AO$277:$AO$317</c:f>
              <c:numCache>
                <c:formatCode>0.00</c:formatCode>
                <c:ptCount val="41"/>
                <c:pt idx="0">
                  <c:v>3.8363800000000001</c:v>
                </c:pt>
                <c:pt idx="1">
                  <c:v>3.7891477960923745</c:v>
                </c:pt>
                <c:pt idx="2">
                  <c:v>3.6486141979844007</c:v>
                </c:pt>
                <c:pt idx="3">
                  <c:v>3.4182396092657705</c:v>
                </c:pt>
                <c:pt idx="4">
                  <c:v>3.103696616880161</c:v>
                </c:pt>
                <c:pt idx="5">
                  <c:v>2.7127303132084473</c:v>
                </c:pt>
                <c:pt idx="6">
                  <c:v>2.2549675861897982</c:v>
                </c:pt>
                <c:pt idx="7">
                  <c:v>1.7416800733908027</c:v>
                </c:pt>
                <c:pt idx="8">
                  <c:v>1.1855066168801609</c:v>
                </c:pt>
                <c:pt idx="9">
                  <c:v>0.60014205299104117</c:v>
                </c:pt>
                <c:pt idx="10">
                  <c:v>2.350067514721166E-16</c:v>
                </c:pt>
                <c:pt idx="11">
                  <c:v>-0.60014205299104073</c:v>
                </c:pt>
                <c:pt idx="12">
                  <c:v>-1.1855066168801605</c:v>
                </c:pt>
                <c:pt idx="13">
                  <c:v>-1.741680073390802</c:v>
                </c:pt>
                <c:pt idx="14">
                  <c:v>-2.2549675861897973</c:v>
                </c:pt>
                <c:pt idx="15">
                  <c:v>-2.7127303132084468</c:v>
                </c:pt>
                <c:pt idx="16">
                  <c:v>-3.1036966168801605</c:v>
                </c:pt>
                <c:pt idx="17">
                  <c:v>-3.4182396092657705</c:v>
                </c:pt>
                <c:pt idx="18">
                  <c:v>-3.6486141979844007</c:v>
                </c:pt>
                <c:pt idx="19">
                  <c:v>-3.7891477960923741</c:v>
                </c:pt>
                <c:pt idx="20">
                  <c:v>-3.8363800000000001</c:v>
                </c:pt>
                <c:pt idx="21">
                  <c:v>-3.7891477960923745</c:v>
                </c:pt>
                <c:pt idx="22">
                  <c:v>-3.6486141979844016</c:v>
                </c:pt>
                <c:pt idx="23">
                  <c:v>-3.4182396092657705</c:v>
                </c:pt>
                <c:pt idx="24">
                  <c:v>-3.1036966168801614</c:v>
                </c:pt>
                <c:pt idx="25">
                  <c:v>-2.7127303132084482</c:v>
                </c:pt>
                <c:pt idx="26">
                  <c:v>-2.2549675861897986</c:v>
                </c:pt>
                <c:pt idx="27">
                  <c:v>-1.7416800733908031</c:v>
                </c:pt>
                <c:pt idx="28">
                  <c:v>-1.1855066168801613</c:v>
                </c:pt>
                <c:pt idx="29">
                  <c:v>-0.60014205299104151</c:v>
                </c:pt>
                <c:pt idx="30">
                  <c:v>-7.0502025441634974E-16</c:v>
                </c:pt>
                <c:pt idx="31">
                  <c:v>0.60014205299104018</c:v>
                </c:pt>
                <c:pt idx="32">
                  <c:v>1.18550661688016</c:v>
                </c:pt>
                <c:pt idx="33">
                  <c:v>1.741680073390802</c:v>
                </c:pt>
                <c:pt idx="34">
                  <c:v>2.2549675861897973</c:v>
                </c:pt>
                <c:pt idx="35">
                  <c:v>2.7127303132084464</c:v>
                </c:pt>
                <c:pt idx="36">
                  <c:v>3.1036966168801605</c:v>
                </c:pt>
                <c:pt idx="37">
                  <c:v>3.4182396092657705</c:v>
                </c:pt>
                <c:pt idx="38">
                  <c:v>3.6486141979844007</c:v>
                </c:pt>
                <c:pt idx="39">
                  <c:v>3.7891477960923741</c:v>
                </c:pt>
                <c:pt idx="40">
                  <c:v>3.8363800000000001</c:v>
                </c:pt>
              </c:numCache>
            </c:numRef>
          </c:xVal>
          <c:yVal>
            <c:numRef>
              <c:f>Calculs!$AP$277:$AP$317</c:f>
              <c:numCache>
                <c:formatCode>0.00</c:formatCode>
                <c:ptCount val="41"/>
                <c:pt idx="0">
                  <c:v>0</c:v>
                </c:pt>
                <c:pt idx="1">
                  <c:v>0.60014205299104084</c:v>
                </c:pt>
                <c:pt idx="2">
                  <c:v>1.1855066168801607</c:v>
                </c:pt>
                <c:pt idx="3">
                  <c:v>1.7416800733908024</c:v>
                </c:pt>
                <c:pt idx="4">
                  <c:v>2.2549675861897982</c:v>
                </c:pt>
                <c:pt idx="5">
                  <c:v>2.7127303132084468</c:v>
                </c:pt>
                <c:pt idx="6">
                  <c:v>3.103696616880161</c:v>
                </c:pt>
                <c:pt idx="7">
                  <c:v>3.4182396092657705</c:v>
                </c:pt>
                <c:pt idx="8">
                  <c:v>3.6486141979844007</c:v>
                </c:pt>
                <c:pt idx="9">
                  <c:v>3.7891477960923745</c:v>
                </c:pt>
                <c:pt idx="10">
                  <c:v>3.8363800000000001</c:v>
                </c:pt>
                <c:pt idx="11">
                  <c:v>3.7891477960923745</c:v>
                </c:pt>
                <c:pt idx="12">
                  <c:v>3.6486141979844016</c:v>
                </c:pt>
                <c:pt idx="13">
                  <c:v>3.4182396092657705</c:v>
                </c:pt>
                <c:pt idx="14">
                  <c:v>3.103696616880161</c:v>
                </c:pt>
                <c:pt idx="15">
                  <c:v>2.7127303132084473</c:v>
                </c:pt>
                <c:pt idx="16">
                  <c:v>2.2549675861897986</c:v>
                </c:pt>
                <c:pt idx="17">
                  <c:v>1.7416800733908027</c:v>
                </c:pt>
                <c:pt idx="18">
                  <c:v>1.1855066168801611</c:v>
                </c:pt>
                <c:pt idx="19">
                  <c:v>0.60014205299104129</c:v>
                </c:pt>
                <c:pt idx="20">
                  <c:v>4.7001350294423319E-16</c:v>
                </c:pt>
                <c:pt idx="21">
                  <c:v>-0.6001420529910404</c:v>
                </c:pt>
                <c:pt idx="22">
                  <c:v>-1.1855066168801602</c:v>
                </c:pt>
                <c:pt idx="23">
                  <c:v>-1.741680073390802</c:v>
                </c:pt>
                <c:pt idx="24">
                  <c:v>-2.2549675861897973</c:v>
                </c:pt>
                <c:pt idx="25">
                  <c:v>-2.7127303132084468</c:v>
                </c:pt>
                <c:pt idx="26">
                  <c:v>-3.1036966168801605</c:v>
                </c:pt>
                <c:pt idx="27">
                  <c:v>-3.4182396092657705</c:v>
                </c:pt>
                <c:pt idx="28">
                  <c:v>-3.6486141979844007</c:v>
                </c:pt>
                <c:pt idx="29">
                  <c:v>-3.7891477960923741</c:v>
                </c:pt>
                <c:pt idx="30">
                  <c:v>-3.8363800000000001</c:v>
                </c:pt>
                <c:pt idx="31">
                  <c:v>-3.7891477960923745</c:v>
                </c:pt>
                <c:pt idx="32">
                  <c:v>-3.6486141979844016</c:v>
                </c:pt>
                <c:pt idx="33">
                  <c:v>-3.4182396092657705</c:v>
                </c:pt>
                <c:pt idx="34">
                  <c:v>-3.1036966168801614</c:v>
                </c:pt>
                <c:pt idx="35">
                  <c:v>-2.7127303132084482</c:v>
                </c:pt>
                <c:pt idx="36">
                  <c:v>-2.2549675861897991</c:v>
                </c:pt>
                <c:pt idx="37">
                  <c:v>-1.7416800733908031</c:v>
                </c:pt>
                <c:pt idx="38">
                  <c:v>-1.1855066168801616</c:v>
                </c:pt>
                <c:pt idx="39">
                  <c:v>-0.60014205299104184</c:v>
                </c:pt>
                <c:pt idx="40">
                  <c:v>-9.4002700588846639E-16</c:v>
                </c:pt>
              </c:numCache>
            </c:numRef>
          </c:yVal>
          <c:smooth val="0"/>
          <c:extLst>
            <c:ext xmlns:c16="http://schemas.microsoft.com/office/drawing/2014/chart" uri="{C3380CC4-5D6E-409C-BE32-E72D297353CC}">
              <c16:uniqueId val="{0000002A-CB5A-4FD2-AFAE-82985F21A93C}"/>
            </c:ext>
          </c:extLst>
        </c:ser>
        <c:ser>
          <c:idx val="25"/>
          <c:order val="7"/>
          <c:tx>
            <c:v>Orbite Neptune</c:v>
          </c:tx>
          <c:spPr>
            <a:ln w="3175">
              <a:solidFill>
                <a:srgbClr val="FFFFFF"/>
              </a:solidFill>
              <a:prstDash val="solid"/>
            </a:ln>
          </c:spPr>
          <c:marker>
            <c:symbol val="none"/>
          </c:marker>
          <c:xVal>
            <c:numRef>
              <c:f>Calculs!$AQ$277:$AQ$317</c:f>
              <c:numCache>
                <c:formatCode>0.00</c:formatCode>
                <c:ptCount val="41"/>
                <c:pt idx="0">
                  <c:v>6.0115600000000002</c:v>
                </c:pt>
                <c:pt idx="1">
                  <c:v>5.9375477207881069</c:v>
                </c:pt>
                <c:pt idx="2">
                  <c:v>5.7173333110992939</c:v>
                </c:pt>
                <c:pt idx="3">
                  <c:v>5.3563391805498251</c:v>
                </c:pt>
                <c:pt idx="4">
                  <c:v>4.8634542027046592</c:v>
                </c:pt>
                <c:pt idx="5">
                  <c:v>4.2508148415098024</c:v>
                </c:pt>
                <c:pt idx="6">
                  <c:v>3.5335063112713403</c:v>
                </c:pt>
                <c:pt idx="7">
                  <c:v>2.72919112861427</c:v>
                </c:pt>
                <c:pt idx="8">
                  <c:v>1.8576742027046593</c:v>
                </c:pt>
                <c:pt idx="9">
                  <c:v>0.94041517265725061</c:v>
                </c:pt>
                <c:pt idx="10">
                  <c:v>3.6825267227952317E-16</c:v>
                </c:pt>
                <c:pt idx="11">
                  <c:v>-0.94041517265724994</c:v>
                </c:pt>
                <c:pt idx="12">
                  <c:v>-1.8576742027046587</c:v>
                </c:pt>
                <c:pt idx="13">
                  <c:v>-2.7291911286142696</c:v>
                </c:pt>
                <c:pt idx="14">
                  <c:v>-3.5335063112713394</c:v>
                </c:pt>
                <c:pt idx="15">
                  <c:v>-4.2508148415098015</c:v>
                </c:pt>
                <c:pt idx="16">
                  <c:v>-4.8634542027046592</c:v>
                </c:pt>
                <c:pt idx="17">
                  <c:v>-5.3563391805498242</c:v>
                </c:pt>
                <c:pt idx="18">
                  <c:v>-5.7173333110992939</c:v>
                </c:pt>
                <c:pt idx="19">
                  <c:v>-5.937547720788106</c:v>
                </c:pt>
                <c:pt idx="20">
                  <c:v>-6.0115600000000002</c:v>
                </c:pt>
                <c:pt idx="21">
                  <c:v>-5.9375477207881069</c:v>
                </c:pt>
                <c:pt idx="22">
                  <c:v>-5.7173333110992948</c:v>
                </c:pt>
                <c:pt idx="23">
                  <c:v>-5.3563391805498251</c:v>
                </c:pt>
                <c:pt idx="24">
                  <c:v>-4.8634542027046601</c:v>
                </c:pt>
                <c:pt idx="25">
                  <c:v>-4.2508148415098033</c:v>
                </c:pt>
                <c:pt idx="26">
                  <c:v>-3.5335063112713407</c:v>
                </c:pt>
                <c:pt idx="27">
                  <c:v>-2.7291911286142709</c:v>
                </c:pt>
                <c:pt idx="28">
                  <c:v>-1.85767420270466</c:v>
                </c:pt>
                <c:pt idx="29">
                  <c:v>-0.94041517265725139</c:v>
                </c:pt>
                <c:pt idx="30">
                  <c:v>-1.1047580168385695E-15</c:v>
                </c:pt>
                <c:pt idx="31">
                  <c:v>0.94041517265724917</c:v>
                </c:pt>
                <c:pt idx="32">
                  <c:v>1.8576742027046578</c:v>
                </c:pt>
                <c:pt idx="33">
                  <c:v>2.7291911286142692</c:v>
                </c:pt>
                <c:pt idx="34">
                  <c:v>3.5335063112713385</c:v>
                </c:pt>
                <c:pt idx="35">
                  <c:v>4.2508148415098006</c:v>
                </c:pt>
                <c:pt idx="36">
                  <c:v>4.8634542027046592</c:v>
                </c:pt>
                <c:pt idx="37">
                  <c:v>5.3563391805498242</c:v>
                </c:pt>
                <c:pt idx="38">
                  <c:v>5.7173333110992939</c:v>
                </c:pt>
                <c:pt idx="39">
                  <c:v>5.937547720788106</c:v>
                </c:pt>
                <c:pt idx="40">
                  <c:v>6.0115600000000002</c:v>
                </c:pt>
              </c:numCache>
            </c:numRef>
          </c:xVal>
          <c:yVal>
            <c:numRef>
              <c:f>Calculs!$AR$277:$AR$317</c:f>
              <c:numCache>
                <c:formatCode>0.00</c:formatCode>
                <c:ptCount val="41"/>
                <c:pt idx="0">
                  <c:v>0</c:v>
                </c:pt>
                <c:pt idx="1">
                  <c:v>0.94041517265725028</c:v>
                </c:pt>
                <c:pt idx="2">
                  <c:v>1.8576742027046589</c:v>
                </c:pt>
                <c:pt idx="3">
                  <c:v>2.7291911286142696</c:v>
                </c:pt>
                <c:pt idx="4">
                  <c:v>3.5335063112713403</c:v>
                </c:pt>
                <c:pt idx="5">
                  <c:v>4.2508148415098015</c:v>
                </c:pt>
                <c:pt idx="6">
                  <c:v>4.8634542027046592</c:v>
                </c:pt>
                <c:pt idx="7">
                  <c:v>5.3563391805498242</c:v>
                </c:pt>
                <c:pt idx="8">
                  <c:v>5.7173333110992939</c:v>
                </c:pt>
                <c:pt idx="9">
                  <c:v>5.9375477207881069</c:v>
                </c:pt>
                <c:pt idx="10">
                  <c:v>6.0115600000000002</c:v>
                </c:pt>
                <c:pt idx="11">
                  <c:v>5.9375477207881069</c:v>
                </c:pt>
                <c:pt idx="12">
                  <c:v>5.7173333110992948</c:v>
                </c:pt>
                <c:pt idx="13">
                  <c:v>5.3563391805498251</c:v>
                </c:pt>
                <c:pt idx="14">
                  <c:v>4.8634542027046592</c:v>
                </c:pt>
                <c:pt idx="15">
                  <c:v>4.2508148415098024</c:v>
                </c:pt>
                <c:pt idx="16">
                  <c:v>3.5335063112713407</c:v>
                </c:pt>
                <c:pt idx="17">
                  <c:v>2.7291911286142705</c:v>
                </c:pt>
                <c:pt idx="18">
                  <c:v>1.8576742027046595</c:v>
                </c:pt>
                <c:pt idx="19">
                  <c:v>0.94041517265725094</c:v>
                </c:pt>
                <c:pt idx="20">
                  <c:v>7.3650534455904634E-16</c:v>
                </c:pt>
                <c:pt idx="21">
                  <c:v>-0.94041517265724961</c:v>
                </c:pt>
                <c:pt idx="22">
                  <c:v>-1.8576742027046582</c:v>
                </c:pt>
                <c:pt idx="23">
                  <c:v>-2.7291911286142696</c:v>
                </c:pt>
                <c:pt idx="24">
                  <c:v>-3.5335063112713394</c:v>
                </c:pt>
                <c:pt idx="25">
                  <c:v>-4.2508148415098015</c:v>
                </c:pt>
                <c:pt idx="26">
                  <c:v>-4.8634542027046592</c:v>
                </c:pt>
                <c:pt idx="27">
                  <c:v>-5.3563391805498242</c:v>
                </c:pt>
                <c:pt idx="28">
                  <c:v>-5.7173333110992939</c:v>
                </c:pt>
                <c:pt idx="29">
                  <c:v>-5.937547720788106</c:v>
                </c:pt>
                <c:pt idx="30">
                  <c:v>-6.0115600000000002</c:v>
                </c:pt>
                <c:pt idx="31">
                  <c:v>-5.9375477207881069</c:v>
                </c:pt>
                <c:pt idx="32">
                  <c:v>-5.7173333110992948</c:v>
                </c:pt>
                <c:pt idx="33">
                  <c:v>-5.3563391805498251</c:v>
                </c:pt>
                <c:pt idx="34">
                  <c:v>-4.8634542027046601</c:v>
                </c:pt>
                <c:pt idx="35">
                  <c:v>-4.2508148415098033</c:v>
                </c:pt>
                <c:pt idx="36">
                  <c:v>-3.5335063112713416</c:v>
                </c:pt>
                <c:pt idx="37">
                  <c:v>-2.7291911286142714</c:v>
                </c:pt>
                <c:pt idx="38">
                  <c:v>-1.8576742027046604</c:v>
                </c:pt>
                <c:pt idx="39">
                  <c:v>-0.94041517265725183</c:v>
                </c:pt>
                <c:pt idx="40">
                  <c:v>-1.4730106891180927E-15</c:v>
                </c:pt>
              </c:numCache>
            </c:numRef>
          </c:yVal>
          <c:smooth val="0"/>
          <c:extLst>
            <c:ext xmlns:c16="http://schemas.microsoft.com/office/drawing/2014/chart" uri="{C3380CC4-5D6E-409C-BE32-E72D297353CC}">
              <c16:uniqueId val="{0000002B-CB5A-4FD2-AFAE-82985F21A93C}"/>
            </c:ext>
          </c:extLst>
        </c:ser>
        <c:ser>
          <c:idx val="26"/>
          <c:order val="8"/>
          <c:tx>
            <c:v>Soleil</c:v>
          </c:tx>
          <c:spPr>
            <a:ln w="28575">
              <a:noFill/>
            </a:ln>
          </c:spPr>
          <c:marker>
            <c:symbol val="none"/>
          </c:marker>
          <c:dPt>
            <c:idx val="0"/>
            <c:marker>
              <c:symbol val="picture"/>
              <c:spPr>
                <a:blipFill dpi="0" rotWithShape="0">
                  <a:blip xmlns:r="http://schemas.openxmlformats.org/officeDocument/2006/relationships" r:embed="rId1"/>
                  <a:srcRect/>
                  <a:stretch>
                    <a:fillRect/>
                  </a:stretch>
                </a:blipFill>
                <a:ln w="9525">
                  <a:noFill/>
                </a:ln>
              </c:spPr>
            </c:marker>
            <c:bubble3D val="0"/>
            <c:extLst>
              <c:ext xmlns:c16="http://schemas.microsoft.com/office/drawing/2014/chart" uri="{C3380CC4-5D6E-409C-BE32-E72D297353CC}">
                <c16:uniqueId val="{00000001-54F2-4135-859B-15B085FF2996}"/>
              </c:ext>
            </c:extLst>
          </c:dPt>
          <c:xVal>
            <c:numRef>
              <c:f>Calculs!$R$277</c:f>
              <c:numCache>
                <c:formatCode>0.00</c:formatCode>
                <c:ptCount val="1"/>
                <c:pt idx="0">
                  <c:v>0</c:v>
                </c:pt>
              </c:numCache>
            </c:numRef>
          </c:xVal>
          <c:yVal>
            <c:numRef>
              <c:f>Calculs!$S$277</c:f>
              <c:numCache>
                <c:formatCode>0.00</c:formatCode>
                <c:ptCount val="1"/>
                <c:pt idx="0">
                  <c:v>0</c:v>
                </c:pt>
              </c:numCache>
            </c:numRef>
          </c:yVal>
          <c:smooth val="0"/>
          <c:extLst>
            <c:ext xmlns:c16="http://schemas.microsoft.com/office/drawing/2014/chart" uri="{C3380CC4-5D6E-409C-BE32-E72D297353CC}">
              <c16:uniqueId val="{0000002C-CB5A-4FD2-AFAE-82985F21A93C}"/>
            </c:ext>
          </c:extLst>
        </c:ser>
        <c:ser>
          <c:idx val="27"/>
          <c:order val="9"/>
          <c:tx>
            <c:v>Mercure</c:v>
          </c:tx>
          <c:spPr>
            <a:ln w="28575">
              <a:noFill/>
            </a:ln>
          </c:spPr>
          <c:marker>
            <c:symbol val="none"/>
          </c:marker>
          <c:dPt>
            <c:idx val="0"/>
            <c:marker>
              <c:symbol val="picture"/>
              <c:spPr>
                <a:blipFill dpi="0" rotWithShape="0">
                  <a:blip xmlns:r="http://schemas.openxmlformats.org/officeDocument/2006/relationships" r:embed="rId2"/>
                  <a:srcRect/>
                  <a:stretch>
                    <a:fillRect/>
                  </a:stretch>
                </a:blipFill>
                <a:ln w="9525">
                  <a:noFill/>
                </a:ln>
              </c:spPr>
            </c:marker>
            <c:bubble3D val="0"/>
            <c:extLst>
              <c:ext xmlns:c16="http://schemas.microsoft.com/office/drawing/2014/chart" uri="{C3380CC4-5D6E-409C-BE32-E72D297353CC}">
                <c16:uniqueId val="{00000003-54F2-4135-859B-15B085FF2996}"/>
              </c:ext>
            </c:extLst>
          </c:dPt>
          <c:xVal>
            <c:numRef>
              <c:f>Calculs!$R$278</c:f>
              <c:numCache>
                <c:formatCode>0.00</c:formatCode>
                <c:ptCount val="1"/>
                <c:pt idx="0">
                  <c:v>-5.8721841124374945E-2</c:v>
                </c:pt>
              </c:numCache>
            </c:numRef>
          </c:xVal>
          <c:yVal>
            <c:numRef>
              <c:f>Calculs!$S$278</c:f>
              <c:numCache>
                <c:formatCode>0.00</c:formatCode>
                <c:ptCount val="1"/>
                <c:pt idx="0">
                  <c:v>-5.0453650086031136E-2</c:v>
                </c:pt>
              </c:numCache>
            </c:numRef>
          </c:yVal>
          <c:smooth val="0"/>
          <c:extLst>
            <c:ext xmlns:c16="http://schemas.microsoft.com/office/drawing/2014/chart" uri="{C3380CC4-5D6E-409C-BE32-E72D297353CC}">
              <c16:uniqueId val="{0000002D-CB5A-4FD2-AFAE-82985F21A93C}"/>
            </c:ext>
          </c:extLst>
        </c:ser>
        <c:ser>
          <c:idx val="28"/>
          <c:order val="10"/>
          <c:tx>
            <c:v>Vénus</c:v>
          </c:tx>
          <c:spPr>
            <a:ln w="28575">
              <a:noFill/>
            </a:ln>
          </c:spPr>
          <c:marker>
            <c:symbol val="none"/>
          </c:marker>
          <c:dPt>
            <c:idx val="0"/>
            <c:marker>
              <c:symbol val="picture"/>
              <c:spPr>
                <a:blipFill dpi="0" rotWithShape="0">
                  <a:blip xmlns:r="http://schemas.openxmlformats.org/officeDocument/2006/relationships" r:embed="rId3"/>
                  <a:srcRect/>
                  <a:stretch>
                    <a:fillRect/>
                  </a:stretch>
                </a:blipFill>
                <a:ln w="9525">
                  <a:noFill/>
                </a:ln>
              </c:spPr>
            </c:marker>
            <c:bubble3D val="0"/>
            <c:extLst>
              <c:ext xmlns:c16="http://schemas.microsoft.com/office/drawing/2014/chart" uri="{C3380CC4-5D6E-409C-BE32-E72D297353CC}">
                <c16:uniqueId val="{00000005-54F2-4135-859B-15B085FF2996}"/>
              </c:ext>
            </c:extLst>
          </c:dPt>
          <c:xVal>
            <c:numRef>
              <c:f>Calculs!$R$279</c:f>
              <c:numCache>
                <c:formatCode>0.00</c:formatCode>
                <c:ptCount val="1"/>
                <c:pt idx="0">
                  <c:v>9.1533160008344175E-2</c:v>
                </c:pt>
              </c:numCache>
            </c:numRef>
          </c:xVal>
          <c:yVal>
            <c:numRef>
              <c:f>Calculs!$S$279</c:f>
              <c:numCache>
                <c:formatCode>0.00</c:formatCode>
                <c:ptCount val="1"/>
                <c:pt idx="0">
                  <c:v>0.11202699633502125</c:v>
                </c:pt>
              </c:numCache>
            </c:numRef>
          </c:yVal>
          <c:smooth val="0"/>
          <c:extLst>
            <c:ext xmlns:c16="http://schemas.microsoft.com/office/drawing/2014/chart" uri="{C3380CC4-5D6E-409C-BE32-E72D297353CC}">
              <c16:uniqueId val="{0000002E-CB5A-4FD2-AFAE-82985F21A93C}"/>
            </c:ext>
          </c:extLst>
        </c:ser>
        <c:ser>
          <c:idx val="29"/>
          <c:order val="11"/>
          <c:tx>
            <c:v>Terre</c:v>
          </c:tx>
          <c:spPr>
            <a:ln w="28575">
              <a:noFill/>
            </a:ln>
          </c:spPr>
          <c:marker>
            <c:symbol val="none"/>
          </c:marker>
          <c:dPt>
            <c:idx val="0"/>
            <c:marker>
              <c:symbol val="picture"/>
              <c:spPr>
                <a:blipFill dpi="0" rotWithShape="0">
                  <a:blip xmlns:r="http://schemas.openxmlformats.org/officeDocument/2006/relationships" r:embed="rId4"/>
                  <a:srcRect/>
                  <a:stretch>
                    <a:fillRect/>
                  </a:stretch>
                </a:blipFill>
                <a:ln w="9525">
                  <a:noFill/>
                </a:ln>
              </c:spPr>
            </c:marker>
            <c:bubble3D val="0"/>
            <c:extLst>
              <c:ext xmlns:c16="http://schemas.microsoft.com/office/drawing/2014/chart" uri="{C3380CC4-5D6E-409C-BE32-E72D297353CC}">
                <c16:uniqueId val="{00000006-54F2-4135-859B-15B085FF2996}"/>
              </c:ext>
            </c:extLst>
          </c:dPt>
          <c:xVal>
            <c:numRef>
              <c:f>Calculs!$R$280</c:f>
              <c:numCache>
                <c:formatCode>0.00</c:formatCode>
                <c:ptCount val="1"/>
                <c:pt idx="0">
                  <c:v>-0.19965971350524656</c:v>
                </c:pt>
              </c:numCache>
            </c:numRef>
          </c:xVal>
          <c:yVal>
            <c:numRef>
              <c:f>Calculs!$S$280</c:f>
              <c:numCache>
                <c:formatCode>0.00</c:formatCode>
                <c:ptCount val="1"/>
                <c:pt idx="0">
                  <c:v>-1.166185246874935E-2</c:v>
                </c:pt>
              </c:numCache>
            </c:numRef>
          </c:yVal>
          <c:smooth val="0"/>
          <c:extLst>
            <c:ext xmlns:c16="http://schemas.microsoft.com/office/drawing/2014/chart" uri="{C3380CC4-5D6E-409C-BE32-E72D297353CC}">
              <c16:uniqueId val="{0000002F-CB5A-4FD2-AFAE-82985F21A93C}"/>
            </c:ext>
          </c:extLst>
        </c:ser>
        <c:ser>
          <c:idx val="30"/>
          <c:order val="12"/>
          <c:tx>
            <c:v>Lune</c:v>
          </c:tx>
          <c:marker>
            <c:symbol val="none"/>
          </c:marker>
          <c:dPt>
            <c:idx val="0"/>
            <c:marker>
              <c:symbol val="picture"/>
              <c:spPr>
                <a:blipFill>
                  <a:blip xmlns:r="http://schemas.openxmlformats.org/officeDocument/2006/relationships" r:embed="rId5"/>
                  <a:stretch>
                    <a:fillRect/>
                  </a:stretch>
                </a:blipFill>
                <a:ln w="25400">
                  <a:noFill/>
                </a:ln>
              </c:spPr>
            </c:marker>
            <c:bubble3D val="0"/>
            <c:extLst>
              <c:ext xmlns:c16="http://schemas.microsoft.com/office/drawing/2014/chart" uri="{C3380CC4-5D6E-409C-BE32-E72D297353CC}">
                <c16:uniqueId val="{00000008-54F2-4135-859B-15B085FF2996}"/>
              </c:ext>
            </c:extLst>
          </c:dPt>
          <c:xVal>
            <c:numRef>
              <c:f>Calculs!$Y$290</c:f>
              <c:numCache>
                <c:formatCode>0.00</c:formatCode>
                <c:ptCount val="1"/>
                <c:pt idx="0">
                  <c:v>1000000</c:v>
                </c:pt>
              </c:numCache>
            </c:numRef>
          </c:xVal>
          <c:yVal>
            <c:numRef>
              <c:f>Calculs!$Z$290</c:f>
              <c:numCache>
                <c:formatCode>0.00</c:formatCode>
                <c:ptCount val="1"/>
                <c:pt idx="0">
                  <c:v>1000000</c:v>
                </c:pt>
              </c:numCache>
            </c:numRef>
          </c:yVal>
          <c:smooth val="0"/>
          <c:extLst>
            <c:ext xmlns:c16="http://schemas.microsoft.com/office/drawing/2014/chart" uri="{C3380CC4-5D6E-409C-BE32-E72D297353CC}">
              <c16:uniqueId val="{00000030-CB5A-4FD2-AFAE-82985F21A93C}"/>
            </c:ext>
          </c:extLst>
        </c:ser>
        <c:ser>
          <c:idx val="31"/>
          <c:order val="13"/>
          <c:tx>
            <c:v>Mars</c:v>
          </c:tx>
          <c:spPr>
            <a:ln w="28575">
              <a:noFill/>
            </a:ln>
          </c:spPr>
          <c:marker>
            <c:symbol val="none"/>
          </c:marker>
          <c:dPt>
            <c:idx val="0"/>
            <c:marker>
              <c:symbol val="picture"/>
              <c:spPr>
                <a:blipFill dpi="0" rotWithShape="0">
                  <a:blip xmlns:r="http://schemas.openxmlformats.org/officeDocument/2006/relationships" r:embed="rId6"/>
                  <a:srcRect/>
                  <a:stretch>
                    <a:fillRect/>
                  </a:stretch>
                </a:blipFill>
                <a:ln w="9525">
                  <a:noFill/>
                </a:ln>
              </c:spPr>
            </c:marker>
            <c:bubble3D val="0"/>
            <c:extLst>
              <c:ext xmlns:c16="http://schemas.microsoft.com/office/drawing/2014/chart" uri="{C3380CC4-5D6E-409C-BE32-E72D297353CC}">
                <c16:uniqueId val="{0000000A-54F2-4135-859B-15B085FF2996}"/>
              </c:ext>
            </c:extLst>
          </c:dPt>
          <c:xVal>
            <c:numRef>
              <c:f>Calculs!$R$281</c:f>
              <c:numCache>
                <c:formatCode>0.00</c:formatCode>
                <c:ptCount val="1"/>
                <c:pt idx="0">
                  <c:v>0.29086319635264596</c:v>
                </c:pt>
              </c:numCache>
            </c:numRef>
          </c:xVal>
          <c:yVal>
            <c:numRef>
              <c:f>Calculs!$S$281</c:f>
              <c:numCache>
                <c:formatCode>0.00</c:formatCode>
                <c:ptCount val="1"/>
                <c:pt idx="0">
                  <c:v>-9.0906388921582953E-2</c:v>
                </c:pt>
              </c:numCache>
            </c:numRef>
          </c:yVal>
          <c:smooth val="0"/>
          <c:extLst>
            <c:ext xmlns:c16="http://schemas.microsoft.com/office/drawing/2014/chart" uri="{C3380CC4-5D6E-409C-BE32-E72D297353CC}">
              <c16:uniqueId val="{00000031-CB5A-4FD2-AFAE-82985F21A93C}"/>
            </c:ext>
          </c:extLst>
        </c:ser>
        <c:ser>
          <c:idx val="32"/>
          <c:order val="14"/>
          <c:tx>
            <c:v>Jupiter</c:v>
          </c:tx>
          <c:spPr>
            <a:ln w="28575">
              <a:noFill/>
            </a:ln>
          </c:spPr>
          <c:marker>
            <c:symbol val="none"/>
          </c:marker>
          <c:dPt>
            <c:idx val="0"/>
            <c:marker>
              <c:symbol val="picture"/>
              <c:spPr>
                <a:blipFill dpi="0" rotWithShape="0">
                  <a:blip xmlns:r="http://schemas.openxmlformats.org/officeDocument/2006/relationships" r:embed="rId7"/>
                  <a:srcRect/>
                  <a:stretch>
                    <a:fillRect/>
                  </a:stretch>
                </a:blipFill>
                <a:ln w="9525">
                  <a:noFill/>
                </a:ln>
              </c:spPr>
            </c:marker>
            <c:bubble3D val="0"/>
            <c:extLst>
              <c:ext xmlns:c16="http://schemas.microsoft.com/office/drawing/2014/chart" uri="{C3380CC4-5D6E-409C-BE32-E72D297353CC}">
                <c16:uniqueId val="{0000000B-54F2-4135-859B-15B085FF2996}"/>
              </c:ext>
            </c:extLst>
          </c:dPt>
          <c:xVal>
            <c:numRef>
              <c:f>Calculs!$R$282</c:f>
              <c:numCache>
                <c:formatCode>0.00</c:formatCode>
                <c:ptCount val="1"/>
                <c:pt idx="0">
                  <c:v>-0.35077544618862216</c:v>
                </c:pt>
              </c:numCache>
            </c:numRef>
          </c:xVal>
          <c:yVal>
            <c:numRef>
              <c:f>Calculs!$S$282</c:f>
              <c:numCache>
                <c:formatCode>0.00</c:formatCode>
                <c:ptCount val="1"/>
                <c:pt idx="0">
                  <c:v>0.97965450472272786</c:v>
                </c:pt>
              </c:numCache>
            </c:numRef>
          </c:yVal>
          <c:smooth val="0"/>
          <c:extLst>
            <c:ext xmlns:c16="http://schemas.microsoft.com/office/drawing/2014/chart" uri="{C3380CC4-5D6E-409C-BE32-E72D297353CC}">
              <c16:uniqueId val="{00000032-CB5A-4FD2-AFAE-82985F21A93C}"/>
            </c:ext>
          </c:extLst>
        </c:ser>
        <c:ser>
          <c:idx val="33"/>
          <c:order val="15"/>
          <c:tx>
            <c:v>Saturne</c:v>
          </c:tx>
          <c:spPr>
            <a:ln w="28575">
              <a:noFill/>
            </a:ln>
          </c:spPr>
          <c:marker>
            <c:symbol val="picture"/>
            <c:spPr>
              <a:blipFill>
                <a:blip xmlns:r="http://schemas.openxmlformats.org/officeDocument/2006/relationships" r:embed="rId8"/>
                <a:stretch>
                  <a:fillRect/>
                </a:stretch>
              </a:blipFill>
              <a:ln w="6350">
                <a:noFill/>
              </a:ln>
            </c:spPr>
          </c:marker>
          <c:dPt>
            <c:idx val="0"/>
            <c:marker>
              <c:spPr>
                <a:blipFill dpi="0" rotWithShape="0">
                  <a:blip xmlns:r="http://schemas.openxmlformats.org/officeDocument/2006/relationships" r:embed="rId9"/>
                  <a:srcRect/>
                  <a:stretch>
                    <a:fillRect/>
                  </a:stretch>
                </a:blipFill>
                <a:ln w="9525">
                  <a:noFill/>
                </a:ln>
              </c:spPr>
            </c:marker>
            <c:bubble3D val="0"/>
            <c:extLst>
              <c:ext xmlns:c16="http://schemas.microsoft.com/office/drawing/2014/chart" uri="{C3380CC4-5D6E-409C-BE32-E72D297353CC}">
                <c16:uniqueId val="{0000000C-54F2-4135-859B-15B085FF2996}"/>
              </c:ext>
            </c:extLst>
          </c:dPt>
          <c:xVal>
            <c:numRef>
              <c:f>Calculs!$R$283</c:f>
              <c:numCache>
                <c:formatCode>0.00</c:formatCode>
                <c:ptCount val="1"/>
                <c:pt idx="0">
                  <c:v>1.8749877239553894</c:v>
                </c:pt>
              </c:numCache>
            </c:numRef>
          </c:xVal>
          <c:yVal>
            <c:numRef>
              <c:f>Calculs!$S$283</c:f>
              <c:numCache>
                <c:formatCode>0.00</c:formatCode>
                <c:ptCount val="1"/>
                <c:pt idx="0">
                  <c:v>0.35213602036796754</c:v>
                </c:pt>
              </c:numCache>
            </c:numRef>
          </c:yVal>
          <c:smooth val="0"/>
          <c:extLst>
            <c:ext xmlns:c16="http://schemas.microsoft.com/office/drawing/2014/chart" uri="{C3380CC4-5D6E-409C-BE32-E72D297353CC}">
              <c16:uniqueId val="{00000033-CB5A-4FD2-AFAE-82985F21A93C}"/>
            </c:ext>
          </c:extLst>
        </c:ser>
        <c:ser>
          <c:idx val="34"/>
          <c:order val="16"/>
          <c:tx>
            <c:v>Uranus</c:v>
          </c:tx>
          <c:spPr>
            <a:ln w="28575">
              <a:noFill/>
            </a:ln>
          </c:spPr>
          <c:marker>
            <c:symbol val="picture"/>
            <c:spPr>
              <a:blipFill>
                <a:blip xmlns:r="http://schemas.openxmlformats.org/officeDocument/2006/relationships" r:embed="rId10"/>
                <a:stretch>
                  <a:fillRect/>
                </a:stretch>
              </a:blipFill>
              <a:ln w="6350">
                <a:noFill/>
              </a:ln>
            </c:spPr>
          </c:marker>
          <c:dPt>
            <c:idx val="0"/>
            <c:marker>
              <c:spPr>
                <a:blipFill dpi="0" rotWithShape="0">
                  <a:blip xmlns:r="http://schemas.openxmlformats.org/officeDocument/2006/relationships" r:embed="rId11"/>
                  <a:srcRect/>
                  <a:stretch>
                    <a:fillRect/>
                  </a:stretch>
                </a:blipFill>
                <a:ln w="9525">
                  <a:noFill/>
                </a:ln>
              </c:spPr>
            </c:marker>
            <c:bubble3D val="0"/>
            <c:extLst>
              <c:ext xmlns:c16="http://schemas.microsoft.com/office/drawing/2014/chart" uri="{C3380CC4-5D6E-409C-BE32-E72D297353CC}">
                <c16:uniqueId val="{0000000D-54F2-4135-859B-15B085FF2996}"/>
              </c:ext>
            </c:extLst>
          </c:dPt>
          <c:xVal>
            <c:numRef>
              <c:f>Calculs!$R$284</c:f>
              <c:numCache>
                <c:formatCode>0.00</c:formatCode>
                <c:ptCount val="1"/>
                <c:pt idx="0">
                  <c:v>1.6222261019358031</c:v>
                </c:pt>
              </c:numCache>
            </c:numRef>
          </c:xVal>
          <c:yVal>
            <c:numRef>
              <c:f>Calculs!$S$284</c:f>
              <c:numCache>
                <c:formatCode>0.00</c:formatCode>
                <c:ptCount val="1"/>
                <c:pt idx="0">
                  <c:v>3.4765203837455303</c:v>
                </c:pt>
              </c:numCache>
            </c:numRef>
          </c:yVal>
          <c:smooth val="0"/>
          <c:extLst>
            <c:ext xmlns:c16="http://schemas.microsoft.com/office/drawing/2014/chart" uri="{C3380CC4-5D6E-409C-BE32-E72D297353CC}">
              <c16:uniqueId val="{00000034-CB5A-4FD2-AFAE-82985F21A93C}"/>
            </c:ext>
          </c:extLst>
        </c:ser>
        <c:ser>
          <c:idx val="35"/>
          <c:order val="17"/>
          <c:tx>
            <c:v>Neptune</c:v>
          </c:tx>
          <c:spPr>
            <a:ln w="28575">
              <a:noFill/>
            </a:ln>
          </c:spPr>
          <c:marker>
            <c:symbol val="picture"/>
            <c:spPr>
              <a:blipFill>
                <a:blip xmlns:r="http://schemas.openxmlformats.org/officeDocument/2006/relationships" r:embed="rId12"/>
                <a:stretch>
                  <a:fillRect/>
                </a:stretch>
              </a:blipFill>
              <a:ln w="6350">
                <a:noFill/>
              </a:ln>
            </c:spPr>
          </c:marker>
          <c:dPt>
            <c:idx val="0"/>
            <c:marker>
              <c:spPr>
                <a:blipFill dpi="0" rotWithShape="0">
                  <a:blip xmlns:r="http://schemas.openxmlformats.org/officeDocument/2006/relationships" r:embed="rId13"/>
                  <a:srcRect/>
                  <a:stretch>
                    <a:fillRect/>
                  </a:stretch>
                </a:blipFill>
                <a:ln w="9525">
                  <a:noFill/>
                </a:ln>
              </c:spPr>
            </c:marker>
            <c:bubble3D val="0"/>
            <c:extLst>
              <c:ext xmlns:c16="http://schemas.microsoft.com/office/drawing/2014/chart" uri="{C3380CC4-5D6E-409C-BE32-E72D297353CC}">
                <c16:uniqueId val="{0000000F-54F2-4135-859B-15B085FF2996}"/>
              </c:ext>
            </c:extLst>
          </c:dPt>
          <c:xVal>
            <c:numRef>
              <c:f>Calculs!$R$285</c:f>
              <c:numCache>
                <c:formatCode>0.00</c:formatCode>
                <c:ptCount val="1"/>
                <c:pt idx="0">
                  <c:v>5.9930208342970426</c:v>
                </c:pt>
              </c:numCache>
            </c:numRef>
          </c:xVal>
          <c:yVal>
            <c:numRef>
              <c:f>Calculs!$S$285</c:f>
              <c:numCache>
                <c:formatCode>0.00</c:formatCode>
                <c:ptCount val="1"/>
                <c:pt idx="0">
                  <c:v>0.4717572609738836</c:v>
                </c:pt>
              </c:numCache>
            </c:numRef>
          </c:yVal>
          <c:smooth val="0"/>
          <c:extLst>
            <c:ext xmlns:c16="http://schemas.microsoft.com/office/drawing/2014/chart" uri="{C3380CC4-5D6E-409C-BE32-E72D297353CC}">
              <c16:uniqueId val="{00000035-CB5A-4FD2-AFAE-82985F21A93C}"/>
            </c:ext>
          </c:extLst>
        </c:ser>
        <c:dLbls>
          <c:showLegendKey val="0"/>
          <c:showVal val="0"/>
          <c:showCatName val="0"/>
          <c:showSerName val="0"/>
          <c:showPercent val="0"/>
          <c:showBubbleSize val="0"/>
        </c:dLbls>
        <c:axId val="692291288"/>
        <c:axId val="692290504"/>
      </c:scatterChart>
      <c:valAx>
        <c:axId val="692291288"/>
        <c:scaling>
          <c:orientation val="minMax"/>
          <c:max val="1"/>
          <c:min val="-1"/>
        </c:scaling>
        <c:delete val="1"/>
        <c:axPos val="b"/>
        <c:numFmt formatCode="0.00" sourceLinked="1"/>
        <c:majorTickMark val="out"/>
        <c:minorTickMark val="none"/>
        <c:tickLblPos val="nextTo"/>
        <c:crossAx val="692290504"/>
        <c:crossesAt val="0"/>
        <c:crossBetween val="midCat"/>
        <c:majorUnit val="0.5"/>
        <c:minorUnit val="0.1"/>
      </c:valAx>
      <c:valAx>
        <c:axId val="692290504"/>
        <c:scaling>
          <c:orientation val="minMax"/>
          <c:max val="1"/>
          <c:min val="-1"/>
        </c:scaling>
        <c:delete val="1"/>
        <c:axPos val="l"/>
        <c:numFmt formatCode="0.00" sourceLinked="1"/>
        <c:majorTickMark val="out"/>
        <c:minorTickMark val="none"/>
        <c:tickLblPos val="nextTo"/>
        <c:crossAx val="692291288"/>
        <c:crossesAt val="0"/>
        <c:crossBetween val="midCat"/>
        <c:majorUnit val="0.5"/>
        <c:minorUnit val="0.1"/>
      </c:valAx>
      <c:spPr>
        <a:solidFill>
          <a:srgbClr val="000000"/>
        </a:solidFill>
        <a:ln w="25400">
          <a:noFill/>
        </a:ln>
      </c:spPr>
    </c:plotArea>
    <c:plotVisOnly val="0"/>
    <c:dispBlanksAs val="gap"/>
    <c:showDLblsOverMax val="0"/>
  </c:chart>
  <c:spPr>
    <a:solidFill>
      <a:srgbClr val="FFFFFF"/>
    </a:solidFill>
    <a:ln w="9525">
      <a:noFill/>
    </a:ln>
  </c:spPr>
  <c:txPr>
    <a:bodyPr/>
    <a:lstStyle/>
    <a:p>
      <a:pPr>
        <a:defRPr sz="1000" b="0" i="0" u="none" strike="noStrike" baseline="0">
          <a:solidFill>
            <a:srgbClr val="000000"/>
          </a:solidFill>
          <a:latin typeface="MS Sans Serif"/>
          <a:ea typeface="MS Sans Serif"/>
          <a:cs typeface="MS Sans Serif"/>
        </a:defRPr>
      </a:pPr>
      <a:endParaRPr lang="fr-FR"/>
    </a:p>
  </c:txPr>
  <c:printSettings>
    <c:headerFooter alignWithMargins="0">
      <c:oddHeader>&amp;F</c:oddHeader>
      <c:oddFooter>Page &amp;P</c:oddFooter>
    </c:headerFooter>
    <c:pageMargins b="0.98425196899999967" l="0.78740157499999996" r="0.78740157499999996" t="0.98425196899999967" header="0.49212598450000017" footer="0.49212598450000017"/>
    <c:pageSetup paperSize="9" orientation="portrait" horizontalDpi="360" verticalDpi="360"/>
  </c:printSettings>
  <c:userShapes r:id="rId14"/>
</c:chartSpace>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_rels/drawing3.xml.rels><?xml version="1.0" encoding="UTF-8" standalone="yes"?>
<Relationships xmlns="http://schemas.openxmlformats.org/package/2006/relationships"><Relationship Id="rId1" Type="http://schemas.openxmlformats.org/officeDocument/2006/relationships/chart" Target="../charts/chart2.xml"/></Relationships>
</file>

<file path=xl/drawings/_rels/drawing5.xml.rels><?xml version="1.0" encoding="UTF-8" standalone="yes"?>
<Relationships xmlns="http://schemas.openxmlformats.org/package/2006/relationships"><Relationship Id="rId1" Type="http://schemas.openxmlformats.org/officeDocument/2006/relationships/chart" Target="../charts/chart3.xml"/></Relationships>
</file>

<file path=xl/drawings/_rels/drawing7.xml.rels><?xml version="1.0" encoding="UTF-8" standalone="yes"?>
<Relationships xmlns="http://schemas.openxmlformats.org/package/2006/relationships"><Relationship Id="rId8" Type="http://schemas.openxmlformats.org/officeDocument/2006/relationships/image" Target="../media/image32.png"/><Relationship Id="rId3" Type="http://schemas.openxmlformats.org/officeDocument/2006/relationships/image" Target="../media/image27.png"/><Relationship Id="rId7" Type="http://schemas.openxmlformats.org/officeDocument/2006/relationships/image" Target="../media/image31.png"/><Relationship Id="rId2" Type="http://schemas.openxmlformats.org/officeDocument/2006/relationships/image" Target="../media/image26.png"/><Relationship Id="rId1" Type="http://schemas.openxmlformats.org/officeDocument/2006/relationships/image" Target="../media/image25.png"/><Relationship Id="rId6" Type="http://schemas.openxmlformats.org/officeDocument/2006/relationships/image" Target="../media/image30.png"/><Relationship Id="rId5" Type="http://schemas.openxmlformats.org/officeDocument/2006/relationships/image" Target="../media/image29.png"/><Relationship Id="rId10" Type="http://schemas.openxmlformats.org/officeDocument/2006/relationships/image" Target="../media/image34.png"/><Relationship Id="rId4" Type="http://schemas.openxmlformats.org/officeDocument/2006/relationships/image" Target="../media/image28.png"/><Relationship Id="rId9" Type="http://schemas.openxmlformats.org/officeDocument/2006/relationships/image" Target="../media/image33.png"/></Relationships>
</file>

<file path=xl/drawings/drawing1.xml><?xml version="1.0" encoding="utf-8"?>
<xdr:wsDr xmlns:xdr="http://schemas.openxmlformats.org/drawingml/2006/spreadsheetDrawing" xmlns:a="http://schemas.openxmlformats.org/drawingml/2006/main">
  <xdr:twoCellAnchor>
    <xdr:from>
      <xdr:col>1</xdr:col>
      <xdr:colOff>0</xdr:colOff>
      <xdr:row>0</xdr:row>
      <xdr:rowOff>76200</xdr:rowOff>
    </xdr:from>
    <xdr:to>
      <xdr:col>10</xdr:col>
      <xdr:colOff>209550</xdr:colOff>
      <xdr:row>33</xdr:row>
      <xdr:rowOff>19050</xdr:rowOff>
    </xdr:to>
    <xdr:graphicFrame macro="">
      <xdr:nvGraphicFramePr>
        <xdr:cNvPr id="2" name="Chart 1">
          <a:extLst>
            <a:ext uri="{FF2B5EF4-FFF2-40B4-BE49-F238E27FC236}">
              <a16:creationId xmlns:a16="http://schemas.microsoft.com/office/drawing/2014/main" id="{00000000-0008-0000-0000-00000AE4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2.xml><?xml version="1.0" encoding="utf-8"?>
<c:userShapes xmlns:c="http://schemas.openxmlformats.org/drawingml/2006/chart">
  <cdr:relSizeAnchor xmlns:cdr="http://schemas.openxmlformats.org/drawingml/2006/chartDrawing">
    <cdr:from>
      <cdr:x>0.39873</cdr:x>
      <cdr:y>0.0718</cdr:y>
    </cdr:from>
    <cdr:to>
      <cdr:x>0.43948</cdr:x>
      <cdr:y>0.12801</cdr:y>
    </cdr:to>
    <cdr:sp macro="" textlink="">
      <cdr:nvSpPr>
        <cdr:cNvPr id="2049" name="Texte 1"/>
        <cdr:cNvSpPr txBox="1">
          <a:spLocks xmlns:a="http://schemas.openxmlformats.org/drawingml/2006/main" noChangeArrowheads="1"/>
        </cdr:cNvSpPr>
      </cdr:nvSpPr>
      <cdr:spPr bwMode="auto">
        <a:xfrm xmlns:a="http://schemas.openxmlformats.org/drawingml/2006/main">
          <a:off x="3170619" y="435191"/>
          <a:ext cx="323754" cy="389449"/>
        </a:xfrm>
        <a:prstGeom xmlns:a="http://schemas.openxmlformats.org/drawingml/2006/main" prst="rect">
          <a:avLst/>
        </a:prstGeom>
        <a:noFill xmlns:a="http://schemas.openxmlformats.org/drawingml/2006/main"/>
        <a:ln xmlns:a="http://schemas.openxmlformats.org/drawingml/2006/main" w="1">
          <a:noFill/>
          <a:miter lim="800000"/>
          <a:headEnd/>
          <a:tailEnd/>
        </a:ln>
      </cdr:spPr>
      <cdr:txBody>
        <a:bodyPr xmlns:a="http://schemas.openxmlformats.org/drawingml/2006/main" vertOverflow="clip" wrap="square" lIns="27432" tIns="22860" rIns="27432" bIns="22860" anchor="ctr" upright="1"/>
        <a:lstStyle xmlns:a="http://schemas.openxmlformats.org/drawingml/2006/main"/>
        <a:p xmlns:a="http://schemas.openxmlformats.org/drawingml/2006/main">
          <a:pPr algn="ctr" rtl="0">
            <a:defRPr sz="1000"/>
          </a:pPr>
          <a:r>
            <a:rPr lang="fr-FR" sz="900" b="1" i="0" strike="noStrike">
              <a:solidFill>
                <a:srgbClr val="FFFFFF"/>
              </a:solidFill>
              <a:latin typeface="Arial"/>
              <a:cs typeface="Arial"/>
            </a:rPr>
            <a:t>N</a:t>
          </a:r>
        </a:p>
      </cdr:txBody>
    </cdr:sp>
  </cdr:relSizeAnchor>
  <cdr:relSizeAnchor xmlns:cdr="http://schemas.openxmlformats.org/drawingml/2006/chartDrawing">
    <cdr:from>
      <cdr:x>0.00995</cdr:x>
      <cdr:y>0.51701</cdr:y>
    </cdr:from>
    <cdr:to>
      <cdr:x>0.05663</cdr:x>
      <cdr:y>0.57297</cdr:y>
    </cdr:to>
    <cdr:sp macro="" textlink="">
      <cdr:nvSpPr>
        <cdr:cNvPr id="2051" name="Texte 3"/>
        <cdr:cNvSpPr txBox="1">
          <a:spLocks xmlns:a="http://schemas.openxmlformats.org/drawingml/2006/main" noChangeArrowheads="1"/>
        </cdr:cNvSpPr>
      </cdr:nvSpPr>
      <cdr:spPr bwMode="auto">
        <a:xfrm xmlns:a="http://schemas.openxmlformats.org/drawingml/2006/main">
          <a:off x="80232" y="3512004"/>
          <a:ext cx="370847" cy="391135"/>
        </a:xfrm>
        <a:prstGeom xmlns:a="http://schemas.openxmlformats.org/drawingml/2006/main" prst="rect">
          <a:avLst/>
        </a:prstGeom>
        <a:noFill xmlns:a="http://schemas.openxmlformats.org/drawingml/2006/main"/>
        <a:ln xmlns:a="http://schemas.openxmlformats.org/drawingml/2006/main" w="1">
          <a:noFill/>
          <a:miter lim="800000"/>
          <a:headEnd/>
          <a:tailEnd/>
        </a:ln>
      </cdr:spPr>
      <cdr:txBody>
        <a:bodyPr xmlns:a="http://schemas.openxmlformats.org/drawingml/2006/main" vertOverflow="clip" wrap="square" lIns="27432" tIns="22860" rIns="27432" bIns="22860" anchor="ctr" upright="1"/>
        <a:lstStyle xmlns:a="http://schemas.openxmlformats.org/drawingml/2006/main"/>
        <a:p xmlns:a="http://schemas.openxmlformats.org/drawingml/2006/main">
          <a:pPr algn="ctr" rtl="0">
            <a:defRPr sz="1000"/>
          </a:pPr>
          <a:r>
            <a:rPr lang="fr-FR" sz="900" b="1" i="0" strike="noStrike">
              <a:solidFill>
                <a:srgbClr val="FFFFFF"/>
              </a:solidFill>
              <a:latin typeface="Arial"/>
              <a:cs typeface="Arial"/>
            </a:rPr>
            <a:t>E</a:t>
          </a:r>
        </a:p>
      </cdr:txBody>
    </cdr:sp>
  </cdr:relSizeAnchor>
  <cdr:relSizeAnchor xmlns:cdr="http://schemas.openxmlformats.org/drawingml/2006/chartDrawing">
    <cdr:from>
      <cdr:x>0.03515</cdr:x>
      <cdr:y>0.07107</cdr:y>
    </cdr:from>
    <cdr:to>
      <cdr:x>0.20364</cdr:x>
      <cdr:y>0.1038</cdr:y>
    </cdr:to>
    <cdr:sp macro="" textlink="Calculs!$A$299">
      <cdr:nvSpPr>
        <cdr:cNvPr id="2053" name="Texte 5"/>
        <cdr:cNvSpPr txBox="1">
          <a:spLocks xmlns:a="http://schemas.openxmlformats.org/drawingml/2006/main" noChangeArrowheads="1"/>
        </cdr:cNvSpPr>
      </cdr:nvSpPr>
      <cdr:spPr bwMode="auto">
        <a:xfrm xmlns:a="http://schemas.openxmlformats.org/drawingml/2006/main">
          <a:off x="265013" y="420359"/>
          <a:ext cx="1270220" cy="193643"/>
        </a:xfrm>
        <a:prstGeom xmlns:a="http://schemas.openxmlformats.org/drawingml/2006/main" prst="rect">
          <a:avLst/>
        </a:prstGeom>
        <a:noFill xmlns:a="http://schemas.openxmlformats.org/drawingml/2006/main"/>
        <a:ln xmlns:a="http://schemas.openxmlformats.org/drawingml/2006/main" w="1">
          <a:noFill/>
          <a:miter lim="800000"/>
          <a:headEnd/>
          <a:tailEnd/>
        </a:ln>
      </cdr:spPr>
      <cdr:txBody>
        <a:bodyPr xmlns:a="http://schemas.openxmlformats.org/drawingml/2006/main" wrap="none" lIns="18288" tIns="22860" rIns="18288" bIns="22860" anchor="ctr" upright="1">
          <a:spAutoFit/>
        </a:bodyPr>
        <a:lstStyle xmlns:a="http://schemas.openxmlformats.org/drawingml/2006/main"/>
        <a:p xmlns:a="http://schemas.openxmlformats.org/drawingml/2006/main">
          <a:pPr algn="ctr" rtl="0">
            <a:defRPr sz="1000"/>
          </a:pPr>
          <a:fld id="{88E06D6F-63FC-41D1-8038-7E50C6B05A32}" type="TxLink">
            <a:rPr lang="fr-FR" sz="1000" b="0" i="0" u="none" strike="noStrike">
              <a:solidFill>
                <a:srgbClr val="FFFFFF"/>
              </a:solidFill>
              <a:latin typeface="Arial"/>
              <a:cs typeface="Arial"/>
            </a:rPr>
            <a:pPr algn="ctr" rtl="0">
              <a:defRPr sz="1000"/>
            </a:pPr>
            <a:t>Longitude 2 h 25 min </a:t>
          </a:fld>
          <a:endParaRPr lang="fr-FR" sz="1000" b="0" i="0" strike="noStrike">
            <a:solidFill>
              <a:srgbClr val="FFFFFF"/>
            </a:solidFill>
            <a:latin typeface="Arial"/>
            <a:cs typeface="Arial"/>
          </a:endParaRPr>
        </a:p>
      </cdr:txBody>
    </cdr:sp>
  </cdr:relSizeAnchor>
  <cdr:relSizeAnchor xmlns:cdr="http://schemas.openxmlformats.org/drawingml/2006/chartDrawing">
    <cdr:from>
      <cdr:x>0.66896</cdr:x>
      <cdr:y>0.07444</cdr:y>
    </cdr:from>
    <cdr:to>
      <cdr:x>0.80591</cdr:x>
      <cdr:y>0.10717</cdr:y>
    </cdr:to>
    <cdr:sp macro="" textlink="Calculs!$A$300">
      <cdr:nvSpPr>
        <cdr:cNvPr id="2054" name="Texte 6"/>
        <cdr:cNvSpPr txBox="1">
          <a:spLocks xmlns:a="http://schemas.openxmlformats.org/drawingml/2006/main" noChangeArrowheads="1"/>
        </cdr:cNvSpPr>
      </cdr:nvSpPr>
      <cdr:spPr bwMode="auto">
        <a:xfrm xmlns:a="http://schemas.openxmlformats.org/drawingml/2006/main">
          <a:off x="5043318" y="440292"/>
          <a:ext cx="1032462" cy="193643"/>
        </a:xfrm>
        <a:prstGeom xmlns:a="http://schemas.openxmlformats.org/drawingml/2006/main" prst="rect">
          <a:avLst/>
        </a:prstGeom>
        <a:noFill xmlns:a="http://schemas.openxmlformats.org/drawingml/2006/main"/>
        <a:ln xmlns:a="http://schemas.openxmlformats.org/drawingml/2006/main" w="1">
          <a:noFill/>
          <a:miter lim="800000"/>
          <a:headEnd/>
          <a:tailEnd/>
        </a:ln>
      </cdr:spPr>
      <cdr:txBody>
        <a:bodyPr xmlns:a="http://schemas.openxmlformats.org/drawingml/2006/main" wrap="none" lIns="18288" tIns="22860" rIns="18288" bIns="22860" anchor="ctr" upright="1">
          <a:spAutoFit/>
        </a:bodyPr>
        <a:lstStyle xmlns:a="http://schemas.openxmlformats.org/drawingml/2006/main"/>
        <a:p xmlns:a="http://schemas.openxmlformats.org/drawingml/2006/main">
          <a:pPr algn="ctr" rtl="0">
            <a:defRPr sz="1000"/>
          </a:pPr>
          <a:fld id="{4F87DCED-8FCD-4305-926E-30826886E580}" type="TxLink">
            <a:rPr lang="fr-FR" sz="1000" b="0" i="0" u="none" strike="noStrike">
              <a:solidFill>
                <a:srgbClr val="FFFFFF"/>
              </a:solidFill>
              <a:latin typeface="Arial"/>
              <a:cs typeface="Arial"/>
            </a:rPr>
            <a:pPr algn="ctr" rtl="0">
              <a:defRPr sz="1000"/>
            </a:pPr>
            <a:t>Latitude 48 ° 50 ' </a:t>
          </a:fld>
          <a:endParaRPr lang="fr-FR" sz="1000" b="0" i="0" strike="noStrike">
            <a:solidFill>
              <a:srgbClr val="FFFFFF"/>
            </a:solidFill>
            <a:latin typeface="Arial"/>
            <a:cs typeface="Arial"/>
          </a:endParaRPr>
        </a:p>
      </cdr:txBody>
    </cdr:sp>
  </cdr:relSizeAnchor>
  <cdr:relSizeAnchor xmlns:cdr="http://schemas.openxmlformats.org/drawingml/2006/chartDrawing">
    <cdr:from>
      <cdr:x>0.41627</cdr:x>
      <cdr:y>0.9282</cdr:y>
    </cdr:from>
    <cdr:to>
      <cdr:x>0.45554</cdr:x>
      <cdr:y>0.98465</cdr:y>
    </cdr:to>
    <cdr:sp macro="" textlink="">
      <cdr:nvSpPr>
        <cdr:cNvPr id="2055" name="Texte 1"/>
        <cdr:cNvSpPr txBox="1">
          <a:spLocks xmlns:a="http://schemas.openxmlformats.org/drawingml/2006/main" noChangeArrowheads="1"/>
        </cdr:cNvSpPr>
      </cdr:nvSpPr>
      <cdr:spPr bwMode="auto">
        <a:xfrm xmlns:a="http://schemas.openxmlformats.org/drawingml/2006/main">
          <a:off x="3309931" y="6357845"/>
          <a:ext cx="317868" cy="389449"/>
        </a:xfrm>
        <a:prstGeom xmlns:a="http://schemas.openxmlformats.org/drawingml/2006/main" prst="rect">
          <a:avLst/>
        </a:prstGeom>
        <a:noFill xmlns:a="http://schemas.openxmlformats.org/drawingml/2006/main"/>
        <a:ln xmlns:a="http://schemas.openxmlformats.org/drawingml/2006/main" w="1">
          <a:noFill/>
          <a:miter lim="800000"/>
          <a:headEnd/>
          <a:tailEnd/>
        </a:ln>
      </cdr:spPr>
      <cdr:txBody>
        <a:bodyPr xmlns:a="http://schemas.openxmlformats.org/drawingml/2006/main" vertOverflow="clip" wrap="square" lIns="27432" tIns="22860" rIns="27432" bIns="22860" anchor="ctr" upright="1"/>
        <a:lstStyle xmlns:a="http://schemas.openxmlformats.org/drawingml/2006/main"/>
        <a:p xmlns:a="http://schemas.openxmlformats.org/drawingml/2006/main">
          <a:pPr algn="ctr" rtl="0">
            <a:defRPr sz="1000"/>
          </a:pPr>
          <a:r>
            <a:rPr lang="fr-FR" sz="900" b="1" i="0" strike="noStrike">
              <a:solidFill>
                <a:srgbClr val="FFFFFF"/>
              </a:solidFill>
              <a:latin typeface="Arial"/>
              <a:cs typeface="Arial"/>
            </a:rPr>
            <a:t>S</a:t>
          </a:r>
        </a:p>
      </cdr:txBody>
    </cdr:sp>
  </cdr:relSizeAnchor>
  <cdr:relSizeAnchor xmlns:cdr="http://schemas.openxmlformats.org/drawingml/2006/chartDrawing">
    <cdr:from>
      <cdr:x>0.75848</cdr:x>
      <cdr:y>0.53033</cdr:y>
    </cdr:from>
    <cdr:to>
      <cdr:x>0.80516</cdr:x>
      <cdr:y>0.58703</cdr:y>
    </cdr:to>
    <cdr:sp macro="" textlink="">
      <cdr:nvSpPr>
        <cdr:cNvPr id="2" name="Texte 3">
          <a:extLst xmlns:a="http://schemas.openxmlformats.org/drawingml/2006/main">
            <a:ext uri="{FF2B5EF4-FFF2-40B4-BE49-F238E27FC236}">
              <a16:creationId xmlns:a16="http://schemas.microsoft.com/office/drawing/2014/main" id="{7309CC0A-BC15-E074-A8CB-22F008EB758E}"/>
            </a:ext>
          </a:extLst>
        </cdr:cNvPr>
        <cdr:cNvSpPr txBox="1">
          <a:spLocks xmlns:a="http://schemas.openxmlformats.org/drawingml/2006/main" noChangeArrowheads="1"/>
        </cdr:cNvSpPr>
      </cdr:nvSpPr>
      <cdr:spPr bwMode="auto">
        <a:xfrm xmlns:a="http://schemas.openxmlformats.org/drawingml/2006/main">
          <a:off x="5718175" y="3136900"/>
          <a:ext cx="351922" cy="335382"/>
        </a:xfrm>
        <a:prstGeom xmlns:a="http://schemas.openxmlformats.org/drawingml/2006/main" prst="rect">
          <a:avLst/>
        </a:prstGeom>
        <a:noFill xmlns:a="http://schemas.openxmlformats.org/drawingml/2006/main"/>
        <a:ln xmlns:a="http://schemas.openxmlformats.org/drawingml/2006/main" w="1">
          <a:noFill/>
          <a:miter lim="800000"/>
          <a:headEnd/>
          <a:tailEnd/>
        </a:ln>
      </cdr:spPr>
      <cdr:txBody>
        <a:bodyPr xmlns:a="http://schemas.openxmlformats.org/drawingml/2006/main" wrap="square" lIns="27432" tIns="22860" rIns="27432" bIns="22860" anchor="ctr" upright="1"/>
        <a:lstStyle xmlns:a="http://schemas.openxmlformats.org/drawingml/2006/main">
          <a:lvl1pPr marL="0" indent="0">
            <a:defRPr sz="1100">
              <a:latin typeface="+mn-lt"/>
              <a:ea typeface="+mn-ea"/>
              <a:cs typeface="+mn-cs"/>
            </a:defRPr>
          </a:lvl1pPr>
          <a:lvl2pPr marL="457200" indent="0">
            <a:defRPr sz="1100">
              <a:latin typeface="+mn-lt"/>
              <a:ea typeface="+mn-ea"/>
              <a:cs typeface="+mn-cs"/>
            </a:defRPr>
          </a:lvl2pPr>
          <a:lvl3pPr marL="914400" indent="0">
            <a:defRPr sz="1100">
              <a:latin typeface="+mn-lt"/>
              <a:ea typeface="+mn-ea"/>
              <a:cs typeface="+mn-cs"/>
            </a:defRPr>
          </a:lvl3pPr>
          <a:lvl4pPr marL="1371600" indent="0">
            <a:defRPr sz="1100">
              <a:latin typeface="+mn-lt"/>
              <a:ea typeface="+mn-ea"/>
              <a:cs typeface="+mn-cs"/>
            </a:defRPr>
          </a:lvl4pPr>
          <a:lvl5pPr marL="1828800" indent="0">
            <a:defRPr sz="1100">
              <a:latin typeface="+mn-lt"/>
              <a:ea typeface="+mn-ea"/>
              <a:cs typeface="+mn-cs"/>
            </a:defRPr>
          </a:lvl5pPr>
          <a:lvl6pPr marL="2286000" indent="0">
            <a:defRPr sz="1100">
              <a:latin typeface="+mn-lt"/>
              <a:ea typeface="+mn-ea"/>
              <a:cs typeface="+mn-cs"/>
            </a:defRPr>
          </a:lvl6pPr>
          <a:lvl7pPr marL="2743200" indent="0">
            <a:defRPr sz="1100">
              <a:latin typeface="+mn-lt"/>
              <a:ea typeface="+mn-ea"/>
              <a:cs typeface="+mn-cs"/>
            </a:defRPr>
          </a:lvl7pPr>
          <a:lvl8pPr marL="3200400" indent="0">
            <a:defRPr sz="1100">
              <a:latin typeface="+mn-lt"/>
              <a:ea typeface="+mn-ea"/>
              <a:cs typeface="+mn-cs"/>
            </a:defRPr>
          </a:lvl8pPr>
          <a:lvl9pPr marL="3657600" indent="0">
            <a:defRPr sz="1100">
              <a:latin typeface="+mn-lt"/>
              <a:ea typeface="+mn-ea"/>
              <a:cs typeface="+mn-cs"/>
            </a:defRPr>
          </a:lvl9pPr>
        </a:lstStyle>
        <a:p xmlns:a="http://schemas.openxmlformats.org/drawingml/2006/main">
          <a:pPr algn="ctr" rtl="0">
            <a:defRPr sz="1000"/>
          </a:pPr>
          <a:r>
            <a:rPr lang="fr-FR" sz="900" b="1" i="0" strike="noStrike">
              <a:solidFill>
                <a:srgbClr val="FFFFFF"/>
              </a:solidFill>
              <a:latin typeface="Arial"/>
              <a:cs typeface="Arial"/>
            </a:rPr>
            <a:t>O</a:t>
          </a:r>
        </a:p>
      </cdr:txBody>
    </cdr:sp>
  </cdr:relSizeAnchor>
</c:userShapes>
</file>

<file path=xl/drawings/drawing3.xml><?xml version="1.0" encoding="utf-8"?>
<xdr:wsDr xmlns:xdr="http://schemas.openxmlformats.org/drawingml/2006/spreadsheetDrawing" xmlns:a="http://schemas.openxmlformats.org/drawingml/2006/main">
  <xdr:twoCellAnchor>
    <xdr:from>
      <xdr:col>0</xdr:col>
      <xdr:colOff>0</xdr:colOff>
      <xdr:row>0</xdr:row>
      <xdr:rowOff>0</xdr:rowOff>
    </xdr:from>
    <xdr:to>
      <xdr:col>11</xdr:col>
      <xdr:colOff>335124</xdr:colOff>
      <xdr:row>30</xdr:row>
      <xdr:rowOff>123178</xdr:rowOff>
    </xdr:to>
    <xdr:graphicFrame macro="">
      <xdr:nvGraphicFramePr>
        <xdr:cNvPr id="2" name="Chart 1">
          <a:extLst>
            <a:ext uri="{FF2B5EF4-FFF2-40B4-BE49-F238E27FC236}">
              <a16:creationId xmlns:a16="http://schemas.microsoft.com/office/drawing/2014/main" id="{00000000-0008-0000-0100-00000C0C01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4.xml><?xml version="1.0" encoding="utf-8"?>
<c:userShapes xmlns:c="http://schemas.openxmlformats.org/drawingml/2006/chart">
  <cdr:relSizeAnchor xmlns:cdr="http://schemas.openxmlformats.org/drawingml/2006/chartDrawing">
    <cdr:from>
      <cdr:x>0.0379</cdr:x>
      <cdr:y>0.13756</cdr:y>
    </cdr:from>
    <cdr:to>
      <cdr:x>0.17458</cdr:x>
      <cdr:y>0.17244</cdr:y>
    </cdr:to>
    <cdr:sp macro="" textlink="Calculs!$A$299">
      <cdr:nvSpPr>
        <cdr:cNvPr id="6145" name="Texte 1"/>
        <cdr:cNvSpPr txBox="1">
          <a:spLocks xmlns:a="http://schemas.openxmlformats.org/drawingml/2006/main" noChangeArrowheads="1"/>
        </cdr:cNvSpPr>
      </cdr:nvSpPr>
      <cdr:spPr bwMode="auto">
        <a:xfrm xmlns:a="http://schemas.openxmlformats.org/drawingml/2006/main">
          <a:off x="352219" y="763805"/>
          <a:ext cx="1270220" cy="193643"/>
        </a:xfrm>
        <a:prstGeom xmlns:a="http://schemas.openxmlformats.org/drawingml/2006/main" prst="rect">
          <a:avLst/>
        </a:prstGeom>
        <a:noFill xmlns:a="http://schemas.openxmlformats.org/drawingml/2006/main"/>
        <a:ln xmlns:a="http://schemas.openxmlformats.org/drawingml/2006/main" w="1">
          <a:noFill/>
          <a:miter lim="800000"/>
          <a:headEnd/>
          <a:tailEnd/>
        </a:ln>
      </cdr:spPr>
      <cdr:txBody>
        <a:bodyPr xmlns:a="http://schemas.openxmlformats.org/drawingml/2006/main" wrap="none" lIns="18288" tIns="22860" rIns="18288" bIns="22860" anchor="ctr" upright="1">
          <a:spAutoFit/>
        </a:bodyPr>
        <a:lstStyle xmlns:a="http://schemas.openxmlformats.org/drawingml/2006/main"/>
        <a:p xmlns:a="http://schemas.openxmlformats.org/drawingml/2006/main">
          <a:pPr algn="ctr" rtl="0">
            <a:defRPr sz="1000"/>
          </a:pPr>
          <a:fld id="{951D0F25-F882-4E60-AD4D-5B38805E52EB}" type="TxLink">
            <a:rPr lang="fr-FR" sz="1000" b="0" i="0" u="none" strike="noStrike">
              <a:solidFill>
                <a:srgbClr val="FFFFFF"/>
              </a:solidFill>
              <a:latin typeface="Arial"/>
              <a:cs typeface="Arial"/>
            </a:rPr>
            <a:pPr algn="ctr" rtl="0">
              <a:defRPr sz="1000"/>
            </a:pPr>
            <a:t>Longitude 2 h 25 min </a:t>
          </a:fld>
          <a:endParaRPr lang="fr-FR" sz="1000" b="0" i="0" strike="noStrike">
            <a:solidFill>
              <a:srgbClr val="FFFFFF"/>
            </a:solidFill>
            <a:latin typeface="Arial"/>
            <a:cs typeface="Arial"/>
          </a:endParaRPr>
        </a:p>
      </cdr:txBody>
    </cdr:sp>
  </cdr:relSizeAnchor>
  <cdr:relSizeAnchor xmlns:cdr="http://schemas.openxmlformats.org/drawingml/2006/chartDrawing">
    <cdr:from>
      <cdr:x>0.85531</cdr:x>
      <cdr:y>0.1423</cdr:y>
    </cdr:from>
    <cdr:to>
      <cdr:x>0.96641</cdr:x>
      <cdr:y>0.17718</cdr:y>
    </cdr:to>
    <cdr:sp macro="" textlink="Calculs!$A$300">
      <cdr:nvSpPr>
        <cdr:cNvPr id="6146" name="Texte 2"/>
        <cdr:cNvSpPr txBox="1">
          <a:spLocks xmlns:a="http://schemas.openxmlformats.org/drawingml/2006/main" noChangeArrowheads="1"/>
        </cdr:cNvSpPr>
      </cdr:nvSpPr>
      <cdr:spPr bwMode="auto">
        <a:xfrm xmlns:a="http://schemas.openxmlformats.org/drawingml/2006/main">
          <a:off x="7948743" y="790123"/>
          <a:ext cx="1032462" cy="193643"/>
        </a:xfrm>
        <a:prstGeom xmlns:a="http://schemas.openxmlformats.org/drawingml/2006/main" prst="rect">
          <a:avLst/>
        </a:prstGeom>
        <a:noFill xmlns:a="http://schemas.openxmlformats.org/drawingml/2006/main"/>
        <a:ln xmlns:a="http://schemas.openxmlformats.org/drawingml/2006/main" w="1">
          <a:noFill/>
          <a:miter lim="800000"/>
          <a:headEnd/>
          <a:tailEnd/>
        </a:ln>
      </cdr:spPr>
      <cdr:txBody>
        <a:bodyPr xmlns:a="http://schemas.openxmlformats.org/drawingml/2006/main" wrap="none" lIns="18288" tIns="22860" rIns="18288" bIns="22860" anchor="ctr" upright="1">
          <a:spAutoFit/>
        </a:bodyPr>
        <a:lstStyle xmlns:a="http://schemas.openxmlformats.org/drawingml/2006/main"/>
        <a:p xmlns:a="http://schemas.openxmlformats.org/drawingml/2006/main">
          <a:pPr algn="ctr" rtl="0">
            <a:defRPr sz="1000"/>
          </a:pPr>
          <a:fld id="{B98B89FB-CE9F-49C7-9E30-1AE053E26B3E}" type="TxLink">
            <a:rPr lang="fr-FR" sz="1000" b="0" i="0" u="none" strike="noStrike">
              <a:solidFill>
                <a:srgbClr val="FFFFFF"/>
              </a:solidFill>
              <a:latin typeface="Arial"/>
              <a:cs typeface="Arial"/>
            </a:rPr>
            <a:pPr algn="ctr" rtl="0">
              <a:defRPr sz="1000"/>
            </a:pPr>
            <a:t>Latitude 48 ° 50 ' </a:t>
          </a:fld>
          <a:endParaRPr lang="fr-FR" sz="1000" b="0" i="0" strike="noStrike">
            <a:solidFill>
              <a:srgbClr val="FFFFFF"/>
            </a:solidFill>
            <a:latin typeface="Arial"/>
            <a:cs typeface="Arial"/>
          </a:endParaRPr>
        </a:p>
      </cdr:txBody>
    </cdr:sp>
  </cdr:relSizeAnchor>
</c:userShapes>
</file>

<file path=xl/drawings/drawing5.xml><?xml version="1.0" encoding="utf-8"?>
<xdr:wsDr xmlns:xdr="http://schemas.openxmlformats.org/drawingml/2006/spreadsheetDrawing" xmlns:a="http://schemas.openxmlformats.org/drawingml/2006/main">
  <xdr:twoCellAnchor>
    <xdr:from>
      <xdr:col>1</xdr:col>
      <xdr:colOff>304800</xdr:colOff>
      <xdr:row>0</xdr:row>
      <xdr:rowOff>38100</xdr:rowOff>
    </xdr:from>
    <xdr:to>
      <xdr:col>9</xdr:col>
      <xdr:colOff>280987</xdr:colOff>
      <xdr:row>33</xdr:row>
      <xdr:rowOff>42863</xdr:rowOff>
    </xdr:to>
    <xdr:graphicFrame macro="">
      <xdr:nvGraphicFramePr>
        <xdr:cNvPr id="2" name="Chart 1">
          <a:extLst>
            <a:ext uri="{FF2B5EF4-FFF2-40B4-BE49-F238E27FC236}">
              <a16:creationId xmlns:a16="http://schemas.microsoft.com/office/drawing/2014/main" id="{00000000-0008-0000-0200-00000624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6.xml><?xml version="1.0" encoding="utf-8"?>
<c:userShapes xmlns:c="http://schemas.openxmlformats.org/drawingml/2006/chart">
  <cdr:relSizeAnchor xmlns:cdr="http://schemas.openxmlformats.org/drawingml/2006/chartDrawing">
    <cdr:from>
      <cdr:x>0.49479</cdr:x>
      <cdr:y>0.09302</cdr:y>
    </cdr:from>
    <cdr:to>
      <cdr:x>0.52065</cdr:x>
      <cdr:y>0.11575</cdr:y>
    </cdr:to>
    <cdr:sp macro="" textlink="">
      <cdr:nvSpPr>
        <cdr:cNvPr id="4097" name="Texte 1"/>
        <cdr:cNvSpPr txBox="1">
          <a:spLocks xmlns:a="http://schemas.openxmlformats.org/drawingml/2006/main" noChangeArrowheads="1"/>
        </cdr:cNvSpPr>
      </cdr:nvSpPr>
      <cdr:spPr bwMode="auto">
        <a:xfrm xmlns:a="http://schemas.openxmlformats.org/drawingml/2006/main">
          <a:off x="3791491" y="690784"/>
          <a:ext cx="198159" cy="168802"/>
        </a:xfrm>
        <a:prstGeom xmlns:a="http://schemas.openxmlformats.org/drawingml/2006/main" prst="rect">
          <a:avLst/>
        </a:prstGeom>
        <a:noFill xmlns:a="http://schemas.openxmlformats.org/drawingml/2006/main"/>
        <a:ln xmlns:a="http://schemas.openxmlformats.org/drawingml/2006/main" w="1">
          <a:noFill/>
          <a:miter lim="800000"/>
          <a:headEnd/>
          <a:tailEnd/>
        </a:ln>
      </cdr:spPr>
      <cdr:txBody>
        <a:bodyPr xmlns:a="http://schemas.openxmlformats.org/drawingml/2006/main" wrap="none" lIns="18288" tIns="22860" rIns="18288" bIns="22860" anchor="ctr" upright="1">
          <a:spAutoFit/>
        </a:bodyPr>
        <a:lstStyle xmlns:a="http://schemas.openxmlformats.org/drawingml/2006/main"/>
        <a:p xmlns:a="http://schemas.openxmlformats.org/drawingml/2006/main">
          <a:pPr algn="ctr" rtl="0">
            <a:defRPr sz="1000"/>
          </a:pPr>
          <a:r>
            <a:rPr lang="fr-FR" sz="800" b="1" i="0" strike="noStrike">
              <a:solidFill>
                <a:srgbClr val="FFFFFF"/>
              </a:solidFill>
              <a:latin typeface="Arial"/>
              <a:cs typeface="Arial"/>
            </a:rPr>
            <a:t>90°</a:t>
          </a:r>
        </a:p>
      </cdr:txBody>
    </cdr:sp>
  </cdr:relSizeAnchor>
  <cdr:relSizeAnchor xmlns:cdr="http://schemas.openxmlformats.org/drawingml/2006/chartDrawing">
    <cdr:from>
      <cdr:x>0.02922</cdr:x>
      <cdr:y>0.51849</cdr:y>
    </cdr:from>
    <cdr:to>
      <cdr:x>0.10218</cdr:x>
      <cdr:y>0.57541</cdr:y>
    </cdr:to>
    <cdr:sp macro="" textlink="">
      <cdr:nvSpPr>
        <cdr:cNvPr id="4099" name="Texte 3"/>
        <cdr:cNvSpPr txBox="1">
          <a:spLocks xmlns:a="http://schemas.openxmlformats.org/drawingml/2006/main" noChangeArrowheads="1"/>
        </cdr:cNvSpPr>
      </cdr:nvSpPr>
      <cdr:spPr bwMode="auto">
        <a:xfrm xmlns:a="http://schemas.openxmlformats.org/drawingml/2006/main">
          <a:off x="194356" y="3407634"/>
          <a:ext cx="495769" cy="380638"/>
        </a:xfrm>
        <a:prstGeom xmlns:a="http://schemas.openxmlformats.org/drawingml/2006/main" prst="rect">
          <a:avLst/>
        </a:prstGeom>
        <a:noFill xmlns:a="http://schemas.openxmlformats.org/drawingml/2006/main"/>
        <a:ln xmlns:a="http://schemas.openxmlformats.org/drawingml/2006/main" w="1">
          <a:noFill/>
          <a:miter lim="800000"/>
          <a:headEnd/>
          <a:tailEnd/>
        </a:ln>
      </cdr:spPr>
      <cdr:txBody>
        <a:bodyPr xmlns:a="http://schemas.openxmlformats.org/drawingml/2006/main" vertOverflow="clip" wrap="square" lIns="27432" tIns="22860" rIns="27432" bIns="22860" anchor="ctr" upright="1"/>
        <a:lstStyle xmlns:a="http://schemas.openxmlformats.org/drawingml/2006/main"/>
        <a:p xmlns:a="http://schemas.openxmlformats.org/drawingml/2006/main">
          <a:pPr algn="ctr" rtl="0">
            <a:defRPr sz="1000"/>
          </a:pPr>
          <a:r>
            <a:rPr lang="fr-FR" sz="800" b="1" i="0" strike="noStrike">
              <a:solidFill>
                <a:srgbClr val="FFFFFF"/>
              </a:solidFill>
              <a:latin typeface="Arial"/>
              <a:cs typeface="Arial"/>
            </a:rPr>
            <a:t>180°</a:t>
          </a:r>
        </a:p>
      </cdr:txBody>
    </cdr:sp>
  </cdr:relSizeAnchor>
  <cdr:relSizeAnchor xmlns:cdr="http://schemas.openxmlformats.org/drawingml/2006/chartDrawing">
    <cdr:from>
      <cdr:x>0.67992</cdr:x>
      <cdr:y>0.9741</cdr:y>
    </cdr:from>
    <cdr:to>
      <cdr:x>0.71346</cdr:x>
      <cdr:y>0.99682</cdr:y>
    </cdr:to>
    <cdr:sp macro="" textlink="">
      <cdr:nvSpPr>
        <cdr:cNvPr id="4100" name="Texte 4"/>
        <cdr:cNvSpPr txBox="1">
          <a:spLocks xmlns:a="http://schemas.openxmlformats.org/drawingml/2006/main" noChangeArrowheads="1"/>
        </cdr:cNvSpPr>
      </cdr:nvSpPr>
      <cdr:spPr bwMode="auto">
        <a:xfrm xmlns:a="http://schemas.openxmlformats.org/drawingml/2006/main">
          <a:off x="5051473" y="7032036"/>
          <a:ext cx="249171" cy="164084"/>
        </a:xfrm>
        <a:prstGeom xmlns:a="http://schemas.openxmlformats.org/drawingml/2006/main" prst="rect">
          <a:avLst/>
        </a:prstGeom>
        <a:noFill xmlns:a="http://schemas.openxmlformats.org/drawingml/2006/main"/>
        <a:ln xmlns:a="http://schemas.openxmlformats.org/drawingml/2006/main" w="1">
          <a:noFill/>
          <a:miter lim="800000"/>
          <a:headEnd/>
          <a:tailEnd/>
        </a:ln>
      </cdr:spPr>
      <cdr:txBody>
        <a:bodyPr xmlns:a="http://schemas.openxmlformats.org/drawingml/2006/main" wrap="none" lIns="18288" tIns="22860" rIns="18288" bIns="22860" anchor="ctr" upright="1">
          <a:spAutoFit/>
        </a:bodyPr>
        <a:lstStyle xmlns:a="http://schemas.openxmlformats.org/drawingml/2006/main"/>
        <a:p xmlns:a="http://schemas.openxmlformats.org/drawingml/2006/main">
          <a:pPr algn="ctr" rtl="0">
            <a:defRPr sz="1000"/>
          </a:pPr>
          <a:r>
            <a:rPr lang="fr-FR" sz="800" b="1" i="0" strike="noStrike">
              <a:solidFill>
                <a:srgbClr val="FFFFFF"/>
              </a:solidFill>
              <a:latin typeface="Arial"/>
              <a:cs typeface="Arial"/>
            </a:rPr>
            <a:t>270°</a:t>
          </a:r>
        </a:p>
      </cdr:txBody>
    </cdr:sp>
  </cdr:relSizeAnchor>
  <cdr:relSizeAnchor xmlns:cdr="http://schemas.openxmlformats.org/drawingml/2006/chartDrawing">
    <cdr:from>
      <cdr:x>0.02052</cdr:x>
      <cdr:y>0.07244</cdr:y>
    </cdr:from>
    <cdr:to>
      <cdr:x>0.28481</cdr:x>
      <cdr:y>0.13429</cdr:y>
    </cdr:to>
    <cdr:sp macro="" textlink="Calculs!$A$301">
      <cdr:nvSpPr>
        <cdr:cNvPr id="4101" name="Texte 5"/>
        <cdr:cNvSpPr txBox="1">
          <a:spLocks xmlns:a="http://schemas.openxmlformats.org/drawingml/2006/main" noChangeArrowheads="1"/>
        </cdr:cNvSpPr>
      </cdr:nvSpPr>
      <cdr:spPr bwMode="auto">
        <a:xfrm xmlns:a="http://schemas.openxmlformats.org/drawingml/2006/main">
          <a:off x="123513" y="410531"/>
          <a:ext cx="1590988" cy="350527"/>
        </a:xfrm>
        <a:prstGeom xmlns:a="http://schemas.openxmlformats.org/drawingml/2006/main" prst="rect">
          <a:avLst/>
        </a:prstGeom>
        <a:noFill xmlns:a="http://schemas.openxmlformats.org/drawingml/2006/main"/>
        <a:ln xmlns:a="http://schemas.openxmlformats.org/drawingml/2006/main" w="1">
          <a:noFill/>
          <a:miter lim="800000"/>
          <a:headEnd/>
          <a:tailEnd/>
        </a:ln>
      </cdr:spPr>
      <cdr:txBody>
        <a:bodyPr xmlns:a="http://schemas.openxmlformats.org/drawingml/2006/main" vertOverflow="clip" wrap="square" lIns="27432" tIns="22860" rIns="27432" bIns="22860" anchor="ctr" upright="1"/>
        <a:lstStyle xmlns:a="http://schemas.openxmlformats.org/drawingml/2006/main"/>
        <a:p xmlns:a="http://schemas.openxmlformats.org/drawingml/2006/main">
          <a:pPr algn="ctr" rtl="0">
            <a:defRPr sz="1000"/>
          </a:pPr>
          <a:fld id="{2DC42F51-38F2-4554-9E9D-9C72AA930BC8}" type="TxLink">
            <a:rPr lang="fr-FR" sz="1000" b="1" i="0" u="none" strike="noStrike">
              <a:solidFill>
                <a:srgbClr val="FFFFFF"/>
              </a:solidFill>
              <a:latin typeface="Arial"/>
              <a:cs typeface="Arial"/>
            </a:rPr>
            <a:pPr algn="ctr" rtl="0">
              <a:defRPr sz="1000"/>
            </a:pPr>
            <a:t>Zoom = 0,2</a:t>
          </a:fld>
          <a:endParaRPr lang="fr-FR" sz="1000" b="1" i="0" strike="noStrike">
            <a:solidFill>
              <a:srgbClr val="FFFFFF"/>
            </a:solidFill>
            <a:latin typeface="Arial"/>
            <a:cs typeface="Arial"/>
          </a:endParaRPr>
        </a:p>
      </cdr:txBody>
    </cdr:sp>
  </cdr:relSizeAnchor>
  <cdr:relSizeAnchor xmlns:cdr="http://schemas.openxmlformats.org/drawingml/2006/chartDrawing">
    <cdr:from>
      <cdr:x>0.91681</cdr:x>
      <cdr:y>0.51849</cdr:y>
    </cdr:from>
    <cdr:to>
      <cdr:x>0.97152</cdr:x>
      <cdr:y>0.57541</cdr:y>
    </cdr:to>
    <cdr:sp macro="" textlink="">
      <cdr:nvSpPr>
        <cdr:cNvPr id="4102" name="Texte 3"/>
        <cdr:cNvSpPr txBox="1">
          <a:spLocks xmlns:a="http://schemas.openxmlformats.org/drawingml/2006/main" noChangeArrowheads="1"/>
        </cdr:cNvSpPr>
      </cdr:nvSpPr>
      <cdr:spPr bwMode="auto">
        <a:xfrm xmlns:a="http://schemas.openxmlformats.org/drawingml/2006/main">
          <a:off x="6215363" y="3407634"/>
          <a:ext cx="372244" cy="380638"/>
        </a:xfrm>
        <a:prstGeom xmlns:a="http://schemas.openxmlformats.org/drawingml/2006/main" prst="rect">
          <a:avLst/>
        </a:prstGeom>
        <a:noFill xmlns:a="http://schemas.openxmlformats.org/drawingml/2006/main"/>
        <a:ln xmlns:a="http://schemas.openxmlformats.org/drawingml/2006/main" w="1">
          <a:noFill/>
          <a:miter lim="800000"/>
          <a:headEnd/>
          <a:tailEnd/>
        </a:ln>
      </cdr:spPr>
      <cdr:txBody>
        <a:bodyPr xmlns:a="http://schemas.openxmlformats.org/drawingml/2006/main" vertOverflow="clip" wrap="square" lIns="27432" tIns="22860" rIns="27432" bIns="22860" anchor="ctr" upright="1"/>
        <a:lstStyle xmlns:a="http://schemas.openxmlformats.org/drawingml/2006/main"/>
        <a:p xmlns:a="http://schemas.openxmlformats.org/drawingml/2006/main">
          <a:pPr algn="ctr" rtl="0">
            <a:defRPr sz="1000"/>
          </a:pPr>
          <a:r>
            <a:rPr lang="fr-FR" sz="800" b="1" i="0" strike="noStrike">
              <a:solidFill>
                <a:srgbClr val="FFFFFF"/>
              </a:solidFill>
              <a:latin typeface="Arial"/>
              <a:cs typeface="Arial"/>
            </a:rPr>
            <a:t>0°</a:t>
          </a:r>
        </a:p>
      </cdr:txBody>
    </cdr:sp>
  </cdr:relSizeAnchor>
  <cdr:relSizeAnchor xmlns:cdr="http://schemas.openxmlformats.org/drawingml/2006/chartDrawing">
    <cdr:from>
      <cdr:x>0.4687</cdr:x>
      <cdr:y>0.92089</cdr:y>
    </cdr:from>
    <cdr:to>
      <cdr:x>0.54191</cdr:x>
      <cdr:y>0.97683</cdr:y>
    </cdr:to>
    <cdr:sp macro="" textlink="">
      <cdr:nvSpPr>
        <cdr:cNvPr id="4103" name="Texte 3"/>
        <cdr:cNvSpPr txBox="1">
          <a:spLocks xmlns:a="http://schemas.openxmlformats.org/drawingml/2006/main" noChangeArrowheads="1"/>
        </cdr:cNvSpPr>
      </cdr:nvSpPr>
      <cdr:spPr bwMode="auto">
        <a:xfrm xmlns:a="http://schemas.openxmlformats.org/drawingml/2006/main">
          <a:off x="3175648" y="6124602"/>
          <a:ext cx="495769" cy="380638"/>
        </a:xfrm>
        <a:prstGeom xmlns:a="http://schemas.openxmlformats.org/drawingml/2006/main" prst="rect">
          <a:avLst/>
        </a:prstGeom>
        <a:noFill xmlns:a="http://schemas.openxmlformats.org/drawingml/2006/main"/>
        <a:ln xmlns:a="http://schemas.openxmlformats.org/drawingml/2006/main" w="1">
          <a:noFill/>
          <a:miter lim="800000"/>
          <a:headEnd/>
          <a:tailEnd/>
        </a:ln>
      </cdr:spPr>
      <cdr:txBody>
        <a:bodyPr xmlns:a="http://schemas.openxmlformats.org/drawingml/2006/main" vertOverflow="clip" wrap="square" lIns="27432" tIns="22860" rIns="27432" bIns="22860" anchor="ctr" upright="1"/>
        <a:lstStyle xmlns:a="http://schemas.openxmlformats.org/drawingml/2006/main"/>
        <a:p xmlns:a="http://schemas.openxmlformats.org/drawingml/2006/main">
          <a:pPr algn="ctr" rtl="0">
            <a:defRPr sz="1000"/>
          </a:pPr>
          <a:r>
            <a:rPr lang="fr-FR" sz="800" b="1" i="0" strike="noStrike">
              <a:solidFill>
                <a:srgbClr val="FFFFFF"/>
              </a:solidFill>
              <a:latin typeface="Arial"/>
              <a:cs typeface="Arial"/>
            </a:rPr>
            <a:t>270°</a:t>
          </a:r>
        </a:p>
      </cdr:txBody>
    </cdr:sp>
  </cdr:relSizeAnchor>
  <cdr:relSizeAnchor xmlns:cdr="http://schemas.openxmlformats.org/drawingml/2006/chartDrawing">
    <cdr:from>
      <cdr:x>0.49479</cdr:x>
      <cdr:y>0.09302</cdr:y>
    </cdr:from>
    <cdr:to>
      <cdr:x>0.52065</cdr:x>
      <cdr:y>0.11575</cdr:y>
    </cdr:to>
    <cdr:sp macro="" textlink="">
      <cdr:nvSpPr>
        <cdr:cNvPr id="2" name="Texte 1">
          <a:extLst xmlns:a="http://schemas.openxmlformats.org/drawingml/2006/main">
            <a:ext uri="{FF2B5EF4-FFF2-40B4-BE49-F238E27FC236}">
              <a16:creationId xmlns:a16="http://schemas.microsoft.com/office/drawing/2014/main" id="{4561EA72-5437-27B4-6E96-4670B6ED6132}"/>
            </a:ext>
          </a:extLst>
        </cdr:cNvPr>
        <cdr:cNvSpPr txBox="1">
          <a:spLocks xmlns:a="http://schemas.openxmlformats.org/drawingml/2006/main" noChangeArrowheads="1"/>
        </cdr:cNvSpPr>
      </cdr:nvSpPr>
      <cdr:spPr bwMode="auto">
        <a:xfrm xmlns:a="http://schemas.openxmlformats.org/drawingml/2006/main">
          <a:off x="3791491" y="690784"/>
          <a:ext cx="198159" cy="168802"/>
        </a:xfrm>
        <a:prstGeom xmlns:a="http://schemas.openxmlformats.org/drawingml/2006/main" prst="rect">
          <a:avLst/>
        </a:prstGeom>
        <a:noFill xmlns:a="http://schemas.openxmlformats.org/drawingml/2006/main"/>
        <a:ln xmlns:a="http://schemas.openxmlformats.org/drawingml/2006/main" w="1">
          <a:noFill/>
          <a:miter lim="800000"/>
          <a:headEnd/>
          <a:tailEnd/>
        </a:ln>
      </cdr:spPr>
      <cdr:txBody>
        <a:bodyPr xmlns:a="http://schemas.openxmlformats.org/drawingml/2006/main" wrap="none" lIns="18288" tIns="22860" rIns="18288" bIns="22860" anchor="ctr" upright="1">
          <a:spAutoFit/>
        </a:bodyPr>
        <a:lstStyle xmlns:a="http://schemas.openxmlformats.org/drawingml/2006/main"/>
        <a:p xmlns:a="http://schemas.openxmlformats.org/drawingml/2006/main">
          <a:pPr algn="ctr" rtl="0">
            <a:defRPr sz="1000"/>
          </a:pPr>
          <a:r>
            <a:rPr lang="fr-FR" sz="800" b="1" i="0" strike="noStrike">
              <a:solidFill>
                <a:srgbClr val="FFFFFF"/>
              </a:solidFill>
              <a:latin typeface="Arial"/>
              <a:cs typeface="Arial"/>
            </a:rPr>
            <a:t>90°</a:t>
          </a:r>
        </a:p>
      </cdr:txBody>
    </cdr:sp>
  </cdr:relSizeAnchor>
  <cdr:relSizeAnchor xmlns:cdr="http://schemas.openxmlformats.org/drawingml/2006/chartDrawing">
    <cdr:from>
      <cdr:x>0.02922</cdr:x>
      <cdr:y>0.51849</cdr:y>
    </cdr:from>
    <cdr:to>
      <cdr:x>0.10218</cdr:x>
      <cdr:y>0.57541</cdr:y>
    </cdr:to>
    <cdr:sp macro="" textlink="">
      <cdr:nvSpPr>
        <cdr:cNvPr id="3" name="Texte 3">
          <a:extLst xmlns:a="http://schemas.openxmlformats.org/drawingml/2006/main">
            <a:ext uri="{FF2B5EF4-FFF2-40B4-BE49-F238E27FC236}">
              <a16:creationId xmlns:a16="http://schemas.microsoft.com/office/drawing/2014/main" id="{1E0CFD51-6DDB-EC53-627E-161A937EBD64}"/>
            </a:ext>
          </a:extLst>
        </cdr:cNvPr>
        <cdr:cNvSpPr txBox="1">
          <a:spLocks xmlns:a="http://schemas.openxmlformats.org/drawingml/2006/main" noChangeArrowheads="1"/>
        </cdr:cNvSpPr>
      </cdr:nvSpPr>
      <cdr:spPr bwMode="auto">
        <a:xfrm xmlns:a="http://schemas.openxmlformats.org/drawingml/2006/main">
          <a:off x="194356" y="3407634"/>
          <a:ext cx="495769" cy="380638"/>
        </a:xfrm>
        <a:prstGeom xmlns:a="http://schemas.openxmlformats.org/drawingml/2006/main" prst="rect">
          <a:avLst/>
        </a:prstGeom>
        <a:noFill xmlns:a="http://schemas.openxmlformats.org/drawingml/2006/main"/>
        <a:ln xmlns:a="http://schemas.openxmlformats.org/drawingml/2006/main" w="1">
          <a:noFill/>
          <a:miter lim="800000"/>
          <a:headEnd/>
          <a:tailEnd/>
        </a:ln>
      </cdr:spPr>
      <cdr:txBody>
        <a:bodyPr xmlns:a="http://schemas.openxmlformats.org/drawingml/2006/main" vertOverflow="clip" wrap="square" lIns="27432" tIns="22860" rIns="27432" bIns="22860" anchor="ctr" upright="1"/>
        <a:lstStyle xmlns:a="http://schemas.openxmlformats.org/drawingml/2006/main"/>
        <a:p xmlns:a="http://schemas.openxmlformats.org/drawingml/2006/main">
          <a:pPr algn="ctr" rtl="0">
            <a:defRPr sz="1000"/>
          </a:pPr>
          <a:r>
            <a:rPr lang="fr-FR" sz="800" b="1" i="0" strike="noStrike">
              <a:solidFill>
                <a:srgbClr val="FFFFFF"/>
              </a:solidFill>
              <a:latin typeface="Arial"/>
              <a:cs typeface="Arial"/>
            </a:rPr>
            <a:t>180°</a:t>
          </a:r>
        </a:p>
      </cdr:txBody>
    </cdr:sp>
  </cdr:relSizeAnchor>
  <cdr:relSizeAnchor xmlns:cdr="http://schemas.openxmlformats.org/drawingml/2006/chartDrawing">
    <cdr:from>
      <cdr:x>0.67992</cdr:x>
      <cdr:y>0.9741</cdr:y>
    </cdr:from>
    <cdr:to>
      <cdr:x>0.71346</cdr:x>
      <cdr:y>0.99682</cdr:y>
    </cdr:to>
    <cdr:sp macro="" textlink="">
      <cdr:nvSpPr>
        <cdr:cNvPr id="4" name="Texte 4">
          <a:extLst xmlns:a="http://schemas.openxmlformats.org/drawingml/2006/main">
            <a:ext uri="{FF2B5EF4-FFF2-40B4-BE49-F238E27FC236}">
              <a16:creationId xmlns:a16="http://schemas.microsoft.com/office/drawing/2014/main" id="{27CCBD8F-347C-108F-5E7E-5D34BA0B109D}"/>
            </a:ext>
          </a:extLst>
        </cdr:cNvPr>
        <cdr:cNvSpPr txBox="1">
          <a:spLocks xmlns:a="http://schemas.openxmlformats.org/drawingml/2006/main" noChangeArrowheads="1"/>
        </cdr:cNvSpPr>
      </cdr:nvSpPr>
      <cdr:spPr bwMode="auto">
        <a:xfrm xmlns:a="http://schemas.openxmlformats.org/drawingml/2006/main">
          <a:off x="5051473" y="7032036"/>
          <a:ext cx="249171" cy="164084"/>
        </a:xfrm>
        <a:prstGeom xmlns:a="http://schemas.openxmlformats.org/drawingml/2006/main" prst="rect">
          <a:avLst/>
        </a:prstGeom>
        <a:noFill xmlns:a="http://schemas.openxmlformats.org/drawingml/2006/main"/>
        <a:ln xmlns:a="http://schemas.openxmlformats.org/drawingml/2006/main" w="1">
          <a:noFill/>
          <a:miter lim="800000"/>
          <a:headEnd/>
          <a:tailEnd/>
        </a:ln>
      </cdr:spPr>
      <cdr:txBody>
        <a:bodyPr xmlns:a="http://schemas.openxmlformats.org/drawingml/2006/main" wrap="none" lIns="18288" tIns="22860" rIns="18288" bIns="22860" anchor="ctr" upright="1">
          <a:spAutoFit/>
        </a:bodyPr>
        <a:lstStyle xmlns:a="http://schemas.openxmlformats.org/drawingml/2006/main"/>
        <a:p xmlns:a="http://schemas.openxmlformats.org/drawingml/2006/main">
          <a:pPr algn="ctr" rtl="0">
            <a:defRPr sz="1000"/>
          </a:pPr>
          <a:r>
            <a:rPr lang="fr-FR" sz="800" b="1" i="0" strike="noStrike">
              <a:solidFill>
                <a:srgbClr val="FFFFFF"/>
              </a:solidFill>
              <a:latin typeface="Arial"/>
              <a:cs typeface="Arial"/>
            </a:rPr>
            <a:t>270°</a:t>
          </a:r>
        </a:p>
      </cdr:txBody>
    </cdr:sp>
  </cdr:relSizeAnchor>
  <cdr:relSizeAnchor xmlns:cdr="http://schemas.openxmlformats.org/drawingml/2006/chartDrawing">
    <cdr:from>
      <cdr:x>0.91681</cdr:x>
      <cdr:y>0.51849</cdr:y>
    </cdr:from>
    <cdr:to>
      <cdr:x>0.97152</cdr:x>
      <cdr:y>0.57541</cdr:y>
    </cdr:to>
    <cdr:sp macro="" textlink="">
      <cdr:nvSpPr>
        <cdr:cNvPr id="6" name="Texte 3">
          <a:extLst xmlns:a="http://schemas.openxmlformats.org/drawingml/2006/main">
            <a:ext uri="{FF2B5EF4-FFF2-40B4-BE49-F238E27FC236}">
              <a16:creationId xmlns:a16="http://schemas.microsoft.com/office/drawing/2014/main" id="{5995662E-A744-548F-6A3C-06987041ECFF}"/>
            </a:ext>
          </a:extLst>
        </cdr:cNvPr>
        <cdr:cNvSpPr txBox="1">
          <a:spLocks xmlns:a="http://schemas.openxmlformats.org/drawingml/2006/main" noChangeArrowheads="1"/>
        </cdr:cNvSpPr>
      </cdr:nvSpPr>
      <cdr:spPr bwMode="auto">
        <a:xfrm xmlns:a="http://schemas.openxmlformats.org/drawingml/2006/main">
          <a:off x="6215363" y="3407634"/>
          <a:ext cx="372244" cy="380638"/>
        </a:xfrm>
        <a:prstGeom xmlns:a="http://schemas.openxmlformats.org/drawingml/2006/main" prst="rect">
          <a:avLst/>
        </a:prstGeom>
        <a:noFill xmlns:a="http://schemas.openxmlformats.org/drawingml/2006/main"/>
        <a:ln xmlns:a="http://schemas.openxmlformats.org/drawingml/2006/main" w="1">
          <a:noFill/>
          <a:miter lim="800000"/>
          <a:headEnd/>
          <a:tailEnd/>
        </a:ln>
      </cdr:spPr>
      <cdr:txBody>
        <a:bodyPr xmlns:a="http://schemas.openxmlformats.org/drawingml/2006/main" vertOverflow="clip" wrap="square" lIns="27432" tIns="22860" rIns="27432" bIns="22860" anchor="ctr" upright="1"/>
        <a:lstStyle xmlns:a="http://schemas.openxmlformats.org/drawingml/2006/main"/>
        <a:p xmlns:a="http://schemas.openxmlformats.org/drawingml/2006/main">
          <a:pPr algn="ctr" rtl="0">
            <a:defRPr sz="1000"/>
          </a:pPr>
          <a:r>
            <a:rPr lang="fr-FR" sz="800" b="1" i="0" strike="noStrike">
              <a:solidFill>
                <a:srgbClr val="FFFFFF"/>
              </a:solidFill>
              <a:latin typeface="Arial"/>
              <a:cs typeface="Arial"/>
            </a:rPr>
            <a:t>0°</a:t>
          </a:r>
        </a:p>
      </cdr:txBody>
    </cdr:sp>
  </cdr:relSizeAnchor>
  <cdr:relSizeAnchor xmlns:cdr="http://schemas.openxmlformats.org/drawingml/2006/chartDrawing">
    <cdr:from>
      <cdr:x>0.4687</cdr:x>
      <cdr:y>0.92089</cdr:y>
    </cdr:from>
    <cdr:to>
      <cdr:x>0.54191</cdr:x>
      <cdr:y>0.97683</cdr:y>
    </cdr:to>
    <cdr:sp macro="" textlink="">
      <cdr:nvSpPr>
        <cdr:cNvPr id="7" name="Texte 3">
          <a:extLst xmlns:a="http://schemas.openxmlformats.org/drawingml/2006/main">
            <a:ext uri="{FF2B5EF4-FFF2-40B4-BE49-F238E27FC236}">
              <a16:creationId xmlns:a16="http://schemas.microsoft.com/office/drawing/2014/main" id="{6CBA5CFB-0DB5-4C88-43A6-40343810C3E2}"/>
            </a:ext>
          </a:extLst>
        </cdr:cNvPr>
        <cdr:cNvSpPr txBox="1">
          <a:spLocks xmlns:a="http://schemas.openxmlformats.org/drawingml/2006/main" noChangeArrowheads="1"/>
        </cdr:cNvSpPr>
      </cdr:nvSpPr>
      <cdr:spPr bwMode="auto">
        <a:xfrm xmlns:a="http://schemas.openxmlformats.org/drawingml/2006/main">
          <a:off x="3175648" y="6124602"/>
          <a:ext cx="495769" cy="380638"/>
        </a:xfrm>
        <a:prstGeom xmlns:a="http://schemas.openxmlformats.org/drawingml/2006/main" prst="rect">
          <a:avLst/>
        </a:prstGeom>
        <a:noFill xmlns:a="http://schemas.openxmlformats.org/drawingml/2006/main"/>
        <a:ln xmlns:a="http://schemas.openxmlformats.org/drawingml/2006/main" w="1">
          <a:noFill/>
          <a:miter lim="800000"/>
          <a:headEnd/>
          <a:tailEnd/>
        </a:ln>
      </cdr:spPr>
      <cdr:txBody>
        <a:bodyPr xmlns:a="http://schemas.openxmlformats.org/drawingml/2006/main" vertOverflow="clip" wrap="square" lIns="27432" tIns="22860" rIns="27432" bIns="22860" anchor="ctr" upright="1"/>
        <a:lstStyle xmlns:a="http://schemas.openxmlformats.org/drawingml/2006/main"/>
        <a:p xmlns:a="http://schemas.openxmlformats.org/drawingml/2006/main">
          <a:pPr algn="ctr" rtl="0">
            <a:defRPr sz="1000"/>
          </a:pPr>
          <a:r>
            <a:rPr lang="fr-FR" sz="800" b="1" i="0" strike="noStrike">
              <a:solidFill>
                <a:srgbClr val="FFFFFF"/>
              </a:solidFill>
              <a:latin typeface="Arial"/>
              <a:cs typeface="Arial"/>
            </a:rPr>
            <a:t>270°</a:t>
          </a:r>
        </a:p>
      </cdr:txBody>
    </cdr:sp>
  </cdr:relSizeAnchor>
</c:userShapes>
</file>

<file path=xl/drawings/drawing7.xml><?xml version="1.0" encoding="utf-8"?>
<xdr:wsDr xmlns:xdr="http://schemas.openxmlformats.org/drawingml/2006/spreadsheetDrawing" xmlns:a="http://schemas.openxmlformats.org/drawingml/2006/main">
  <xdr:twoCellAnchor>
    <xdr:from>
      <xdr:col>15</xdr:col>
      <xdr:colOff>590550</xdr:colOff>
      <xdr:row>13</xdr:row>
      <xdr:rowOff>57150</xdr:rowOff>
    </xdr:from>
    <xdr:to>
      <xdr:col>15</xdr:col>
      <xdr:colOff>641350</xdr:colOff>
      <xdr:row>13</xdr:row>
      <xdr:rowOff>107950</xdr:rowOff>
    </xdr:to>
    <xdr:sp macro="" textlink="">
      <xdr:nvSpPr>
        <xdr:cNvPr id="2" name="Oval 28">
          <a:extLst>
            <a:ext uri="{FF2B5EF4-FFF2-40B4-BE49-F238E27FC236}">
              <a16:creationId xmlns:a16="http://schemas.microsoft.com/office/drawing/2014/main" id="{00000000-0008-0000-0300-000045180100}"/>
            </a:ext>
          </a:extLst>
        </xdr:cNvPr>
        <xdr:cNvSpPr>
          <a:spLocks noChangeArrowheads="1"/>
        </xdr:cNvSpPr>
      </xdr:nvSpPr>
      <xdr:spPr bwMode="auto">
        <a:xfrm>
          <a:off x="12755336" y="2201636"/>
          <a:ext cx="50800" cy="50800"/>
        </a:xfrm>
        <a:prstGeom prst="ellipse">
          <a:avLst/>
        </a:prstGeom>
        <a:solidFill>
          <a:srgbClr val="FFFFFF"/>
        </a:solidFill>
        <a:ln w="1">
          <a:solidFill>
            <a:srgbClr val="000000"/>
          </a:solidFill>
          <a:round/>
          <a:headEnd/>
          <a:tailEnd/>
        </a:ln>
      </xdr:spPr>
    </xdr:sp>
    <xdr:clientData/>
  </xdr:twoCellAnchor>
  <xdr:twoCellAnchor>
    <xdr:from>
      <xdr:col>16</xdr:col>
      <xdr:colOff>577850</xdr:colOff>
      <xdr:row>13</xdr:row>
      <xdr:rowOff>69850</xdr:rowOff>
    </xdr:from>
    <xdr:to>
      <xdr:col>16</xdr:col>
      <xdr:colOff>615950</xdr:colOff>
      <xdr:row>13</xdr:row>
      <xdr:rowOff>107950</xdr:rowOff>
    </xdr:to>
    <xdr:sp macro="" textlink="">
      <xdr:nvSpPr>
        <xdr:cNvPr id="3" name="Oval 29">
          <a:extLst>
            <a:ext uri="{FF2B5EF4-FFF2-40B4-BE49-F238E27FC236}">
              <a16:creationId xmlns:a16="http://schemas.microsoft.com/office/drawing/2014/main" id="{00000000-0008-0000-0300-000046180100}"/>
            </a:ext>
          </a:extLst>
        </xdr:cNvPr>
        <xdr:cNvSpPr>
          <a:spLocks noChangeArrowheads="1"/>
        </xdr:cNvSpPr>
      </xdr:nvSpPr>
      <xdr:spPr bwMode="auto">
        <a:xfrm>
          <a:off x="13553621" y="2214336"/>
          <a:ext cx="38100" cy="38100"/>
        </a:xfrm>
        <a:prstGeom prst="ellipse">
          <a:avLst/>
        </a:prstGeom>
        <a:solidFill>
          <a:srgbClr val="FFFFFF"/>
        </a:solidFill>
        <a:ln w="1">
          <a:solidFill>
            <a:srgbClr val="000000"/>
          </a:solidFill>
          <a:round/>
          <a:headEnd/>
          <a:tailEnd/>
        </a:ln>
      </xdr:spPr>
    </xdr:sp>
    <xdr:clientData/>
  </xdr:twoCellAnchor>
  <xdr:twoCellAnchor>
    <xdr:from>
      <xdr:col>17</xdr:col>
      <xdr:colOff>622300</xdr:colOff>
      <xdr:row>13</xdr:row>
      <xdr:rowOff>76200</xdr:rowOff>
    </xdr:from>
    <xdr:to>
      <xdr:col>17</xdr:col>
      <xdr:colOff>654050</xdr:colOff>
      <xdr:row>13</xdr:row>
      <xdr:rowOff>107950</xdr:rowOff>
    </xdr:to>
    <xdr:sp macro="" textlink="">
      <xdr:nvSpPr>
        <xdr:cNvPr id="4" name="Oval 30">
          <a:extLst>
            <a:ext uri="{FF2B5EF4-FFF2-40B4-BE49-F238E27FC236}">
              <a16:creationId xmlns:a16="http://schemas.microsoft.com/office/drawing/2014/main" id="{00000000-0008-0000-0300-000047180100}"/>
            </a:ext>
          </a:extLst>
        </xdr:cNvPr>
        <xdr:cNvSpPr>
          <a:spLocks noChangeArrowheads="1"/>
        </xdr:cNvSpPr>
      </xdr:nvSpPr>
      <xdr:spPr bwMode="auto">
        <a:xfrm>
          <a:off x="14409057" y="2220686"/>
          <a:ext cx="31750" cy="31750"/>
        </a:xfrm>
        <a:prstGeom prst="ellipse">
          <a:avLst/>
        </a:prstGeom>
        <a:solidFill>
          <a:srgbClr val="FFFFFF"/>
        </a:solidFill>
        <a:ln w="1">
          <a:solidFill>
            <a:srgbClr val="000000"/>
          </a:solidFill>
          <a:round/>
          <a:headEnd/>
          <a:tailEnd/>
        </a:ln>
      </xdr:spPr>
    </xdr:sp>
    <xdr:clientData/>
  </xdr:twoCellAnchor>
  <xdr:twoCellAnchor>
    <xdr:from>
      <xdr:col>14</xdr:col>
      <xdr:colOff>622300</xdr:colOff>
      <xdr:row>13</xdr:row>
      <xdr:rowOff>50800</xdr:rowOff>
    </xdr:from>
    <xdr:to>
      <xdr:col>14</xdr:col>
      <xdr:colOff>679450</xdr:colOff>
      <xdr:row>13</xdr:row>
      <xdr:rowOff>107950</xdr:rowOff>
    </xdr:to>
    <xdr:sp macro="" textlink="">
      <xdr:nvSpPr>
        <xdr:cNvPr id="5" name="Oval 64">
          <a:extLst>
            <a:ext uri="{FF2B5EF4-FFF2-40B4-BE49-F238E27FC236}">
              <a16:creationId xmlns:a16="http://schemas.microsoft.com/office/drawing/2014/main" id="{00000000-0008-0000-0300-000048180100}"/>
            </a:ext>
          </a:extLst>
        </xdr:cNvPr>
        <xdr:cNvSpPr>
          <a:spLocks noChangeArrowheads="1"/>
        </xdr:cNvSpPr>
      </xdr:nvSpPr>
      <xdr:spPr bwMode="auto">
        <a:xfrm>
          <a:off x="11976100" y="2195286"/>
          <a:ext cx="57150" cy="57150"/>
        </a:xfrm>
        <a:prstGeom prst="ellipse">
          <a:avLst/>
        </a:prstGeom>
        <a:solidFill>
          <a:srgbClr val="FFFFFF"/>
        </a:solidFill>
        <a:ln w="1">
          <a:solidFill>
            <a:srgbClr val="000000"/>
          </a:solidFill>
          <a:round/>
          <a:headEnd/>
          <a:tailEnd/>
        </a:ln>
      </xdr:spPr>
    </xdr:sp>
    <xdr:clientData/>
  </xdr:twoCellAnchor>
  <xdr:twoCellAnchor>
    <xdr:from>
      <xdr:col>20</xdr:col>
      <xdr:colOff>647700</xdr:colOff>
      <xdr:row>13</xdr:row>
      <xdr:rowOff>50800</xdr:rowOff>
    </xdr:from>
    <xdr:to>
      <xdr:col>20</xdr:col>
      <xdr:colOff>749300</xdr:colOff>
      <xdr:row>13</xdr:row>
      <xdr:rowOff>120650</xdr:rowOff>
    </xdr:to>
    <xdr:grpSp>
      <xdr:nvGrpSpPr>
        <xdr:cNvPr id="6" name="Group 101">
          <a:extLst>
            <a:ext uri="{FF2B5EF4-FFF2-40B4-BE49-F238E27FC236}">
              <a16:creationId xmlns:a16="http://schemas.microsoft.com/office/drawing/2014/main" id="{00000000-0008-0000-0300-000049180100}"/>
            </a:ext>
          </a:extLst>
        </xdr:cNvPr>
        <xdr:cNvGrpSpPr>
          <a:grpSpLocks/>
        </xdr:cNvGrpSpPr>
      </xdr:nvGrpSpPr>
      <xdr:grpSpPr bwMode="auto">
        <a:xfrm>
          <a:off x="17131904" y="2086769"/>
          <a:ext cx="101600" cy="69850"/>
          <a:chOff x="-15" y="-5039882"/>
          <a:chExt cx="10" cy="1337"/>
        </a:xfrm>
      </xdr:grpSpPr>
      <xdr:sp macro="" textlink="">
        <xdr:nvSpPr>
          <xdr:cNvPr id="7" name="Oval 90">
            <a:extLst>
              <a:ext uri="{FF2B5EF4-FFF2-40B4-BE49-F238E27FC236}">
                <a16:creationId xmlns:a16="http://schemas.microsoft.com/office/drawing/2014/main" id="{00000000-0008-0000-0300-000064180100}"/>
              </a:ext>
            </a:extLst>
          </xdr:cNvPr>
          <xdr:cNvSpPr>
            <a:spLocks noChangeArrowheads="1"/>
          </xdr:cNvSpPr>
        </xdr:nvSpPr>
        <xdr:spPr bwMode="auto">
          <a:xfrm>
            <a:off x="-15" y="-5039309"/>
            <a:ext cx="10" cy="191"/>
          </a:xfrm>
          <a:prstGeom prst="ellipse">
            <a:avLst/>
          </a:prstGeom>
          <a:solidFill>
            <a:srgbClr val="FFFFFF"/>
          </a:solidFill>
          <a:ln w="9525">
            <a:solidFill>
              <a:srgbClr val="FFFFFF"/>
            </a:solidFill>
            <a:round/>
            <a:headEnd/>
            <a:tailEnd/>
          </a:ln>
        </xdr:spPr>
      </xdr:sp>
      <xdr:sp macro="" textlink="">
        <xdr:nvSpPr>
          <xdr:cNvPr id="8" name="Arc 91">
            <a:extLst>
              <a:ext uri="{FF2B5EF4-FFF2-40B4-BE49-F238E27FC236}">
                <a16:creationId xmlns:a16="http://schemas.microsoft.com/office/drawing/2014/main" id="{00000000-0008-0000-0300-000065180100}"/>
              </a:ext>
            </a:extLst>
          </xdr:cNvPr>
          <xdr:cNvSpPr>
            <a:spLocks/>
          </xdr:cNvSpPr>
        </xdr:nvSpPr>
        <xdr:spPr bwMode="auto">
          <a:xfrm flipH="1">
            <a:off x="-15" y="-5039882"/>
            <a:ext cx="7" cy="573"/>
          </a:xfrm>
          <a:custGeom>
            <a:avLst/>
            <a:gdLst>
              <a:gd name="T0" fmla="*/ 0 w 21600"/>
              <a:gd name="T1" fmla="*/ 0 h 21600"/>
              <a:gd name="T2" fmla="*/ 0 w 21600"/>
              <a:gd name="T3" fmla="*/ 0 h 21600"/>
              <a:gd name="T4" fmla="*/ 0 w 21600"/>
              <a:gd name="T5" fmla="*/ 0 h 21600"/>
              <a:gd name="T6" fmla="*/ 0 60000 65536"/>
              <a:gd name="T7" fmla="*/ 0 60000 65536"/>
              <a:gd name="T8" fmla="*/ 0 60000 65536"/>
              <a:gd name="T9" fmla="*/ 0 w 21600"/>
              <a:gd name="T10" fmla="*/ 0 h 21600"/>
              <a:gd name="T11" fmla="*/ 21600 w 21600"/>
              <a:gd name="T12" fmla="*/ 21600 h 21600"/>
            </a:gdLst>
            <a:ahLst/>
            <a:cxnLst>
              <a:cxn ang="T6">
                <a:pos x="T0" y="T1"/>
              </a:cxn>
              <a:cxn ang="T7">
                <a:pos x="T2" y="T3"/>
              </a:cxn>
              <a:cxn ang="T8">
                <a:pos x="T4" y="T5"/>
              </a:cxn>
            </a:cxnLst>
            <a:rect l="T9" t="T10" r="T11" b="T12"/>
            <a:pathLst>
              <a:path w="21600" h="21600" fill="none" extrusionOk="0">
                <a:moveTo>
                  <a:pt x="-1" y="0"/>
                </a:moveTo>
                <a:cubicBezTo>
                  <a:pt x="11929" y="0"/>
                  <a:pt x="21600" y="9670"/>
                  <a:pt x="21600" y="21600"/>
                </a:cubicBezTo>
              </a:path>
              <a:path w="21600" h="21600" stroke="0" extrusionOk="0">
                <a:moveTo>
                  <a:pt x="-1" y="0"/>
                </a:moveTo>
                <a:cubicBezTo>
                  <a:pt x="11929" y="0"/>
                  <a:pt x="21600" y="9670"/>
                  <a:pt x="21600" y="21600"/>
                </a:cubicBezTo>
                <a:lnTo>
                  <a:pt x="0" y="21600"/>
                </a:lnTo>
                <a:close/>
              </a:path>
            </a:pathLst>
          </a:custGeom>
          <a:noFill/>
          <a:ln w="9525">
            <a:solidFill>
              <a:srgbClr val="FFFFFF"/>
            </a:solidFill>
            <a:round/>
            <a:headEnd/>
            <a:tailEnd/>
          </a:ln>
          <a:extLst>
            <a:ext uri="{909E8E84-426E-40DD-AFC4-6F175D3DCCD1}">
              <a14:hiddenFill xmlns:a14="http://schemas.microsoft.com/office/drawing/2010/main">
                <a:solidFill>
                  <a:srgbClr val="FFFFFF"/>
                </a:solidFill>
              </a14:hiddenFill>
            </a:ext>
          </a:extLst>
        </xdr:spPr>
      </xdr:sp>
      <xdr:sp macro="" textlink="">
        <xdr:nvSpPr>
          <xdr:cNvPr id="9" name="Arc 92">
            <a:extLst>
              <a:ext uri="{FF2B5EF4-FFF2-40B4-BE49-F238E27FC236}">
                <a16:creationId xmlns:a16="http://schemas.microsoft.com/office/drawing/2014/main" id="{00000000-0008-0000-0300-000066180100}"/>
              </a:ext>
            </a:extLst>
          </xdr:cNvPr>
          <xdr:cNvSpPr>
            <a:spLocks/>
          </xdr:cNvSpPr>
        </xdr:nvSpPr>
        <xdr:spPr bwMode="auto">
          <a:xfrm flipV="1">
            <a:off x="-13" y="-5039309"/>
            <a:ext cx="8" cy="764"/>
          </a:xfrm>
          <a:custGeom>
            <a:avLst/>
            <a:gdLst>
              <a:gd name="T0" fmla="*/ 0 w 21600"/>
              <a:gd name="T1" fmla="*/ 0 h 21600"/>
              <a:gd name="T2" fmla="*/ 0 w 21600"/>
              <a:gd name="T3" fmla="*/ 0 h 21600"/>
              <a:gd name="T4" fmla="*/ 0 w 21600"/>
              <a:gd name="T5" fmla="*/ 0 h 21600"/>
              <a:gd name="T6" fmla="*/ 0 60000 65536"/>
              <a:gd name="T7" fmla="*/ 0 60000 65536"/>
              <a:gd name="T8" fmla="*/ 0 60000 65536"/>
              <a:gd name="T9" fmla="*/ 0 w 21600"/>
              <a:gd name="T10" fmla="*/ 0 h 21600"/>
              <a:gd name="T11" fmla="*/ 21600 w 21600"/>
              <a:gd name="T12" fmla="*/ 21600 h 21600"/>
            </a:gdLst>
            <a:ahLst/>
            <a:cxnLst>
              <a:cxn ang="T6">
                <a:pos x="T0" y="T1"/>
              </a:cxn>
              <a:cxn ang="T7">
                <a:pos x="T2" y="T3"/>
              </a:cxn>
              <a:cxn ang="T8">
                <a:pos x="T4" y="T5"/>
              </a:cxn>
            </a:cxnLst>
            <a:rect l="T9" t="T10" r="T11" b="T12"/>
            <a:pathLst>
              <a:path w="21600" h="21600" fill="none" extrusionOk="0">
                <a:moveTo>
                  <a:pt x="-1" y="0"/>
                </a:moveTo>
                <a:cubicBezTo>
                  <a:pt x="11929" y="0"/>
                  <a:pt x="21600" y="9670"/>
                  <a:pt x="21600" y="21600"/>
                </a:cubicBezTo>
              </a:path>
              <a:path w="21600" h="21600" stroke="0" extrusionOk="0">
                <a:moveTo>
                  <a:pt x="-1" y="0"/>
                </a:moveTo>
                <a:cubicBezTo>
                  <a:pt x="11929" y="0"/>
                  <a:pt x="21600" y="9670"/>
                  <a:pt x="21600" y="21600"/>
                </a:cubicBezTo>
                <a:lnTo>
                  <a:pt x="0" y="21600"/>
                </a:lnTo>
                <a:close/>
              </a:path>
            </a:pathLst>
          </a:custGeom>
          <a:noFill/>
          <a:ln w="9525">
            <a:solidFill>
              <a:srgbClr val="FFFFFF"/>
            </a:solidFill>
            <a:round/>
            <a:headEnd/>
            <a:tailEnd/>
          </a:ln>
          <a:extLst>
            <a:ext uri="{909E8E84-426E-40DD-AFC4-6F175D3DCCD1}">
              <a14:hiddenFill xmlns:a14="http://schemas.microsoft.com/office/drawing/2010/main">
                <a:solidFill>
                  <a:srgbClr val="FFFFFF"/>
                </a:solidFill>
              </a14:hiddenFill>
            </a:ext>
          </a:extLst>
        </xdr:spPr>
      </xdr:sp>
    </xdr:grpSp>
    <xdr:clientData/>
  </xdr:twoCellAnchor>
  <xdr:twoCellAnchor>
    <xdr:from>
      <xdr:col>35</xdr:col>
      <xdr:colOff>603250</xdr:colOff>
      <xdr:row>13</xdr:row>
      <xdr:rowOff>38100</xdr:rowOff>
    </xdr:from>
    <xdr:to>
      <xdr:col>35</xdr:col>
      <xdr:colOff>603250</xdr:colOff>
      <xdr:row>13</xdr:row>
      <xdr:rowOff>127000</xdr:rowOff>
    </xdr:to>
    <xdr:sp macro="" textlink="">
      <xdr:nvSpPr>
        <xdr:cNvPr id="31" name="Line 123">
          <a:extLst>
            <a:ext uri="{FF2B5EF4-FFF2-40B4-BE49-F238E27FC236}">
              <a16:creationId xmlns:a16="http://schemas.microsoft.com/office/drawing/2014/main" id="{00000000-0008-0000-0300-000053180100}"/>
            </a:ext>
          </a:extLst>
        </xdr:cNvPr>
        <xdr:cNvSpPr>
          <a:spLocks noChangeShapeType="1"/>
        </xdr:cNvSpPr>
      </xdr:nvSpPr>
      <xdr:spPr bwMode="auto">
        <a:xfrm>
          <a:off x="28987750" y="2182586"/>
          <a:ext cx="0" cy="88900"/>
        </a:xfrm>
        <a:prstGeom prst="line">
          <a:avLst/>
        </a:prstGeom>
        <a:noFill/>
        <a:ln w="9525">
          <a:solidFill>
            <a:srgbClr val="FFFFFF"/>
          </a:solidFill>
          <a:round/>
          <a:headEnd/>
          <a:tailEnd/>
        </a:ln>
        <a:extLst>
          <a:ext uri="{909E8E84-426E-40DD-AFC4-6F175D3DCCD1}">
            <a14:hiddenFill xmlns:a14="http://schemas.microsoft.com/office/drawing/2010/main">
              <a:noFill/>
            </a14:hiddenFill>
          </a:ext>
        </a:extLst>
      </xdr:spPr>
    </xdr:sp>
    <xdr:clientData/>
  </xdr:twoCellAnchor>
  <xdr:twoCellAnchor>
    <xdr:from>
      <xdr:col>17</xdr:col>
      <xdr:colOff>660400</xdr:colOff>
      <xdr:row>286</xdr:row>
      <xdr:rowOff>50800</xdr:rowOff>
    </xdr:from>
    <xdr:to>
      <xdr:col>17</xdr:col>
      <xdr:colOff>698500</xdr:colOff>
      <xdr:row>286</xdr:row>
      <xdr:rowOff>107950</xdr:rowOff>
    </xdr:to>
    <xdr:sp macro="" textlink="">
      <xdr:nvSpPr>
        <xdr:cNvPr id="34" name="Dessin 133">
          <a:extLst>
            <a:ext uri="{FF2B5EF4-FFF2-40B4-BE49-F238E27FC236}">
              <a16:creationId xmlns:a16="http://schemas.microsoft.com/office/drawing/2014/main" id="{00000000-0008-0000-0300-000056180100}"/>
            </a:ext>
          </a:extLst>
        </xdr:cNvPr>
        <xdr:cNvSpPr>
          <a:spLocks/>
        </xdr:cNvSpPr>
      </xdr:nvSpPr>
      <xdr:spPr bwMode="auto">
        <a:xfrm>
          <a:off x="14447157" y="46772286"/>
          <a:ext cx="38100" cy="57150"/>
        </a:xfrm>
        <a:custGeom>
          <a:avLst/>
          <a:gdLst>
            <a:gd name="T0" fmla="*/ 0 w 16384"/>
            <a:gd name="T1" fmla="*/ 0 h 16384"/>
            <a:gd name="T2" fmla="*/ 0 w 16384"/>
            <a:gd name="T3" fmla="*/ 0 h 16384"/>
            <a:gd name="T4" fmla="*/ 0 60000 65536"/>
            <a:gd name="T5" fmla="*/ 0 60000 65536"/>
            <a:gd name="T6" fmla="*/ 0 w 16384"/>
            <a:gd name="T7" fmla="*/ 0 h 16384"/>
            <a:gd name="T8" fmla="*/ 16384 w 16384"/>
            <a:gd name="T9" fmla="*/ 16384 h 16384"/>
          </a:gdLst>
          <a:ahLst/>
          <a:cxnLst>
            <a:cxn ang="T4">
              <a:pos x="T0" y="T1"/>
            </a:cxn>
            <a:cxn ang="T5">
              <a:pos x="T2" y="T3"/>
            </a:cxn>
          </a:cxnLst>
          <a:rect l="T6" t="T7" r="T8" b="T9"/>
          <a:pathLst>
            <a:path w="16384" h="16384">
              <a:moveTo>
                <a:pt x="0" y="0"/>
              </a:moveTo>
              <a:lnTo>
                <a:pt x="0" y="0"/>
              </a:lnTo>
              <a:close/>
            </a:path>
          </a:pathLst>
        </a:custGeom>
        <a:noFill/>
        <a:ln w="952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17</xdr:col>
      <xdr:colOff>660400</xdr:colOff>
      <xdr:row>286</xdr:row>
      <xdr:rowOff>50800</xdr:rowOff>
    </xdr:from>
    <xdr:to>
      <xdr:col>17</xdr:col>
      <xdr:colOff>698500</xdr:colOff>
      <xdr:row>286</xdr:row>
      <xdr:rowOff>107950</xdr:rowOff>
    </xdr:to>
    <xdr:sp macro="" textlink="">
      <xdr:nvSpPr>
        <xdr:cNvPr id="36" name="Dessin 133">
          <a:extLst>
            <a:ext uri="{FF2B5EF4-FFF2-40B4-BE49-F238E27FC236}">
              <a16:creationId xmlns:a16="http://schemas.microsoft.com/office/drawing/2014/main" id="{E4B80546-339E-483F-8442-C83FD4BE991D}"/>
            </a:ext>
          </a:extLst>
        </xdr:cNvPr>
        <xdr:cNvSpPr>
          <a:spLocks/>
        </xdr:cNvSpPr>
      </xdr:nvSpPr>
      <xdr:spPr bwMode="auto">
        <a:xfrm>
          <a:off x="14947900" y="45023088"/>
          <a:ext cx="38100" cy="57150"/>
        </a:xfrm>
        <a:custGeom>
          <a:avLst/>
          <a:gdLst>
            <a:gd name="T0" fmla="*/ 0 w 16384"/>
            <a:gd name="T1" fmla="*/ 0 h 16384"/>
            <a:gd name="T2" fmla="*/ 0 w 16384"/>
            <a:gd name="T3" fmla="*/ 0 h 16384"/>
            <a:gd name="T4" fmla="*/ 0 60000 65536"/>
            <a:gd name="T5" fmla="*/ 0 60000 65536"/>
            <a:gd name="T6" fmla="*/ 0 w 16384"/>
            <a:gd name="T7" fmla="*/ 0 h 16384"/>
            <a:gd name="T8" fmla="*/ 16384 w 16384"/>
            <a:gd name="T9" fmla="*/ 16384 h 16384"/>
          </a:gdLst>
          <a:ahLst/>
          <a:cxnLst>
            <a:cxn ang="T4">
              <a:pos x="T0" y="T1"/>
            </a:cxn>
            <a:cxn ang="T5">
              <a:pos x="T2" y="T3"/>
            </a:cxn>
          </a:cxnLst>
          <a:rect l="T6" t="T7" r="T8" b="T9"/>
          <a:pathLst>
            <a:path w="16384" h="16384">
              <a:moveTo>
                <a:pt x="0" y="0"/>
              </a:moveTo>
              <a:lnTo>
                <a:pt x="0" y="0"/>
              </a:lnTo>
              <a:close/>
            </a:path>
          </a:pathLst>
        </a:custGeom>
        <a:noFill/>
        <a:ln w="9525">
          <a:solidFill>
            <a:srgbClr val="000000"/>
          </a:solidFill>
          <a:round/>
          <a:headEnd/>
          <a:tailEnd/>
        </a:ln>
        <a:extLst>
          <a:ext uri="{909E8E84-426E-40DD-AFC4-6F175D3DCCD1}">
            <a14:hiddenFill xmlns:a14="http://schemas.microsoft.com/office/drawing/2010/main">
              <a:solidFill>
                <a:srgbClr val="FFFFFF"/>
              </a:solidFill>
            </a14:hiddenFill>
          </a:ext>
        </a:extLst>
      </xdr:spPr>
    </xdr:sp>
    <xdr:clientData/>
  </xdr:twoCellAnchor>
  <xdr:oneCellAnchor>
    <xdr:from>
      <xdr:col>10</xdr:col>
      <xdr:colOff>1807</xdr:colOff>
      <xdr:row>286</xdr:row>
      <xdr:rowOff>4476</xdr:rowOff>
    </xdr:from>
    <xdr:ext cx="350044" cy="149895"/>
    <mc:AlternateContent xmlns:mc="http://schemas.openxmlformats.org/markup-compatibility/2006" xmlns:a14="http://schemas.microsoft.com/office/drawing/2010/main">
      <mc:Choice Requires="a14">
        <xdr:sp macro="" textlink="">
          <xdr:nvSpPr>
            <xdr:cNvPr id="37" name="ZoneTexte 36">
              <a:extLst>
                <a:ext uri="{FF2B5EF4-FFF2-40B4-BE49-F238E27FC236}">
                  <a16:creationId xmlns:a16="http://schemas.microsoft.com/office/drawing/2014/main" id="{B00285A4-8C46-4114-8151-4EB7933CB2D6}"/>
                </a:ext>
              </a:extLst>
            </xdr:cNvPr>
            <xdr:cNvSpPr txBox="1"/>
          </xdr:nvSpPr>
          <xdr:spPr>
            <a:xfrm>
              <a:off x="8555257" y="44976764"/>
              <a:ext cx="350044" cy="14989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lIns="0" tIns="0" rIns="0" bIns="0" rtlCol="0" anchor="t">
              <a:noAutofit/>
            </a:bodyPr>
            <a:lstStyle/>
            <a:p>
              <a:pPr/>
              <a14:m>
                <m:oMathPara xmlns:m="http://schemas.openxmlformats.org/officeDocument/2006/math">
                  <m:oMathParaPr>
                    <m:jc m:val="centerGroup"/>
                  </m:oMathParaPr>
                  <m:oMath xmlns:m="http://schemas.openxmlformats.org/officeDocument/2006/math">
                    <m:acc>
                      <m:accPr>
                        <m:chr m:val="̇"/>
                        <m:ctrlPr>
                          <a:rPr lang="fr-FR" sz="1100" i="1">
                            <a:solidFill>
                              <a:schemeClr val="bg1"/>
                            </a:solidFill>
                            <a:latin typeface="Cambria Math" panose="02040503050406030204" pitchFamily="18" charset="0"/>
                          </a:rPr>
                        </m:ctrlPr>
                      </m:accPr>
                      <m:e>
                        <m:r>
                          <m:rPr>
                            <m:sty m:val="p"/>
                          </m:rPr>
                          <a:rPr lang="el-GR" sz="1100" i="1">
                            <a:solidFill>
                              <a:schemeClr val="bg1"/>
                            </a:solidFill>
                            <a:latin typeface="Cambria Math" panose="02040503050406030204" pitchFamily="18" charset="0"/>
                            <a:ea typeface="Cambria Math" panose="02040503050406030204" pitchFamily="18" charset="0"/>
                          </a:rPr>
                          <m:t>Ω</m:t>
                        </m:r>
                      </m:e>
                    </m:acc>
                  </m:oMath>
                </m:oMathPara>
              </a14:m>
              <a:endParaRPr lang="fr-FR" sz="1100">
                <a:solidFill>
                  <a:schemeClr val="bg1"/>
                </a:solidFill>
              </a:endParaRPr>
            </a:p>
          </xdr:txBody>
        </xdr:sp>
      </mc:Choice>
      <mc:Fallback xmlns="">
        <xdr:sp macro="" textlink="">
          <xdr:nvSpPr>
            <xdr:cNvPr id="37" name="ZoneTexte 36">
              <a:extLst>
                <a:ext uri="{FF2B5EF4-FFF2-40B4-BE49-F238E27FC236}">
                  <a16:creationId xmlns:a16="http://schemas.microsoft.com/office/drawing/2014/main" id="{B00285A4-8C46-4114-8151-4EB7933CB2D6}"/>
                </a:ext>
              </a:extLst>
            </xdr:cNvPr>
            <xdr:cNvSpPr txBox="1"/>
          </xdr:nvSpPr>
          <xdr:spPr>
            <a:xfrm>
              <a:off x="8555257" y="44976764"/>
              <a:ext cx="350044" cy="149895"/>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lIns="0" tIns="0" rIns="0" bIns="0" rtlCol="0" anchor="t">
              <a:noAutofit/>
            </a:bodyPr>
            <a:lstStyle/>
            <a:p>
              <a:pPr/>
              <a:r>
                <a:rPr lang="el-GR" sz="1100" i="0">
                  <a:solidFill>
                    <a:schemeClr val="bg1"/>
                  </a:solidFill>
                  <a:latin typeface="Cambria Math" panose="02040503050406030204" pitchFamily="18" charset="0"/>
                  <a:ea typeface="Cambria Math" panose="02040503050406030204" pitchFamily="18" charset="0"/>
                </a:rPr>
                <a:t>Ω</a:t>
              </a:r>
              <a:r>
                <a:rPr lang="fr-FR" sz="1100" i="0">
                  <a:solidFill>
                    <a:schemeClr val="bg1"/>
                  </a:solidFill>
                  <a:latin typeface="Cambria Math" panose="02040503050406030204" pitchFamily="18" charset="0"/>
                  <a:ea typeface="Cambria Math" panose="02040503050406030204" pitchFamily="18" charset="0"/>
                </a:rPr>
                <a:t> ̇</a:t>
              </a:r>
              <a:endParaRPr lang="fr-FR" sz="1100">
                <a:solidFill>
                  <a:schemeClr val="bg1"/>
                </a:solidFill>
              </a:endParaRPr>
            </a:p>
          </xdr:txBody>
        </xdr:sp>
      </mc:Fallback>
    </mc:AlternateContent>
    <xdr:clientData/>
  </xdr:oneCellAnchor>
  <xdr:twoCellAnchor editAs="oneCell">
    <xdr:from>
      <xdr:col>24</xdr:col>
      <xdr:colOff>170623</xdr:colOff>
      <xdr:row>278</xdr:row>
      <xdr:rowOff>72000</xdr:rowOff>
    </xdr:from>
    <xdr:to>
      <xdr:col>24</xdr:col>
      <xdr:colOff>386623</xdr:colOff>
      <xdr:row>279</xdr:row>
      <xdr:rowOff>133219</xdr:rowOff>
    </xdr:to>
    <xdr:pic>
      <xdr:nvPicPr>
        <xdr:cNvPr id="10" name="Image 9">
          <a:extLst>
            <a:ext uri="{FF2B5EF4-FFF2-40B4-BE49-F238E27FC236}">
              <a16:creationId xmlns:a16="http://schemas.microsoft.com/office/drawing/2014/main" id="{54F5DC1F-685F-4B8C-B8B5-DA3FCE766027}"/>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9917139" y="43125000"/>
          <a:ext cx="216000" cy="216000"/>
        </a:xfrm>
        <a:prstGeom prst="rect">
          <a:avLst/>
        </a:prstGeom>
      </xdr:spPr>
    </xdr:pic>
    <xdr:clientData/>
  </xdr:twoCellAnchor>
  <xdr:twoCellAnchor editAs="oneCell">
    <xdr:from>
      <xdr:col>23</xdr:col>
      <xdr:colOff>539485</xdr:colOff>
      <xdr:row>278</xdr:row>
      <xdr:rowOff>54000</xdr:rowOff>
    </xdr:from>
    <xdr:to>
      <xdr:col>23</xdr:col>
      <xdr:colOff>791485</xdr:colOff>
      <xdr:row>279</xdr:row>
      <xdr:rowOff>151219</xdr:rowOff>
    </xdr:to>
    <xdr:pic>
      <xdr:nvPicPr>
        <xdr:cNvPr id="11" name="Image 10">
          <a:extLst>
            <a:ext uri="{FF2B5EF4-FFF2-40B4-BE49-F238E27FC236}">
              <a16:creationId xmlns:a16="http://schemas.microsoft.com/office/drawing/2014/main" id="{B55556C9-5E78-4A5E-A043-D70728DC0036}"/>
            </a:ext>
          </a:extLst>
        </xdr:cNvPr>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19470423" y="43107000"/>
          <a:ext cx="252000" cy="252000"/>
        </a:xfrm>
        <a:prstGeom prst="rect">
          <a:avLst/>
        </a:prstGeom>
      </xdr:spPr>
    </xdr:pic>
    <xdr:clientData/>
  </xdr:twoCellAnchor>
  <xdr:twoCellAnchor editAs="oneCell">
    <xdr:from>
      <xdr:col>25</xdr:col>
      <xdr:colOff>695193</xdr:colOff>
      <xdr:row>278</xdr:row>
      <xdr:rowOff>0</xdr:rowOff>
    </xdr:from>
    <xdr:to>
      <xdr:col>26</xdr:col>
      <xdr:colOff>375450</xdr:colOff>
      <xdr:row>280</xdr:row>
      <xdr:rowOff>50437</xdr:rowOff>
    </xdr:to>
    <xdr:pic>
      <xdr:nvPicPr>
        <xdr:cNvPr id="12" name="Image 11">
          <a:extLst>
            <a:ext uri="{FF2B5EF4-FFF2-40B4-BE49-F238E27FC236}">
              <a16:creationId xmlns:a16="http://schemas.microsoft.com/office/drawing/2014/main" id="{6E668570-7A88-44B7-82E6-E98D4683F607}"/>
            </a:ext>
          </a:extLst>
        </xdr:cNvPr>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val="0"/>
            </a:ext>
          </a:extLst>
        </a:blip>
        <a:stretch>
          <a:fillRect/>
        </a:stretch>
      </xdr:blipFill>
      <xdr:spPr>
        <a:xfrm>
          <a:off x="21257287" y="43053000"/>
          <a:ext cx="495836" cy="360000"/>
        </a:xfrm>
        <a:prstGeom prst="rect">
          <a:avLst/>
        </a:prstGeom>
      </xdr:spPr>
    </xdr:pic>
    <xdr:clientData/>
  </xdr:twoCellAnchor>
  <xdr:twoCellAnchor editAs="oneCell">
    <xdr:from>
      <xdr:col>25</xdr:col>
      <xdr:colOff>140477</xdr:colOff>
      <xdr:row>278</xdr:row>
      <xdr:rowOff>0</xdr:rowOff>
    </xdr:from>
    <xdr:to>
      <xdr:col>25</xdr:col>
      <xdr:colOff>500477</xdr:colOff>
      <xdr:row>280</xdr:row>
      <xdr:rowOff>50437</xdr:rowOff>
    </xdr:to>
    <xdr:pic>
      <xdr:nvPicPr>
        <xdr:cNvPr id="13" name="Image 12">
          <a:extLst>
            <a:ext uri="{FF2B5EF4-FFF2-40B4-BE49-F238E27FC236}">
              <a16:creationId xmlns:a16="http://schemas.microsoft.com/office/drawing/2014/main" id="{9B9EF089-5559-4BB5-A4F7-1F83294B9752}"/>
            </a:ext>
          </a:extLst>
        </xdr:cNvPr>
        <xdr:cNvPicPr>
          <a:picLocks noChangeAspect="1"/>
        </xdr:cNvPicPr>
      </xdr:nvPicPr>
      <xdr:blipFill>
        <a:blip xmlns:r="http://schemas.openxmlformats.org/officeDocument/2006/relationships" r:embed="rId4" cstate="print">
          <a:extLst>
            <a:ext uri="{28A0092B-C50C-407E-A947-70E740481C1C}">
              <a14:useLocalDpi xmlns:a14="http://schemas.microsoft.com/office/drawing/2010/main" val="0"/>
            </a:ext>
          </a:extLst>
        </a:blip>
        <a:stretch>
          <a:fillRect/>
        </a:stretch>
      </xdr:blipFill>
      <xdr:spPr>
        <a:xfrm>
          <a:off x="20702571" y="43053000"/>
          <a:ext cx="360000" cy="360000"/>
        </a:xfrm>
        <a:prstGeom prst="rect">
          <a:avLst/>
        </a:prstGeom>
      </xdr:spPr>
    </xdr:pic>
    <xdr:clientData/>
  </xdr:twoCellAnchor>
  <xdr:twoCellAnchor editAs="oneCell">
    <xdr:from>
      <xdr:col>24</xdr:col>
      <xdr:colOff>581339</xdr:colOff>
      <xdr:row>278</xdr:row>
      <xdr:rowOff>90000</xdr:rowOff>
    </xdr:from>
    <xdr:to>
      <xdr:col>24</xdr:col>
      <xdr:colOff>761339</xdr:colOff>
      <xdr:row>279</xdr:row>
      <xdr:rowOff>115219</xdr:rowOff>
    </xdr:to>
    <xdr:pic>
      <xdr:nvPicPr>
        <xdr:cNvPr id="14" name="Image 13">
          <a:extLst>
            <a:ext uri="{FF2B5EF4-FFF2-40B4-BE49-F238E27FC236}">
              <a16:creationId xmlns:a16="http://schemas.microsoft.com/office/drawing/2014/main" id="{16AA0F0F-12E5-4EE5-ADAB-18AD239D67D9}"/>
            </a:ext>
          </a:extLst>
        </xdr:cNvPr>
        <xdr:cNvPicPr>
          <a:picLocks noChangeAspect="1"/>
        </xdr:cNvPicPr>
      </xdr:nvPicPr>
      <xdr:blipFill>
        <a:blip xmlns:r="http://schemas.openxmlformats.org/officeDocument/2006/relationships" r:embed="rId5" cstate="print">
          <a:extLst>
            <a:ext uri="{28A0092B-C50C-407E-A947-70E740481C1C}">
              <a14:useLocalDpi xmlns:a14="http://schemas.microsoft.com/office/drawing/2010/main" val="0"/>
            </a:ext>
          </a:extLst>
        </a:blip>
        <a:stretch>
          <a:fillRect/>
        </a:stretch>
      </xdr:blipFill>
      <xdr:spPr>
        <a:xfrm>
          <a:off x="20327855" y="43143000"/>
          <a:ext cx="180000" cy="180000"/>
        </a:xfrm>
        <a:prstGeom prst="rect">
          <a:avLst/>
        </a:prstGeom>
      </xdr:spPr>
    </xdr:pic>
    <xdr:clientData/>
  </xdr:twoCellAnchor>
  <xdr:twoCellAnchor editAs="oneCell">
    <xdr:from>
      <xdr:col>22</xdr:col>
      <xdr:colOff>119062</xdr:colOff>
      <xdr:row>278</xdr:row>
      <xdr:rowOff>18000</xdr:rowOff>
    </xdr:from>
    <xdr:to>
      <xdr:col>22</xdr:col>
      <xdr:colOff>443062</xdr:colOff>
      <xdr:row>280</xdr:row>
      <xdr:rowOff>32437</xdr:rowOff>
    </xdr:to>
    <xdr:pic>
      <xdr:nvPicPr>
        <xdr:cNvPr id="15" name="Image 14">
          <a:extLst>
            <a:ext uri="{FF2B5EF4-FFF2-40B4-BE49-F238E27FC236}">
              <a16:creationId xmlns:a16="http://schemas.microsoft.com/office/drawing/2014/main" id="{B4FCE7E7-D5F7-4579-9BBD-7976F03932AD}"/>
            </a:ext>
          </a:extLst>
        </xdr:cNvPr>
        <xdr:cNvPicPr>
          <a:picLocks noChangeAspect="1"/>
        </xdr:cNvPicPr>
      </xdr:nvPicPr>
      <xdr:blipFill>
        <a:blip xmlns:r="http://schemas.openxmlformats.org/officeDocument/2006/relationships" r:embed="rId6" cstate="print">
          <a:extLst>
            <a:ext uri="{28A0092B-C50C-407E-A947-70E740481C1C}">
              <a14:useLocalDpi xmlns:a14="http://schemas.microsoft.com/office/drawing/2010/main" val="0"/>
            </a:ext>
          </a:extLst>
        </a:blip>
        <a:stretch>
          <a:fillRect/>
        </a:stretch>
      </xdr:blipFill>
      <xdr:spPr>
        <a:xfrm>
          <a:off x="18234422" y="43071000"/>
          <a:ext cx="324000" cy="324000"/>
        </a:xfrm>
        <a:prstGeom prst="rect">
          <a:avLst/>
        </a:prstGeom>
      </xdr:spPr>
    </xdr:pic>
    <xdr:clientData/>
  </xdr:twoCellAnchor>
  <xdr:twoCellAnchor editAs="oneCell">
    <xdr:from>
      <xdr:col>23</xdr:col>
      <xdr:colOff>162738</xdr:colOff>
      <xdr:row>278</xdr:row>
      <xdr:rowOff>90000</xdr:rowOff>
    </xdr:from>
    <xdr:to>
      <xdr:col>23</xdr:col>
      <xdr:colOff>344769</xdr:colOff>
      <xdr:row>279</xdr:row>
      <xdr:rowOff>115219</xdr:rowOff>
    </xdr:to>
    <xdr:pic>
      <xdr:nvPicPr>
        <xdr:cNvPr id="16" name="Image 15">
          <a:extLst>
            <a:ext uri="{FF2B5EF4-FFF2-40B4-BE49-F238E27FC236}">
              <a16:creationId xmlns:a16="http://schemas.microsoft.com/office/drawing/2014/main" id="{86C74C18-B1CA-4C4E-8699-B69693CD1909}"/>
            </a:ext>
          </a:extLst>
        </xdr:cNvPr>
        <xdr:cNvPicPr>
          <a:picLocks noChangeAspect="1"/>
        </xdr:cNvPicPr>
      </xdr:nvPicPr>
      <xdr:blipFill>
        <a:blip xmlns:r="http://schemas.openxmlformats.org/officeDocument/2006/relationships" r:embed="rId7" cstate="print">
          <a:extLst>
            <a:ext uri="{28A0092B-C50C-407E-A947-70E740481C1C}">
              <a14:useLocalDpi xmlns:a14="http://schemas.microsoft.com/office/drawing/2010/main" val="0"/>
            </a:ext>
          </a:extLst>
        </a:blip>
        <a:stretch>
          <a:fillRect/>
        </a:stretch>
      </xdr:blipFill>
      <xdr:spPr>
        <a:xfrm>
          <a:off x="19093676" y="43143000"/>
          <a:ext cx="182031" cy="180000"/>
        </a:xfrm>
        <a:prstGeom prst="rect">
          <a:avLst/>
        </a:prstGeom>
      </xdr:spPr>
    </xdr:pic>
    <xdr:clientData/>
  </xdr:twoCellAnchor>
  <xdr:twoCellAnchor editAs="oneCell">
    <xdr:from>
      <xdr:col>27</xdr:col>
      <xdr:colOff>166688</xdr:colOff>
      <xdr:row>278</xdr:row>
      <xdr:rowOff>72000</xdr:rowOff>
    </xdr:from>
    <xdr:to>
      <xdr:col>27</xdr:col>
      <xdr:colOff>379229</xdr:colOff>
      <xdr:row>279</xdr:row>
      <xdr:rowOff>133219</xdr:rowOff>
    </xdr:to>
    <xdr:pic>
      <xdr:nvPicPr>
        <xdr:cNvPr id="17" name="Image 16">
          <a:extLst>
            <a:ext uri="{FF2B5EF4-FFF2-40B4-BE49-F238E27FC236}">
              <a16:creationId xmlns:a16="http://schemas.microsoft.com/office/drawing/2014/main" id="{502540AF-99D9-4AC0-9FAA-797ACDB24A1E}"/>
            </a:ext>
          </a:extLst>
        </xdr:cNvPr>
        <xdr:cNvPicPr>
          <a:picLocks noChangeAspect="1"/>
        </xdr:cNvPicPr>
      </xdr:nvPicPr>
      <xdr:blipFill>
        <a:blip xmlns:r="http://schemas.openxmlformats.org/officeDocument/2006/relationships" r:embed="rId8" cstate="print">
          <a:extLst>
            <a:ext uri="{28A0092B-C50C-407E-A947-70E740481C1C}">
              <a14:useLocalDpi xmlns:a14="http://schemas.microsoft.com/office/drawing/2010/main" val="0"/>
            </a:ext>
          </a:extLst>
        </a:blip>
        <a:stretch>
          <a:fillRect/>
        </a:stretch>
      </xdr:blipFill>
      <xdr:spPr>
        <a:xfrm>
          <a:off x="22359938" y="43125000"/>
          <a:ext cx="212541" cy="216000"/>
        </a:xfrm>
        <a:prstGeom prst="rect">
          <a:avLst/>
        </a:prstGeom>
      </xdr:spPr>
    </xdr:pic>
    <xdr:clientData/>
  </xdr:twoCellAnchor>
  <xdr:twoCellAnchor editAs="oneCell">
    <xdr:from>
      <xdr:col>26</xdr:col>
      <xdr:colOff>570166</xdr:colOff>
      <xdr:row>278</xdr:row>
      <xdr:rowOff>72000</xdr:rowOff>
    </xdr:from>
    <xdr:to>
      <xdr:col>26</xdr:col>
      <xdr:colOff>787549</xdr:colOff>
      <xdr:row>279</xdr:row>
      <xdr:rowOff>133219</xdr:rowOff>
    </xdr:to>
    <xdr:pic>
      <xdr:nvPicPr>
        <xdr:cNvPr id="18" name="Image 17">
          <a:extLst>
            <a:ext uri="{FF2B5EF4-FFF2-40B4-BE49-F238E27FC236}">
              <a16:creationId xmlns:a16="http://schemas.microsoft.com/office/drawing/2014/main" id="{BFD8C349-7094-44EC-BE9D-2C40A4E93238}"/>
            </a:ext>
          </a:extLst>
        </xdr:cNvPr>
        <xdr:cNvPicPr>
          <a:picLocks noChangeAspect="1"/>
        </xdr:cNvPicPr>
      </xdr:nvPicPr>
      <xdr:blipFill>
        <a:blip xmlns:r="http://schemas.openxmlformats.org/officeDocument/2006/relationships" r:embed="rId9" cstate="print">
          <a:extLst>
            <a:ext uri="{28A0092B-C50C-407E-A947-70E740481C1C}">
              <a14:useLocalDpi xmlns:a14="http://schemas.microsoft.com/office/drawing/2010/main" val="0"/>
            </a:ext>
          </a:extLst>
        </a:blip>
        <a:stretch>
          <a:fillRect/>
        </a:stretch>
      </xdr:blipFill>
      <xdr:spPr>
        <a:xfrm>
          <a:off x="21947839" y="43125000"/>
          <a:ext cx="217383" cy="216000"/>
        </a:xfrm>
        <a:prstGeom prst="rect">
          <a:avLst/>
        </a:prstGeom>
      </xdr:spPr>
    </xdr:pic>
    <xdr:clientData/>
  </xdr:twoCellAnchor>
  <xdr:twoCellAnchor editAs="oneCell">
    <xdr:from>
      <xdr:col>22</xdr:col>
      <xdr:colOff>637778</xdr:colOff>
      <xdr:row>278</xdr:row>
      <xdr:rowOff>108000</xdr:rowOff>
    </xdr:from>
    <xdr:to>
      <xdr:col>22</xdr:col>
      <xdr:colOff>783600</xdr:colOff>
      <xdr:row>279</xdr:row>
      <xdr:rowOff>97219</xdr:rowOff>
    </xdr:to>
    <xdr:pic>
      <xdr:nvPicPr>
        <xdr:cNvPr id="19" name="Image 18">
          <a:extLst>
            <a:ext uri="{FF2B5EF4-FFF2-40B4-BE49-F238E27FC236}">
              <a16:creationId xmlns:a16="http://schemas.microsoft.com/office/drawing/2014/main" id="{F0E368E3-C646-4020-A107-2B8DEA963C57}"/>
            </a:ext>
          </a:extLst>
        </xdr:cNvPr>
        <xdr:cNvPicPr>
          <a:picLocks noChangeAspect="1"/>
        </xdr:cNvPicPr>
      </xdr:nvPicPr>
      <xdr:blipFill>
        <a:blip xmlns:r="http://schemas.openxmlformats.org/officeDocument/2006/relationships" r:embed="rId10" cstate="print">
          <a:extLst>
            <a:ext uri="{28A0092B-C50C-407E-A947-70E740481C1C}">
              <a14:useLocalDpi xmlns:a14="http://schemas.microsoft.com/office/drawing/2010/main" val="0"/>
            </a:ext>
          </a:extLst>
        </a:blip>
        <a:stretch>
          <a:fillRect/>
        </a:stretch>
      </xdr:blipFill>
      <xdr:spPr>
        <a:xfrm>
          <a:off x="18753138" y="43161000"/>
          <a:ext cx="145822" cy="144000"/>
        </a:xfrm>
        <a:prstGeom prst="rect">
          <a:avLst/>
        </a:prstGeom>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7.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printerSettings" Target="../printerSettings/printerSettings5.bin"/><Relationship Id="rId1" Type="http://schemas.openxmlformats.org/officeDocument/2006/relationships/hyperlink" Target="https://forum.excel-pratique.com/applications/xciel-avec-version-sans-macro-3329"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L4:N31"/>
  <sheetViews>
    <sheetView showGridLines="0" showRowColHeaders="0" tabSelected="1" zoomScaleNormal="100" workbookViewId="0">
      <selection activeCell="L8" sqref="L8"/>
    </sheetView>
  </sheetViews>
  <sheetFormatPr baseColWidth="10" defaultColWidth="11.3984375" defaultRowHeight="14.25" x14ac:dyDescent="0.45"/>
  <sheetData>
    <row r="4" spans="12:14" x14ac:dyDescent="0.45">
      <c r="L4" s="46" t="s">
        <v>0</v>
      </c>
      <c r="M4" s="46"/>
      <c r="N4" s="46"/>
    </row>
    <row r="5" spans="12:14" x14ac:dyDescent="0.45">
      <c r="L5" s="47" t="s">
        <v>1</v>
      </c>
      <c r="M5" s="47"/>
      <c r="N5" s="47"/>
    </row>
    <row r="7" spans="12:14" x14ac:dyDescent="0.45">
      <c r="L7" s="34" t="s">
        <v>2</v>
      </c>
      <c r="M7" s="34" t="s">
        <v>3</v>
      </c>
      <c r="N7" s="34" t="s">
        <v>4</v>
      </c>
    </row>
    <row r="8" spans="12:14" x14ac:dyDescent="0.45">
      <c r="L8" s="34">
        <v>25</v>
      </c>
      <c r="M8" s="34">
        <v>3</v>
      </c>
      <c r="N8" s="34">
        <v>2026</v>
      </c>
    </row>
    <row r="10" spans="12:14" x14ac:dyDescent="0.45">
      <c r="L10" s="34" t="s">
        <v>5</v>
      </c>
      <c r="M10" s="34" t="s">
        <v>6</v>
      </c>
    </row>
    <row r="11" spans="12:14" x14ac:dyDescent="0.45">
      <c r="L11" s="34">
        <v>11</v>
      </c>
      <c r="M11" s="34">
        <v>45</v>
      </c>
    </row>
    <row r="14" spans="12:14" x14ac:dyDescent="0.45">
      <c r="L14" s="46" t="s">
        <v>7</v>
      </c>
      <c r="M14" s="46"/>
      <c r="N14" s="46"/>
    </row>
    <row r="16" spans="12:14" x14ac:dyDescent="0.45">
      <c r="L16" s="3" t="s">
        <v>8</v>
      </c>
      <c r="M16" s="27">
        <v>2</v>
      </c>
      <c r="N16" s="28">
        <v>25</v>
      </c>
    </row>
    <row r="17" spans="12:14" x14ac:dyDescent="0.45">
      <c r="L17" s="3" t="s">
        <v>9</v>
      </c>
      <c r="M17" s="27">
        <v>48</v>
      </c>
      <c r="N17" s="28">
        <v>50</v>
      </c>
    </row>
    <row r="19" spans="12:14" x14ac:dyDescent="0.45">
      <c r="L19" t="s">
        <v>10</v>
      </c>
    </row>
    <row r="21" spans="12:14" x14ac:dyDescent="0.45">
      <c r="L21" t="s">
        <v>219</v>
      </c>
      <c r="M21" s="27">
        <v>0</v>
      </c>
      <c r="N21" s="28">
        <v>0</v>
      </c>
    </row>
    <row r="22" spans="12:14" x14ac:dyDescent="0.45">
      <c r="L22" t="s">
        <v>221</v>
      </c>
      <c r="M22" s="27">
        <v>51</v>
      </c>
      <c r="N22" s="28">
        <v>28</v>
      </c>
    </row>
    <row r="24" spans="12:14" x14ac:dyDescent="0.45">
      <c r="L24" t="s">
        <v>11</v>
      </c>
      <c r="M24" s="27">
        <v>2</v>
      </c>
      <c r="N24" s="28">
        <v>25</v>
      </c>
    </row>
    <row r="25" spans="12:14" x14ac:dyDescent="0.45">
      <c r="L25" t="s">
        <v>12</v>
      </c>
      <c r="M25" s="27">
        <v>48</v>
      </c>
      <c r="N25" s="28">
        <v>50</v>
      </c>
    </row>
    <row r="27" spans="12:14" x14ac:dyDescent="0.45">
      <c r="L27" t="s">
        <v>13</v>
      </c>
      <c r="M27" s="27">
        <v>-74</v>
      </c>
      <c r="N27" s="28">
        <v>0</v>
      </c>
    </row>
    <row r="28" spans="12:14" x14ac:dyDescent="0.45">
      <c r="L28" t="s">
        <v>14</v>
      </c>
      <c r="M28" s="27">
        <v>40</v>
      </c>
      <c r="N28" s="28">
        <v>42</v>
      </c>
    </row>
    <row r="30" spans="12:14" x14ac:dyDescent="0.45">
      <c r="L30" t="s">
        <v>15</v>
      </c>
      <c r="M30" s="27">
        <v>151</v>
      </c>
      <c r="N30" s="28">
        <v>12</v>
      </c>
    </row>
    <row r="31" spans="12:14" x14ac:dyDescent="0.45">
      <c r="L31" t="s">
        <v>16</v>
      </c>
      <c r="M31" s="27">
        <v>-33</v>
      </c>
      <c r="N31" s="28">
        <v>-52</v>
      </c>
    </row>
  </sheetData>
  <mergeCells count="3">
    <mergeCell ref="L14:N14"/>
    <mergeCell ref="L5:N5"/>
    <mergeCell ref="L4:N4"/>
  </mergeCells>
  <dataValidations count="5">
    <dataValidation type="whole" allowBlank="1" showInputMessage="1" showErrorMessage="1" sqref="L8" xr:uid="{3242F7FC-4C0D-4881-942E-89B44619A79C}">
      <formula1>1</formula1>
      <formula2>31</formula2>
    </dataValidation>
    <dataValidation type="whole" allowBlank="1" showInputMessage="1" showErrorMessage="1" sqref="M8" xr:uid="{61359209-2DC6-42A4-B05C-0791321B718A}">
      <formula1>1</formula1>
      <formula2>12</formula2>
    </dataValidation>
    <dataValidation type="whole" allowBlank="1" showInputMessage="1" showErrorMessage="1" sqref="N8" xr:uid="{330DA2B2-476F-4313-8A51-45F2C1A2DF87}">
      <formula1>1900</formula1>
      <formula2>2099</formula2>
    </dataValidation>
    <dataValidation type="whole" allowBlank="1" showInputMessage="1" showErrorMessage="1" sqref="L11" xr:uid="{D916835C-6EA4-4779-BB8F-69D8F7BED11A}">
      <formula1>0</formula1>
      <formula2>24</formula2>
    </dataValidation>
    <dataValidation type="whole" allowBlank="1" showInputMessage="1" showErrorMessage="1" sqref="M11" xr:uid="{C3722921-7361-4B3D-A77F-9E8E95B668B6}">
      <formula1>0</formula1>
      <formula2>60</formula2>
    </dataValidation>
  </dataValidation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4"/>
  <dimension ref="N11:N18"/>
  <sheetViews>
    <sheetView showGridLines="0" showRowColHeaders="0" zoomScaleNormal="100" workbookViewId="0">
      <selection activeCell="N12" sqref="N12"/>
    </sheetView>
  </sheetViews>
  <sheetFormatPr baseColWidth="10" defaultColWidth="11.3984375" defaultRowHeight="14.25" x14ac:dyDescent="0.45"/>
  <sheetData>
    <row r="11" spans="14:14" x14ac:dyDescent="0.45">
      <c r="N11" s="3" t="s">
        <v>17</v>
      </c>
    </row>
    <row r="12" spans="14:14" x14ac:dyDescent="0.45">
      <c r="N12" s="27">
        <v>180</v>
      </c>
    </row>
    <row r="15" spans="14:14" x14ac:dyDescent="0.45">
      <c r="N15" t="s">
        <v>18</v>
      </c>
    </row>
    <row r="16" spans="14:14" x14ac:dyDescent="0.45">
      <c r="N16" t="s">
        <v>251</v>
      </c>
    </row>
    <row r="17" spans="14:14" x14ac:dyDescent="0.45">
      <c r="N17" t="s">
        <v>19</v>
      </c>
    </row>
    <row r="18" spans="14:14" x14ac:dyDescent="0.45">
      <c r="N18" t="s">
        <v>252</v>
      </c>
    </row>
  </sheetData>
  <pageMargins left="0.7" right="0.7" top="0.75" bottom="0.75" header="0.3" footer="0.3"/>
  <pageSetup paperSize="9" orientation="portrait"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2"/>
  <dimension ref="L12:L18"/>
  <sheetViews>
    <sheetView showGridLines="0" showRowColHeaders="0" zoomScaleNormal="100" workbookViewId="0">
      <selection activeCell="L13" sqref="L13"/>
    </sheetView>
  </sheetViews>
  <sheetFormatPr baseColWidth="10" defaultColWidth="11.3984375" defaultRowHeight="14.25" x14ac:dyDescent="0.45"/>
  <sheetData>
    <row r="12" spans="12:12" x14ac:dyDescent="0.45">
      <c r="L12" s="3" t="s">
        <v>20</v>
      </c>
    </row>
    <row r="13" spans="12:12" x14ac:dyDescent="0.45">
      <c r="L13" s="45">
        <v>0.2</v>
      </c>
    </row>
    <row r="16" spans="12:12" x14ac:dyDescent="0.45">
      <c r="L16" t="s">
        <v>21</v>
      </c>
    </row>
    <row r="17" spans="12:12" x14ac:dyDescent="0.45">
      <c r="L17" t="s">
        <v>22</v>
      </c>
    </row>
    <row r="18" spans="12:12" x14ac:dyDescent="0.45">
      <c r="L18" t="s">
        <v>23</v>
      </c>
    </row>
  </sheetData>
  <phoneticPr fontId="7" type="noConversion"/>
  <pageMargins left="0.7" right="0.7" top="0.75" bottom="0.75" header="0.3" footer="0.3"/>
  <pageSetup paperSize="9" orientation="portrait" r:id="rId1"/>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3"/>
  <dimension ref="A1:AR323"/>
  <sheetViews>
    <sheetView showGridLines="0" zoomScale="80" zoomScaleNormal="80" workbookViewId="0">
      <pane ySplit="3960" topLeftCell="A267"/>
      <selection pane="bottomLeft" activeCell="K288" sqref="K288"/>
    </sheetView>
  </sheetViews>
  <sheetFormatPr baseColWidth="10" defaultColWidth="11.3984375" defaultRowHeight="12.4" x14ac:dyDescent="0.35"/>
  <cols>
    <col min="1" max="5" width="11.3984375" style="2"/>
    <col min="6" max="6" width="13.796875" style="2" bestFit="1" customWidth="1"/>
    <col min="7" max="16384" width="11.3984375" style="2"/>
  </cols>
  <sheetData>
    <row r="1" spans="1:39" ht="14.25" x14ac:dyDescent="0.45">
      <c r="A1" s="1" t="s">
        <v>41</v>
      </c>
      <c r="B1" s="1"/>
      <c r="C1" s="1"/>
      <c r="D1" s="1"/>
      <c r="E1"/>
      <c r="F1"/>
      <c r="G1"/>
      <c r="H1"/>
      <c r="I1"/>
      <c r="J1"/>
      <c r="K1"/>
      <c r="L1"/>
      <c r="M1"/>
    </row>
    <row r="3" spans="1:39" x14ac:dyDescent="0.35">
      <c r="A3" s="1" t="s">
        <v>42</v>
      </c>
      <c r="B3" s="1"/>
      <c r="C3" s="1"/>
    </row>
    <row r="5" spans="1:39" x14ac:dyDescent="0.35">
      <c r="A5" s="3" t="s">
        <v>43</v>
      </c>
      <c r="B5" s="3" t="s">
        <v>44</v>
      </c>
      <c r="C5" s="3" t="s">
        <v>8</v>
      </c>
      <c r="D5" s="3" t="s">
        <v>9</v>
      </c>
      <c r="E5" s="3" t="s">
        <v>17</v>
      </c>
      <c r="F5" s="3" t="s">
        <v>20</v>
      </c>
      <c r="G5" s="3" t="s">
        <v>45</v>
      </c>
      <c r="I5" s="46" t="s">
        <v>46</v>
      </c>
      <c r="J5" s="46"/>
      <c r="K5" s="46"/>
      <c r="L5" s="46"/>
      <c r="N5" s="4" t="s">
        <v>47</v>
      </c>
      <c r="O5" s="4"/>
      <c r="P5" s="4"/>
      <c r="Q5" s="4"/>
    </row>
    <row r="6" spans="1:39" x14ac:dyDescent="0.35">
      <c r="A6" s="35">
        <f ca="1">IF('Carte du ciel'!N8="",YEAR(NOW()),'Carte du ciel'!N8)</f>
        <v>2026</v>
      </c>
      <c r="B6" s="35">
        <f ca="1">IF('Carte du ciel'!L11="",HOUR(NOW()),'Carte du ciel'!L11)</f>
        <v>11</v>
      </c>
      <c r="C6" s="2">
        <f>'Carte du ciel'!M16</f>
        <v>2</v>
      </c>
      <c r="D6" s="2">
        <f>'Carte du ciel'!M17</f>
        <v>48</v>
      </c>
      <c r="E6" s="2">
        <f>'Ciel visible'!N12</f>
        <v>180</v>
      </c>
      <c r="F6" s="2">
        <f>'Positions héliocentriques'!L13</f>
        <v>0.2</v>
      </c>
      <c r="G6" s="2">
        <v>1000000</v>
      </c>
      <c r="I6" s="2">
        <f ca="1">IF(C10&lt;3,D10-1,D10)</f>
        <v>2026</v>
      </c>
      <c r="J6" s="2">
        <f ca="1">IF(C10&lt;3,C10+12,C10)</f>
        <v>3</v>
      </c>
      <c r="K6" s="5">
        <f ca="1">B10</f>
        <v>25</v>
      </c>
      <c r="L6" s="2">
        <v>1.0027379000000001</v>
      </c>
      <c r="N6" s="2">
        <v>2</v>
      </c>
      <c r="O6" s="2">
        <v>48</v>
      </c>
      <c r="P6" s="2">
        <v>180</v>
      </c>
      <c r="Q6" s="2">
        <v>0.2</v>
      </c>
    </row>
    <row r="7" spans="1:39" x14ac:dyDescent="0.35">
      <c r="A7" s="35">
        <f ca="1">IF('Carte du ciel'!M8="",MONTH(NOW()),'Carte du ciel'!M8)</f>
        <v>3</v>
      </c>
      <c r="B7" s="35">
        <f ca="1">IF('Carte du ciel'!M11="",MINUTE(NOW()),'Carte du ciel'!M11)</f>
        <v>45</v>
      </c>
      <c r="C7" s="2">
        <f>'Carte du ciel'!N16</f>
        <v>25</v>
      </c>
      <c r="D7" s="2">
        <f>'Carte du ciel'!N17</f>
        <v>50</v>
      </c>
      <c r="I7" s="2" t="s">
        <v>48</v>
      </c>
      <c r="J7" s="2">
        <f ca="1">INT(I6/100)</f>
        <v>20</v>
      </c>
      <c r="K7" s="2" t="s">
        <v>49</v>
      </c>
      <c r="L7" s="7">
        <f ca="1">J8+J9+J10+K6+1720994.5</f>
        <v>2461124.5</v>
      </c>
      <c r="N7" s="2">
        <v>25</v>
      </c>
      <c r="O7" s="2">
        <v>50</v>
      </c>
    </row>
    <row r="8" spans="1:39" x14ac:dyDescent="0.35">
      <c r="A8" s="35">
        <f ca="1">IF('Carte du ciel'!L8="",DAY(NOW()),'Carte du ciel'!L8)</f>
        <v>25</v>
      </c>
      <c r="C8" s="8">
        <f>(C6+C7/60)*12/180</f>
        <v>0.16111111111111112</v>
      </c>
      <c r="D8" s="8">
        <f>(D6+D7/60)*PI()/180</f>
        <v>0.85230245139056426</v>
      </c>
      <c r="E8" s="2">
        <f>MOD(E6*PI()/180,2*PI())</f>
        <v>3.1415926535897931</v>
      </c>
      <c r="I8" s="2" t="s">
        <v>50</v>
      </c>
      <c r="J8" s="2">
        <f ca="1">2-J7+INT(J7/4)</f>
        <v>-13</v>
      </c>
      <c r="K8" s="2" t="s">
        <v>51</v>
      </c>
      <c r="L8" s="2">
        <f ca="1">(L7-2451545)/36525</f>
        <v>0.26227241615331964</v>
      </c>
    </row>
    <row r="9" spans="1:39" x14ac:dyDescent="0.35">
      <c r="I9" s="2" t="s">
        <v>52</v>
      </c>
      <c r="J9" s="2">
        <f ca="1">INT(365.25*I6)</f>
        <v>739996</v>
      </c>
      <c r="K9" s="2" t="s">
        <v>53</v>
      </c>
      <c r="L9" s="9">
        <f ca="1">MOD((24110.54841+(8640184.812866*L8)+(0.093104*(L8^2))-(0.0000062*(L8^3)))/3600,24)/24</f>
        <v>0.50685997333102273</v>
      </c>
    </row>
    <row r="10" spans="1:39" x14ac:dyDescent="0.35">
      <c r="A10" s="8">
        <f ca="1">(A6-1900)*365+IF(A6/4=INT(A6/4),0,1)+INT((A6-1900)/4)+IF(A7&gt;2,59+IF(A6/4=INT(A6/4),1,0)+INT((A7-2)/1.7)*31+INT((A7-1.9)/2.4)*30,(A7-1)*31)+A8+(B6+B7/60)/24</f>
        <v>46106.489583333336</v>
      </c>
      <c r="B10" s="10">
        <f ca="1">DAY(A10)</f>
        <v>25</v>
      </c>
      <c r="C10" s="10">
        <f ca="1">MONTH(A10)</f>
        <v>3</v>
      </c>
      <c r="D10" s="10">
        <f ca="1">YEAR(A10)</f>
        <v>2026</v>
      </c>
      <c r="E10" s="10">
        <f ca="1">HOUR(A10)</f>
        <v>11</v>
      </c>
      <c r="F10" s="10">
        <f ca="1">MINUTE(A10)</f>
        <v>45</v>
      </c>
      <c r="I10" s="2" t="s">
        <v>54</v>
      </c>
      <c r="J10" s="2">
        <f ca="1">INT(30.6001*(J6+1))</f>
        <v>122</v>
      </c>
      <c r="L10" s="2">
        <f ca="1">MOD(HOUR(L9)+MINUTE(L9)/60+(E10+F10/60)*L6+C8,24)</f>
        <v>9.3281436111112725E-2</v>
      </c>
    </row>
    <row r="12" spans="1:39" x14ac:dyDescent="0.35">
      <c r="A12" s="1" t="s">
        <v>55</v>
      </c>
      <c r="B12" s="1"/>
      <c r="C12" s="1"/>
      <c r="L12" s="9"/>
    </row>
    <row r="14" spans="1:39" x14ac:dyDescent="0.35">
      <c r="A14" s="1" t="s">
        <v>56</v>
      </c>
      <c r="B14" s="3" t="s">
        <v>57</v>
      </c>
      <c r="C14" s="3" t="s">
        <v>58</v>
      </c>
      <c r="D14" s="3" t="s">
        <v>59</v>
      </c>
      <c r="E14" s="3" t="s">
        <v>60</v>
      </c>
      <c r="F14" s="3" t="s">
        <v>61</v>
      </c>
      <c r="G14" s="3" t="s">
        <v>62</v>
      </c>
      <c r="H14" s="3" t="s">
        <v>63</v>
      </c>
      <c r="I14" s="3" t="s">
        <v>31</v>
      </c>
      <c r="J14" s="3" t="s">
        <v>32</v>
      </c>
      <c r="K14" s="3" t="s">
        <v>64</v>
      </c>
      <c r="L14" s="3" t="s">
        <v>65</v>
      </c>
      <c r="M14" s="3" t="s">
        <v>33</v>
      </c>
      <c r="N14" s="3" t="s">
        <v>66</v>
      </c>
      <c r="O14" s="11" t="s">
        <v>67</v>
      </c>
      <c r="P14" s="11" t="s">
        <v>68</v>
      </c>
      <c r="Q14" s="11" t="s">
        <v>69</v>
      </c>
      <c r="R14" s="11" t="s">
        <v>70</v>
      </c>
      <c r="S14" s="3" t="s">
        <v>71</v>
      </c>
      <c r="T14" s="3" t="s">
        <v>72</v>
      </c>
      <c r="U14" s="11" t="s">
        <v>73</v>
      </c>
      <c r="V14" s="3" t="s">
        <v>74</v>
      </c>
      <c r="W14" s="11" t="s">
        <v>75</v>
      </c>
      <c r="X14" s="11" t="s">
        <v>76</v>
      </c>
      <c r="Y14" s="11" t="s">
        <v>77</v>
      </c>
      <c r="Z14" s="11" t="s">
        <v>78</v>
      </c>
      <c r="AA14" s="3" t="s">
        <v>71</v>
      </c>
      <c r="AB14" s="3" t="s">
        <v>72</v>
      </c>
      <c r="AC14" s="11" t="s">
        <v>73</v>
      </c>
      <c r="AH14" s="3" t="s">
        <v>33</v>
      </c>
      <c r="AI14" s="3" t="s">
        <v>79</v>
      </c>
      <c r="AJ14" s="11" t="s">
        <v>80</v>
      </c>
      <c r="AL14" s="3" t="s">
        <v>81</v>
      </c>
      <c r="AM14" s="3" t="s">
        <v>82</v>
      </c>
    </row>
    <row r="15" spans="1:39" x14ac:dyDescent="0.35">
      <c r="A15" s="2" t="s">
        <v>83</v>
      </c>
      <c r="B15" s="12">
        <v>1</v>
      </c>
      <c r="C15" s="12">
        <v>36</v>
      </c>
      <c r="D15" s="12">
        <v>-57</v>
      </c>
      <c r="E15" s="12">
        <v>-5</v>
      </c>
      <c r="F15" s="12">
        <v>0.5</v>
      </c>
      <c r="G15" s="13">
        <f t="shared" ref="G15:G63" si="0">+B15+C15/60</f>
        <v>1.6</v>
      </c>
      <c r="H15" s="13">
        <f t="shared" ref="H15:H63" si="1">(D15+E15/60)*PI()/180</f>
        <v>-0.99629211468009637</v>
      </c>
      <c r="I15" s="13">
        <f ca="1">IF($L$10-G15&lt;0,24+$L$10-G15,$L$10-G15)</f>
        <v>22.493281436111111</v>
      </c>
      <c r="J15" s="14">
        <f t="shared" ref="J15:J63" ca="1" si="2">ASIN(COS(H15)*COS(I15*PI()/12)*COS($D$8)+SIN($D$8)*SIN(H15))</f>
        <v>-0.30648469576226683</v>
      </c>
      <c r="K15" s="14">
        <f t="shared" ref="K15:K63" ca="1" si="3">(COS(H15)*SIN(I15*PI()/12))/COS(J15)</f>
        <v>-0.21904767560964916</v>
      </c>
      <c r="L15" s="14">
        <f t="shared" ref="L15:L63" ca="1" si="4">(COS(H15)*COS(I15*PI()/12)*SIN($D$8)-COS($D$8)*SIN(H15))/COS(J15)</f>
        <v>0.97571415681541174</v>
      </c>
      <c r="M15" s="14">
        <f t="shared" ref="M15:M63" ca="1" si="5">IF(L15&lt;0,-ASIN(K15)+PI(),ASIN(K15))</f>
        <v>-0.22083833533095684</v>
      </c>
      <c r="N15" s="14">
        <f t="shared" ref="N15:N46" ca="1" si="6">IF(J15&lt;0,$G$6,COS(J15)*SIN(M15))</f>
        <v>1000000</v>
      </c>
      <c r="O15" s="13"/>
      <c r="P15" s="14">
        <f ca="1">IF(J15&lt;0,$G$6,+COS(J15)*COS(PI()+M15))</f>
        <v>1000000</v>
      </c>
      <c r="Q15" s="14"/>
      <c r="R15" s="14"/>
      <c r="S15" s="14"/>
      <c r="T15" s="14"/>
      <c r="U15" s="14"/>
      <c r="V15" s="14">
        <f t="shared" ref="V15:V46" ca="1" si="7">IF(OR(J15&lt;0,COS(PI()+M15+$E$8)&lt;0),$G$6,-COS(J15)*SIN(M15+$E$8))</f>
        <v>1000000</v>
      </c>
      <c r="W15" s="13"/>
      <c r="X15" s="14">
        <f ca="1">IF(OR(J15&lt;0,COS(PI()+M15+$E$8)&lt;0),$G$6,SIN(J15))</f>
        <v>1000000</v>
      </c>
      <c r="Y15" s="14"/>
      <c r="Z15" s="14"/>
      <c r="AA15" s="14"/>
      <c r="AB15" s="14"/>
      <c r="AC15" s="14"/>
      <c r="AG15" s="3" t="s">
        <v>84</v>
      </c>
      <c r="AH15" s="13">
        <v>0</v>
      </c>
      <c r="AI15" s="14">
        <f>IF(COS(PI()+($E$8-AH15))&lt;0,$G$6,SIN(PI()+($E$8-AH15)))</f>
        <v>-2.4492935982947064E-16</v>
      </c>
      <c r="AJ15" s="14">
        <v>0</v>
      </c>
      <c r="AL15" s="13">
        <v>1</v>
      </c>
      <c r="AM15" s="13">
        <v>0</v>
      </c>
    </row>
    <row r="16" spans="1:39" x14ac:dyDescent="0.35">
      <c r="A16" s="2" t="s">
        <v>85</v>
      </c>
      <c r="B16" s="12">
        <v>12</v>
      </c>
      <c r="C16" s="12">
        <v>23</v>
      </c>
      <c r="D16" s="12">
        <v>-62</v>
      </c>
      <c r="E16" s="12">
        <v>-8</v>
      </c>
      <c r="F16" s="12">
        <v>0.8</v>
      </c>
      <c r="G16" s="13">
        <f t="shared" si="0"/>
        <v>12.383333333333333</v>
      </c>
      <c r="H16" s="13">
        <f t="shared" si="1"/>
        <v>-1.08443124190581</v>
      </c>
      <c r="I16" s="13">
        <f t="shared" ref="I16:I63" ca="1" si="8">IF($L$10-G16&lt;0,24+$L$10-G16,$L$10-G16)</f>
        <v>11.70994810277778</v>
      </c>
      <c r="J16" s="14">
        <f t="shared" ca="1" si="2"/>
        <v>-1.3348443403268959</v>
      </c>
      <c r="K16" s="14">
        <f t="shared" ca="1" si="3"/>
        <v>0.15168537493135442</v>
      </c>
      <c r="L16" s="14">
        <f t="shared" ca="1" si="4"/>
        <v>0.98842882749944483</v>
      </c>
      <c r="M16" s="14">
        <f t="shared" ca="1" si="5"/>
        <v>0.15227315557107593</v>
      </c>
      <c r="N16" s="14">
        <f t="shared" ca="1" si="6"/>
        <v>1000000</v>
      </c>
      <c r="O16" s="13"/>
      <c r="P16" s="14">
        <f ca="1">IF(J16&lt;0,$G$6,+COS(J16)*COS(PI()+M16))</f>
        <v>1000000</v>
      </c>
      <c r="Q16" s="13"/>
      <c r="R16" s="13"/>
      <c r="S16" s="13"/>
      <c r="T16" s="13"/>
      <c r="U16" s="13"/>
      <c r="V16" s="14">
        <f t="shared" ca="1" si="7"/>
        <v>1000000</v>
      </c>
      <c r="W16" s="13"/>
      <c r="X16" s="14">
        <f ca="1">IF(OR(J16&lt;0,COS(PI()+M16+$E$8)&lt;0),$G$6,SIN(J16))</f>
        <v>1000000</v>
      </c>
      <c r="Y16" s="13"/>
      <c r="Z16" s="13"/>
      <c r="AA16" s="13"/>
      <c r="AB16" s="13"/>
      <c r="AC16" s="13"/>
      <c r="AG16" s="3" t="s">
        <v>86</v>
      </c>
      <c r="AH16" s="13">
        <f>PI()/4</f>
        <v>0.78539816339744828</v>
      </c>
      <c r="AI16" s="14">
        <f t="shared" ref="AI16:AI22" si="9">IF(COS(PI()+($E$8-AH16))&lt;0,$G$6,SIN(PI()+($E$8-AH16)))</f>
        <v>-0.70710678118654768</v>
      </c>
      <c r="AJ16" s="14">
        <v>0</v>
      </c>
      <c r="AL16" s="13">
        <v>0.98768834059513777</v>
      </c>
      <c r="AM16" s="13">
        <v>0.15643446504023087</v>
      </c>
    </row>
    <row r="17" spans="1:39" x14ac:dyDescent="0.35">
      <c r="A17" s="2" t="s">
        <v>87</v>
      </c>
      <c r="B17" s="12">
        <v>6</v>
      </c>
      <c r="C17" s="12">
        <v>56</v>
      </c>
      <c r="D17" s="12">
        <v>-28</v>
      </c>
      <c r="E17" s="12">
        <v>-9</v>
      </c>
      <c r="F17" s="12"/>
      <c r="G17" s="13">
        <f t="shared" si="0"/>
        <v>6.9333333333333336</v>
      </c>
      <c r="H17" s="13">
        <f t="shared" si="1"/>
        <v>-0.49131018443640373</v>
      </c>
      <c r="I17" s="13">
        <f t="shared" ca="1" si="8"/>
        <v>17.159948102777779</v>
      </c>
      <c r="J17" s="14">
        <f t="shared" ca="1" si="2"/>
        <v>-0.50267591987294591</v>
      </c>
      <c r="K17" s="14">
        <f t="shared" ca="1" si="3"/>
        <v>-0.9819488043907495</v>
      </c>
      <c r="L17" s="14">
        <f t="shared" ca="1" si="4"/>
        <v>0.18914688883398992</v>
      </c>
      <c r="M17" s="14">
        <f t="shared" ca="1" si="5"/>
        <v>-1.3805030470171926</v>
      </c>
      <c r="N17" s="14">
        <f t="shared" ca="1" si="6"/>
        <v>1000000</v>
      </c>
      <c r="O17" s="13"/>
      <c r="P17" s="13"/>
      <c r="Q17" s="13"/>
      <c r="R17" s="14">
        <f ca="1">IF(J17&lt;0,$G$6,+COS(J17)*COS(PI()+M17))</f>
        <v>1000000</v>
      </c>
      <c r="S17" s="13"/>
      <c r="T17" s="13"/>
      <c r="U17" s="13"/>
      <c r="V17" s="14">
        <f t="shared" ca="1" si="7"/>
        <v>1000000</v>
      </c>
      <c r="W17" s="13"/>
      <c r="X17" s="13"/>
      <c r="Y17" s="13"/>
      <c r="Z17" s="14">
        <f ca="1">IF(OR(J17&lt;0,COS(PI()+M17+$E$8)&lt;0),$G$6,SIN(J17))</f>
        <v>1000000</v>
      </c>
      <c r="AA17" s="13"/>
      <c r="AB17" s="13"/>
      <c r="AC17" s="13"/>
      <c r="AG17" s="3" t="s">
        <v>88</v>
      </c>
      <c r="AH17" s="13">
        <f>PI()/2</f>
        <v>1.5707963267948966</v>
      </c>
      <c r="AI17" s="14">
        <f t="shared" si="9"/>
        <v>1000000</v>
      </c>
      <c r="AJ17" s="14">
        <v>0</v>
      </c>
      <c r="AL17" s="13">
        <v>0.95105651629515353</v>
      </c>
      <c r="AM17" s="13">
        <v>0.3090169943749474</v>
      </c>
    </row>
    <row r="18" spans="1:39" x14ac:dyDescent="0.35">
      <c r="A18" s="2" t="s">
        <v>89</v>
      </c>
      <c r="B18" s="12">
        <v>14</v>
      </c>
      <c r="C18" s="12">
        <v>0</v>
      </c>
      <c r="D18" s="12">
        <v>-60</v>
      </c>
      <c r="E18" s="12">
        <v>-1</v>
      </c>
      <c r="F18" s="12">
        <v>0.6</v>
      </c>
      <c r="G18" s="13">
        <f t="shared" si="0"/>
        <v>14</v>
      </c>
      <c r="H18" s="13">
        <f t="shared" si="1"/>
        <v>-1.0474884394052635</v>
      </c>
      <c r="I18" s="13">
        <f t="shared" ca="1" si="8"/>
        <v>10.093281436111113</v>
      </c>
      <c r="J18" s="14">
        <f t="shared" ca="1" si="2"/>
        <v>-1.2251915835826523</v>
      </c>
      <c r="K18" s="14">
        <f t="shared" ca="1" si="3"/>
        <v>0.70618504950983807</v>
      </c>
      <c r="L18" s="14">
        <f t="shared" ca="1" si="4"/>
        <v>0.70802731292570076</v>
      </c>
      <c r="M18" s="14">
        <f t="shared" ca="1" si="5"/>
        <v>0.78409548607492663</v>
      </c>
      <c r="N18" s="14">
        <f t="shared" ca="1" si="6"/>
        <v>1000000</v>
      </c>
      <c r="O18" s="13"/>
      <c r="P18" s="14">
        <f ca="1">IF(J18&lt;0,$G$6,+COS(J18)*COS(PI()+M18))</f>
        <v>1000000</v>
      </c>
      <c r="Q18" s="13"/>
      <c r="R18" s="13"/>
      <c r="S18" s="13"/>
      <c r="T18" s="13"/>
      <c r="U18" s="13"/>
      <c r="V18" s="14">
        <f t="shared" ca="1" si="7"/>
        <v>1000000</v>
      </c>
      <c r="W18" s="13"/>
      <c r="X18" s="14">
        <f ca="1">IF(OR(J18&lt;0,COS(PI()+M18+$E$8)&lt;0),$G$6,SIN(J18))</f>
        <v>1000000</v>
      </c>
      <c r="Y18" s="13"/>
      <c r="Z18" s="13"/>
      <c r="AA18" s="13"/>
      <c r="AB18" s="13"/>
      <c r="AC18" s="13"/>
      <c r="AG18" s="3" t="s">
        <v>90</v>
      </c>
      <c r="AH18" s="13">
        <f>3*PI()/4</f>
        <v>2.3561944901923448</v>
      </c>
      <c r="AI18" s="14">
        <f t="shared" si="9"/>
        <v>1000000</v>
      </c>
      <c r="AJ18" s="14">
        <v>0</v>
      </c>
      <c r="AL18" s="13">
        <v>0.8910065241883679</v>
      </c>
      <c r="AM18" s="13">
        <v>0.45399049973954675</v>
      </c>
    </row>
    <row r="19" spans="1:39" x14ac:dyDescent="0.35">
      <c r="A19" s="2" t="s">
        <v>91</v>
      </c>
      <c r="B19" s="12">
        <v>4</v>
      </c>
      <c r="C19" s="12">
        <v>33</v>
      </c>
      <c r="D19" s="12">
        <v>16</v>
      </c>
      <c r="E19" s="12">
        <v>4</v>
      </c>
      <c r="F19" s="12">
        <v>0.8</v>
      </c>
      <c r="G19" s="13">
        <f t="shared" si="0"/>
        <v>4.55</v>
      </c>
      <c r="H19" s="13">
        <f t="shared" si="1"/>
        <v>0.28041623315375563</v>
      </c>
      <c r="I19" s="13">
        <f t="shared" ca="1" si="8"/>
        <v>19.543281436111112</v>
      </c>
      <c r="J19" s="14">
        <f t="shared" ca="1" si="2"/>
        <v>0.47463065457844583</v>
      </c>
      <c r="K19" s="14">
        <f t="shared" ca="1" si="3"/>
        <v>-0.99337552497142234</v>
      </c>
      <c r="L19" s="14">
        <f t="shared" ca="1" si="4"/>
        <v>0.11491329943810211</v>
      </c>
      <c r="M19" s="14">
        <f t="shared" ca="1" si="5"/>
        <v>-1.4556286063057484</v>
      </c>
      <c r="N19" s="14">
        <f t="shared" ca="1" si="6"/>
        <v>-0.8835693608194487</v>
      </c>
      <c r="O19" s="13"/>
      <c r="P19" s="14">
        <f ca="1">IF(J19&lt;0,$G$6,+COS(J19)*COS(PI()+M19))</f>
        <v>-0.10221096451626388</v>
      </c>
      <c r="Q19" s="13"/>
      <c r="R19" s="13"/>
      <c r="S19" s="13"/>
      <c r="T19" s="13"/>
      <c r="U19" s="13"/>
      <c r="V19" s="14">
        <f t="shared" ca="1" si="7"/>
        <v>-0.8835693608194487</v>
      </c>
      <c r="W19" s="13"/>
      <c r="X19" s="14">
        <f ca="1">IF(OR(J19&lt;0,COS(PI()+M19+$E$8)&lt;0),$G$6,SIN(J19))</f>
        <v>0.45700995979712061</v>
      </c>
      <c r="Y19" s="13"/>
      <c r="Z19" s="13"/>
      <c r="AA19" s="13"/>
      <c r="AB19" s="13"/>
      <c r="AC19" s="13"/>
      <c r="AG19" s="3" t="s">
        <v>92</v>
      </c>
      <c r="AH19" s="13">
        <f>PI()</f>
        <v>3.1415926535897931</v>
      </c>
      <c r="AI19" s="14">
        <f t="shared" si="9"/>
        <v>1000000</v>
      </c>
      <c r="AJ19" s="14">
        <v>0</v>
      </c>
      <c r="AL19" s="13">
        <v>0.80901699437494745</v>
      </c>
      <c r="AM19" s="13">
        <v>0.58778525229247314</v>
      </c>
    </row>
    <row r="20" spans="1:39" x14ac:dyDescent="0.35">
      <c r="A20" s="2" t="s">
        <v>93</v>
      </c>
      <c r="B20" s="12">
        <v>6</v>
      </c>
      <c r="C20" s="12">
        <v>34</v>
      </c>
      <c r="D20" s="12">
        <v>16</v>
      </c>
      <c r="E20" s="12">
        <v>4</v>
      </c>
      <c r="F20" s="12"/>
      <c r="G20" s="13">
        <f t="shared" si="0"/>
        <v>6.5666666666666664</v>
      </c>
      <c r="H20" s="13">
        <f t="shared" si="1"/>
        <v>0.28041623315375563</v>
      </c>
      <c r="I20" s="13">
        <f t="shared" ca="1" si="8"/>
        <v>17.526614769444446</v>
      </c>
      <c r="J20" s="14">
        <f t="shared" ca="1" si="2"/>
        <v>0.13051988716432406</v>
      </c>
      <c r="K20" s="14">
        <f t="shared" ca="1" si="3"/>
        <v>-0.96175046152200805</v>
      </c>
      <c r="L20" s="14">
        <f t="shared" ca="1" si="4"/>
        <v>-0.273927088405299</v>
      </c>
      <c r="M20" s="14">
        <f t="shared" ca="1" si="5"/>
        <v>4.434915037609338</v>
      </c>
      <c r="N20" s="14">
        <f t="shared" ca="1" si="6"/>
        <v>-0.95357016274092743</v>
      </c>
      <c r="O20" s="13"/>
      <c r="P20" s="13"/>
      <c r="Q20" s="13"/>
      <c r="R20" s="14">
        <f t="shared" ref="R20:R26" ca="1" si="10">IF(J20&lt;0,$G$6,+COS(J20)*COS(PI()+M20))</f>
        <v>0.27159716446240834</v>
      </c>
      <c r="S20" s="13"/>
      <c r="T20" s="13"/>
      <c r="U20" s="13"/>
      <c r="V20" s="14">
        <f t="shared" ca="1" si="7"/>
        <v>1000000</v>
      </c>
      <c r="W20" s="13"/>
      <c r="X20" s="13"/>
      <c r="Y20" s="13"/>
      <c r="Z20" s="14">
        <f t="shared" ref="Z20:Z26" ca="1" si="11">IF(OR(J20&lt;0,COS(PI()+M20+$E$8)&lt;0),$G$6,SIN(J20))</f>
        <v>1000000</v>
      </c>
      <c r="AA20" s="13"/>
      <c r="AB20" s="13"/>
      <c r="AC20" s="13"/>
      <c r="AG20" s="3" t="s">
        <v>94</v>
      </c>
      <c r="AH20" s="13">
        <f>5*PI()/4</f>
        <v>3.9269908169872414</v>
      </c>
      <c r="AI20" s="14">
        <f t="shared" si="9"/>
        <v>1000000</v>
      </c>
      <c r="AJ20" s="14">
        <v>0</v>
      </c>
      <c r="AL20" s="13">
        <v>0.70710678118654757</v>
      </c>
      <c r="AM20" s="13">
        <v>0.70710678118654746</v>
      </c>
    </row>
    <row r="21" spans="1:39" x14ac:dyDescent="0.35">
      <c r="A21" s="2" t="s">
        <v>95</v>
      </c>
      <c r="B21" s="12">
        <v>12</v>
      </c>
      <c r="C21" s="12">
        <v>52</v>
      </c>
      <c r="D21" s="12">
        <v>56</v>
      </c>
      <c r="E21" s="12">
        <v>13</v>
      </c>
      <c r="F21" s="12"/>
      <c r="G21" s="13">
        <f t="shared" si="0"/>
        <v>12.866666666666667</v>
      </c>
      <c r="H21" s="13">
        <f t="shared" si="1"/>
        <v>0.98116592782947898</v>
      </c>
      <c r="I21" s="13">
        <f t="shared" ca="1" si="8"/>
        <v>11.226614769444446</v>
      </c>
      <c r="J21" s="14">
        <f t="shared" ca="1" si="2"/>
        <v>0.27042271307975418</v>
      </c>
      <c r="K21" s="14">
        <f t="shared" ca="1" si="3"/>
        <v>0.11603447447719807</v>
      </c>
      <c r="L21" s="14">
        <f t="shared" ca="1" si="4"/>
        <v>-0.99324518661446348</v>
      </c>
      <c r="M21" s="14">
        <f t="shared" ca="1" si="5"/>
        <v>3.0252962074072878</v>
      </c>
      <c r="N21" s="14">
        <f t="shared" ca="1" si="6"/>
        <v>0.11181755649771186</v>
      </c>
      <c r="O21" s="13"/>
      <c r="P21" s="13"/>
      <c r="Q21" s="13"/>
      <c r="R21" s="14">
        <f t="shared" ca="1" si="10"/>
        <v>0.95714872903714177</v>
      </c>
      <c r="S21" s="13"/>
      <c r="T21" s="13"/>
      <c r="U21" s="13"/>
      <c r="V21" s="14">
        <f t="shared" ca="1" si="7"/>
        <v>1000000</v>
      </c>
      <c r="W21" s="13"/>
      <c r="X21" s="13"/>
      <c r="Y21" s="13"/>
      <c r="Z21" s="14">
        <f t="shared" ca="1" si="11"/>
        <v>1000000</v>
      </c>
      <c r="AA21" s="13"/>
      <c r="AB21" s="13"/>
      <c r="AC21" s="13"/>
      <c r="AG21" s="3" t="s">
        <v>96</v>
      </c>
      <c r="AH21" s="13">
        <f>-PI()/2</f>
        <v>-1.5707963267948966</v>
      </c>
      <c r="AI21" s="14">
        <f t="shared" si="9"/>
        <v>1</v>
      </c>
      <c r="AJ21" s="14">
        <v>0</v>
      </c>
      <c r="AL21" s="13">
        <v>0.58778525229247314</v>
      </c>
      <c r="AM21" s="13">
        <v>0.80901699437494745</v>
      </c>
    </row>
    <row r="22" spans="1:39" x14ac:dyDescent="0.35">
      <c r="A22" s="2" t="s">
        <v>97</v>
      </c>
      <c r="B22" s="12">
        <v>13</v>
      </c>
      <c r="C22" s="12">
        <v>45</v>
      </c>
      <c r="D22" s="12">
        <v>49</v>
      </c>
      <c r="E22" s="12">
        <v>6</v>
      </c>
      <c r="F22" s="12"/>
      <c r="G22" s="13">
        <f t="shared" si="0"/>
        <v>13.75</v>
      </c>
      <c r="H22" s="13">
        <f t="shared" si="1"/>
        <v>0.85695666272921578</v>
      </c>
      <c r="I22" s="13">
        <f t="shared" ca="1" si="8"/>
        <v>10.343281436111113</v>
      </c>
      <c r="J22" s="14">
        <f t="shared" ca="1" si="2"/>
        <v>0.17888003888697282</v>
      </c>
      <c r="K22" s="14">
        <f t="shared" ca="1" si="3"/>
        <v>0.27962078744996782</v>
      </c>
      <c r="L22" s="14">
        <f t="shared" ca="1" si="4"/>
        <v>-0.96011052240138473</v>
      </c>
      <c r="M22" s="14">
        <f t="shared" ca="1" si="5"/>
        <v>2.8581935347121545</v>
      </c>
      <c r="N22" s="14">
        <f t="shared" ca="1" si="6"/>
        <v>0.27515904125112034</v>
      </c>
      <c r="O22" s="13"/>
      <c r="P22" s="13"/>
      <c r="Q22" s="13"/>
      <c r="R22" s="14">
        <f t="shared" ca="1" si="10"/>
        <v>0.94479059746710325</v>
      </c>
      <c r="S22" s="13"/>
      <c r="T22" s="13"/>
      <c r="U22" s="13"/>
      <c r="V22" s="14">
        <f t="shared" ca="1" si="7"/>
        <v>1000000</v>
      </c>
      <c r="W22" s="13"/>
      <c r="X22" s="13"/>
      <c r="Y22" s="13"/>
      <c r="Z22" s="14">
        <f t="shared" ca="1" si="11"/>
        <v>1000000</v>
      </c>
      <c r="AA22" s="13"/>
      <c r="AB22" s="13"/>
      <c r="AC22" s="13"/>
      <c r="AG22" s="3" t="s">
        <v>98</v>
      </c>
      <c r="AH22" s="13">
        <f>-PI()/4</f>
        <v>-0.78539816339744828</v>
      </c>
      <c r="AI22" s="14">
        <f t="shared" si="9"/>
        <v>0.70710678118654735</v>
      </c>
      <c r="AJ22" s="14">
        <v>0</v>
      </c>
      <c r="AL22" s="13">
        <v>0.4539904997395468</v>
      </c>
      <c r="AM22" s="13">
        <v>0.89100652418836779</v>
      </c>
    </row>
    <row r="23" spans="1:39" x14ac:dyDescent="0.35">
      <c r="A23" s="2" t="s">
        <v>99</v>
      </c>
      <c r="B23" s="12">
        <v>22</v>
      </c>
      <c r="C23" s="12">
        <v>5</v>
      </c>
      <c r="D23" s="12">
        <v>-47</v>
      </c>
      <c r="E23" s="12">
        <v>-2</v>
      </c>
      <c r="F23" s="12"/>
      <c r="G23" s="13">
        <f t="shared" si="0"/>
        <v>22.083333333333332</v>
      </c>
      <c r="H23" s="13">
        <f t="shared" si="1"/>
        <v>-0.82088652485466629</v>
      </c>
      <c r="I23" s="13">
        <f t="shared" ca="1" si="8"/>
        <v>2.0099481027777806</v>
      </c>
      <c r="J23" s="14">
        <f t="shared" ca="1" si="2"/>
        <v>-0.16363588116436467</v>
      </c>
      <c r="K23" s="14">
        <f t="shared" ca="1" si="3"/>
        <v>0.34695732875654023</v>
      </c>
      <c r="L23" s="14">
        <f t="shared" ca="1" si="4"/>
        <v>0.9378809156935255</v>
      </c>
      <c r="M23" s="14">
        <f t="shared" ca="1" si="5"/>
        <v>0.35432495099385725</v>
      </c>
      <c r="N23" s="14">
        <f t="shared" ca="1" si="6"/>
        <v>1000000</v>
      </c>
      <c r="O23" s="13"/>
      <c r="P23" s="13"/>
      <c r="Q23" s="13"/>
      <c r="R23" s="14">
        <f t="shared" ca="1" si="10"/>
        <v>1000000</v>
      </c>
      <c r="S23" s="13"/>
      <c r="T23" s="13"/>
      <c r="U23" s="13"/>
      <c r="V23" s="14">
        <f t="shared" ca="1" si="7"/>
        <v>1000000</v>
      </c>
      <c r="W23" s="13"/>
      <c r="X23" s="13"/>
      <c r="Y23" s="13"/>
      <c r="Z23" s="14">
        <f t="shared" ca="1" si="11"/>
        <v>1000000</v>
      </c>
      <c r="AA23" s="13"/>
      <c r="AB23" s="13"/>
      <c r="AC23" s="13"/>
      <c r="AL23" s="13">
        <v>0.30901699437494745</v>
      </c>
      <c r="AM23" s="13">
        <v>0.95105651629515353</v>
      </c>
    </row>
    <row r="24" spans="1:39" x14ac:dyDescent="0.35">
      <c r="A24" s="2" t="s">
        <v>100</v>
      </c>
      <c r="B24" s="12">
        <v>5</v>
      </c>
      <c r="C24" s="12">
        <v>33</v>
      </c>
      <c r="D24" s="12">
        <v>-1</v>
      </c>
      <c r="E24" s="12">
        <v>-2</v>
      </c>
      <c r="F24" s="12"/>
      <c r="G24" s="13">
        <f t="shared" si="0"/>
        <v>5.55</v>
      </c>
      <c r="H24" s="13">
        <f t="shared" si="1"/>
        <v>-1.8035068937274738E-2</v>
      </c>
      <c r="I24" s="13">
        <f t="shared" ca="1" si="8"/>
        <v>18.543281436111112</v>
      </c>
      <c r="J24" s="14">
        <f t="shared" ca="1" si="2"/>
        <v>7.9801747983528376E-2</v>
      </c>
      <c r="K24" s="14">
        <f t="shared" ca="1" si="3"/>
        <v>-0.99290114011430086</v>
      </c>
      <c r="L24" s="14">
        <f t="shared" ca="1" si="4"/>
        <v>0.11894253217298455</v>
      </c>
      <c r="M24" s="14">
        <f t="shared" ca="1" si="5"/>
        <v>-1.4515715408636436</v>
      </c>
      <c r="N24" s="14">
        <f t="shared" ca="1" si="6"/>
        <v>-0.98974126198584877</v>
      </c>
      <c r="O24" s="13"/>
      <c r="P24" s="13"/>
      <c r="Q24" s="13"/>
      <c r="R24" s="14">
        <f t="shared" ca="1" si="10"/>
        <v>-0.11856400112817905</v>
      </c>
      <c r="S24" s="13"/>
      <c r="T24" s="13"/>
      <c r="U24" s="13"/>
      <c r="V24" s="14">
        <f t="shared" ca="1" si="7"/>
        <v>-0.98974126198584877</v>
      </c>
      <c r="W24" s="13"/>
      <c r="X24" s="13"/>
      <c r="Y24" s="13"/>
      <c r="Z24" s="14">
        <f t="shared" ca="1" si="11"/>
        <v>7.9717074451692307E-2</v>
      </c>
      <c r="AA24" s="13"/>
      <c r="AB24" s="13"/>
      <c r="AC24" s="13"/>
      <c r="AL24" s="13">
        <v>0.15643446504023092</v>
      </c>
      <c r="AM24" s="13">
        <v>0.98768834059513777</v>
      </c>
    </row>
    <row r="25" spans="1:39" x14ac:dyDescent="0.35">
      <c r="A25" s="2" t="s">
        <v>101</v>
      </c>
      <c r="B25" s="12">
        <v>5</v>
      </c>
      <c r="C25" s="12">
        <v>38</v>
      </c>
      <c r="D25" s="12">
        <v>-2</v>
      </c>
      <c r="E25" s="12">
        <v>0</v>
      </c>
      <c r="F25" s="12"/>
      <c r="G25" s="13">
        <f t="shared" si="0"/>
        <v>5.6333333333333329</v>
      </c>
      <c r="H25" s="13">
        <f t="shared" si="1"/>
        <v>-3.4906585039886591E-2</v>
      </c>
      <c r="I25" s="13">
        <f t="shared" ca="1" si="8"/>
        <v>18.45994810277778</v>
      </c>
      <c r="J25" s="14">
        <f t="shared" ca="1" si="2"/>
        <v>5.2775445271563054E-2</v>
      </c>
      <c r="K25" s="14">
        <f t="shared" ca="1" si="3"/>
        <v>-0.99353751503930754</v>
      </c>
      <c r="L25" s="14">
        <f t="shared" ca="1" si="4"/>
        <v>0.11350421229856486</v>
      </c>
      <c r="M25" s="14">
        <f t="shared" ca="1" si="5"/>
        <v>-1.457046974271466</v>
      </c>
      <c r="N25" s="14">
        <f t="shared" ca="1" si="6"/>
        <v>-0.99215421215274913</v>
      </c>
      <c r="O25" s="13"/>
      <c r="P25" s="13"/>
      <c r="Q25" s="13"/>
      <c r="R25" s="14">
        <f t="shared" ca="1" si="10"/>
        <v>-0.11334618031473702</v>
      </c>
      <c r="S25" s="13"/>
      <c r="T25" s="13"/>
      <c r="U25" s="13"/>
      <c r="V25" s="14">
        <f t="shared" ca="1" si="7"/>
        <v>-0.99215421215274913</v>
      </c>
      <c r="W25" s="13"/>
      <c r="X25" s="13"/>
      <c r="Y25" s="13"/>
      <c r="Z25" s="14">
        <f t="shared" ca="1" si="11"/>
        <v>5.2750949902507387E-2</v>
      </c>
      <c r="AA25" s="13"/>
      <c r="AB25" s="13"/>
      <c r="AC25" s="13"/>
      <c r="AL25" s="13">
        <v>6.1257422745431001E-17</v>
      </c>
      <c r="AM25" s="13">
        <v>1</v>
      </c>
    </row>
    <row r="26" spans="1:39" x14ac:dyDescent="0.35">
      <c r="A26" s="2" t="s">
        <v>102</v>
      </c>
      <c r="B26" s="12">
        <v>9</v>
      </c>
      <c r="C26" s="12">
        <v>25</v>
      </c>
      <c r="D26" s="12">
        <v>-8</v>
      </c>
      <c r="E26" s="12">
        <v>-4</v>
      </c>
      <c r="F26" s="12"/>
      <c r="G26" s="13">
        <f t="shared" si="0"/>
        <v>9.4166666666666661</v>
      </c>
      <c r="H26" s="13">
        <f t="shared" si="1"/>
        <v>-0.14078989299420924</v>
      </c>
      <c r="I26" s="13">
        <f t="shared" ca="1" si="8"/>
        <v>14.676614769444447</v>
      </c>
      <c r="J26" s="14">
        <f t="shared" ca="1" si="2"/>
        <v>-0.64826522530961173</v>
      </c>
      <c r="K26" s="14">
        <f t="shared" ca="1" si="3"/>
        <v>-0.80087155498426921</v>
      </c>
      <c r="L26" s="14">
        <f t="shared" ca="1" si="4"/>
        <v>-0.5988361649208227</v>
      </c>
      <c r="M26" s="14">
        <f t="shared" ca="1" si="5"/>
        <v>4.0703418731576306</v>
      </c>
      <c r="N26" s="14">
        <f t="shared" ca="1" si="6"/>
        <v>1000000</v>
      </c>
      <c r="O26" s="13"/>
      <c r="P26" s="13"/>
      <c r="Q26" s="13"/>
      <c r="R26" s="14">
        <f t="shared" ca="1" si="10"/>
        <v>1000000</v>
      </c>
      <c r="S26" s="13"/>
      <c r="T26" s="13"/>
      <c r="U26" s="13"/>
      <c r="V26" s="14">
        <f t="shared" ca="1" si="7"/>
        <v>1000000</v>
      </c>
      <c r="W26" s="13"/>
      <c r="X26" s="13"/>
      <c r="Y26" s="13"/>
      <c r="Z26" s="14">
        <f t="shared" ca="1" si="11"/>
        <v>1000000</v>
      </c>
      <c r="AA26" s="13"/>
      <c r="AB26" s="13"/>
      <c r="AC26" s="13"/>
      <c r="AL26" s="13">
        <v>-0.15643446504023081</v>
      </c>
      <c r="AM26" s="13">
        <v>0.98768834059513777</v>
      </c>
    </row>
    <row r="27" spans="1:39" x14ac:dyDescent="0.35">
      <c r="A27" s="2" t="s">
        <v>103</v>
      </c>
      <c r="B27" s="12">
        <v>19</v>
      </c>
      <c r="C27" s="12">
        <v>48</v>
      </c>
      <c r="D27" s="12">
        <v>8</v>
      </c>
      <c r="E27" s="12">
        <v>7</v>
      </c>
      <c r="F27" s="12">
        <v>0.8</v>
      </c>
      <c r="G27" s="13">
        <f t="shared" si="0"/>
        <v>19.8</v>
      </c>
      <c r="H27" s="13">
        <f t="shared" si="1"/>
        <v>0.14166255762020644</v>
      </c>
      <c r="I27" s="13">
        <f t="shared" ca="1" si="8"/>
        <v>4.293281436111112</v>
      </c>
      <c r="J27" s="14">
        <f t="shared" ca="1" si="2"/>
        <v>0.39831622164167957</v>
      </c>
      <c r="K27" s="14">
        <f t="shared" ca="1" si="3"/>
        <v>0.96862083572607116</v>
      </c>
      <c r="L27" s="14">
        <f t="shared" ca="1" si="4"/>
        <v>0.24854310812679392</v>
      </c>
      <c r="M27" s="14">
        <f t="shared" ca="1" si="5"/>
        <v>1.3196204515043513</v>
      </c>
      <c r="N27" s="14">
        <f t="shared" ca="1" si="6"/>
        <v>0.89279272382369879</v>
      </c>
      <c r="O27" s="13"/>
      <c r="P27" s="14">
        <f ca="1">IF(J27&lt;0,$G$6,+COS(J27)*COS(PI()+M27))</f>
        <v>-0.22908600590425743</v>
      </c>
      <c r="Q27" s="13"/>
      <c r="R27" s="13"/>
      <c r="S27" s="13"/>
      <c r="T27" s="13"/>
      <c r="U27" s="13"/>
      <c r="V27" s="14">
        <f t="shared" ca="1" si="7"/>
        <v>0.89279272382369868</v>
      </c>
      <c r="W27" s="13"/>
      <c r="X27" s="14">
        <f ca="1">IF(OR(J27&lt;0,COS(PI()+M27+$E$8)&lt;0),$G$6,SIN(J27))</f>
        <v>0.387866928451364</v>
      </c>
      <c r="Y27" s="13"/>
      <c r="Z27" s="13"/>
      <c r="AA27" s="13"/>
      <c r="AB27" s="13"/>
      <c r="AC27" s="13"/>
      <c r="AL27" s="13">
        <v>-0.30901699437494734</v>
      </c>
      <c r="AM27" s="13">
        <v>0.95105651629515364</v>
      </c>
    </row>
    <row r="28" spans="1:39" x14ac:dyDescent="0.35">
      <c r="A28" s="2" t="s">
        <v>104</v>
      </c>
      <c r="B28" s="12">
        <v>16</v>
      </c>
      <c r="C28" s="12">
        <v>26</v>
      </c>
      <c r="D28" s="12">
        <v>-26</v>
      </c>
      <c r="E28" s="12">
        <v>-3</v>
      </c>
      <c r="F28" s="12"/>
      <c r="G28" s="13">
        <f t="shared" si="0"/>
        <v>16.433333333333334</v>
      </c>
      <c r="H28" s="13">
        <f t="shared" si="1"/>
        <v>-0.45465827014452287</v>
      </c>
      <c r="I28" s="13">
        <f t="shared" ca="1" si="8"/>
        <v>7.6599481027777792</v>
      </c>
      <c r="J28" s="14">
        <f t="shared" ca="1" si="2"/>
        <v>-0.61821365485172974</v>
      </c>
      <c r="K28" s="14">
        <f t="shared" ca="1" si="3"/>
        <v>0.9999859018113062</v>
      </c>
      <c r="L28" s="14">
        <f t="shared" ca="1" si="4"/>
        <v>5.3100074038021734E-3</v>
      </c>
      <c r="M28" s="14">
        <f t="shared" ca="1" si="5"/>
        <v>1.565486294437102</v>
      </c>
      <c r="N28" s="14">
        <f t="shared" ca="1" si="6"/>
        <v>1000000</v>
      </c>
      <c r="O28" s="13"/>
      <c r="P28" s="13"/>
      <c r="Q28" s="13"/>
      <c r="R28" s="14">
        <f ca="1">IF(J28&lt;0,$G$6,+COS(J28)*COS(PI()+M28))</f>
        <v>1000000</v>
      </c>
      <c r="S28" s="13"/>
      <c r="T28" s="13"/>
      <c r="U28" s="13"/>
      <c r="V28" s="14">
        <f t="shared" ca="1" si="7"/>
        <v>1000000</v>
      </c>
      <c r="W28" s="13"/>
      <c r="X28" s="13"/>
      <c r="Y28" s="13"/>
      <c r="Z28" s="14">
        <f ca="1">IF(OR(J28&lt;0,COS(PI()+M28+$E$8)&lt;0),$G$6,SIN(J28))</f>
        <v>1000000</v>
      </c>
      <c r="AA28" s="13"/>
      <c r="AB28" s="13"/>
      <c r="AC28" s="13"/>
      <c r="AL28" s="13">
        <v>-0.45399049973954669</v>
      </c>
      <c r="AM28" s="13">
        <v>0.8910065241883679</v>
      </c>
    </row>
    <row r="29" spans="1:39" x14ac:dyDescent="0.35">
      <c r="A29" s="2" t="s">
        <v>105</v>
      </c>
      <c r="B29" s="12">
        <v>14</v>
      </c>
      <c r="C29" s="12">
        <v>13</v>
      </c>
      <c r="D29" s="12">
        <v>19</v>
      </c>
      <c r="E29" s="12">
        <v>5</v>
      </c>
      <c r="F29" s="12">
        <v>-0.1</v>
      </c>
      <c r="G29" s="13">
        <f t="shared" si="0"/>
        <v>14.216666666666667</v>
      </c>
      <c r="H29" s="13">
        <f t="shared" si="1"/>
        <v>0.33306699892225122</v>
      </c>
      <c r="I29" s="13">
        <f t="shared" ca="1" si="8"/>
        <v>9.8766147694444459</v>
      </c>
      <c r="J29" s="14">
        <f t="shared" ca="1" si="2"/>
        <v>-0.28617591265459408</v>
      </c>
      <c r="K29" s="14">
        <f t="shared" ca="1" si="3"/>
        <v>0.51985018459934773</v>
      </c>
      <c r="L29" s="14">
        <f t="shared" ca="1" si="4"/>
        <v>-0.85425744689292826</v>
      </c>
      <c r="M29" s="14">
        <f t="shared" ca="1" si="5"/>
        <v>2.594917087255058</v>
      </c>
      <c r="N29" s="14">
        <f t="shared" ca="1" si="6"/>
        <v>1000000</v>
      </c>
      <c r="O29" s="13">
        <f ca="1">IF(J29&lt;0,$G$6,+COS(J29)*COS(PI()+M29))</f>
        <v>1000000</v>
      </c>
      <c r="P29" s="14"/>
      <c r="Q29" s="13"/>
      <c r="R29" s="13"/>
      <c r="S29" s="13"/>
      <c r="T29" s="13"/>
      <c r="U29" s="13"/>
      <c r="V29" s="14">
        <f t="shared" ca="1" si="7"/>
        <v>1000000</v>
      </c>
      <c r="W29" s="13">
        <f ca="1">IF(OR(J29&lt;0,COS(PI()+M29+$E$8)&lt;0),$G$6,SIN(J29))</f>
        <v>1000000</v>
      </c>
      <c r="X29" s="14"/>
      <c r="Y29" s="13"/>
      <c r="Z29" s="13"/>
      <c r="AA29" s="13"/>
      <c r="AB29" s="13"/>
      <c r="AC29" s="13"/>
      <c r="AL29" s="13">
        <v>-0.58778525229247303</v>
      </c>
      <c r="AM29" s="13">
        <v>0.80901699437494745</v>
      </c>
    </row>
    <row r="30" spans="1:39" x14ac:dyDescent="0.35">
      <c r="A30" s="2" t="s">
        <v>106</v>
      </c>
      <c r="B30" s="12">
        <v>16</v>
      </c>
      <c r="C30" s="12">
        <v>42</v>
      </c>
      <c r="D30" s="12">
        <v>-68</v>
      </c>
      <c r="E30" s="12">
        <v>-9</v>
      </c>
      <c r="F30" s="12"/>
      <c r="G30" s="13">
        <f t="shared" si="0"/>
        <v>16.7</v>
      </c>
      <c r="H30" s="13">
        <f t="shared" si="1"/>
        <v>-1.1894418852341357</v>
      </c>
      <c r="I30" s="13">
        <f t="shared" ca="1" si="8"/>
        <v>7.3932814361111134</v>
      </c>
      <c r="J30" s="14">
        <f t="shared" ca="1" si="2"/>
        <v>-0.90449156690036348</v>
      </c>
      <c r="K30" s="14">
        <f t="shared" ca="1" si="3"/>
        <v>0.56253090893416013</v>
      </c>
      <c r="L30" s="14">
        <f t="shared" ca="1" si="4"/>
        <v>0.82677625540027966</v>
      </c>
      <c r="M30" s="14">
        <f t="shared" ca="1" si="5"/>
        <v>0.59744380105361128</v>
      </c>
      <c r="N30" s="14">
        <f t="shared" ca="1" si="6"/>
        <v>1000000</v>
      </c>
      <c r="O30" s="13"/>
      <c r="P30" s="13"/>
      <c r="Q30" s="13"/>
      <c r="R30" s="14">
        <f ca="1">IF(J30&lt;0,$G$6,+COS(J30)*COS(PI()+M30))</f>
        <v>1000000</v>
      </c>
      <c r="S30" s="13"/>
      <c r="T30" s="13"/>
      <c r="U30" s="13"/>
      <c r="V30" s="14">
        <f t="shared" ca="1" si="7"/>
        <v>1000000</v>
      </c>
      <c r="W30" s="13"/>
      <c r="X30" s="13"/>
      <c r="Y30" s="13"/>
      <c r="Z30" s="14">
        <f ca="1">IF(OR(J30&lt;0,COS(PI()+M30+$E$8)&lt;0),$G$6,SIN(J30))</f>
        <v>1000000</v>
      </c>
      <c r="AA30" s="13"/>
      <c r="AB30" s="13"/>
      <c r="AC30" s="13"/>
      <c r="AL30" s="13">
        <v>-0.70710678118654746</v>
      </c>
      <c r="AM30" s="13">
        <v>0.70710678118654757</v>
      </c>
    </row>
    <row r="31" spans="1:39" x14ac:dyDescent="0.35">
      <c r="A31" s="2" t="s">
        <v>107</v>
      </c>
      <c r="B31" s="12">
        <v>5</v>
      </c>
      <c r="C31" s="12">
        <v>22</v>
      </c>
      <c r="D31" s="12">
        <v>6</v>
      </c>
      <c r="E31" s="12">
        <v>3</v>
      </c>
      <c r="F31" s="12"/>
      <c r="G31" s="13">
        <f t="shared" si="0"/>
        <v>5.3666666666666663</v>
      </c>
      <c r="H31" s="13">
        <f t="shared" si="1"/>
        <v>0.10559241974565695</v>
      </c>
      <c r="I31" s="13">
        <f t="shared" ca="1" si="8"/>
        <v>18.726614769444446</v>
      </c>
      <c r="J31" s="14">
        <f t="shared" ca="1" si="2"/>
        <v>0.20453564019932494</v>
      </c>
      <c r="K31" s="14">
        <f t="shared" ca="1" si="3"/>
        <v>-0.99727994465075265</v>
      </c>
      <c r="L31" s="14">
        <f t="shared" ca="1" si="4"/>
        <v>7.3706933170439845E-2</v>
      </c>
      <c r="M31" s="14">
        <f t="shared" ca="1" si="5"/>
        <v>-1.4970224918488986</v>
      </c>
      <c r="N31" s="14">
        <f t="shared" ca="1" si="6"/>
        <v>-0.97649205046088883</v>
      </c>
      <c r="O31" s="13"/>
      <c r="P31" s="13"/>
      <c r="Q31" s="13"/>
      <c r="R31" s="14">
        <f ca="1">IF(J31&lt;0,$G$6,+COS(J31)*COS(PI()+M31))</f>
        <v>-7.2170542174086888E-2</v>
      </c>
      <c r="S31" s="13"/>
      <c r="T31" s="13"/>
      <c r="U31" s="13"/>
      <c r="V31" s="14">
        <f t="shared" ca="1" si="7"/>
        <v>-0.97649205046088883</v>
      </c>
      <c r="W31" s="13"/>
      <c r="X31" s="13"/>
      <c r="Y31" s="13"/>
      <c r="Z31" s="14">
        <f ca="1">IF(OR(J31&lt;0,COS(PI()+M31+$E$8)&lt;0),$G$6,SIN(J31))</f>
        <v>0.2031125014099012</v>
      </c>
      <c r="AA31" s="13"/>
      <c r="AB31" s="13"/>
      <c r="AC31" s="13"/>
      <c r="AL31" s="13">
        <v>-0.80901699437494734</v>
      </c>
      <c r="AM31" s="13">
        <v>0.58778525229247325</v>
      </c>
    </row>
    <row r="32" spans="1:39" x14ac:dyDescent="0.35">
      <c r="A32" s="2" t="s">
        <v>108</v>
      </c>
      <c r="B32" s="12">
        <v>5</v>
      </c>
      <c r="C32" s="12">
        <v>52</v>
      </c>
      <c r="D32" s="12">
        <v>7</v>
      </c>
      <c r="E32" s="12">
        <v>4</v>
      </c>
      <c r="F32" s="12">
        <v>0.6</v>
      </c>
      <c r="G32" s="13">
        <f t="shared" si="0"/>
        <v>5.8666666666666671</v>
      </c>
      <c r="H32" s="13">
        <f t="shared" si="1"/>
        <v>0.12333660047426594</v>
      </c>
      <c r="I32" s="13">
        <f t="shared" ca="1" si="8"/>
        <v>18.226614769444446</v>
      </c>
      <c r="J32" s="14">
        <f t="shared" ca="1" si="2"/>
        <v>0.13172604879046312</v>
      </c>
      <c r="K32" s="14">
        <f t="shared" ca="1" si="3"/>
        <v>-0.99931508108908962</v>
      </c>
      <c r="L32" s="14">
        <f t="shared" ca="1" si="4"/>
        <v>-3.7004982203833539E-2</v>
      </c>
      <c r="M32" s="14">
        <f t="shared" ca="1" si="5"/>
        <v>4.6753755473948635</v>
      </c>
      <c r="N32" s="14">
        <f t="shared" ca="1" si="6"/>
        <v>-0.99065767669173699</v>
      </c>
      <c r="O32" s="13"/>
      <c r="P32" s="14">
        <f ca="1">IF(J32&lt;0,$G$6,+COS(J32)*COS(PI()+M32))</f>
        <v>3.6684395532307443E-2</v>
      </c>
      <c r="Q32" s="13"/>
      <c r="R32" s="13"/>
      <c r="S32" s="13"/>
      <c r="T32" s="13"/>
      <c r="U32" s="13"/>
      <c r="V32" s="14">
        <f t="shared" ca="1" si="7"/>
        <v>1000000</v>
      </c>
      <c r="W32" s="13"/>
      <c r="X32" s="14">
        <f ca="1">IF(OR(J32&lt;0,COS(PI()+M32+$E$8)&lt;0),$G$6,SIN(J32))</f>
        <v>1000000</v>
      </c>
      <c r="Y32" s="13"/>
      <c r="Z32" s="13"/>
      <c r="AA32" s="13"/>
      <c r="AB32" s="13"/>
      <c r="AC32" s="13"/>
      <c r="AL32" s="13">
        <v>-0.89100652418836779</v>
      </c>
      <c r="AM32" s="13">
        <v>0.45399049973954686</v>
      </c>
    </row>
    <row r="33" spans="1:39" x14ac:dyDescent="0.35">
      <c r="A33" s="2" t="s">
        <v>109</v>
      </c>
      <c r="B33" s="12">
        <v>6</v>
      </c>
      <c r="C33" s="12">
        <v>23</v>
      </c>
      <c r="D33" s="12">
        <v>-52</v>
      </c>
      <c r="E33" s="12">
        <v>-7</v>
      </c>
      <c r="F33" s="12">
        <v>-0.7</v>
      </c>
      <c r="G33" s="13">
        <f t="shared" si="0"/>
        <v>6.3833333333333337</v>
      </c>
      <c r="H33" s="13">
        <f t="shared" si="1"/>
        <v>-0.90960742849771148</v>
      </c>
      <c r="I33" s="13">
        <f t="shared" ca="1" si="8"/>
        <v>17.70994810277778</v>
      </c>
      <c r="J33" s="14">
        <f t="shared" ca="1" si="2"/>
        <v>-0.67490000314868892</v>
      </c>
      <c r="K33" s="14">
        <f t="shared" ca="1" si="3"/>
        <v>-0.78420860541215753</v>
      </c>
      <c r="L33" s="14">
        <f t="shared" ca="1" si="4"/>
        <v>0.62049727090255491</v>
      </c>
      <c r="M33" s="14">
        <f t="shared" ca="1" si="5"/>
        <v>-0.90141967715633653</v>
      </c>
      <c r="N33" s="14">
        <f t="shared" ca="1" si="6"/>
        <v>1000000</v>
      </c>
      <c r="O33" s="14">
        <f ca="1">IF(J33&lt;0,$G$6,+COS(J33)*COS(PI()+M33))</f>
        <v>1000000</v>
      </c>
      <c r="P33" s="13"/>
      <c r="Q33" s="13"/>
      <c r="R33" s="13"/>
      <c r="S33" s="13"/>
      <c r="T33" s="13"/>
      <c r="U33" s="13"/>
      <c r="V33" s="14">
        <f t="shared" ca="1" si="7"/>
        <v>1000000</v>
      </c>
      <c r="W33" s="13">
        <f ca="1">IF(OR(J33&lt;0,COS(PI()+M33+$E$8)&lt;0),$G$6,SIN(J33))</f>
        <v>1000000</v>
      </c>
      <c r="X33" s="13"/>
      <c r="Y33" s="13"/>
      <c r="Z33" s="13"/>
      <c r="AA33" s="13"/>
      <c r="AB33" s="13"/>
      <c r="AC33" s="13"/>
      <c r="AL33" s="13">
        <v>-0.95105651629515353</v>
      </c>
      <c r="AM33" s="13">
        <v>0.30901699437494751</v>
      </c>
    </row>
    <row r="34" spans="1:39" x14ac:dyDescent="0.35">
      <c r="A34" s="2" t="s">
        <v>110</v>
      </c>
      <c r="B34" s="12">
        <v>7</v>
      </c>
      <c r="C34" s="12">
        <v>31</v>
      </c>
      <c r="D34" s="12">
        <v>32</v>
      </c>
      <c r="E34" s="12">
        <v>0</v>
      </c>
      <c r="F34" s="12"/>
      <c r="G34" s="13">
        <f t="shared" si="0"/>
        <v>7.5166666666666666</v>
      </c>
      <c r="H34" s="13">
        <f t="shared" si="1"/>
        <v>0.55850536063818546</v>
      </c>
      <c r="I34" s="13">
        <f t="shared" ca="1" si="8"/>
        <v>16.576614769444447</v>
      </c>
      <c r="J34" s="14">
        <f t="shared" ca="1" si="2"/>
        <v>0.19695480482733491</v>
      </c>
      <c r="K34" s="14">
        <f t="shared" ca="1" si="3"/>
        <v>-0.80541675409940539</v>
      </c>
      <c r="L34" s="14">
        <f t="shared" ca="1" si="4"/>
        <v>-0.59270891018777316</v>
      </c>
      <c r="M34" s="14">
        <f t="shared" ca="1" si="5"/>
        <v>4.0779709207949404</v>
      </c>
      <c r="N34" s="14">
        <f t="shared" ca="1" si="6"/>
        <v>-0.78984564778939481</v>
      </c>
      <c r="O34" s="13"/>
      <c r="P34" s="13"/>
      <c r="Q34" s="13"/>
      <c r="R34" s="14">
        <f ca="1">IF(J34&lt;0,$G$6,+COS(J34)*COS(PI()+M34))</f>
        <v>0.58125008045217375</v>
      </c>
      <c r="S34" s="13"/>
      <c r="T34" s="13"/>
      <c r="U34" s="13"/>
      <c r="V34" s="14">
        <f t="shared" ca="1" si="7"/>
        <v>1000000</v>
      </c>
      <c r="W34" s="13"/>
      <c r="X34" s="13"/>
      <c r="Y34" s="13"/>
      <c r="Z34" s="14">
        <f ca="1">IF(OR(J34&lt;0,COS(PI()+M34+$E$8)&lt;0),$G$6,SIN(J34))</f>
        <v>1000000</v>
      </c>
      <c r="AA34" s="13"/>
      <c r="AB34" s="13"/>
      <c r="AC34" s="13"/>
      <c r="AL34" s="13">
        <v>-0.98768834059513766</v>
      </c>
      <c r="AM34" s="13">
        <v>0.15643446504023098</v>
      </c>
    </row>
    <row r="35" spans="1:39" x14ac:dyDescent="0.35">
      <c r="A35" s="2" t="s">
        <v>111</v>
      </c>
      <c r="B35" s="12">
        <v>5</v>
      </c>
      <c r="C35" s="12">
        <v>13</v>
      </c>
      <c r="D35" s="12">
        <v>45</v>
      </c>
      <c r="E35" s="12">
        <v>9</v>
      </c>
      <c r="F35" s="12">
        <v>0</v>
      </c>
      <c r="G35" s="13">
        <f t="shared" si="0"/>
        <v>5.2166666666666668</v>
      </c>
      <c r="H35" s="13">
        <f t="shared" si="1"/>
        <v>0.78801615727543972</v>
      </c>
      <c r="I35" s="13">
        <f t="shared" ca="1" si="8"/>
        <v>18.876614769444444</v>
      </c>
      <c r="J35" s="14">
        <f t="shared" ca="1" si="2"/>
        <v>0.69359795490548415</v>
      </c>
      <c r="K35" s="14">
        <f t="shared" ca="1" si="3"/>
        <v>-0.89311573271645972</v>
      </c>
      <c r="L35" s="14">
        <f t="shared" ca="1" si="4"/>
        <v>-0.44982695336578166</v>
      </c>
      <c r="M35" s="14">
        <f t="shared" ca="1" si="5"/>
        <v>4.2458174069081478</v>
      </c>
      <c r="N35" s="14">
        <f t="shared" ca="1" si="6"/>
        <v>-0.68676205347532004</v>
      </c>
      <c r="O35" s="14">
        <f ca="1">IF(J35&lt;0,$G$6,+COS(J35)*COS(PI()+M35))</f>
        <v>0.34589479379388149</v>
      </c>
      <c r="P35" s="13"/>
      <c r="Q35" s="13"/>
      <c r="R35" s="13"/>
      <c r="S35" s="13"/>
      <c r="T35" s="13"/>
      <c r="U35" s="13"/>
      <c r="V35" s="14">
        <f t="shared" ca="1" si="7"/>
        <v>1000000</v>
      </c>
      <c r="W35" s="13">
        <f ca="1">IF(OR(J35&lt;0,COS(PI()+M35+$E$8)&lt;0),$G$6,SIN(J35))</f>
        <v>1000000</v>
      </c>
      <c r="X35" s="13"/>
      <c r="Y35" s="13"/>
      <c r="Z35" s="13"/>
      <c r="AA35" s="13"/>
      <c r="AB35" s="13"/>
      <c r="AC35" s="13"/>
      <c r="AL35" s="13">
        <v>-1</v>
      </c>
      <c r="AM35" s="13">
        <v>1.22514845490862E-16</v>
      </c>
    </row>
    <row r="36" spans="1:39" x14ac:dyDescent="0.35">
      <c r="A36" s="2" t="s">
        <v>112</v>
      </c>
      <c r="B36" s="12">
        <v>20</v>
      </c>
      <c r="C36" s="12">
        <v>40</v>
      </c>
      <c r="D36" s="12">
        <v>45</v>
      </c>
      <c r="E36" s="12">
        <v>1</v>
      </c>
      <c r="F36" s="12">
        <v>1.3</v>
      </c>
      <c r="G36" s="13">
        <f t="shared" si="0"/>
        <v>20.666666666666668</v>
      </c>
      <c r="H36" s="13">
        <f t="shared" si="1"/>
        <v>0.78568905160611402</v>
      </c>
      <c r="I36" s="13">
        <f t="shared" ca="1" si="8"/>
        <v>3.4266147694444449</v>
      </c>
      <c r="J36" s="14">
        <f t="shared" ca="1" si="2"/>
        <v>0.96626963930981169</v>
      </c>
      <c r="K36" s="14">
        <f t="shared" ca="1" si="3"/>
        <v>0.9719883597048885</v>
      </c>
      <c r="L36" s="14">
        <f t="shared" ca="1" si="4"/>
        <v>-0.23502899522867476</v>
      </c>
      <c r="M36" s="14">
        <f t="shared" ca="1" si="5"/>
        <v>1.8080447256211676</v>
      </c>
      <c r="N36" s="14">
        <f t="shared" ca="1" si="6"/>
        <v>0.55245166006579138</v>
      </c>
      <c r="O36" s="13"/>
      <c r="P36" s="13"/>
      <c r="Q36" s="14">
        <f ca="1">IF(J36&lt;0,$G$6,+COS(J36)*COS(PI()+M36))</f>
        <v>0.13358406742350096</v>
      </c>
      <c r="R36" s="13"/>
      <c r="S36" s="13"/>
      <c r="T36" s="13"/>
      <c r="U36" s="13"/>
      <c r="V36" s="14">
        <f t="shared" ca="1" si="7"/>
        <v>1000000</v>
      </c>
      <c r="W36" s="13"/>
      <c r="X36" s="13"/>
      <c r="Y36" s="14">
        <f ca="1">IF(OR(J36&lt;0,COS(PI()+M36+$E$8)&lt;0),$G$6,SIN(J36))</f>
        <v>1000000</v>
      </c>
      <c r="Z36" s="13"/>
      <c r="AA36" s="13"/>
      <c r="AB36" s="13"/>
      <c r="AC36" s="13"/>
      <c r="AL36" s="13">
        <v>-0.98768834059513777</v>
      </c>
      <c r="AM36" s="13">
        <v>-0.15643446504023073</v>
      </c>
    </row>
    <row r="37" spans="1:39" x14ac:dyDescent="0.35">
      <c r="A37" s="2" t="s">
        <v>113</v>
      </c>
      <c r="B37" s="12">
        <v>11</v>
      </c>
      <c r="C37" s="12">
        <v>0</v>
      </c>
      <c r="D37" s="12">
        <v>62</v>
      </c>
      <c r="E37" s="12">
        <v>1</v>
      </c>
      <c r="F37" s="12"/>
      <c r="G37" s="13">
        <f t="shared" si="0"/>
        <v>11</v>
      </c>
      <c r="H37" s="13">
        <f t="shared" si="1"/>
        <v>1.0823950244451501</v>
      </c>
      <c r="I37" s="13">
        <f t="shared" ca="1" si="8"/>
        <v>13.093281436111113</v>
      </c>
      <c r="J37" s="14">
        <f t="shared" ca="1" si="2"/>
        <v>0.3773818006658563</v>
      </c>
      <c r="K37" s="14">
        <f t="shared" ca="1" si="3"/>
        <v>-0.14250000274456434</v>
      </c>
      <c r="L37" s="14">
        <f t="shared" ca="1" si="4"/>
        <v>-0.98979480157141608</v>
      </c>
      <c r="M37" s="14">
        <f t="shared" ca="1" si="5"/>
        <v>3.2845793907384349</v>
      </c>
      <c r="N37" s="14">
        <f t="shared" ca="1" si="6"/>
        <v>-0.1324726473691144</v>
      </c>
      <c r="O37" s="13"/>
      <c r="P37" s="13"/>
      <c r="Q37" s="13"/>
      <c r="R37" s="14">
        <f ca="1">IF(J37&lt;0,$G$6,+COS(J37)*COS(PI()+M37))</f>
        <v>0.92014551011195911</v>
      </c>
      <c r="S37" s="13"/>
      <c r="T37" s="13"/>
      <c r="U37" s="13"/>
      <c r="V37" s="14">
        <f t="shared" ca="1" si="7"/>
        <v>1000000</v>
      </c>
      <c r="W37" s="13"/>
      <c r="X37" s="13"/>
      <c r="Y37" s="13"/>
      <c r="Z37" s="14">
        <f ca="1">IF(OR(J37&lt;0,COS(PI()+M37+$E$8)&lt;0),$G$6,SIN(J37))</f>
        <v>1000000</v>
      </c>
      <c r="AA37" s="13"/>
      <c r="AB37" s="13"/>
      <c r="AC37" s="13"/>
      <c r="AL37" s="13">
        <v>-0.95105651629515364</v>
      </c>
      <c r="AM37" s="13">
        <v>-0.30901699437494728</v>
      </c>
    </row>
    <row r="38" spans="1:39" x14ac:dyDescent="0.35">
      <c r="A38" s="2" t="s">
        <v>114</v>
      </c>
      <c r="B38" s="12">
        <v>13</v>
      </c>
      <c r="C38" s="12">
        <v>22</v>
      </c>
      <c r="D38" s="12">
        <v>-10</v>
      </c>
      <c r="E38" s="12">
        <v>-9</v>
      </c>
      <c r="F38" s="12"/>
      <c r="G38" s="13">
        <f t="shared" si="0"/>
        <v>13.366666666666667</v>
      </c>
      <c r="H38" s="13">
        <f t="shared" si="1"/>
        <v>-0.17715091907742447</v>
      </c>
      <c r="I38" s="13">
        <f t="shared" ca="1" si="8"/>
        <v>10.726614769444446</v>
      </c>
      <c r="J38" s="14">
        <f t="shared" ca="1" si="2"/>
        <v>-0.84044344047629582</v>
      </c>
      <c r="K38" s="14">
        <f t="shared" ca="1" si="3"/>
        <v>0.48282683609439314</v>
      </c>
      <c r="L38" s="14">
        <f t="shared" ca="1" si="4"/>
        <v>-0.87571584794788204</v>
      </c>
      <c r="M38" s="14">
        <f t="shared" ca="1" si="5"/>
        <v>2.6377127741530382</v>
      </c>
      <c r="N38" s="14">
        <f t="shared" ca="1" si="6"/>
        <v>1000000</v>
      </c>
      <c r="O38" s="13"/>
      <c r="P38" s="13"/>
      <c r="Q38" s="13"/>
      <c r="R38" s="14">
        <f ca="1">IF(J38&lt;0,$G$6,+COS(J38)*COS(PI()+M38))</f>
        <v>1000000</v>
      </c>
      <c r="S38" s="13"/>
      <c r="T38" s="13"/>
      <c r="U38" s="13"/>
      <c r="V38" s="14">
        <f t="shared" ca="1" si="7"/>
        <v>1000000</v>
      </c>
      <c r="W38" s="13"/>
      <c r="X38" s="13"/>
      <c r="Y38" s="13"/>
      <c r="Z38" s="14">
        <f ca="1">IF(OR(J38&lt;0,COS(PI()+M38+$E$8)&lt;0),$G$6,SIN(J38))</f>
        <v>1000000</v>
      </c>
      <c r="AA38" s="13"/>
      <c r="AB38" s="13"/>
      <c r="AC38" s="13"/>
      <c r="AL38" s="13">
        <v>-0.8910065241883679</v>
      </c>
      <c r="AM38" s="13">
        <v>-0.45399049973954669</v>
      </c>
    </row>
    <row r="39" spans="1:39" x14ac:dyDescent="0.35">
      <c r="A39" s="2" t="s">
        <v>115</v>
      </c>
      <c r="B39" s="12">
        <v>22</v>
      </c>
      <c r="C39" s="12">
        <v>55</v>
      </c>
      <c r="D39" s="12">
        <v>-29</v>
      </c>
      <c r="E39" s="12">
        <v>-9</v>
      </c>
      <c r="F39" s="12">
        <v>1.2</v>
      </c>
      <c r="G39" s="13">
        <f t="shared" si="0"/>
        <v>22.916666666666668</v>
      </c>
      <c r="H39" s="13">
        <f t="shared" si="1"/>
        <v>-0.50876347695634705</v>
      </c>
      <c r="I39" s="13">
        <f t="shared" ca="1" si="8"/>
        <v>1.1766147694444449</v>
      </c>
      <c r="J39" s="14">
        <f t="shared" ca="1" si="2"/>
        <v>0.1821422698776885</v>
      </c>
      <c r="K39" s="14">
        <f t="shared" ca="1" si="3"/>
        <v>0.26924288024939891</v>
      </c>
      <c r="L39" s="14">
        <f t="shared" ca="1" si="4"/>
        <v>0.96307230851842462</v>
      </c>
      <c r="M39" s="14">
        <f t="shared" ca="1" si="5"/>
        <v>0.27260679450410652</v>
      </c>
      <c r="N39" s="14">
        <f t="shared" ca="1" si="6"/>
        <v>0.26478903917054475</v>
      </c>
      <c r="O39" s="13"/>
      <c r="P39" s="13"/>
      <c r="Q39" s="14">
        <f ca="1">IF(J39&lt;0,$G$6,+COS(J39)*COS(PI()+M39))</f>
        <v>-0.94714107570137462</v>
      </c>
      <c r="R39" s="13"/>
      <c r="S39" s="13"/>
      <c r="T39" s="13"/>
      <c r="U39" s="13"/>
      <c r="V39" s="14">
        <f t="shared" ca="1" si="7"/>
        <v>0.26478903917054469</v>
      </c>
      <c r="W39" s="13"/>
      <c r="X39" s="13"/>
      <c r="Y39" s="14">
        <f ca="1">IF(OR(J39&lt;0,COS(PI()+M39+$E$8)&lt;0),$G$6,SIN(J39))</f>
        <v>0.18113681970925391</v>
      </c>
      <c r="Z39" s="13"/>
      <c r="AA39" s="13"/>
      <c r="AB39" s="13"/>
      <c r="AC39" s="13"/>
      <c r="AL39" s="13">
        <v>-0.80901699437494756</v>
      </c>
      <c r="AM39" s="13">
        <v>-0.58778525229247303</v>
      </c>
    </row>
    <row r="40" spans="1:39" x14ac:dyDescent="0.35">
      <c r="A40" s="2" t="s">
        <v>116</v>
      </c>
      <c r="B40" s="12">
        <v>12</v>
      </c>
      <c r="C40" s="12">
        <v>28</v>
      </c>
      <c r="D40" s="12">
        <v>-56</v>
      </c>
      <c r="E40" s="12">
        <v>-8</v>
      </c>
      <c r="F40" s="12"/>
      <c r="G40" s="13">
        <f t="shared" si="0"/>
        <v>12.466666666666667</v>
      </c>
      <c r="H40" s="13">
        <f t="shared" si="1"/>
        <v>-0.97971148678615028</v>
      </c>
      <c r="I40" s="13">
        <f t="shared" ca="1" si="8"/>
        <v>11.626614769444446</v>
      </c>
      <c r="J40" s="14">
        <f t="shared" ca="1" si="2"/>
        <v>-1.4302761652854588</v>
      </c>
      <c r="K40" s="14">
        <f t="shared" ca="1" si="3"/>
        <v>0.38831573224637256</v>
      </c>
      <c r="L40" s="14">
        <f t="shared" ca="1" si="4"/>
        <v>0.92152639250863011</v>
      </c>
      <c r="M40" s="14">
        <f t="shared" ca="1" si="5"/>
        <v>0.39880319387971541</v>
      </c>
      <c r="N40" s="14">
        <f t="shared" ca="1" si="6"/>
        <v>1000000</v>
      </c>
      <c r="O40" s="13"/>
      <c r="P40" s="13"/>
      <c r="Q40" s="13"/>
      <c r="R40" s="14">
        <f t="shared" ref="R40:R51" ca="1" si="12">IF(J40&lt;0,$G$6,+COS(J40)*COS(PI()+M40))</f>
        <v>1000000</v>
      </c>
      <c r="S40" s="13"/>
      <c r="T40" s="13"/>
      <c r="U40" s="13"/>
      <c r="V40" s="14">
        <f t="shared" ca="1" si="7"/>
        <v>1000000</v>
      </c>
      <c r="W40" s="13"/>
      <c r="X40" s="13"/>
      <c r="Y40" s="13"/>
      <c r="Z40" s="14">
        <f t="shared" ref="Z40:Z51" ca="1" si="13">IF(OR(J40&lt;0,COS(PI()+M40+$E$8)&lt;0),$G$6,SIN(J40))</f>
        <v>1000000</v>
      </c>
      <c r="AA40" s="13"/>
      <c r="AB40" s="13"/>
      <c r="AC40" s="13"/>
      <c r="AL40" s="13">
        <v>-0.70710678118654768</v>
      </c>
      <c r="AM40" s="13">
        <v>-0.70710678118654746</v>
      </c>
    </row>
    <row r="41" spans="1:39" x14ac:dyDescent="0.35">
      <c r="A41" s="2" t="s">
        <v>117</v>
      </c>
      <c r="B41" s="12">
        <v>18</v>
      </c>
      <c r="C41" s="12">
        <v>20</v>
      </c>
      <c r="D41" s="12">
        <v>-34</v>
      </c>
      <c r="E41" s="12">
        <v>-4</v>
      </c>
      <c r="F41" s="12"/>
      <c r="G41" s="13">
        <f t="shared" si="0"/>
        <v>18.333333333333332</v>
      </c>
      <c r="H41" s="13">
        <f t="shared" si="1"/>
        <v>-0.59457549851273495</v>
      </c>
      <c r="I41" s="13">
        <f t="shared" ca="1" si="8"/>
        <v>5.7599481027777806</v>
      </c>
      <c r="J41" s="14">
        <f t="shared" ca="1" si="2"/>
        <v>-0.39785194288184972</v>
      </c>
      <c r="K41" s="14">
        <f t="shared" ca="1" si="3"/>
        <v>0.89679486168322242</v>
      </c>
      <c r="L41" s="14">
        <f t="shared" ca="1" si="4"/>
        <v>0.44244657989249964</v>
      </c>
      <c r="M41" s="14">
        <f t="shared" ca="1" si="5"/>
        <v>1.112471345824531</v>
      </c>
      <c r="N41" s="14">
        <f t="shared" ca="1" si="6"/>
        <v>1000000</v>
      </c>
      <c r="O41" s="13"/>
      <c r="P41" s="13"/>
      <c r="Q41" s="13"/>
      <c r="R41" s="14">
        <f t="shared" ca="1" si="12"/>
        <v>1000000</v>
      </c>
      <c r="S41" s="13"/>
      <c r="T41" s="13"/>
      <c r="U41" s="13"/>
      <c r="V41" s="14">
        <f t="shared" ca="1" si="7"/>
        <v>1000000</v>
      </c>
      <c r="W41" s="13"/>
      <c r="X41" s="13"/>
      <c r="Y41" s="13"/>
      <c r="Z41" s="14">
        <f t="shared" ca="1" si="13"/>
        <v>1000000</v>
      </c>
      <c r="AA41" s="13"/>
      <c r="AB41" s="13"/>
      <c r="AC41" s="13"/>
      <c r="AL41" s="13">
        <v>-0.58778525229247325</v>
      </c>
      <c r="AM41" s="13">
        <v>-0.80901699437494734</v>
      </c>
    </row>
    <row r="42" spans="1:39" x14ac:dyDescent="0.35">
      <c r="A42" s="2" t="s">
        <v>118</v>
      </c>
      <c r="B42" s="12">
        <v>8</v>
      </c>
      <c r="C42" s="12">
        <v>43</v>
      </c>
      <c r="D42" s="12">
        <v>-54</v>
      </c>
      <c r="E42" s="12">
        <v>-5</v>
      </c>
      <c r="F42" s="12"/>
      <c r="G42" s="13">
        <f t="shared" si="0"/>
        <v>8.7166666666666668</v>
      </c>
      <c r="H42" s="13">
        <f t="shared" si="1"/>
        <v>-0.94393223712026653</v>
      </c>
      <c r="I42" s="13">
        <f t="shared" ca="1" si="8"/>
        <v>15.376614769444446</v>
      </c>
      <c r="J42" s="14">
        <f t="shared" ca="1" si="2"/>
        <v>-1.0245970312592887</v>
      </c>
      <c r="K42" s="14">
        <f t="shared" ca="1" si="3"/>
        <v>-0.87326450460757943</v>
      </c>
      <c r="L42" s="14">
        <f t="shared" ca="1" si="4"/>
        <v>0.48724645200604494</v>
      </c>
      <c r="M42" s="14">
        <f t="shared" ca="1" si="5"/>
        <v>-1.0618625237986408</v>
      </c>
      <c r="N42" s="14">
        <f t="shared" ca="1" si="6"/>
        <v>1000000</v>
      </c>
      <c r="O42" s="13"/>
      <c r="P42" s="13"/>
      <c r="Q42" s="13"/>
      <c r="R42" s="14">
        <f t="shared" ca="1" si="12"/>
        <v>1000000</v>
      </c>
      <c r="S42" s="13"/>
      <c r="T42" s="13"/>
      <c r="U42" s="13"/>
      <c r="V42" s="14">
        <f t="shared" ca="1" si="7"/>
        <v>1000000</v>
      </c>
      <c r="W42" s="13"/>
      <c r="X42" s="13"/>
      <c r="Y42" s="13"/>
      <c r="Z42" s="14">
        <f t="shared" ca="1" si="13"/>
        <v>1000000</v>
      </c>
      <c r="AA42" s="13"/>
      <c r="AB42" s="13"/>
      <c r="AC42" s="13"/>
      <c r="AL42" s="13">
        <v>-0.45399049973954692</v>
      </c>
      <c r="AM42" s="13">
        <v>-0.89100652418836779</v>
      </c>
    </row>
    <row r="43" spans="1:39" x14ac:dyDescent="0.35">
      <c r="A43" s="2" t="s">
        <v>119</v>
      </c>
      <c r="B43" s="12">
        <v>5</v>
      </c>
      <c r="C43" s="12">
        <v>55</v>
      </c>
      <c r="D43" s="12">
        <v>44</v>
      </c>
      <c r="E43" s="12">
        <v>9</v>
      </c>
      <c r="F43" s="12"/>
      <c r="G43" s="13">
        <f t="shared" si="0"/>
        <v>5.916666666666667</v>
      </c>
      <c r="H43" s="13">
        <f t="shared" si="1"/>
        <v>0.7705628647554964</v>
      </c>
      <c r="I43" s="13">
        <f t="shared" ca="1" si="8"/>
        <v>18.176614769444445</v>
      </c>
      <c r="J43" s="14">
        <f t="shared" ca="1" si="2"/>
        <v>0.57780184700222303</v>
      </c>
      <c r="K43" s="14">
        <f t="shared" ca="1" si="3"/>
        <v>-0.85565427017152107</v>
      </c>
      <c r="L43" s="14">
        <f t="shared" ca="1" si="4"/>
        <v>-0.51754784313843039</v>
      </c>
      <c r="M43" s="14">
        <f t="shared" ca="1" si="5"/>
        <v>4.1684063484822751</v>
      </c>
      <c r="N43" s="14">
        <f t="shared" ca="1" si="6"/>
        <v>-0.71675186402051727</v>
      </c>
      <c r="O43" s="13"/>
      <c r="P43" s="13"/>
      <c r="Q43" s="13"/>
      <c r="R43" s="14">
        <f t="shared" ca="1" si="12"/>
        <v>0.43353185301688318</v>
      </c>
      <c r="S43" s="13"/>
      <c r="T43" s="13"/>
      <c r="U43" s="13"/>
      <c r="V43" s="14">
        <f t="shared" ca="1" si="7"/>
        <v>1000000</v>
      </c>
      <c r="W43" s="13"/>
      <c r="X43" s="13"/>
      <c r="Y43" s="13"/>
      <c r="Z43" s="14">
        <f t="shared" ca="1" si="13"/>
        <v>1000000</v>
      </c>
      <c r="AA43" s="13"/>
      <c r="AB43" s="13"/>
      <c r="AC43" s="13"/>
      <c r="AL43" s="13">
        <v>-0.30901699437494756</v>
      </c>
      <c r="AM43" s="13">
        <v>-0.95105651629515353</v>
      </c>
    </row>
    <row r="44" spans="1:39" x14ac:dyDescent="0.35">
      <c r="A44" s="2" t="s">
        <v>120</v>
      </c>
      <c r="B44" s="12">
        <v>9</v>
      </c>
      <c r="C44" s="12">
        <v>13</v>
      </c>
      <c r="D44" s="12">
        <v>-69</v>
      </c>
      <c r="E44" s="12">
        <v>-5</v>
      </c>
      <c r="F44" s="12"/>
      <c r="G44" s="13">
        <f t="shared" si="0"/>
        <v>9.2166666666666668</v>
      </c>
      <c r="H44" s="13">
        <f t="shared" si="1"/>
        <v>-1.2057316249194159</v>
      </c>
      <c r="I44" s="13">
        <f t="shared" ca="1" si="8"/>
        <v>14.876614769444446</v>
      </c>
      <c r="J44" s="14">
        <f t="shared" ca="1" si="2"/>
        <v>-1.0646944816528014</v>
      </c>
      <c r="K44" s="14">
        <f t="shared" ca="1" si="3"/>
        <v>-0.50365844820623529</v>
      </c>
      <c r="L44" s="14">
        <f t="shared" ca="1" si="4"/>
        <v>0.86390286928015614</v>
      </c>
      <c r="M44" s="14">
        <f t="shared" ca="1" si="5"/>
        <v>-0.52782836454627546</v>
      </c>
      <c r="N44" s="14">
        <f t="shared" ca="1" si="6"/>
        <v>1000000</v>
      </c>
      <c r="O44" s="13"/>
      <c r="P44" s="13"/>
      <c r="Q44" s="13"/>
      <c r="R44" s="14">
        <f t="shared" ca="1" si="12"/>
        <v>1000000</v>
      </c>
      <c r="S44" s="13"/>
      <c r="T44" s="13"/>
      <c r="U44" s="13"/>
      <c r="V44" s="14">
        <f t="shared" ca="1" si="7"/>
        <v>1000000</v>
      </c>
      <c r="W44" s="13"/>
      <c r="X44" s="13"/>
      <c r="Y44" s="13"/>
      <c r="Z44" s="14">
        <f t="shared" ca="1" si="13"/>
        <v>1000000</v>
      </c>
      <c r="AA44" s="13"/>
      <c r="AB44" s="13"/>
      <c r="AC44" s="13"/>
      <c r="AL44" s="13">
        <v>-0.15643446504023104</v>
      </c>
      <c r="AM44" s="13">
        <v>-0.98768834059513766</v>
      </c>
    </row>
    <row r="45" spans="1:39" x14ac:dyDescent="0.35">
      <c r="A45" s="2" t="s">
        <v>121</v>
      </c>
      <c r="B45" s="12">
        <v>12</v>
      </c>
      <c r="C45" s="12">
        <v>44</v>
      </c>
      <c r="D45" s="12">
        <v>-59</v>
      </c>
      <c r="E45" s="12">
        <v>-4</v>
      </c>
      <c r="F45" s="12"/>
      <c r="G45" s="13">
        <f t="shared" si="0"/>
        <v>12.733333333333333</v>
      </c>
      <c r="H45" s="13">
        <f t="shared" si="1"/>
        <v>-1.0309078115113173</v>
      </c>
      <c r="I45" s="13">
        <f t="shared" ca="1" si="8"/>
        <v>11.35994810277778</v>
      </c>
      <c r="J45" s="14">
        <f t="shared" ca="1" si="2"/>
        <v>-1.3672365910020527</v>
      </c>
      <c r="K45" s="14">
        <f t="shared" ca="1" si="3"/>
        <v>0.424090289903095</v>
      </c>
      <c r="L45" s="14">
        <f t="shared" ca="1" si="4"/>
        <v>0.90561991255156615</v>
      </c>
      <c r="M45" s="14">
        <f t="shared" ca="1" si="5"/>
        <v>0.43795713261901104</v>
      </c>
      <c r="N45" s="14">
        <f t="shared" ca="1" si="6"/>
        <v>1000000</v>
      </c>
      <c r="O45" s="13"/>
      <c r="P45" s="13"/>
      <c r="Q45" s="13"/>
      <c r="R45" s="14">
        <f t="shared" ca="1" si="12"/>
        <v>1000000</v>
      </c>
      <c r="S45" s="13"/>
      <c r="T45" s="13"/>
      <c r="U45" s="13"/>
      <c r="V45" s="14">
        <f t="shared" ca="1" si="7"/>
        <v>1000000</v>
      </c>
      <c r="W45" s="13"/>
      <c r="X45" s="13"/>
      <c r="Y45" s="13"/>
      <c r="Z45" s="14">
        <f t="shared" ca="1" si="13"/>
        <v>1000000</v>
      </c>
      <c r="AA45" s="13"/>
      <c r="AB45" s="13"/>
      <c r="AC45" s="13"/>
      <c r="AL45" s="13">
        <v>-1.83772268236293E-16</v>
      </c>
      <c r="AM45" s="13">
        <v>-1</v>
      </c>
    </row>
    <row r="46" spans="1:39" x14ac:dyDescent="0.35">
      <c r="A46" s="2" t="s">
        <v>122</v>
      </c>
      <c r="B46" s="12">
        <v>3</v>
      </c>
      <c r="C46" s="12">
        <v>20</v>
      </c>
      <c r="D46" s="12">
        <v>49</v>
      </c>
      <c r="E46" s="12">
        <v>7</v>
      </c>
      <c r="F46" s="12"/>
      <c r="G46" s="13">
        <f t="shared" si="0"/>
        <v>3.3333333333333335</v>
      </c>
      <c r="H46" s="13">
        <f t="shared" si="1"/>
        <v>0.85724755093788163</v>
      </c>
      <c r="I46" s="13">
        <f t="shared" ca="1" si="8"/>
        <v>20.759948102777781</v>
      </c>
      <c r="J46" s="14">
        <f t="shared" ca="1" si="2"/>
        <v>1.0237471637419338</v>
      </c>
      <c r="K46" s="14">
        <f t="shared" ca="1" si="3"/>
        <v>-0.94386437221906994</v>
      </c>
      <c r="L46" s="14">
        <f t="shared" ca="1" si="4"/>
        <v>-0.33033323607457449</v>
      </c>
      <c r="M46" s="14">
        <f t="shared" ca="1" si="5"/>
        <v>4.3757323719918446</v>
      </c>
      <c r="N46" s="14">
        <f t="shared" ca="1" si="6"/>
        <v>-0.49096926610321673</v>
      </c>
      <c r="O46" s="13"/>
      <c r="P46" s="13"/>
      <c r="Q46" s="13"/>
      <c r="R46" s="14">
        <f t="shared" ca="1" si="12"/>
        <v>0.17182920688460124</v>
      </c>
      <c r="S46" s="13"/>
      <c r="T46" s="13"/>
      <c r="U46" s="13"/>
      <c r="V46" s="14">
        <f t="shared" ca="1" si="7"/>
        <v>1000000</v>
      </c>
      <c r="W46" s="13"/>
      <c r="X46" s="13"/>
      <c r="Y46" s="13"/>
      <c r="Z46" s="14">
        <f t="shared" ca="1" si="13"/>
        <v>1000000</v>
      </c>
      <c r="AA46" s="13"/>
      <c r="AB46" s="13"/>
      <c r="AC46" s="13"/>
      <c r="AL46" s="13">
        <v>0.15643446504023067</v>
      </c>
      <c r="AM46" s="13">
        <v>-0.98768834059513777</v>
      </c>
    </row>
    <row r="47" spans="1:39" x14ac:dyDescent="0.35">
      <c r="A47" s="2" t="s">
        <v>123</v>
      </c>
      <c r="B47" s="12">
        <v>6</v>
      </c>
      <c r="C47" s="12">
        <v>20</v>
      </c>
      <c r="D47" s="12">
        <v>-17</v>
      </c>
      <c r="E47" s="12">
        <v>-9</v>
      </c>
      <c r="F47" s="12"/>
      <c r="G47" s="13">
        <f t="shared" ref="G47:G60" si="14">+B47+C47/60</f>
        <v>6.333333333333333</v>
      </c>
      <c r="H47" s="13">
        <f t="shared" ref="H47:H60" si="15">(D47+E47/60)*PI()/180</f>
        <v>-0.29932396671702749</v>
      </c>
      <c r="I47" s="13">
        <f t="shared" ca="1" si="8"/>
        <v>17.759948102777781</v>
      </c>
      <c r="J47" s="14">
        <f t="shared" ref="J47:J60" ca="1" si="16">ASIN(COS(H47)*COS(I47*PI()/12)*COS($D$8)+SIN($D$8)*SIN(H47))</f>
        <v>-0.26455884590942197</v>
      </c>
      <c r="K47" s="14">
        <f t="shared" ref="K47:K60" ca="1" si="17">(COS(H47)*SIN(I47*PI()/12))/COS(J47)</f>
        <v>-0.98802512514096574</v>
      </c>
      <c r="L47" s="14">
        <f t="shared" ref="L47:L60" ca="1" si="18">(COS(H47)*COS(I47*PI()/12)*SIN($D$8)-COS($D$8)*SIN(H47))/COS(J47)</f>
        <v>0.15429307207447518</v>
      </c>
      <c r="M47" s="14">
        <f t="shared" ref="M47:M62" ca="1" si="19">IF(L47&lt;0,-ASIN(K47)+PI(),ASIN(K47))</f>
        <v>-1.4158844093882554</v>
      </c>
      <c r="N47" s="14">
        <f t="shared" ref="N47:N63" ca="1" si="20">IF(J47&lt;0,$G$6,COS(J47)*SIN(M47))</f>
        <v>1000000</v>
      </c>
      <c r="O47" s="13"/>
      <c r="P47" s="13"/>
      <c r="Q47" s="13"/>
      <c r="R47" s="14">
        <f t="shared" ca="1" si="12"/>
        <v>1000000</v>
      </c>
      <c r="S47" s="13"/>
      <c r="T47" s="13"/>
      <c r="U47" s="13"/>
      <c r="V47" s="14">
        <f t="shared" ref="V47:V63" ca="1" si="21">IF(OR(J47&lt;0,COS(PI()+M47+$E$8)&lt;0),$G$6,-COS(J47)*SIN(M47+$E$8))</f>
        <v>1000000</v>
      </c>
      <c r="W47" s="13"/>
      <c r="X47" s="13"/>
      <c r="Y47" s="13"/>
      <c r="Z47" s="14">
        <f t="shared" ca="1" si="13"/>
        <v>1000000</v>
      </c>
      <c r="AA47" s="13"/>
      <c r="AB47" s="13"/>
      <c r="AC47" s="13"/>
      <c r="AL47" s="13">
        <v>0.30901699437494723</v>
      </c>
      <c r="AM47" s="13">
        <v>-0.95105651629515364</v>
      </c>
    </row>
    <row r="48" spans="1:39" x14ac:dyDescent="0.35">
      <c r="A48" s="2" t="s">
        <v>124</v>
      </c>
      <c r="B48" s="12">
        <v>5</v>
      </c>
      <c r="C48" s="12">
        <v>23</v>
      </c>
      <c r="D48" s="12">
        <v>-28</v>
      </c>
      <c r="E48" s="12">
        <v>-6</v>
      </c>
      <c r="F48" s="12"/>
      <c r="G48" s="13">
        <f t="shared" si="14"/>
        <v>5.3833333333333337</v>
      </c>
      <c r="H48" s="13">
        <f t="shared" si="15"/>
        <v>-0.49043751981040662</v>
      </c>
      <c r="I48" s="13">
        <f t="shared" ca="1" si="8"/>
        <v>18.70994810277778</v>
      </c>
      <c r="J48" s="14">
        <f t="shared" ca="1" si="16"/>
        <v>-0.2498649053751007</v>
      </c>
      <c r="K48" s="14">
        <f t="shared" ca="1" si="17"/>
        <v>-0.89471869925958269</v>
      </c>
      <c r="L48" s="14">
        <f t="shared" ca="1" si="18"/>
        <v>0.44663010332403769</v>
      </c>
      <c r="M48" s="14">
        <f t="shared" ca="1" si="19"/>
        <v>-1.1078009755651426</v>
      </c>
      <c r="N48" s="14">
        <f t="shared" ca="1" si="20"/>
        <v>1000000</v>
      </c>
      <c r="O48" s="13"/>
      <c r="P48" s="13"/>
      <c r="Q48" s="13"/>
      <c r="R48" s="14">
        <f t="shared" ca="1" si="12"/>
        <v>1000000</v>
      </c>
      <c r="S48" s="13"/>
      <c r="T48" s="13"/>
      <c r="U48" s="13"/>
      <c r="V48" s="14">
        <f t="shared" ca="1" si="21"/>
        <v>1000000</v>
      </c>
      <c r="W48" s="13"/>
      <c r="X48" s="13"/>
      <c r="Y48" s="13"/>
      <c r="Z48" s="14">
        <f t="shared" ca="1" si="13"/>
        <v>1000000</v>
      </c>
      <c r="AA48" s="13"/>
      <c r="AB48" s="13"/>
      <c r="AC48" s="13"/>
      <c r="AL48" s="13">
        <v>0.45399049973954664</v>
      </c>
      <c r="AM48" s="13">
        <v>-0.8910065241883679</v>
      </c>
    </row>
    <row r="49" spans="1:39" x14ac:dyDescent="0.35">
      <c r="A49" s="2" t="s">
        <v>125</v>
      </c>
      <c r="B49" s="12">
        <v>18</v>
      </c>
      <c r="C49" s="12">
        <v>52</v>
      </c>
      <c r="D49" s="12">
        <v>-26</v>
      </c>
      <c r="E49" s="12">
        <v>-4</v>
      </c>
      <c r="F49" s="12"/>
      <c r="G49" s="13">
        <f t="shared" si="14"/>
        <v>18.866666666666667</v>
      </c>
      <c r="H49" s="13">
        <f t="shared" si="15"/>
        <v>-0.4549491583531885</v>
      </c>
      <c r="I49" s="13">
        <f t="shared" ca="1" si="8"/>
        <v>5.2266147694444456</v>
      </c>
      <c r="J49" s="14">
        <f t="shared" ca="1" si="16"/>
        <v>-0.2135058397415881</v>
      </c>
      <c r="K49" s="14">
        <f t="shared" ca="1" si="17"/>
        <v>0.90037760518438514</v>
      </c>
      <c r="L49" s="14">
        <f t="shared" ca="1" si="18"/>
        <v>0.43510937485008483</v>
      </c>
      <c r="M49" s="14">
        <f t="shared" ca="1" si="19"/>
        <v>1.1206365769447901</v>
      </c>
      <c r="N49" s="14">
        <f t="shared" ca="1" si="20"/>
        <v>1000000</v>
      </c>
      <c r="O49" s="13"/>
      <c r="P49" s="13"/>
      <c r="Q49" s="13"/>
      <c r="R49" s="14">
        <f t="shared" ca="1" si="12"/>
        <v>1000000</v>
      </c>
      <c r="S49" s="13"/>
      <c r="T49" s="13"/>
      <c r="U49" s="13"/>
      <c r="V49" s="14">
        <f t="shared" ca="1" si="21"/>
        <v>1000000</v>
      </c>
      <c r="W49" s="13"/>
      <c r="X49" s="13"/>
      <c r="Y49" s="13"/>
      <c r="Z49" s="14">
        <f t="shared" ca="1" si="13"/>
        <v>1000000</v>
      </c>
      <c r="AA49" s="13"/>
      <c r="AB49" s="13"/>
      <c r="AC49" s="13"/>
      <c r="AL49" s="13">
        <v>0.58778525229247292</v>
      </c>
      <c r="AM49" s="13">
        <v>-0.80901699437494756</v>
      </c>
    </row>
    <row r="50" spans="1:39" x14ac:dyDescent="0.35">
      <c r="A50" s="2" t="s">
        <v>126</v>
      </c>
      <c r="B50" s="12">
        <v>20</v>
      </c>
      <c r="C50" s="12">
        <v>21</v>
      </c>
      <c r="D50" s="12">
        <v>-56</v>
      </c>
      <c r="E50" s="12">
        <v>-9</v>
      </c>
      <c r="F50" s="12"/>
      <c r="G50" s="13">
        <f t="shared" si="14"/>
        <v>20.350000000000001</v>
      </c>
      <c r="H50" s="13">
        <f t="shared" si="15"/>
        <v>-0.98000237499481591</v>
      </c>
      <c r="I50" s="13">
        <f t="shared" ca="1" si="8"/>
        <v>3.7432814361111113</v>
      </c>
      <c r="J50" s="14">
        <f t="shared" ca="1" si="16"/>
        <v>-0.43449967583184307</v>
      </c>
      <c r="K50" s="14">
        <f t="shared" ca="1" si="17"/>
        <v>0.50998836993119623</v>
      </c>
      <c r="L50" s="14">
        <f t="shared" ca="1" si="18"/>
        <v>0.86018129631777118</v>
      </c>
      <c r="M50" s="14">
        <f t="shared" ca="1" si="19"/>
        <v>0.53517126973583906</v>
      </c>
      <c r="N50" s="14">
        <f t="shared" ca="1" si="20"/>
        <v>1000000</v>
      </c>
      <c r="O50" s="13"/>
      <c r="P50" s="13"/>
      <c r="Q50" s="13"/>
      <c r="R50" s="14">
        <f t="shared" ca="1" si="12"/>
        <v>1000000</v>
      </c>
      <c r="S50" s="13"/>
      <c r="T50" s="13"/>
      <c r="U50" s="13"/>
      <c r="V50" s="14">
        <f t="shared" ca="1" si="21"/>
        <v>1000000</v>
      </c>
      <c r="W50" s="13"/>
      <c r="X50" s="13"/>
      <c r="Y50" s="13"/>
      <c r="Z50" s="14">
        <f t="shared" ca="1" si="13"/>
        <v>1000000</v>
      </c>
      <c r="AA50" s="13"/>
      <c r="AB50" s="13"/>
      <c r="AC50" s="13"/>
      <c r="AL50" s="13">
        <v>0.70710678118654735</v>
      </c>
      <c r="AM50" s="13">
        <v>-0.70710678118654768</v>
      </c>
    </row>
    <row r="51" spans="1:39" x14ac:dyDescent="0.35">
      <c r="A51" s="2" t="s">
        <v>127</v>
      </c>
      <c r="B51" s="12">
        <v>0</v>
      </c>
      <c r="C51" s="12">
        <v>0</v>
      </c>
      <c r="D51" s="12">
        <v>90</v>
      </c>
      <c r="E51" s="12">
        <v>0</v>
      </c>
      <c r="F51" s="12"/>
      <c r="G51" s="13">
        <f t="shared" si="14"/>
        <v>0</v>
      </c>
      <c r="H51" s="13">
        <f t="shared" si="15"/>
        <v>1.5707963267948966</v>
      </c>
      <c r="I51" s="13">
        <f t="shared" ca="1" si="8"/>
        <v>9.3281436111112725E-2</v>
      </c>
      <c r="J51" s="14">
        <f t="shared" ca="1" si="16"/>
        <v>0.85230245139056426</v>
      </c>
      <c r="K51" s="14">
        <f t="shared" ca="1" si="17"/>
        <v>2.2714836055955612E-18</v>
      </c>
      <c r="L51" s="14">
        <f t="shared" ca="1" si="18"/>
        <v>-1</v>
      </c>
      <c r="M51" s="14">
        <f t="shared" ca="1" si="19"/>
        <v>3.1415926535897931</v>
      </c>
      <c r="N51" s="14">
        <f t="shared" ca="1" si="20"/>
        <v>8.0612572896161778E-17</v>
      </c>
      <c r="O51" s="13"/>
      <c r="P51" s="13"/>
      <c r="Q51" s="13"/>
      <c r="R51" s="14">
        <f t="shared" ca="1" si="12"/>
        <v>0.65825161142206379</v>
      </c>
      <c r="S51" s="13"/>
      <c r="T51" s="13"/>
      <c r="U51" s="13"/>
      <c r="V51" s="14">
        <f t="shared" ca="1" si="21"/>
        <v>1000000</v>
      </c>
      <c r="W51" s="13"/>
      <c r="X51" s="13"/>
      <c r="Y51" s="13"/>
      <c r="Z51" s="14">
        <f t="shared" ca="1" si="13"/>
        <v>1000000</v>
      </c>
      <c r="AA51" s="13"/>
      <c r="AB51" s="13"/>
      <c r="AC51" s="13"/>
      <c r="AL51" s="13">
        <v>0.80901699437494734</v>
      </c>
      <c r="AM51" s="13">
        <v>-0.58778525229247336</v>
      </c>
    </row>
    <row r="52" spans="1:39" x14ac:dyDescent="0.35">
      <c r="A52" s="2" t="s">
        <v>128</v>
      </c>
      <c r="B52" s="12">
        <v>7</v>
      </c>
      <c r="C52" s="12">
        <v>42</v>
      </c>
      <c r="D52" s="12">
        <v>28</v>
      </c>
      <c r="E52" s="12">
        <v>2</v>
      </c>
      <c r="F52" s="12">
        <v>1.2</v>
      </c>
      <c r="G52" s="13">
        <f t="shared" si="14"/>
        <v>7.7</v>
      </c>
      <c r="H52" s="13">
        <f t="shared" si="15"/>
        <v>0.48927396697574371</v>
      </c>
      <c r="I52" s="13">
        <f t="shared" ca="1" si="8"/>
        <v>16.393281436111113</v>
      </c>
      <c r="J52" s="14">
        <f t="shared" ca="1" si="16"/>
        <v>0.1168132623986143</v>
      </c>
      <c r="K52" s="14">
        <f t="shared" ca="1" si="17"/>
        <v>-0.81125904702994145</v>
      </c>
      <c r="L52" s="14">
        <f t="shared" ca="1" si="18"/>
        <v>-0.584686889379325</v>
      </c>
      <c r="M52" s="14">
        <f t="shared" ca="1" si="19"/>
        <v>4.087894932726913</v>
      </c>
      <c r="N52" s="14">
        <f t="shared" ca="1" si="20"/>
        <v>-0.80573038596412216</v>
      </c>
      <c r="O52" s="13"/>
      <c r="P52" s="13"/>
      <c r="Q52" s="14">
        <f ca="1">IF(J52&lt;0,$G$6,+COS(J52)*COS(PI()+M52))</f>
        <v>0.58070229820238772</v>
      </c>
      <c r="R52" s="13"/>
      <c r="S52" s="13"/>
      <c r="T52" s="13"/>
      <c r="U52" s="13"/>
      <c r="V52" s="14">
        <f t="shared" ca="1" si="21"/>
        <v>1000000</v>
      </c>
      <c r="W52" s="13"/>
      <c r="X52" s="13"/>
      <c r="Y52" s="14">
        <f ca="1">IF(OR(J52&lt;0,COS(PI()+M52+$E$8)&lt;0),$G$6,SIN(J52))</f>
        <v>1000000</v>
      </c>
      <c r="Z52" s="13"/>
      <c r="AA52" s="13"/>
      <c r="AB52" s="13"/>
      <c r="AC52" s="13"/>
      <c r="AL52" s="13">
        <v>0.89100652418836779</v>
      </c>
      <c r="AM52" s="13">
        <v>-0.45399049973954697</v>
      </c>
    </row>
    <row r="53" spans="1:39" x14ac:dyDescent="0.35">
      <c r="A53" s="2" t="s">
        <v>129</v>
      </c>
      <c r="B53" s="12">
        <v>7</v>
      </c>
      <c r="C53" s="12">
        <v>36</v>
      </c>
      <c r="D53" s="12">
        <v>5</v>
      </c>
      <c r="E53" s="12">
        <v>4</v>
      </c>
      <c r="F53" s="12">
        <v>0.4</v>
      </c>
      <c r="G53" s="13">
        <f t="shared" si="14"/>
        <v>7.6</v>
      </c>
      <c r="H53" s="13">
        <f t="shared" si="15"/>
        <v>8.8430015434379353E-2</v>
      </c>
      <c r="I53" s="13">
        <f t="shared" ca="1" si="8"/>
        <v>16.493281436111111</v>
      </c>
      <c r="J53" s="14">
        <f t="shared" ca="1" si="16"/>
        <v>-0.18658026701200295</v>
      </c>
      <c r="K53" s="14">
        <f t="shared" ca="1" si="17"/>
        <v>-0.93583979538477968</v>
      </c>
      <c r="L53" s="14">
        <f t="shared" ca="1" si="18"/>
        <v>-0.35242570475800072</v>
      </c>
      <c r="M53" s="14">
        <f t="shared" ca="1" si="19"/>
        <v>4.3522271291060024</v>
      </c>
      <c r="N53" s="14">
        <f t="shared" ca="1" si="20"/>
        <v>1000000</v>
      </c>
      <c r="O53" s="13"/>
      <c r="P53" s="14">
        <f ca="1">IF(J53&lt;0,$G$6,+COS(J53)*COS(PI()+M53))</f>
        <v>1000000</v>
      </c>
      <c r="Q53" s="13"/>
      <c r="R53" s="13"/>
      <c r="S53" s="13"/>
      <c r="T53" s="13"/>
      <c r="U53" s="13"/>
      <c r="V53" s="14">
        <f t="shared" ca="1" si="21"/>
        <v>1000000</v>
      </c>
      <c r="W53" s="13"/>
      <c r="X53" s="14">
        <f ca="1">IF(OR(J53&lt;0,COS(PI()+M53+$E$8)&lt;0),$G$6,SIN(J53))</f>
        <v>1000000</v>
      </c>
      <c r="Y53" s="13"/>
      <c r="Z53" s="13"/>
      <c r="AA53" s="13"/>
      <c r="AB53" s="13"/>
      <c r="AC53" s="13"/>
      <c r="AL53" s="13">
        <v>0.95105651629515353</v>
      </c>
      <c r="AM53" s="13">
        <v>-0.30901699437494762</v>
      </c>
    </row>
    <row r="54" spans="1:39" x14ac:dyDescent="0.35">
      <c r="A54" s="2" t="s">
        <v>130</v>
      </c>
      <c r="B54" s="12">
        <v>17</v>
      </c>
      <c r="C54" s="12">
        <v>32</v>
      </c>
      <c r="D54" s="12">
        <v>12</v>
      </c>
      <c r="E54" s="12">
        <v>6</v>
      </c>
      <c r="F54" s="12"/>
      <c r="G54" s="13">
        <f t="shared" si="14"/>
        <v>17.533333333333335</v>
      </c>
      <c r="H54" s="13">
        <f t="shared" si="15"/>
        <v>0.21118483949131389</v>
      </c>
      <c r="I54" s="13">
        <f t="shared" ca="1" si="8"/>
        <v>6.5599481027777777</v>
      </c>
      <c r="J54" s="14">
        <f t="shared" ca="1" si="16"/>
        <v>6.3829378849842619E-2</v>
      </c>
      <c r="K54" s="14">
        <f t="shared" ca="1" si="17"/>
        <v>0.9692696682784091</v>
      </c>
      <c r="L54" s="14">
        <f t="shared" ca="1" si="18"/>
        <v>-0.24600063039647369</v>
      </c>
      <c r="M54" s="14">
        <f t="shared" ca="1" si="19"/>
        <v>1.819348239311197</v>
      </c>
      <c r="N54" s="14">
        <f t="shared" ca="1" si="20"/>
        <v>0.96729584435619564</v>
      </c>
      <c r="O54" s="13"/>
      <c r="P54" s="13"/>
      <c r="Q54" s="13"/>
      <c r="R54" s="14">
        <f ca="1">IF(J54&lt;0,$G$6,+COS(J54)*COS(PI()+M54))</f>
        <v>0.24549967390825722</v>
      </c>
      <c r="S54" s="13"/>
      <c r="T54" s="13"/>
      <c r="U54" s="13"/>
      <c r="V54" s="14">
        <f t="shared" ca="1" si="21"/>
        <v>1000000</v>
      </c>
      <c r="W54" s="13"/>
      <c r="X54" s="13"/>
      <c r="Y54" s="13"/>
      <c r="Z54" s="14">
        <f ca="1">IF(OR(J54&lt;0,COS(PI()+M54+$E$8)&lt;0),$G$6,SIN(J54))</f>
        <v>1000000</v>
      </c>
      <c r="AA54" s="13"/>
      <c r="AB54" s="13"/>
      <c r="AC54" s="13"/>
      <c r="AL54" s="13">
        <v>0.98768834059513766</v>
      </c>
      <c r="AM54" s="13">
        <v>-0.15643446504023112</v>
      </c>
    </row>
    <row r="55" spans="1:39" x14ac:dyDescent="0.35">
      <c r="A55" s="2" t="s">
        <v>131</v>
      </c>
      <c r="B55" s="12">
        <v>10</v>
      </c>
      <c r="C55" s="12">
        <v>5</v>
      </c>
      <c r="D55" s="12">
        <v>12</v>
      </c>
      <c r="E55" s="12">
        <v>2</v>
      </c>
      <c r="F55" s="12">
        <v>1.4</v>
      </c>
      <c r="G55" s="13">
        <f t="shared" si="14"/>
        <v>10.083333333333334</v>
      </c>
      <c r="H55" s="13">
        <f t="shared" si="15"/>
        <v>0.21002128665665099</v>
      </c>
      <c r="I55" s="13">
        <f t="shared" ca="1" si="8"/>
        <v>14.009948102777779</v>
      </c>
      <c r="J55" s="14">
        <f t="shared" ca="1" si="16"/>
        <v>-0.41124652808306406</v>
      </c>
      <c r="K55" s="14">
        <f t="shared" ca="1" si="17"/>
        <v>-0.53589902804554812</v>
      </c>
      <c r="L55" s="14">
        <f t="shared" ca="1" si="18"/>
        <v>-0.84428208066962829</v>
      </c>
      <c r="M55" s="14">
        <f t="shared" ca="1" si="19"/>
        <v>3.7071648845208984</v>
      </c>
      <c r="N55" s="14">
        <f t="shared" ca="1" si="20"/>
        <v>1000000</v>
      </c>
      <c r="O55" s="13"/>
      <c r="P55" s="13"/>
      <c r="Q55" s="14">
        <f ca="1">IF(J55&lt;0,$G$6,+COS(J55)*COS(PI()+M55))</f>
        <v>1000000</v>
      </c>
      <c r="R55" s="13"/>
      <c r="S55" s="13"/>
      <c r="T55" s="13"/>
      <c r="U55" s="13"/>
      <c r="V55" s="14">
        <f t="shared" ca="1" si="21"/>
        <v>1000000</v>
      </c>
      <c r="W55" s="13"/>
      <c r="X55" s="13"/>
      <c r="Y55" s="14">
        <f ca="1">IF(OR(J55&lt;0,COS(PI()+M55+$E$8)&lt;0),$G$6,SIN(J55))</f>
        <v>1000000</v>
      </c>
      <c r="Z55" s="13"/>
      <c r="AA55" s="13"/>
      <c r="AB55" s="13"/>
      <c r="AC55" s="13"/>
      <c r="AL55" s="13">
        <v>1</v>
      </c>
      <c r="AM55" s="13">
        <v>-2.45029690981724E-16</v>
      </c>
    </row>
    <row r="56" spans="1:39" x14ac:dyDescent="0.35">
      <c r="A56" s="2" t="s">
        <v>132</v>
      </c>
      <c r="B56" s="12">
        <v>5</v>
      </c>
      <c r="C56" s="12">
        <v>11</v>
      </c>
      <c r="D56" s="12">
        <v>-8</v>
      </c>
      <c r="E56" s="12">
        <v>-3</v>
      </c>
      <c r="F56" s="12">
        <v>0.1</v>
      </c>
      <c r="G56" s="13">
        <f t="shared" si="14"/>
        <v>5.1833333333333336</v>
      </c>
      <c r="H56" s="13">
        <f t="shared" si="15"/>
        <v>-0.14049900478554353</v>
      </c>
      <c r="I56" s="13">
        <f t="shared" ca="1" si="8"/>
        <v>18.909948102777779</v>
      </c>
      <c r="J56" s="14">
        <f t="shared" ca="1" si="16"/>
        <v>4.840080228212932E-2</v>
      </c>
      <c r="K56" s="14">
        <f t="shared" ca="1" si="17"/>
        <v>-0.96331128478369454</v>
      </c>
      <c r="L56" s="14">
        <f t="shared" ca="1" si="18"/>
        <v>0.26838660288544153</v>
      </c>
      <c r="M56" s="14">
        <f t="shared" ca="1" si="19"/>
        <v>-1.2990785320834997</v>
      </c>
      <c r="N56" s="14">
        <f t="shared" ca="1" si="20"/>
        <v>-0.96218316039394958</v>
      </c>
      <c r="O56" s="13"/>
      <c r="P56" s="14">
        <f ca="1">IF(J56&lt;0,$G$6,+COS(J56)*COS(PI()+M56))</f>
        <v>-0.26807229796928628</v>
      </c>
      <c r="Q56" s="13"/>
      <c r="R56" s="13"/>
      <c r="S56" s="13"/>
      <c r="T56" s="13"/>
      <c r="U56" s="13"/>
      <c r="V56" s="14">
        <f t="shared" ca="1" si="21"/>
        <v>-0.96218316039394958</v>
      </c>
      <c r="W56" s="13"/>
      <c r="X56" s="14">
        <f ca="1">IF(OR(J56&lt;0,COS(PI()+M56+$E$8)&lt;0),$G$6,SIN(J56))</f>
        <v>4.8381906905136954E-2</v>
      </c>
      <c r="Y56" s="13"/>
      <c r="Z56" s="13"/>
      <c r="AA56" s="13"/>
      <c r="AB56" s="13"/>
      <c r="AC56" s="13"/>
    </row>
    <row r="57" spans="1:39" x14ac:dyDescent="0.35">
      <c r="A57" s="2" t="s">
        <v>133</v>
      </c>
      <c r="B57" s="12">
        <v>14</v>
      </c>
      <c r="C57" s="12">
        <v>36</v>
      </c>
      <c r="D57" s="12">
        <v>-60</v>
      </c>
      <c r="E57" s="12">
        <v>-6</v>
      </c>
      <c r="F57" s="12"/>
      <c r="G57" s="13">
        <f t="shared" si="14"/>
        <v>14.6</v>
      </c>
      <c r="H57" s="13">
        <f t="shared" si="15"/>
        <v>-1.0489428804485921</v>
      </c>
      <c r="I57" s="13">
        <f t="shared" ca="1" si="8"/>
        <v>9.4932814361111131</v>
      </c>
      <c r="J57" s="14">
        <f t="shared" ca="1" si="16"/>
        <v>-1.1495247305652538</v>
      </c>
      <c r="K57" s="14">
        <f t="shared" ca="1" si="17"/>
        <v>0.74379916478785713</v>
      </c>
      <c r="L57" s="14">
        <f t="shared" ca="1" si="18"/>
        <v>0.66840317358678591</v>
      </c>
      <c r="M57" s="14">
        <f t="shared" ca="1" si="19"/>
        <v>0.83873646747341235</v>
      </c>
      <c r="N57" s="14">
        <f t="shared" ca="1" si="20"/>
        <v>1000000</v>
      </c>
      <c r="O57" s="13"/>
      <c r="P57" s="13"/>
      <c r="Q57" s="13"/>
      <c r="R57" s="14">
        <f ca="1">IF(J57&lt;0,$G$6,+COS(J57)*COS(PI()+M57))</f>
        <v>1000000</v>
      </c>
      <c r="S57" s="13"/>
      <c r="T57" s="13"/>
      <c r="U57" s="13"/>
      <c r="V57" s="14">
        <f t="shared" ca="1" si="21"/>
        <v>1000000</v>
      </c>
      <c r="W57" s="13"/>
      <c r="X57" s="13"/>
      <c r="Y57" s="13"/>
      <c r="Z57" s="14">
        <f ca="1">IF(OR(J57&lt;0,COS(PI()+M57+$E$8)&lt;0),$G$6,SIN(J57))</f>
        <v>1000000</v>
      </c>
      <c r="AA57" s="13"/>
      <c r="AB57" s="13"/>
      <c r="AC57" s="13"/>
    </row>
    <row r="58" spans="1:39" x14ac:dyDescent="0.35">
      <c r="A58" s="2" t="s">
        <v>134</v>
      </c>
      <c r="B58" s="12">
        <v>17</v>
      </c>
      <c r="C58" s="12">
        <v>33</v>
      </c>
      <c r="D58" s="12">
        <v>-43</v>
      </c>
      <c r="E58" s="12">
        <v>0</v>
      </c>
      <c r="F58" s="12"/>
      <c r="G58" s="13">
        <f t="shared" si="14"/>
        <v>17.55</v>
      </c>
      <c r="H58" s="13">
        <f t="shared" si="15"/>
        <v>-0.75049157835756164</v>
      </c>
      <c r="I58" s="13">
        <f t="shared" ca="1" si="8"/>
        <v>6.543281436111112</v>
      </c>
      <c r="J58" s="14">
        <f t="shared" ca="1" si="16"/>
        <v>-0.6207536183015353</v>
      </c>
      <c r="K58" s="14">
        <f t="shared" ca="1" si="17"/>
        <v>0.89000831539066649</v>
      </c>
      <c r="L58" s="14">
        <f t="shared" ca="1" si="18"/>
        <v>0.45594429323708846</v>
      </c>
      <c r="M58" s="14">
        <f t="shared" ca="1" si="19"/>
        <v>1.0973634069320501</v>
      </c>
      <c r="N58" s="14">
        <f t="shared" ca="1" si="20"/>
        <v>1000000</v>
      </c>
      <c r="O58" s="13"/>
      <c r="P58" s="13"/>
      <c r="Q58" s="13"/>
      <c r="R58" s="14">
        <f ca="1">IF(J58&lt;0,$G$6,+COS(J58)*COS(PI()+M58))</f>
        <v>1000000</v>
      </c>
      <c r="S58" s="13"/>
      <c r="T58" s="13"/>
      <c r="U58" s="13"/>
      <c r="V58" s="14">
        <f t="shared" ca="1" si="21"/>
        <v>1000000</v>
      </c>
      <c r="W58" s="13"/>
      <c r="X58" s="13"/>
      <c r="Y58" s="13"/>
      <c r="Z58" s="14">
        <f ca="1">IF(OR(J58&lt;0,COS(PI()+M58+$E$8)&lt;0),$G$6,SIN(J58))</f>
        <v>1000000</v>
      </c>
      <c r="AA58" s="13"/>
      <c r="AB58" s="13"/>
      <c r="AC58" s="13"/>
    </row>
    <row r="59" spans="1:39" x14ac:dyDescent="0.35">
      <c r="A59" s="2" t="s">
        <v>135</v>
      </c>
      <c r="B59" s="12">
        <v>17</v>
      </c>
      <c r="C59" s="12">
        <v>30</v>
      </c>
      <c r="D59" s="12">
        <v>-37</v>
      </c>
      <c r="E59" s="12">
        <v>-1</v>
      </c>
      <c r="F59" s="12"/>
      <c r="G59" s="13">
        <f t="shared" si="14"/>
        <v>17.5</v>
      </c>
      <c r="H59" s="13">
        <f t="shared" si="15"/>
        <v>-0.64606271144656757</v>
      </c>
      <c r="I59" s="13">
        <f t="shared" ca="1" si="8"/>
        <v>6.5932814361111127</v>
      </c>
      <c r="J59" s="14">
        <f t="shared" ca="1" si="16"/>
        <v>-0.56394780970473213</v>
      </c>
      <c r="K59" s="14">
        <f t="shared" ca="1" si="17"/>
        <v>0.93338121086135495</v>
      </c>
      <c r="L59" s="14">
        <f t="shared" ca="1" si="18"/>
        <v>0.35888649349201046</v>
      </c>
      <c r="M59" s="14">
        <f t="shared" ca="1" si="19"/>
        <v>1.2037216888696558</v>
      </c>
      <c r="N59" s="14">
        <f t="shared" ca="1" si="20"/>
        <v>1000000</v>
      </c>
      <c r="O59" s="13"/>
      <c r="P59" s="13"/>
      <c r="Q59" s="13"/>
      <c r="R59" s="14">
        <f ca="1">IF(J59&lt;0,$G$6,+COS(J59)*COS(PI()+M59))</f>
        <v>1000000</v>
      </c>
      <c r="S59" s="13"/>
      <c r="T59" s="13"/>
      <c r="U59" s="13"/>
      <c r="V59" s="14">
        <f t="shared" ca="1" si="21"/>
        <v>1000000</v>
      </c>
      <c r="W59" s="13"/>
      <c r="X59" s="13"/>
      <c r="Y59" s="13"/>
      <c r="Z59" s="14">
        <f ca="1">IF(OR(J59&lt;0,COS(PI()+M59+$E$8)&lt;0),$G$6,SIN(J59))</f>
        <v>1000000</v>
      </c>
      <c r="AA59" s="13"/>
      <c r="AB59" s="13"/>
      <c r="AC59" s="13"/>
    </row>
    <row r="60" spans="1:39" x14ac:dyDescent="0.35">
      <c r="A60" s="2" t="s">
        <v>136</v>
      </c>
      <c r="B60" s="12">
        <v>6</v>
      </c>
      <c r="C60" s="12">
        <v>43</v>
      </c>
      <c r="D60" s="12">
        <v>-16</v>
      </c>
      <c r="E60" s="12">
        <v>-6</v>
      </c>
      <c r="F60" s="12">
        <v>-1.4</v>
      </c>
      <c r="G60" s="13">
        <f t="shared" si="14"/>
        <v>6.7166666666666668</v>
      </c>
      <c r="H60" s="13">
        <f t="shared" si="15"/>
        <v>-0.28099800957108706</v>
      </c>
      <c r="I60" s="13">
        <f t="shared" ca="1" si="8"/>
        <v>17.376614769444444</v>
      </c>
      <c r="J60" s="14">
        <f t="shared" ca="1" si="16"/>
        <v>-0.31679097106294168</v>
      </c>
      <c r="K60" s="14">
        <f t="shared" ca="1" si="17"/>
        <v>-0.99765579409443839</v>
      </c>
      <c r="L60" s="14">
        <f t="shared" ca="1" si="18"/>
        <v>6.8431838421859473E-2</v>
      </c>
      <c r="M60" s="14">
        <f t="shared" ca="1" si="19"/>
        <v>-1.5023109654088813</v>
      </c>
      <c r="N60" s="14">
        <f t="shared" ca="1" si="20"/>
        <v>1000000</v>
      </c>
      <c r="O60" s="14">
        <f ca="1">IF(J60&lt;0,$G$6,+COS(J60)*COS(PI()+M60))</f>
        <v>1000000</v>
      </c>
      <c r="P60" s="13"/>
      <c r="Q60" s="13"/>
      <c r="R60" s="13"/>
      <c r="S60" s="13"/>
      <c r="T60" s="13"/>
      <c r="U60" s="13"/>
      <c r="V60" s="14">
        <f t="shared" ca="1" si="21"/>
        <v>1000000</v>
      </c>
      <c r="W60" s="13">
        <f ca="1">IF(OR(J60&lt;0,COS(PI()+M60+$E$8)&lt;0),$G$6,SIN(J60))</f>
        <v>1000000</v>
      </c>
      <c r="X60" s="13"/>
      <c r="Y60" s="13"/>
      <c r="Z60" s="13"/>
      <c r="AA60" s="13"/>
      <c r="AB60" s="13"/>
      <c r="AC60" s="13"/>
    </row>
    <row r="61" spans="1:39" x14ac:dyDescent="0.35">
      <c r="A61" s="2" t="s">
        <v>137</v>
      </c>
      <c r="B61" s="12">
        <v>0</v>
      </c>
      <c r="C61" s="12">
        <v>5</v>
      </c>
      <c r="D61" s="12">
        <v>28</v>
      </c>
      <c r="E61" s="12">
        <v>8</v>
      </c>
      <c r="F61" s="12"/>
      <c r="G61" s="13">
        <f t="shared" si="0"/>
        <v>8.3333333333333329E-2</v>
      </c>
      <c r="H61" s="13">
        <f t="shared" si="1"/>
        <v>0.49101929622773804</v>
      </c>
      <c r="I61" s="13">
        <f t="shared" ca="1" si="8"/>
        <v>9.9481027777793968E-3</v>
      </c>
      <c r="J61" s="14">
        <f t="shared" ca="1" si="2"/>
        <v>1.209507602162905</v>
      </c>
      <c r="K61" s="14">
        <f t="shared" ca="1" si="3"/>
        <v>6.4973989278933929E-3</v>
      </c>
      <c r="L61" s="14">
        <f t="shared" ca="1" si="4"/>
        <v>0.999978891680805</v>
      </c>
      <c r="M61" s="14">
        <f t="shared" ca="1" si="19"/>
        <v>6.4974446446695632E-3</v>
      </c>
      <c r="N61" s="14">
        <f t="shared" ca="1" si="20"/>
        <v>2.2967009219450711E-3</v>
      </c>
      <c r="O61" s="13"/>
      <c r="P61" s="13"/>
      <c r="Q61" s="13"/>
      <c r="R61" s="14">
        <f ca="1">IF(J61&lt;0,$G$6,+COS(J61)*COS(PI()+M61))</f>
        <v>-0.35347259233065809</v>
      </c>
      <c r="S61" s="13"/>
      <c r="T61" s="13"/>
      <c r="U61" s="13"/>
      <c r="V61" s="14">
        <f t="shared" ca="1" si="21"/>
        <v>2.2967009219450069E-3</v>
      </c>
      <c r="W61" s="13"/>
      <c r="X61" s="13"/>
      <c r="Y61" s="13"/>
      <c r="Z61" s="14">
        <f ca="1">IF(OR(J61&lt;0,COS(PI()+M61+$E$8)&lt;0),$G$6,SIN(J61))</f>
        <v>0.93544206214811587</v>
      </c>
      <c r="AA61" s="13"/>
      <c r="AB61" s="13"/>
      <c r="AC61" s="13"/>
    </row>
    <row r="62" spans="1:39" x14ac:dyDescent="0.35">
      <c r="A62" s="2" t="s">
        <v>138</v>
      </c>
      <c r="B62" s="12">
        <v>18</v>
      </c>
      <c r="C62" s="12">
        <v>35</v>
      </c>
      <c r="D62" s="12">
        <v>38</v>
      </c>
      <c r="E62" s="12">
        <v>7</v>
      </c>
      <c r="F62" s="12">
        <v>0</v>
      </c>
      <c r="G62" s="13">
        <f t="shared" si="0"/>
        <v>18.583333333333332</v>
      </c>
      <c r="H62" s="13">
        <f t="shared" si="1"/>
        <v>0.66526133321850522</v>
      </c>
      <c r="I62" s="13">
        <f t="shared" ca="1" si="8"/>
        <v>5.5099481027777806</v>
      </c>
      <c r="J62" s="14">
        <f t="shared" ca="1" si="2"/>
        <v>0.55970414457832962</v>
      </c>
      <c r="K62" s="14">
        <f t="shared" ca="1" si="3"/>
        <v>0.92079094259741834</v>
      </c>
      <c r="L62" s="14">
        <f t="shared" ca="1" si="4"/>
        <v>-0.39005645749116619</v>
      </c>
      <c r="M62" s="14">
        <f t="shared" ca="1" si="19"/>
        <v>1.9714892328252938</v>
      </c>
      <c r="N62" s="14">
        <f t="shared" ca="1" si="20"/>
        <v>0.78028950441649558</v>
      </c>
      <c r="O62" s="14">
        <f ca="1">IF(J62&lt;0,$G$6,+COS(J62)*COS(PI()+M62))</f>
        <v>0.33053861178487293</v>
      </c>
      <c r="P62" s="13"/>
      <c r="Q62" s="13"/>
      <c r="R62" s="13"/>
      <c r="S62" s="13"/>
      <c r="T62" s="13"/>
      <c r="U62" s="13"/>
      <c r="V62" s="14">
        <f t="shared" ca="1" si="21"/>
        <v>1000000</v>
      </c>
      <c r="W62" s="13">
        <f ca="1">IF(OR(J62&lt;0,COS(PI()+M62+$E$8)&lt;0),$G$6,SIN(J62))</f>
        <v>1000000</v>
      </c>
      <c r="X62" s="13"/>
      <c r="Y62" s="13"/>
      <c r="Z62" s="13"/>
      <c r="AA62" s="13"/>
      <c r="AB62" s="13"/>
      <c r="AC62" s="13"/>
    </row>
    <row r="63" spans="1:39" x14ac:dyDescent="0.35">
      <c r="A63" s="2" t="s">
        <v>139</v>
      </c>
      <c r="B63" s="12">
        <v>7</v>
      </c>
      <c r="C63" s="12">
        <v>6</v>
      </c>
      <c r="D63" s="12">
        <v>-26</v>
      </c>
      <c r="E63" s="12">
        <v>-3</v>
      </c>
      <c r="F63" s="12"/>
      <c r="G63" s="13">
        <f t="shared" si="0"/>
        <v>7.1</v>
      </c>
      <c r="H63" s="13">
        <f t="shared" si="1"/>
        <v>-0.45465827014452287</v>
      </c>
      <c r="I63" s="13">
        <f t="shared" ca="1" si="8"/>
        <v>16.993281436111111</v>
      </c>
      <c r="J63" s="14">
        <f t="shared" ca="1" si="2"/>
        <v>-0.50597478160958476</v>
      </c>
      <c r="K63" s="14">
        <f t="shared" ca="1" si="3"/>
        <v>-0.99163801086455483</v>
      </c>
      <c r="L63" s="14">
        <f t="shared" ca="1" si="4"/>
        <v>0.12905059243796121</v>
      </c>
      <c r="M63" s="14">
        <f t="shared" ca="1" si="5"/>
        <v>-1.4413848203335899</v>
      </c>
      <c r="N63" s="14">
        <f t="shared" ca="1" si="20"/>
        <v>1000000</v>
      </c>
      <c r="O63" s="13"/>
      <c r="P63" s="13"/>
      <c r="Q63" s="13"/>
      <c r="R63" s="14">
        <f ca="1">IF(J63&lt;0,$G$6,+COS(J63)*COS(PI()+M63))</f>
        <v>1000000</v>
      </c>
      <c r="S63" s="13"/>
      <c r="T63" s="13"/>
      <c r="U63" s="13"/>
      <c r="V63" s="14">
        <f t="shared" ca="1" si="21"/>
        <v>1000000</v>
      </c>
      <c r="W63" s="13"/>
      <c r="X63" s="13"/>
      <c r="Y63" s="13"/>
      <c r="Z63" s="14">
        <f ca="1">IF(OR(J63&lt;0,COS(PI()+M63+$E$8)&lt;0),$G$6,SIN(J63))</f>
        <v>1000000</v>
      </c>
      <c r="AA63" s="13"/>
      <c r="AB63" s="13"/>
      <c r="AC63" s="13"/>
    </row>
    <row r="65" spans="1:29" x14ac:dyDescent="0.35">
      <c r="A65" s="2" t="s">
        <v>140</v>
      </c>
      <c r="B65" s="12">
        <v>0</v>
      </c>
      <c r="C65" s="12">
        <v>0</v>
      </c>
      <c r="D65" s="12">
        <v>90</v>
      </c>
      <c r="E65" s="12">
        <v>0</v>
      </c>
      <c r="F65" s="12"/>
      <c r="G65" s="13">
        <f t="shared" ref="G65:G72" si="22">+B65+C65/60</f>
        <v>0</v>
      </c>
      <c r="H65" s="13">
        <f t="shared" ref="H65:H72" si="23">(D65+E65/60)*PI()/180</f>
        <v>1.5707963267948966</v>
      </c>
      <c r="I65" s="13">
        <f ca="1">IF($L$10-G65&lt;0,24+$L$10-G65,$L$10-G65)</f>
        <v>9.3281436111112725E-2</v>
      </c>
      <c r="J65" s="14">
        <f t="shared" ref="J65:J72" ca="1" si="24">ASIN(COS(H65)*COS(I65*PI()/12)*COS($D$8)+SIN($D$8)*SIN(H65))</f>
        <v>0.85230245139056426</v>
      </c>
      <c r="K65" s="14">
        <f t="shared" ref="K65:K72" ca="1" si="25">(COS(H65)*SIN(I65*PI()/12))/COS(J65)</f>
        <v>2.2714836055955612E-18</v>
      </c>
      <c r="L65" s="14">
        <f t="shared" ref="L65:L72" ca="1" si="26">(COS(H65)*COS(I65*PI()/12)*SIN($D$8)-COS($D$8)*SIN(H65))/COS(J65)</f>
        <v>-1</v>
      </c>
      <c r="M65" s="14">
        <f t="shared" ref="M65:M72" ca="1" si="27">IF(L65&lt;0,-ASIN(K65)+PI(),ASIN(K65))</f>
        <v>3.1415926535897931</v>
      </c>
      <c r="N65" s="14">
        <f ca="1">IF(PRODUCT($O$65:$O$72)=0,$G$6,COS(J65)*SIN(M65))</f>
        <v>8.0612572896161778E-17</v>
      </c>
      <c r="O65" s="15">
        <f t="shared" ref="O65:O72" ca="1" si="28">IF(J65&lt;0,0,1)</f>
        <v>1</v>
      </c>
      <c r="P65" s="13"/>
      <c r="Q65" s="13"/>
      <c r="R65" s="13"/>
      <c r="S65" s="13">
        <f ca="1">IF(PRODUCT($O$65:$O$72)=0,$G$6,+COS(J65)*COS(PI()+M65))</f>
        <v>0.65825161142206379</v>
      </c>
      <c r="T65" s="13"/>
      <c r="U65" s="13"/>
      <c r="V65" s="14">
        <f ca="1">IF(PRODUCT($W$65:$W$72)=0,$G$6,-COS(J65)*SIN(M65+$E$8))</f>
        <v>1000000</v>
      </c>
      <c r="W65" s="15">
        <f t="shared" ref="W65:W72" ca="1" si="29">IF(OR(J65&lt;0,COS(PI()+M65+$E$8)&lt;0),0,1)</f>
        <v>0</v>
      </c>
      <c r="X65" s="13"/>
      <c r="Y65" s="13"/>
      <c r="Z65" s="13"/>
      <c r="AA65" s="13">
        <f t="shared" ref="AA65:AA72" ca="1" si="30">IF(PRODUCT($W$65:$W$72)=0,$G$6,SIN(J65))</f>
        <v>1000000</v>
      </c>
      <c r="AB65" s="13"/>
      <c r="AC65" s="13"/>
    </row>
    <row r="66" spans="1:29" x14ac:dyDescent="0.35">
      <c r="A66" s="2" t="s">
        <v>140</v>
      </c>
      <c r="B66" s="12">
        <v>16</v>
      </c>
      <c r="C66" s="12">
        <v>30</v>
      </c>
      <c r="D66" s="12">
        <v>87</v>
      </c>
      <c r="E66" s="12">
        <v>0</v>
      </c>
      <c r="F66" s="12"/>
      <c r="G66" s="13">
        <f t="shared" si="22"/>
        <v>16.5</v>
      </c>
      <c r="H66" s="13">
        <f t="shared" si="23"/>
        <v>1.5184364492350666</v>
      </c>
      <c r="I66" s="13">
        <f t="shared" ref="I66:I72" ca="1" si="31">IF($L$10-G66&lt;0,24+$L$10-G66,$L$10-G66)</f>
        <v>7.5932814361111127</v>
      </c>
      <c r="J66" s="14">
        <f t="shared" ca="1" si="24"/>
        <v>0.82981945869610507</v>
      </c>
      <c r="K66" s="14">
        <f t="shared" ca="1" si="25"/>
        <v>7.088593598858281E-2</v>
      </c>
      <c r="L66" s="14">
        <f t="shared" ca="1" si="26"/>
        <v>-0.99748442798823811</v>
      </c>
      <c r="M66" s="14">
        <f t="shared" ca="1" si="27"/>
        <v>3.070647218167994</v>
      </c>
      <c r="N66" s="14">
        <f t="shared" ref="N66:N72" ca="1" si="32">IF(PRODUCT($O$65:$O$72)=0,$G$6,COS(J66)*SIN(M66))</f>
        <v>4.7848643076053667E-2</v>
      </c>
      <c r="O66" s="15">
        <f t="shared" ca="1" si="28"/>
        <v>1</v>
      </c>
      <c r="P66" s="13"/>
      <c r="Q66" s="13"/>
      <c r="R66" s="13"/>
      <c r="S66" s="13">
        <f t="shared" ref="S66:S72" ca="1" si="33">IF(PRODUCT($O$65:$O$72)=0,$G$6,+COS(J66)*COS(PI()+M66))</f>
        <v>0.67331094247550072</v>
      </c>
      <c r="T66" s="13"/>
      <c r="U66" s="13"/>
      <c r="V66" s="14">
        <f t="shared" ref="V66:V72" ca="1" si="34">IF(PRODUCT($W$65:$W$72)=0,$G$6,-COS(J66)*SIN(M66+$E$8))</f>
        <v>1000000</v>
      </c>
      <c r="W66" s="15">
        <f t="shared" ca="1" si="29"/>
        <v>0</v>
      </c>
      <c r="X66" s="13"/>
      <c r="Y66" s="13"/>
      <c r="Z66" s="13"/>
      <c r="AA66" s="13">
        <f t="shared" ca="1" si="30"/>
        <v>1000000</v>
      </c>
      <c r="AB66" s="13"/>
      <c r="AC66" s="13"/>
    </row>
    <row r="67" spans="1:29" x14ac:dyDescent="0.35">
      <c r="A67" s="2" t="s">
        <v>140</v>
      </c>
      <c r="B67" s="12">
        <v>16</v>
      </c>
      <c r="C67" s="12">
        <v>30</v>
      </c>
      <c r="D67" s="12">
        <v>83</v>
      </c>
      <c r="E67" s="12">
        <v>0</v>
      </c>
      <c r="F67" s="12"/>
      <c r="G67" s="13">
        <f t="shared" si="22"/>
        <v>16.5</v>
      </c>
      <c r="H67" s="13">
        <f t="shared" si="23"/>
        <v>1.4486232791552935</v>
      </c>
      <c r="I67" s="13">
        <f t="shared" ca="1" si="31"/>
        <v>7.5932814361111127</v>
      </c>
      <c r="J67" s="14">
        <f t="shared" ca="1" si="24"/>
        <v>0.79617651700675507</v>
      </c>
      <c r="K67" s="14">
        <f t="shared" ca="1" si="25"/>
        <v>0.15929814955202568</v>
      </c>
      <c r="L67" s="14">
        <f t="shared" ca="1" si="26"/>
        <v>-0.9872305199644611</v>
      </c>
      <c r="M67" s="14">
        <f t="shared" ca="1" si="27"/>
        <v>2.9816129701163714</v>
      </c>
      <c r="N67" s="14">
        <f t="shared" ca="1" si="32"/>
        <v>0.11142020005208368</v>
      </c>
      <c r="O67" s="15">
        <f t="shared" ca="1" si="28"/>
        <v>1</v>
      </c>
      <c r="P67" s="13"/>
      <c r="Q67" s="13"/>
      <c r="R67" s="13"/>
      <c r="S67" s="13">
        <f t="shared" ca="1" si="33"/>
        <v>0.6905128674833626</v>
      </c>
      <c r="T67" s="13"/>
      <c r="U67" s="13"/>
      <c r="V67" s="14">
        <f t="shared" ca="1" si="34"/>
        <v>1000000</v>
      </c>
      <c r="W67" s="15">
        <f t="shared" ca="1" si="29"/>
        <v>0</v>
      </c>
      <c r="X67" s="13"/>
      <c r="Y67" s="13"/>
      <c r="Z67" s="13"/>
      <c r="AA67" s="13">
        <f t="shared" ca="1" si="30"/>
        <v>1000000</v>
      </c>
      <c r="AB67" s="13"/>
      <c r="AC67" s="13"/>
    </row>
    <row r="68" spans="1:29" x14ac:dyDescent="0.35">
      <c r="A68" s="2" t="s">
        <v>140</v>
      </c>
      <c r="B68" s="12">
        <v>15</v>
      </c>
      <c r="C68" s="12">
        <v>30</v>
      </c>
      <c r="D68" s="12">
        <v>77</v>
      </c>
      <c r="E68" s="12">
        <v>0</v>
      </c>
      <c r="F68" s="12"/>
      <c r="G68" s="13">
        <f t="shared" si="22"/>
        <v>15.5</v>
      </c>
      <c r="H68" s="13">
        <f t="shared" si="23"/>
        <v>1.3439035240356338</v>
      </c>
      <c r="I68" s="13">
        <f t="shared" ca="1" si="31"/>
        <v>8.5932814361111127</v>
      </c>
      <c r="J68" s="14">
        <f t="shared" ca="1" si="24"/>
        <v>0.69517539735214229</v>
      </c>
      <c r="K68" s="14">
        <f t="shared" ca="1" si="25"/>
        <v>0.22797122713389828</v>
      </c>
      <c r="L68" s="14">
        <f t="shared" ca="1" si="26"/>
        <v>-0.9736678692444688</v>
      </c>
      <c r="M68" s="14">
        <f t="shared" ca="1" si="27"/>
        <v>2.9115991202775167</v>
      </c>
      <c r="N68" s="14">
        <f t="shared" ca="1" si="32"/>
        <v>0.17506853604532605</v>
      </c>
      <c r="O68" s="15">
        <f t="shared" ca="1" si="28"/>
        <v>1</v>
      </c>
      <c r="P68" s="13"/>
      <c r="Q68" s="13"/>
      <c r="R68" s="13"/>
      <c r="S68" s="13">
        <f t="shared" ca="1" si="33"/>
        <v>0.7477198355513639</v>
      </c>
      <c r="T68" s="13"/>
      <c r="U68" s="13"/>
      <c r="V68" s="14">
        <f t="shared" ca="1" si="34"/>
        <v>1000000</v>
      </c>
      <c r="W68" s="15">
        <f t="shared" ca="1" si="29"/>
        <v>0</v>
      </c>
      <c r="X68" s="13"/>
      <c r="Y68" s="13"/>
      <c r="Z68" s="13"/>
      <c r="AA68" s="13">
        <f t="shared" ca="1" si="30"/>
        <v>1000000</v>
      </c>
      <c r="AB68" s="13"/>
      <c r="AC68" s="13"/>
    </row>
    <row r="69" spans="1:29" x14ac:dyDescent="0.35">
      <c r="A69" s="2" t="s">
        <v>140</v>
      </c>
      <c r="B69" s="12">
        <v>14</v>
      </c>
      <c r="C69" s="12">
        <v>30</v>
      </c>
      <c r="D69" s="12">
        <v>75</v>
      </c>
      <c r="E69" s="12">
        <v>0</v>
      </c>
      <c r="F69" s="12"/>
      <c r="G69" s="13">
        <f t="shared" si="22"/>
        <v>14.5</v>
      </c>
      <c r="H69" s="13">
        <f t="shared" si="23"/>
        <v>1.3089969389957472</v>
      </c>
      <c r="I69" s="13">
        <f t="shared" ca="1" si="31"/>
        <v>9.5932814361111127</v>
      </c>
      <c r="J69" s="14">
        <f t="shared" ca="1" si="24"/>
        <v>0.63043070165966442</v>
      </c>
      <c r="K69" s="14">
        <f t="shared" ca="1" si="25"/>
        <v>0.18878812490738051</v>
      </c>
      <c r="L69" s="14">
        <f t="shared" ca="1" si="26"/>
        <v>-0.98201784296109174</v>
      </c>
      <c r="M69" s="14">
        <f t="shared" ca="1" si="27"/>
        <v>2.9516647200597981</v>
      </c>
      <c r="N69" s="14">
        <f t="shared" ca="1" si="32"/>
        <v>0.15249807985962249</v>
      </c>
      <c r="O69" s="15">
        <f t="shared" ca="1" si="28"/>
        <v>1</v>
      </c>
      <c r="P69" s="13"/>
      <c r="Q69" s="13"/>
      <c r="R69" s="13"/>
      <c r="S69" s="13">
        <f t="shared" ca="1" si="33"/>
        <v>0.79324817444383711</v>
      </c>
      <c r="T69" s="13"/>
      <c r="U69" s="13"/>
      <c r="V69" s="14">
        <f t="shared" ca="1" si="34"/>
        <v>1000000</v>
      </c>
      <c r="W69" s="15">
        <f t="shared" ca="1" si="29"/>
        <v>0</v>
      </c>
      <c r="X69" s="13"/>
      <c r="Y69" s="13"/>
      <c r="Z69" s="13"/>
      <c r="AA69" s="13">
        <f t="shared" ca="1" si="30"/>
        <v>1000000</v>
      </c>
      <c r="AB69" s="13"/>
      <c r="AC69" s="13"/>
    </row>
    <row r="70" spans="1:29" x14ac:dyDescent="0.35">
      <c r="A70" s="2" t="s">
        <v>140</v>
      </c>
      <c r="B70" s="12">
        <v>15</v>
      </c>
      <c r="C70" s="12">
        <v>30</v>
      </c>
      <c r="D70" s="12">
        <v>72</v>
      </c>
      <c r="E70" s="12">
        <v>0</v>
      </c>
      <c r="F70" s="12"/>
      <c r="G70" s="13">
        <f t="shared" si="22"/>
        <v>15.5</v>
      </c>
      <c r="H70" s="13">
        <f t="shared" si="23"/>
        <v>1.2566370614359172</v>
      </c>
      <c r="I70" s="13">
        <f t="shared" ca="1" si="31"/>
        <v>8.5932814361111127</v>
      </c>
      <c r="J70" s="14">
        <f t="shared" ca="1" si="24"/>
        <v>0.62885729167677062</v>
      </c>
      <c r="K70" s="14">
        <f t="shared" ca="1" si="25"/>
        <v>0.2973821383635385</v>
      </c>
      <c r="L70" s="14">
        <f t="shared" ca="1" si="26"/>
        <v>-0.95475853689942414</v>
      </c>
      <c r="M70" s="14">
        <f t="shared" ca="1" si="27"/>
        <v>2.8396430844981078</v>
      </c>
      <c r="N70" s="14">
        <f t="shared" ca="1" si="32"/>
        <v>0.24049299513685196</v>
      </c>
      <c r="O70" s="15">
        <f t="shared" ca="1" si="28"/>
        <v>1</v>
      </c>
      <c r="P70" s="13"/>
      <c r="Q70" s="13"/>
      <c r="R70" s="13"/>
      <c r="S70" s="13">
        <f t="shared" ca="1" si="33"/>
        <v>0.77211342091678659</v>
      </c>
      <c r="T70" s="13"/>
      <c r="U70" s="13"/>
      <c r="V70" s="14">
        <f t="shared" ca="1" si="34"/>
        <v>1000000</v>
      </c>
      <c r="W70" s="15">
        <f t="shared" ca="1" si="29"/>
        <v>0</v>
      </c>
      <c r="X70" s="13"/>
      <c r="Y70" s="13"/>
      <c r="Z70" s="13"/>
      <c r="AA70" s="13">
        <f t="shared" ca="1" si="30"/>
        <v>1000000</v>
      </c>
      <c r="AB70" s="13"/>
      <c r="AC70" s="13"/>
    </row>
    <row r="71" spans="1:29" x14ac:dyDescent="0.35">
      <c r="A71" s="2" t="s">
        <v>140</v>
      </c>
      <c r="B71" s="12">
        <v>16</v>
      </c>
      <c r="C71" s="12">
        <v>15</v>
      </c>
      <c r="D71" s="12">
        <v>76</v>
      </c>
      <c r="E71" s="12">
        <v>0</v>
      </c>
      <c r="F71" s="12"/>
      <c r="G71" s="13">
        <f t="shared" si="22"/>
        <v>16.25</v>
      </c>
      <c r="H71" s="13">
        <f t="shared" si="23"/>
        <v>1.3264502315156903</v>
      </c>
      <c r="I71" s="13">
        <f t="shared" ca="1" si="31"/>
        <v>7.8432814361111127</v>
      </c>
      <c r="J71" s="14">
        <f t="shared" ca="1" si="24"/>
        <v>0.71621936898440342</v>
      </c>
      <c r="K71" s="14">
        <f t="shared" ca="1" si="25"/>
        <v>0.28410129172319654</v>
      </c>
      <c r="L71" s="14">
        <f t="shared" ca="1" si="26"/>
        <v>-0.95879427201105605</v>
      </c>
      <c r="M71" s="14">
        <f t="shared" ca="1" si="27"/>
        <v>2.8535236874702288</v>
      </c>
      <c r="N71" s="14">
        <f t="shared" ca="1" si="32"/>
        <v>0.2142956839660965</v>
      </c>
      <c r="O71" s="15">
        <f t="shared" ca="1" si="28"/>
        <v>1</v>
      </c>
      <c r="P71" s="13"/>
      <c r="Q71" s="13"/>
      <c r="R71" s="13"/>
      <c r="S71" s="13">
        <f t="shared" ca="1" si="33"/>
        <v>0.72321203841470838</v>
      </c>
      <c r="T71" s="13"/>
      <c r="U71" s="13"/>
      <c r="V71" s="14">
        <f t="shared" ca="1" si="34"/>
        <v>1000000</v>
      </c>
      <c r="W71" s="15">
        <f t="shared" ca="1" si="29"/>
        <v>0</v>
      </c>
      <c r="X71" s="13"/>
      <c r="Y71" s="13"/>
      <c r="Z71" s="13"/>
      <c r="AA71" s="13">
        <f t="shared" ca="1" si="30"/>
        <v>1000000</v>
      </c>
      <c r="AB71" s="13"/>
      <c r="AC71" s="13"/>
    </row>
    <row r="72" spans="1:29" x14ac:dyDescent="0.35">
      <c r="A72" s="2" t="s">
        <v>140</v>
      </c>
      <c r="B72" s="12">
        <v>15</v>
      </c>
      <c r="C72" s="12">
        <v>30</v>
      </c>
      <c r="D72" s="12">
        <v>77</v>
      </c>
      <c r="E72" s="12">
        <v>0</v>
      </c>
      <c r="F72" s="12"/>
      <c r="G72" s="13">
        <f t="shared" si="22"/>
        <v>15.5</v>
      </c>
      <c r="H72" s="13">
        <f t="shared" si="23"/>
        <v>1.3439035240356338</v>
      </c>
      <c r="I72" s="13">
        <f t="shared" ca="1" si="31"/>
        <v>8.5932814361111127</v>
      </c>
      <c r="J72" s="14">
        <f t="shared" ca="1" si="24"/>
        <v>0.69517539735214229</v>
      </c>
      <c r="K72" s="14">
        <f t="shared" ca="1" si="25"/>
        <v>0.22797122713389828</v>
      </c>
      <c r="L72" s="14">
        <f t="shared" ca="1" si="26"/>
        <v>-0.9736678692444688</v>
      </c>
      <c r="M72" s="14">
        <f t="shared" ca="1" si="27"/>
        <v>2.9115991202775167</v>
      </c>
      <c r="N72" s="14">
        <f t="shared" ca="1" si="32"/>
        <v>0.17506853604532605</v>
      </c>
      <c r="O72" s="15">
        <f t="shared" ca="1" si="28"/>
        <v>1</v>
      </c>
      <c r="P72" s="13"/>
      <c r="Q72" s="13"/>
      <c r="R72" s="13"/>
      <c r="S72" s="13">
        <f t="shared" ca="1" si="33"/>
        <v>0.7477198355513639</v>
      </c>
      <c r="T72" s="13"/>
      <c r="U72" s="13"/>
      <c r="V72" s="14">
        <f t="shared" ca="1" si="34"/>
        <v>1000000</v>
      </c>
      <c r="W72" s="15">
        <f t="shared" ca="1" si="29"/>
        <v>0</v>
      </c>
      <c r="X72" s="13"/>
      <c r="Y72" s="13"/>
      <c r="Z72" s="13"/>
      <c r="AA72" s="13">
        <f t="shared" ca="1" si="30"/>
        <v>1000000</v>
      </c>
      <c r="AB72" s="13"/>
      <c r="AC72" s="13"/>
    </row>
    <row r="74" spans="1:29" x14ac:dyDescent="0.35">
      <c r="A74" s="2" t="s">
        <v>141</v>
      </c>
      <c r="B74" s="12">
        <v>13</v>
      </c>
      <c r="C74" s="12">
        <v>45</v>
      </c>
      <c r="D74" s="12">
        <v>49</v>
      </c>
      <c r="E74" s="12">
        <v>6</v>
      </c>
      <c r="F74" s="12"/>
      <c r="G74" s="13">
        <f t="shared" ref="G74:G81" si="35">+B74+C74/60</f>
        <v>13.75</v>
      </c>
      <c r="H74" s="13">
        <f t="shared" ref="H74:H81" si="36">(D74+E74/60)*PI()/180</f>
        <v>0.85695666272921578</v>
      </c>
      <c r="I74" s="13">
        <f t="shared" ref="I74:I81" ca="1" si="37">IF($L$10-G74&lt;0,24+$L$10-G74,$L$10-G74)</f>
        <v>10.343281436111113</v>
      </c>
      <c r="J74" s="14">
        <f t="shared" ref="J74:J81" ca="1" si="38">ASIN(COS(H74)*COS(I74*PI()/12)*COS($D$8)+SIN($D$8)*SIN(H74))</f>
        <v>0.17888003888697282</v>
      </c>
      <c r="K74" s="14">
        <f t="shared" ref="K74:K81" ca="1" si="39">(COS(H74)*SIN(I74*PI()/12))/COS(J74)</f>
        <v>0.27962078744996782</v>
      </c>
      <c r="L74" s="14">
        <f t="shared" ref="L74:L81" ca="1" si="40">(COS(H74)*COS(I74*PI()/12)*SIN($D$8)-COS($D$8)*SIN(H74))/COS(J74)</f>
        <v>-0.96011052240138473</v>
      </c>
      <c r="M74" s="14">
        <f t="shared" ref="M74:M81" ca="1" si="41">IF(L74&lt;0,-ASIN(K74)+PI(),ASIN(K74))</f>
        <v>2.8581935347121545</v>
      </c>
      <c r="N74" s="14">
        <f t="shared" ref="N74:N81" ca="1" si="42">IF(PRODUCT($O$74:$O$81)=0,$G$6,COS(J74)*SIN(M74))</f>
        <v>0.27515904125112034</v>
      </c>
      <c r="O74" s="15">
        <f t="shared" ref="O74:O81" ca="1" si="43">IF(J74&lt;0,0,1)</f>
        <v>1</v>
      </c>
      <c r="P74" s="13"/>
      <c r="Q74" s="13"/>
      <c r="R74" s="13"/>
      <c r="S74" s="13">
        <f t="shared" ref="S74:S81" ca="1" si="44">IF(PRODUCT($O$74:$O$81)=0,$G$6,+COS(J74)*COS(PI()+M74))</f>
        <v>0.94479059746710325</v>
      </c>
      <c r="T74" s="13"/>
      <c r="U74" s="13"/>
      <c r="V74" s="14">
        <f t="shared" ref="V74:V81" ca="1" si="45">IF(PRODUCT($W$74:$W$81)=0,$G$6,-COS(J74)*SIN(M74+$E$8))</f>
        <v>1000000</v>
      </c>
      <c r="W74" s="15">
        <f t="shared" ref="W74:W81" ca="1" si="46">IF(OR(J74&lt;0,COS(PI()+M74+$E$8)&lt;0),0,1)</f>
        <v>0</v>
      </c>
      <c r="X74" s="13"/>
      <c r="Y74" s="13"/>
      <c r="Z74" s="13"/>
      <c r="AA74" s="13">
        <f t="shared" ref="AA74:AA81" ca="1" si="47">IF(PRODUCT($W$74:$W$81)=0,$G$6,SIN(J74))</f>
        <v>1000000</v>
      </c>
      <c r="AB74" s="13"/>
      <c r="AC74" s="13"/>
    </row>
    <row r="75" spans="1:29" x14ac:dyDescent="0.35">
      <c r="A75" s="2" t="s">
        <v>141</v>
      </c>
      <c r="B75" s="12">
        <v>13</v>
      </c>
      <c r="C75" s="12">
        <v>15</v>
      </c>
      <c r="D75" s="12">
        <v>55</v>
      </c>
      <c r="E75" s="12">
        <v>0</v>
      </c>
      <c r="F75" s="12"/>
      <c r="G75" s="13">
        <f t="shared" si="35"/>
        <v>13.25</v>
      </c>
      <c r="H75" s="13">
        <f t="shared" si="36"/>
        <v>0.95993108859688125</v>
      </c>
      <c r="I75" s="13">
        <f t="shared" ca="1" si="37"/>
        <v>10.843281436111113</v>
      </c>
      <c r="J75" s="14">
        <f t="shared" ca="1" si="38"/>
        <v>0.25917009462114099</v>
      </c>
      <c r="K75" s="14">
        <f t="shared" ca="1" si="39"/>
        <v>0.17696250699539443</v>
      </c>
      <c r="L75" s="14">
        <f t="shared" ca="1" si="40"/>
        <v>-0.98421759337958648</v>
      </c>
      <c r="M75" s="14">
        <f t="shared" ca="1" si="41"/>
        <v>2.9636932646681866</v>
      </c>
      <c r="N75" s="14">
        <f t="shared" ca="1" si="42"/>
        <v>0.17105248976804263</v>
      </c>
      <c r="O75" s="15">
        <f t="shared" ca="1" si="43"/>
        <v>1</v>
      </c>
      <c r="P75" s="13"/>
      <c r="Q75" s="13"/>
      <c r="R75" s="13"/>
      <c r="S75" s="13">
        <f t="shared" ca="1" si="44"/>
        <v>0.9513476762932086</v>
      </c>
      <c r="T75" s="13"/>
      <c r="U75" s="13"/>
      <c r="V75" s="14">
        <f t="shared" ca="1" si="45"/>
        <v>1000000</v>
      </c>
      <c r="W75" s="15">
        <f t="shared" ca="1" si="46"/>
        <v>0</v>
      </c>
      <c r="X75" s="13"/>
      <c r="Y75" s="13"/>
      <c r="Z75" s="13"/>
      <c r="AA75" s="13">
        <f t="shared" ca="1" si="47"/>
        <v>1000000</v>
      </c>
      <c r="AB75" s="13"/>
      <c r="AC75" s="13"/>
    </row>
    <row r="76" spans="1:29" x14ac:dyDescent="0.35">
      <c r="A76" s="2" t="s">
        <v>141</v>
      </c>
      <c r="B76" s="12">
        <v>12</v>
      </c>
      <c r="C76" s="12">
        <v>52</v>
      </c>
      <c r="D76" s="12">
        <v>56</v>
      </c>
      <c r="E76" s="12">
        <v>3</v>
      </c>
      <c r="F76" s="12"/>
      <c r="G76" s="13">
        <f t="shared" si="35"/>
        <v>12.866666666666667</v>
      </c>
      <c r="H76" s="13">
        <f t="shared" si="36"/>
        <v>0.97825704574282168</v>
      </c>
      <c r="I76" s="13">
        <f t="shared" ca="1" si="37"/>
        <v>11.226614769444446</v>
      </c>
      <c r="J76" s="14">
        <f t="shared" ca="1" si="38"/>
        <v>0.26754138192768806</v>
      </c>
      <c r="K76" s="14">
        <f t="shared" ca="1" si="39"/>
        <v>0.11644597051744535</v>
      </c>
      <c r="L76" s="14">
        <f t="shared" ca="1" si="40"/>
        <v>-0.99319702775947238</v>
      </c>
      <c r="M76" s="14">
        <f t="shared" ca="1" si="41"/>
        <v>3.0248819028467189</v>
      </c>
      <c r="N76" s="14">
        <f t="shared" ca="1" si="42"/>
        <v>0.11230326229936233</v>
      </c>
      <c r="O76" s="15">
        <f t="shared" ca="1" si="43"/>
        <v>1</v>
      </c>
      <c r="P76" s="13"/>
      <c r="Q76" s="13"/>
      <c r="R76" s="13"/>
      <c r="S76" s="13">
        <f t="shared" ca="1" si="44"/>
        <v>0.95786282537538603</v>
      </c>
      <c r="T76" s="13"/>
      <c r="U76" s="13"/>
      <c r="V76" s="14">
        <f t="shared" ca="1" si="45"/>
        <v>1000000</v>
      </c>
      <c r="W76" s="15">
        <f t="shared" ca="1" si="46"/>
        <v>0</v>
      </c>
      <c r="X76" s="13"/>
      <c r="Y76" s="13"/>
      <c r="Z76" s="13"/>
      <c r="AA76" s="13">
        <f t="shared" ca="1" si="47"/>
        <v>1000000</v>
      </c>
      <c r="AB76" s="13"/>
      <c r="AC76" s="13"/>
    </row>
    <row r="77" spans="1:29" x14ac:dyDescent="0.35">
      <c r="A77" s="2" t="s">
        <v>141</v>
      </c>
      <c r="B77" s="12">
        <v>12</v>
      </c>
      <c r="C77" s="12">
        <v>10</v>
      </c>
      <c r="D77" s="12">
        <v>57</v>
      </c>
      <c r="E77" s="12">
        <v>0</v>
      </c>
      <c r="F77" s="12"/>
      <c r="G77" s="13">
        <f t="shared" si="35"/>
        <v>12.166666666666666</v>
      </c>
      <c r="H77" s="13">
        <f t="shared" si="36"/>
        <v>0.99483767363676778</v>
      </c>
      <c r="I77" s="13">
        <f t="shared" ca="1" si="37"/>
        <v>11.926614769444447</v>
      </c>
      <c r="J77" s="14">
        <f t="shared" ca="1" si="38"/>
        <v>0.27641257064468283</v>
      </c>
      <c r="K77" s="14">
        <f t="shared" ca="1" si="39"/>
        <v>1.087591763815971E-2</v>
      </c>
      <c r="L77" s="14">
        <f t="shared" ca="1" si="40"/>
        <v>-0.99994085545872546</v>
      </c>
      <c r="M77" s="14">
        <f t="shared" ca="1" si="41"/>
        <v>3.1307165215295076</v>
      </c>
      <c r="N77" s="14">
        <f t="shared" ca="1" si="42"/>
        <v>1.046307496459927E-2</v>
      </c>
      <c r="O77" s="15">
        <f t="shared" ca="1" si="43"/>
        <v>1</v>
      </c>
      <c r="P77" s="13"/>
      <c r="Q77" s="13"/>
      <c r="R77" s="13"/>
      <c r="S77" s="13">
        <f t="shared" ca="1" si="44"/>
        <v>0.96198375888037557</v>
      </c>
      <c r="T77" s="13"/>
      <c r="U77" s="13"/>
      <c r="V77" s="14">
        <f t="shared" ca="1" si="45"/>
        <v>1000000</v>
      </c>
      <c r="W77" s="15">
        <f t="shared" ca="1" si="46"/>
        <v>0</v>
      </c>
      <c r="X77" s="13"/>
      <c r="Y77" s="13"/>
      <c r="Z77" s="13"/>
      <c r="AA77" s="13">
        <f t="shared" ca="1" si="47"/>
        <v>1000000</v>
      </c>
      <c r="AB77" s="13"/>
      <c r="AC77" s="13"/>
    </row>
    <row r="78" spans="1:29" x14ac:dyDescent="0.35">
      <c r="A78" s="2" t="s">
        <v>141</v>
      </c>
      <c r="B78" s="12">
        <v>11</v>
      </c>
      <c r="C78" s="12">
        <v>0</v>
      </c>
      <c r="D78" s="12">
        <v>62</v>
      </c>
      <c r="E78" s="12">
        <v>1</v>
      </c>
      <c r="F78" s="12"/>
      <c r="G78" s="13">
        <f t="shared" si="35"/>
        <v>11</v>
      </c>
      <c r="H78" s="13">
        <f t="shared" si="36"/>
        <v>1.0823950244451501</v>
      </c>
      <c r="I78" s="13">
        <f t="shared" ca="1" si="37"/>
        <v>13.093281436111113</v>
      </c>
      <c r="J78" s="14">
        <f t="shared" ca="1" si="38"/>
        <v>0.3773818006658563</v>
      </c>
      <c r="K78" s="14">
        <f t="shared" ca="1" si="39"/>
        <v>-0.14250000274456434</v>
      </c>
      <c r="L78" s="14">
        <f t="shared" ca="1" si="40"/>
        <v>-0.98979480157141608</v>
      </c>
      <c r="M78" s="14">
        <f t="shared" ca="1" si="41"/>
        <v>3.2845793907384349</v>
      </c>
      <c r="N78" s="14">
        <f t="shared" ca="1" si="42"/>
        <v>-0.1324726473691144</v>
      </c>
      <c r="O78" s="15">
        <f t="shared" ca="1" si="43"/>
        <v>1</v>
      </c>
      <c r="P78" s="13"/>
      <c r="Q78" s="13"/>
      <c r="R78" s="13"/>
      <c r="S78" s="13">
        <f t="shared" ca="1" si="44"/>
        <v>0.92014551011195911</v>
      </c>
      <c r="T78" s="13"/>
      <c r="U78" s="13"/>
      <c r="V78" s="14">
        <f t="shared" ca="1" si="45"/>
        <v>1000000</v>
      </c>
      <c r="W78" s="15">
        <f t="shared" ca="1" si="46"/>
        <v>0</v>
      </c>
      <c r="X78" s="13"/>
      <c r="Y78" s="13"/>
      <c r="Z78" s="13"/>
      <c r="AA78" s="13">
        <f t="shared" ca="1" si="47"/>
        <v>1000000</v>
      </c>
      <c r="AB78" s="13"/>
      <c r="AC78" s="13"/>
    </row>
    <row r="79" spans="1:29" x14ac:dyDescent="0.35">
      <c r="A79" s="2" t="s">
        <v>141</v>
      </c>
      <c r="B79" s="12">
        <v>11</v>
      </c>
      <c r="C79" s="12">
        <v>0</v>
      </c>
      <c r="D79" s="12">
        <v>56</v>
      </c>
      <c r="E79" s="12">
        <v>0</v>
      </c>
      <c r="F79" s="12"/>
      <c r="G79" s="13">
        <f t="shared" si="35"/>
        <v>11</v>
      </c>
      <c r="H79" s="13">
        <f t="shared" si="36"/>
        <v>0.97738438111682457</v>
      </c>
      <c r="I79" s="13">
        <f t="shared" ca="1" si="37"/>
        <v>13.093281436111113</v>
      </c>
      <c r="J79" s="14">
        <f t="shared" ca="1" si="38"/>
        <v>0.27441397151955893</v>
      </c>
      <c r="K79" s="14">
        <f t="shared" ca="1" si="39"/>
        <v>-0.16401272328863817</v>
      </c>
      <c r="L79" s="14">
        <f t="shared" ca="1" si="40"/>
        <v>-0.98645822344357015</v>
      </c>
      <c r="M79" s="14">
        <f t="shared" ca="1" si="41"/>
        <v>3.3063497517243237</v>
      </c>
      <c r="N79" s="14">
        <f t="shared" ca="1" si="42"/>
        <v>-0.15787605055783949</v>
      </c>
      <c r="O79" s="15">
        <f t="shared" ca="1" si="43"/>
        <v>1</v>
      </c>
      <c r="P79" s="13"/>
      <c r="Q79" s="13"/>
      <c r="R79" s="13"/>
      <c r="S79" s="13">
        <f t="shared" ca="1" si="44"/>
        <v>0.94954906689463014</v>
      </c>
      <c r="T79" s="13"/>
      <c r="U79" s="13"/>
      <c r="V79" s="14">
        <f t="shared" ca="1" si="45"/>
        <v>1000000</v>
      </c>
      <c r="W79" s="15">
        <f t="shared" ca="1" si="46"/>
        <v>0</v>
      </c>
      <c r="X79" s="13"/>
      <c r="Y79" s="13"/>
      <c r="Z79" s="13"/>
      <c r="AA79" s="13">
        <f t="shared" ca="1" si="47"/>
        <v>1000000</v>
      </c>
      <c r="AB79" s="13"/>
      <c r="AC79" s="13"/>
    </row>
    <row r="80" spans="1:29" x14ac:dyDescent="0.35">
      <c r="A80" s="2" t="s">
        <v>141</v>
      </c>
      <c r="B80" s="12">
        <v>11</v>
      </c>
      <c r="C80" s="12">
        <v>50</v>
      </c>
      <c r="D80" s="12">
        <v>54</v>
      </c>
      <c r="E80" s="12">
        <v>0</v>
      </c>
      <c r="F80" s="12"/>
      <c r="G80" s="13">
        <f t="shared" si="35"/>
        <v>11.833333333333334</v>
      </c>
      <c r="H80" s="13">
        <f t="shared" si="36"/>
        <v>0.94247779607693793</v>
      </c>
      <c r="I80" s="13">
        <f t="shared" ca="1" si="37"/>
        <v>12.259948102777779</v>
      </c>
      <c r="J80" s="14">
        <f t="shared" ca="1" si="38"/>
        <v>0.22490258194183191</v>
      </c>
      <c r="K80" s="14">
        <f t="shared" ca="1" si="39"/>
        <v>-4.1003044591377248E-2</v>
      </c>
      <c r="L80" s="14">
        <f t="shared" ca="1" si="40"/>
        <v>-0.99915902154473746</v>
      </c>
      <c r="M80" s="14">
        <f t="shared" ca="1" si="41"/>
        <v>3.1826071962748235</v>
      </c>
      <c r="N80" s="14">
        <f t="shared" ca="1" si="42"/>
        <v>-3.9970417234201243E-2</v>
      </c>
      <c r="O80" s="15">
        <f t="shared" ca="1" si="43"/>
        <v>1</v>
      </c>
      <c r="P80" s="13"/>
      <c r="Q80" s="13"/>
      <c r="R80" s="13"/>
      <c r="S80" s="13">
        <f t="shared" ca="1" si="44"/>
        <v>0.97399603791514677</v>
      </c>
      <c r="T80" s="13"/>
      <c r="U80" s="13"/>
      <c r="V80" s="14">
        <f t="shared" ca="1" si="45"/>
        <v>1000000</v>
      </c>
      <c r="W80" s="15">
        <f t="shared" ca="1" si="46"/>
        <v>0</v>
      </c>
      <c r="X80" s="13"/>
      <c r="Y80" s="13"/>
      <c r="Z80" s="13"/>
      <c r="AA80" s="13">
        <f t="shared" ca="1" si="47"/>
        <v>1000000</v>
      </c>
      <c r="AB80" s="13"/>
      <c r="AC80" s="13"/>
    </row>
    <row r="81" spans="1:29" x14ac:dyDescent="0.35">
      <c r="A81" s="2" t="s">
        <v>141</v>
      </c>
      <c r="B81" s="12">
        <v>12</v>
      </c>
      <c r="C81" s="12">
        <v>10</v>
      </c>
      <c r="D81" s="12">
        <v>57</v>
      </c>
      <c r="E81" s="12">
        <v>0</v>
      </c>
      <c r="F81" s="12"/>
      <c r="G81" s="13">
        <f t="shared" si="35"/>
        <v>12.166666666666666</v>
      </c>
      <c r="H81" s="13">
        <f t="shared" si="36"/>
        <v>0.99483767363676778</v>
      </c>
      <c r="I81" s="13">
        <f t="shared" ca="1" si="37"/>
        <v>11.926614769444447</v>
      </c>
      <c r="J81" s="14">
        <f t="shared" ca="1" si="38"/>
        <v>0.27641257064468283</v>
      </c>
      <c r="K81" s="14">
        <f t="shared" ca="1" si="39"/>
        <v>1.087591763815971E-2</v>
      </c>
      <c r="L81" s="14">
        <f t="shared" ca="1" si="40"/>
        <v>-0.99994085545872546</v>
      </c>
      <c r="M81" s="14">
        <f t="shared" ca="1" si="41"/>
        <v>3.1307165215295076</v>
      </c>
      <c r="N81" s="14">
        <f t="shared" ca="1" si="42"/>
        <v>1.046307496459927E-2</v>
      </c>
      <c r="O81" s="15">
        <f t="shared" ca="1" si="43"/>
        <v>1</v>
      </c>
      <c r="P81" s="13"/>
      <c r="Q81" s="13"/>
      <c r="R81" s="13"/>
      <c r="S81" s="13">
        <f t="shared" ca="1" si="44"/>
        <v>0.96198375888037557</v>
      </c>
      <c r="T81" s="13"/>
      <c r="U81" s="13"/>
      <c r="V81" s="14">
        <f t="shared" ca="1" si="45"/>
        <v>1000000</v>
      </c>
      <c r="W81" s="15">
        <f t="shared" ca="1" si="46"/>
        <v>0</v>
      </c>
      <c r="X81" s="13"/>
      <c r="Y81" s="13"/>
      <c r="Z81" s="13"/>
      <c r="AA81" s="13">
        <f t="shared" ca="1" si="47"/>
        <v>1000000</v>
      </c>
      <c r="AB81" s="13"/>
      <c r="AC81" s="13"/>
    </row>
    <row r="83" spans="1:29" x14ac:dyDescent="0.35">
      <c r="A83" s="2" t="s">
        <v>142</v>
      </c>
      <c r="B83" s="12">
        <v>1</v>
      </c>
      <c r="C83" s="12">
        <v>50</v>
      </c>
      <c r="D83" s="12">
        <v>63</v>
      </c>
      <c r="E83" s="12">
        <v>0</v>
      </c>
      <c r="F83" s="12"/>
      <c r="G83" s="13">
        <f>+B83+C83/60</f>
        <v>1.8333333333333335</v>
      </c>
      <c r="H83" s="13">
        <f>(D83+E83/60)*PI()/180</f>
        <v>1.0995574287564276</v>
      </c>
      <c r="I83" s="13">
        <f t="shared" ref="I83:I87" ca="1" si="48">IF($L$10-G83&lt;0,24+$L$10-G83,$L$10-G83)</f>
        <v>22.259948102777781</v>
      </c>
      <c r="J83" s="14">
        <f ca="1">ASIN(COS(H83)*COS(I83*PI()/12)*COS($D$8)+SIN($D$8)*SIN(H83))</f>
        <v>1.2200387636504657</v>
      </c>
      <c r="K83" s="14">
        <f ca="1">(COS(H83)*SIN(I83*PI()/12))/COS(J83)</f>
        <v>-0.58128146622028265</v>
      </c>
      <c r="L83" s="14">
        <f ca="1">(COS(H83)*COS(I83*PI()/12)*SIN($D$8)-COS($D$8)*SIN(H83))/COS(J83)</f>
        <v>-0.81370256053965895</v>
      </c>
      <c r="M83" s="14">
        <f ca="1">IF(L83&lt;0,-ASIN(K83)+PI(),ASIN(K83))</f>
        <v>3.7618953183155353</v>
      </c>
      <c r="N83" s="14">
        <f ca="1">IF(PRODUCT($O$83:$O$87)=0,$G$6,COS(J83)*SIN(M83))</f>
        <v>-0.19973374278663464</v>
      </c>
      <c r="O83" s="15">
        <f ca="1">IF(J83&lt;0,0,1)</f>
        <v>1</v>
      </c>
      <c r="P83" s="13"/>
      <c r="Q83" s="13"/>
      <c r="R83" s="13"/>
      <c r="S83" s="13">
        <f ca="1">IF(PRODUCT($O$83:$O$87)=0,$G$6,+COS(J83)*COS(PI()+M83))</f>
        <v>0.27959580233728698</v>
      </c>
      <c r="T83" s="13"/>
      <c r="U83" s="13"/>
      <c r="V83" s="14">
        <f ca="1">IF(PRODUCT($W$83:$W$87)=0,$G$6,-COS(J83)*SIN(M83+$E$8))</f>
        <v>1000000</v>
      </c>
      <c r="W83" s="15">
        <f ca="1">IF(OR(J83&lt;0,COS(PI()+M83+$E$8)&lt;0),0,1)</f>
        <v>0</v>
      </c>
      <c r="X83" s="13"/>
      <c r="Y83" s="13"/>
      <c r="Z83" s="13"/>
      <c r="AA83" s="13">
        <f ca="1">IF(PRODUCT($W$83:$W$87)=0,$G$6,SIN(J83))</f>
        <v>1000000</v>
      </c>
      <c r="AB83" s="13"/>
      <c r="AC83" s="13"/>
    </row>
    <row r="84" spans="1:29" x14ac:dyDescent="0.35">
      <c r="A84" s="2" t="s">
        <v>142</v>
      </c>
      <c r="B84" s="12">
        <v>1</v>
      </c>
      <c r="C84" s="12">
        <v>25</v>
      </c>
      <c r="D84" s="12">
        <v>60</v>
      </c>
      <c r="E84" s="12">
        <v>0</v>
      </c>
      <c r="F84" s="12"/>
      <c r="G84" s="13">
        <f>+B84+C84/60</f>
        <v>1.4166666666666667</v>
      </c>
      <c r="H84" s="13">
        <f>(D84+E84/60)*PI()/180</f>
        <v>1.0471975511965976</v>
      </c>
      <c r="I84" s="13">
        <f t="shared" ca="1" si="48"/>
        <v>22.676614769444445</v>
      </c>
      <c r="J84" s="14">
        <f ca="1">ASIN(COS(H84)*COS(I84*PI()/12)*COS($D$8)+SIN($D$8)*SIN(H84))</f>
        <v>1.2924509911657158</v>
      </c>
      <c r="K84" s="14">
        <f ca="1">(COS(H84)*SIN(I84*PI()/12))/COS(J84)</f>
        <v>-0.61793093386564235</v>
      </c>
      <c r="L84" s="14">
        <f ca="1">(COS(H84)*COS(I84*PI()/12)*SIN($D$8)-COS($D$8)*SIN(H84))/COS(J84)</f>
        <v>-0.78623238356858427</v>
      </c>
      <c r="M84" s="14">
        <f ca="1">IF(L84&lt;0,-ASIN(K84)+PI(),ASIN(K84))</f>
        <v>3.8077010049981106</v>
      </c>
      <c r="N84" s="14">
        <f ca="1">IF(PRODUCT($O$83:$O$87)=0,$G$6,COS(J84)*SIN(M84))</f>
        <v>-0.16978582194958058</v>
      </c>
      <c r="O84" s="15">
        <f ca="1">IF(J84&lt;0,0,1)</f>
        <v>1</v>
      </c>
      <c r="P84" s="13"/>
      <c r="Q84" s="13"/>
      <c r="R84" s="13"/>
      <c r="S84" s="13">
        <f ca="1">IF(PRODUCT($O$83:$O$87)=0,$G$6,+COS(J84)*COS(PI()+M84))</f>
        <v>0.21602917765012711</v>
      </c>
      <c r="T84" s="13"/>
      <c r="U84" s="13"/>
      <c r="V84" s="14">
        <f ca="1">IF(PRODUCT($W$83:$W$87)=0,$G$6,-COS(J84)*SIN(M84+$E$8))</f>
        <v>1000000</v>
      </c>
      <c r="W84" s="15">
        <f ca="1">IF(OR(J84&lt;0,COS(PI()+M84+$E$8)&lt;0),0,1)</f>
        <v>0</v>
      </c>
      <c r="X84" s="13"/>
      <c r="Y84" s="13"/>
      <c r="Z84" s="13"/>
      <c r="AA84" s="13">
        <f ca="1">IF(PRODUCT($W$83:$W$87)=0,$G$6,SIN(J84))</f>
        <v>1000000</v>
      </c>
      <c r="AB84" s="13"/>
      <c r="AC84" s="13"/>
    </row>
    <row r="85" spans="1:29" x14ac:dyDescent="0.35">
      <c r="A85" s="2" t="s">
        <v>142</v>
      </c>
      <c r="B85" s="12">
        <v>1</v>
      </c>
      <c r="C85" s="12">
        <v>0</v>
      </c>
      <c r="D85" s="12">
        <v>61</v>
      </c>
      <c r="E85" s="12">
        <v>0</v>
      </c>
      <c r="F85" s="12"/>
      <c r="G85" s="13">
        <f>+B85+C85/60</f>
        <v>1</v>
      </c>
      <c r="H85" s="13">
        <f>(D85+E85/60)*PI()/180</f>
        <v>1.064650843716541</v>
      </c>
      <c r="I85" s="13">
        <f t="shared" ca="1" si="48"/>
        <v>23.093281436111113</v>
      </c>
      <c r="J85" s="14">
        <f ca="1">ASIN(COS(H85)*COS(I85*PI()/12)*COS($D$8)+SIN($D$8)*SIN(H85))</f>
        <v>1.3194950455997416</v>
      </c>
      <c r="K85" s="14">
        <f ca="1">(COS(H85)*SIN(I85*PI()/12))/COS(J85)</f>
        <v>-0.45847125553745161</v>
      </c>
      <c r="L85" s="14">
        <f ca="1">(COS(H85)*COS(I85*PI()/12)*SIN($D$8)-COS($D$8)*SIN(H85))/COS(J85)</f>
        <v>-0.8887092369531836</v>
      </c>
      <c r="M85" s="14">
        <f ca="1">IF(L85&lt;0,-ASIN(K85)+PI(),ASIN(K85))</f>
        <v>3.6178669021357552</v>
      </c>
      <c r="N85" s="14">
        <f ca="1">IF(PRODUCT($O$83:$O$87)=0,$G$6,COS(J85)*SIN(M85))</f>
        <v>-0.11400556079931037</v>
      </c>
      <c r="O85" s="15">
        <f ca="1">IF(J85&lt;0,0,1)</f>
        <v>1</v>
      </c>
      <c r="P85" s="13"/>
      <c r="Q85" s="13"/>
      <c r="R85" s="13"/>
      <c r="S85" s="13">
        <f ca="1">IF(PRODUCT($O$83:$O$87)=0,$G$6,+COS(J85)*COS(PI()+M85))</f>
        <v>0.2209905064333933</v>
      </c>
      <c r="T85" s="13"/>
      <c r="U85" s="13"/>
      <c r="V85" s="14">
        <f ca="1">IF(PRODUCT($W$83:$W$87)=0,$G$6,-COS(J85)*SIN(M85+$E$8))</f>
        <v>1000000</v>
      </c>
      <c r="W85" s="15">
        <f ca="1">IF(OR(J85&lt;0,COS(PI()+M85+$E$8)&lt;0),0,1)</f>
        <v>0</v>
      </c>
      <c r="X85" s="13"/>
      <c r="Y85" s="13"/>
      <c r="Z85" s="13"/>
      <c r="AA85" s="13">
        <f ca="1">IF(PRODUCT($W$83:$W$87)=0,$G$6,SIN(J85))</f>
        <v>1000000</v>
      </c>
      <c r="AB85" s="13"/>
      <c r="AC85" s="13"/>
    </row>
    <row r="86" spans="1:29" x14ac:dyDescent="0.35">
      <c r="A86" s="2" t="s">
        <v>142</v>
      </c>
      <c r="B86" s="12">
        <v>0</v>
      </c>
      <c r="C86" s="12">
        <v>45</v>
      </c>
      <c r="D86" s="12">
        <v>56</v>
      </c>
      <c r="E86" s="12">
        <v>0</v>
      </c>
      <c r="F86" s="12"/>
      <c r="G86" s="13">
        <f>+B86+C86/60</f>
        <v>0.75</v>
      </c>
      <c r="H86" s="13">
        <f>(D86+E86/60)*PI()/180</f>
        <v>0.97738438111682457</v>
      </c>
      <c r="I86" s="13">
        <f t="shared" ca="1" si="48"/>
        <v>23.343281436111113</v>
      </c>
      <c r="J86" s="14">
        <f ca="1">ASIN(COS(H86)*COS(I86*PI()/12)*COS($D$8)+SIN($D$8)*SIN(H86))</f>
        <v>1.4078930587651139</v>
      </c>
      <c r="K86" s="14">
        <f ca="1">(COS(H86)*SIN(I86*PI()/12))/COS(J86)</f>
        <v>-0.58987586684945592</v>
      </c>
      <c r="L86" s="14">
        <f ca="1">(COS(H86)*COS(I86*PI()/12)*SIN($D$8)-COS($D$8)*SIN(H86))/COS(J86)</f>
        <v>-0.80749393911570866</v>
      </c>
      <c r="M86" s="14">
        <f ca="1">IF(L86&lt;0,-ASIN(K86)+PI(),ASIN(K86))</f>
        <v>3.7724977593170355</v>
      </c>
      <c r="N86" s="14">
        <f ca="1">IF(PRODUCT($O$83:$O$87)=0,$G$6,COS(J86)*SIN(M86))</f>
        <v>-9.5668260391371232E-2</v>
      </c>
      <c r="O86" s="15">
        <f ca="1">IF(J86&lt;0,0,1)</f>
        <v>1</v>
      </c>
      <c r="P86" s="13"/>
      <c r="Q86" s="13"/>
      <c r="R86" s="13"/>
      <c r="S86" s="13">
        <f ca="1">IF(PRODUCT($O$83:$O$87)=0,$G$6,+COS(J86)*COS(PI()+M86))</f>
        <v>0.13096236814090803</v>
      </c>
      <c r="T86" s="13"/>
      <c r="U86" s="13"/>
      <c r="V86" s="14">
        <f ca="1">IF(PRODUCT($W$83:$W$87)=0,$G$6,-COS(J86)*SIN(M86+$E$8))</f>
        <v>1000000</v>
      </c>
      <c r="W86" s="15">
        <f ca="1">IF(OR(J86&lt;0,COS(PI()+M86+$E$8)&lt;0),0,1)</f>
        <v>0</v>
      </c>
      <c r="X86" s="13"/>
      <c r="Y86" s="13"/>
      <c r="Z86" s="13"/>
      <c r="AA86" s="13">
        <f ca="1">IF(PRODUCT($W$83:$W$87)=0,$G$6,SIN(J86))</f>
        <v>1000000</v>
      </c>
      <c r="AB86" s="13"/>
      <c r="AC86" s="13"/>
    </row>
    <row r="87" spans="1:29" x14ac:dyDescent="0.35">
      <c r="A87" s="2" t="s">
        <v>142</v>
      </c>
      <c r="B87" s="12">
        <v>0</v>
      </c>
      <c r="C87" s="12">
        <v>10</v>
      </c>
      <c r="D87" s="12">
        <v>58</v>
      </c>
      <c r="E87" s="12">
        <v>30</v>
      </c>
      <c r="F87" s="12"/>
      <c r="G87" s="13">
        <f>+B87+C87/60</f>
        <v>0.16666666666666666</v>
      </c>
      <c r="H87" s="13">
        <f>(D87+E87/60)*PI()/180</f>
        <v>1.0210176124166828</v>
      </c>
      <c r="I87" s="13">
        <f t="shared" ca="1" si="48"/>
        <v>23.926614769444445</v>
      </c>
      <c r="J87" s="14">
        <f ca="1">ASIN(COS(H87)*COS(I87*PI()/12)*COS($D$8)+SIN($D$8)*SIN(H87))</f>
        <v>1.4017035802092106</v>
      </c>
      <c r="K87" s="14">
        <f ca="1">(COS(H87)*SIN(I87*PI()/12))/COS(J87)</f>
        <v>-5.9646127909708593E-2</v>
      </c>
      <c r="L87" s="14">
        <f ca="1">(COS(H87)*COS(I87*PI()/12)*SIN($D$8)-COS($D$8)*SIN(H87))/COS(J87)</f>
        <v>-0.99821958477350003</v>
      </c>
      <c r="M87" s="14">
        <f ca="1">IF(L87&lt;0,-ASIN(K87)+PI(),ASIN(K87))</f>
        <v>3.2012742050196596</v>
      </c>
      <c r="N87" s="14">
        <f ca="1">IF(PRODUCT($O$83:$O$87)=0,$G$6,COS(J87)*SIN(M87))</f>
        <v>-1.0037733801742166E-2</v>
      </c>
      <c r="O87" s="15">
        <f ca="1">IF(J87&lt;0,0,1)</f>
        <v>1</v>
      </c>
      <c r="P87" s="13"/>
      <c r="Q87" s="13"/>
      <c r="R87" s="13"/>
      <c r="S87" s="13">
        <f ca="1">IF(PRODUCT($O$83:$O$87)=0,$G$6,+COS(J87)*COS(PI()+M87))</f>
        <v>0.16798848171351391</v>
      </c>
      <c r="T87" s="13"/>
      <c r="U87" s="13"/>
      <c r="V87" s="14">
        <f ca="1">IF(PRODUCT($W$83:$W$87)=0,$G$6,-COS(J87)*SIN(M87+$E$8))</f>
        <v>1000000</v>
      </c>
      <c r="W87" s="15">
        <f ca="1">IF(OR(J87&lt;0,COS(PI()+M87+$E$8)&lt;0),0,1)</f>
        <v>0</v>
      </c>
      <c r="X87" s="13"/>
      <c r="Y87" s="13"/>
      <c r="Z87" s="13"/>
      <c r="AA87" s="13">
        <f ca="1">IF(PRODUCT($W$83:$W$87)=0,$G$6,SIN(J87))</f>
        <v>1000000</v>
      </c>
      <c r="AB87" s="13"/>
      <c r="AC87" s="13"/>
    </row>
    <row r="89" spans="1:29" x14ac:dyDescent="0.35">
      <c r="A89" s="2" t="s">
        <v>143</v>
      </c>
      <c r="B89" s="12">
        <v>5</v>
      </c>
      <c r="C89" s="12">
        <v>25</v>
      </c>
      <c r="D89" s="12">
        <v>0</v>
      </c>
      <c r="E89" s="12">
        <v>0</v>
      </c>
      <c r="F89" s="12"/>
      <c r="G89" s="13">
        <f t="shared" ref="G89:G96" si="49">+B89+C89/60</f>
        <v>5.416666666666667</v>
      </c>
      <c r="H89" s="13">
        <f t="shared" ref="H89:H96" si="50">(D89+E89/60)*PI()/180</f>
        <v>0</v>
      </c>
      <c r="I89" s="13">
        <f t="shared" ref="I89:I96" ca="1" si="51">IF($L$10-G89&lt;0,24+$L$10-G89,$L$10-G89)</f>
        <v>18.676614769444445</v>
      </c>
      <c r="J89" s="14">
        <f t="shared" ref="J89:J96" ca="1" si="52">ASIN(COS(H89)*COS(I89*PI()/12)*COS($D$8)+SIN($D$8)*SIN(H89))</f>
        <v>0.11625379726669059</v>
      </c>
      <c r="K89" s="14">
        <f t="shared" ref="K89:K96" ca="1" si="53">(COS(H89)*SIN(I89*PI()/12))/COS(J89)</f>
        <v>-0.99104156029460677</v>
      </c>
      <c r="L89" s="14">
        <f t="shared" ref="L89:L96" ca="1" si="54">(COS(H89)*COS(I89*PI()/12)*SIN($D$8)-COS($D$8)*SIN(H89))/COS(J89)</f>
        <v>0.1335538309777414</v>
      </c>
      <c r="M89" s="14">
        <f t="shared" ref="M89:M96" ca="1" si="55">IF(L89&lt;0,-ASIN(K89)+PI(),ASIN(K89))</f>
        <v>-1.4368422499035425</v>
      </c>
      <c r="N89" s="14">
        <f t="shared" ref="N89:N96" ca="1" si="56">IF(PRODUCT($O$89:$O$96)=0,$G$6,COS(J89)*SIN(M89))</f>
        <v>1000000</v>
      </c>
      <c r="O89" s="15">
        <f t="shared" ref="O89:O96" ca="1" si="57">IF(J89&lt;0,0,1)</f>
        <v>1</v>
      </c>
      <c r="P89" s="13"/>
      <c r="Q89" s="13"/>
      <c r="R89" s="13"/>
      <c r="S89" s="13">
        <f t="shared" ref="S89:S96" ca="1" si="58">IF(PRODUCT($O$89:$O$96)=0,$G$6,+COS(J89)*COS(PI()+M89))</f>
        <v>1000000</v>
      </c>
      <c r="T89" s="13"/>
      <c r="U89" s="13"/>
      <c r="V89" s="14">
        <f t="shared" ref="V89:V96" ca="1" si="59">IF(PRODUCT($W$89:$W$96)=0,$G$6,-COS(J89)*SIN(M89+$E$8))</f>
        <v>1000000</v>
      </c>
      <c r="W89" s="15">
        <f t="shared" ref="W89:W96" ca="1" si="60">IF(OR(J89&lt;0,COS(PI()+M89+$E$8)&lt;0),0,1)</f>
        <v>1</v>
      </c>
      <c r="X89" s="13"/>
      <c r="Y89" s="13"/>
      <c r="Z89" s="13"/>
      <c r="AA89" s="13">
        <f t="shared" ref="AA89:AA96" ca="1" si="61">IF(PRODUCT($W$89:$W$96)=0,$G$6,SIN(J89))</f>
        <v>1000000</v>
      </c>
      <c r="AB89" s="13"/>
      <c r="AC89" s="13"/>
    </row>
    <row r="90" spans="1:29" x14ac:dyDescent="0.35">
      <c r="A90" s="2" t="s">
        <v>143</v>
      </c>
      <c r="B90" s="12">
        <v>5</v>
      </c>
      <c r="C90" s="12">
        <v>40</v>
      </c>
      <c r="D90" s="12">
        <v>-3</v>
      </c>
      <c r="E90" s="12">
        <v>0</v>
      </c>
      <c r="F90" s="12"/>
      <c r="G90" s="13">
        <f t="shared" si="49"/>
        <v>5.666666666666667</v>
      </c>
      <c r="H90" s="13">
        <f t="shared" si="50"/>
        <v>-5.2359877559829883E-2</v>
      </c>
      <c r="I90" s="13">
        <f t="shared" ca="1" si="51"/>
        <v>18.426614769444445</v>
      </c>
      <c r="J90" s="14">
        <f t="shared" ca="1" si="52"/>
        <v>3.3873245930772358E-2</v>
      </c>
      <c r="K90" s="14">
        <f t="shared" ca="1" si="53"/>
        <v>-0.99297712200226373</v>
      </c>
      <c r="L90" s="14">
        <f t="shared" ca="1" si="54"/>
        <v>0.11830653058940271</v>
      </c>
      <c r="M90" s="14">
        <f t="shared" ca="1" si="55"/>
        <v>-1.4522120650830468</v>
      </c>
      <c r="N90" s="14">
        <f t="shared" ca="1" si="56"/>
        <v>1000000</v>
      </c>
      <c r="O90" s="15">
        <f t="shared" ca="1" si="57"/>
        <v>1</v>
      </c>
      <c r="P90" s="13"/>
      <c r="Q90" s="13"/>
      <c r="R90" s="13"/>
      <c r="S90" s="13">
        <f t="shared" ca="1" si="58"/>
        <v>1000000</v>
      </c>
      <c r="T90" s="13"/>
      <c r="U90" s="13"/>
      <c r="V90" s="14">
        <f t="shared" ca="1" si="59"/>
        <v>1000000</v>
      </c>
      <c r="W90" s="15">
        <f t="shared" ca="1" si="60"/>
        <v>1</v>
      </c>
      <c r="X90" s="13"/>
      <c r="Y90" s="13"/>
      <c r="Z90" s="13"/>
      <c r="AA90" s="13">
        <f t="shared" ca="1" si="61"/>
        <v>1000000</v>
      </c>
      <c r="AB90" s="13"/>
      <c r="AC90" s="13"/>
    </row>
    <row r="91" spans="1:29" x14ac:dyDescent="0.35">
      <c r="A91" s="2" t="s">
        <v>143</v>
      </c>
      <c r="B91" s="12">
        <v>5</v>
      </c>
      <c r="C91" s="12">
        <v>52</v>
      </c>
      <c r="D91" s="12">
        <v>7</v>
      </c>
      <c r="E91" s="12">
        <v>4</v>
      </c>
      <c r="F91" s="12"/>
      <c r="G91" s="13">
        <f t="shared" si="49"/>
        <v>5.8666666666666671</v>
      </c>
      <c r="H91" s="13">
        <f t="shared" si="50"/>
        <v>0.12333660047426594</v>
      </c>
      <c r="I91" s="13">
        <f t="shared" ca="1" si="51"/>
        <v>18.226614769444446</v>
      </c>
      <c r="J91" s="14">
        <f t="shared" ca="1" si="52"/>
        <v>0.13172604879046312</v>
      </c>
      <c r="K91" s="14">
        <f t="shared" ca="1" si="53"/>
        <v>-0.99931508108908962</v>
      </c>
      <c r="L91" s="14">
        <f t="shared" ca="1" si="54"/>
        <v>-3.7004982203833539E-2</v>
      </c>
      <c r="M91" s="14">
        <f t="shared" ca="1" si="55"/>
        <v>4.6753755473948635</v>
      </c>
      <c r="N91" s="14">
        <f t="shared" ca="1" si="56"/>
        <v>1000000</v>
      </c>
      <c r="O91" s="15">
        <f t="shared" ca="1" si="57"/>
        <v>1</v>
      </c>
      <c r="P91" s="13"/>
      <c r="Q91" s="13"/>
      <c r="R91" s="13"/>
      <c r="S91" s="13">
        <f t="shared" ca="1" si="58"/>
        <v>1000000</v>
      </c>
      <c r="T91" s="13"/>
      <c r="U91" s="13"/>
      <c r="V91" s="14">
        <f t="shared" ca="1" si="59"/>
        <v>1000000</v>
      </c>
      <c r="W91" s="15">
        <f t="shared" ca="1" si="60"/>
        <v>0</v>
      </c>
      <c r="X91" s="13"/>
      <c r="Y91" s="13"/>
      <c r="Z91" s="13"/>
      <c r="AA91" s="13">
        <f t="shared" ca="1" si="61"/>
        <v>1000000</v>
      </c>
      <c r="AB91" s="13"/>
      <c r="AC91" s="13"/>
    </row>
    <row r="92" spans="1:29" x14ac:dyDescent="0.35">
      <c r="A92" s="2" t="s">
        <v>143</v>
      </c>
      <c r="B92" s="12">
        <v>5</v>
      </c>
      <c r="C92" s="12">
        <v>20</v>
      </c>
      <c r="D92" s="12">
        <v>6</v>
      </c>
      <c r="E92" s="12">
        <v>0</v>
      </c>
      <c r="F92" s="12"/>
      <c r="G92" s="13">
        <f t="shared" si="49"/>
        <v>5.333333333333333</v>
      </c>
      <c r="H92" s="13">
        <f t="shared" si="50"/>
        <v>0.10471975511965977</v>
      </c>
      <c r="I92" s="13">
        <f t="shared" ca="1" si="51"/>
        <v>18.759948102777781</v>
      </c>
      <c r="J92" s="14">
        <f t="shared" ca="1" si="52"/>
        <v>0.20960709891641555</v>
      </c>
      <c r="K92" s="14">
        <f t="shared" ca="1" si="53"/>
        <v>-0.99671926767855423</v>
      </c>
      <c r="L92" s="14">
        <f t="shared" ca="1" si="54"/>
        <v>8.0936403665633427E-2</v>
      </c>
      <c r="M92" s="14">
        <f t="shared" ca="1" si="55"/>
        <v>-1.4897712965892049</v>
      </c>
      <c r="N92" s="14">
        <f t="shared" ca="1" si="56"/>
        <v>1000000</v>
      </c>
      <c r="O92" s="15">
        <f t="shared" ca="1" si="57"/>
        <v>1</v>
      </c>
      <c r="P92" s="13"/>
      <c r="Q92" s="13"/>
      <c r="R92" s="13"/>
      <c r="S92" s="13">
        <f t="shared" ca="1" si="58"/>
        <v>1000000</v>
      </c>
      <c r="T92" s="13"/>
      <c r="U92" s="13"/>
      <c r="V92" s="14">
        <f t="shared" ca="1" si="59"/>
        <v>1000000</v>
      </c>
      <c r="W92" s="15">
        <f t="shared" ca="1" si="60"/>
        <v>1</v>
      </c>
      <c r="X92" s="13"/>
      <c r="Y92" s="13"/>
      <c r="Z92" s="13"/>
      <c r="AA92" s="13">
        <f t="shared" ca="1" si="61"/>
        <v>1000000</v>
      </c>
      <c r="AB92" s="13"/>
      <c r="AC92" s="13"/>
    </row>
    <row r="93" spans="1:29" x14ac:dyDescent="0.35">
      <c r="A93" s="2" t="s">
        <v>143</v>
      </c>
      <c r="B93" s="12">
        <v>5</v>
      </c>
      <c r="C93" s="12">
        <v>25</v>
      </c>
      <c r="D93" s="12">
        <v>0</v>
      </c>
      <c r="E93" s="12">
        <v>0</v>
      </c>
      <c r="F93" s="12"/>
      <c r="G93" s="13">
        <f t="shared" si="49"/>
        <v>5.416666666666667</v>
      </c>
      <c r="H93" s="13">
        <f t="shared" si="50"/>
        <v>0</v>
      </c>
      <c r="I93" s="13">
        <f t="shared" ca="1" si="51"/>
        <v>18.676614769444445</v>
      </c>
      <c r="J93" s="14">
        <f t="shared" ca="1" si="52"/>
        <v>0.11625379726669059</v>
      </c>
      <c r="K93" s="14">
        <f t="shared" ca="1" si="53"/>
        <v>-0.99104156029460677</v>
      </c>
      <c r="L93" s="14">
        <f t="shared" ca="1" si="54"/>
        <v>0.1335538309777414</v>
      </c>
      <c r="M93" s="14">
        <f t="shared" ca="1" si="55"/>
        <v>-1.4368422499035425</v>
      </c>
      <c r="N93" s="14">
        <f t="shared" ca="1" si="56"/>
        <v>1000000</v>
      </c>
      <c r="O93" s="15">
        <f t="shared" ca="1" si="57"/>
        <v>1</v>
      </c>
      <c r="P93" s="13"/>
      <c r="Q93" s="13"/>
      <c r="R93" s="13"/>
      <c r="S93" s="13">
        <f t="shared" ca="1" si="58"/>
        <v>1000000</v>
      </c>
      <c r="T93" s="13"/>
      <c r="U93" s="13"/>
      <c r="V93" s="14">
        <f t="shared" ca="1" si="59"/>
        <v>1000000</v>
      </c>
      <c r="W93" s="15">
        <f t="shared" ca="1" si="60"/>
        <v>1</v>
      </c>
      <c r="X93" s="13"/>
      <c r="Y93" s="13"/>
      <c r="Z93" s="13"/>
      <c r="AA93" s="13">
        <f t="shared" ca="1" si="61"/>
        <v>1000000</v>
      </c>
      <c r="AB93" s="13"/>
      <c r="AC93" s="13"/>
    </row>
    <row r="94" spans="1:29" x14ac:dyDescent="0.35">
      <c r="A94" s="2" t="s">
        <v>143</v>
      </c>
      <c r="B94" s="12">
        <v>5</v>
      </c>
      <c r="C94" s="12">
        <v>11</v>
      </c>
      <c r="D94" s="12">
        <v>-8</v>
      </c>
      <c r="E94" s="12">
        <v>-3</v>
      </c>
      <c r="F94" s="12"/>
      <c r="G94" s="13">
        <f t="shared" si="49"/>
        <v>5.1833333333333336</v>
      </c>
      <c r="H94" s="13">
        <f t="shared" si="50"/>
        <v>-0.14049900478554353</v>
      </c>
      <c r="I94" s="13">
        <f t="shared" ca="1" si="51"/>
        <v>18.909948102777779</v>
      </c>
      <c r="J94" s="14">
        <f t="shared" ca="1" si="52"/>
        <v>4.840080228212932E-2</v>
      </c>
      <c r="K94" s="14">
        <f t="shared" ca="1" si="53"/>
        <v>-0.96331128478369454</v>
      </c>
      <c r="L94" s="14">
        <f t="shared" ca="1" si="54"/>
        <v>0.26838660288544153</v>
      </c>
      <c r="M94" s="14">
        <f t="shared" ca="1" si="55"/>
        <v>-1.2990785320834997</v>
      </c>
      <c r="N94" s="14">
        <f t="shared" ca="1" si="56"/>
        <v>1000000</v>
      </c>
      <c r="O94" s="15">
        <f t="shared" ca="1" si="57"/>
        <v>1</v>
      </c>
      <c r="P94" s="13"/>
      <c r="Q94" s="13"/>
      <c r="R94" s="13"/>
      <c r="S94" s="13">
        <f t="shared" ca="1" si="58"/>
        <v>1000000</v>
      </c>
      <c r="T94" s="13"/>
      <c r="U94" s="13"/>
      <c r="V94" s="14">
        <f t="shared" ca="1" si="59"/>
        <v>1000000</v>
      </c>
      <c r="W94" s="15">
        <f t="shared" ca="1" si="60"/>
        <v>1</v>
      </c>
      <c r="X94" s="13"/>
      <c r="Y94" s="13"/>
      <c r="Z94" s="13"/>
      <c r="AA94" s="13">
        <f t="shared" ca="1" si="61"/>
        <v>1000000</v>
      </c>
      <c r="AB94" s="13"/>
      <c r="AC94" s="13"/>
    </row>
    <row r="95" spans="1:29" x14ac:dyDescent="0.35">
      <c r="A95" s="2" t="s">
        <v>143</v>
      </c>
      <c r="B95" s="12">
        <v>5</v>
      </c>
      <c r="C95" s="12">
        <v>45</v>
      </c>
      <c r="D95" s="12">
        <v>-10</v>
      </c>
      <c r="E95" s="12">
        <v>0</v>
      </c>
      <c r="F95" s="12"/>
      <c r="G95" s="13">
        <f t="shared" si="49"/>
        <v>5.75</v>
      </c>
      <c r="H95" s="13">
        <f t="shared" si="50"/>
        <v>-0.17453292519943295</v>
      </c>
      <c r="I95" s="13">
        <f t="shared" ca="1" si="51"/>
        <v>18.343281436111113</v>
      </c>
      <c r="J95" s="14">
        <f t="shared" ca="1" si="52"/>
        <v>-7.26052576311179E-2</v>
      </c>
      <c r="K95" s="14">
        <f t="shared" ca="1" si="53"/>
        <v>-0.98342432835463278</v>
      </c>
      <c r="L95" s="14">
        <f t="shared" ca="1" si="54"/>
        <v>0.18131902933845445</v>
      </c>
      <c r="M95" s="14">
        <f t="shared" ca="1" si="55"/>
        <v>-1.3884687792981285</v>
      </c>
      <c r="N95" s="14">
        <f t="shared" ca="1" si="56"/>
        <v>1000000</v>
      </c>
      <c r="O95" s="15">
        <f t="shared" ca="1" si="57"/>
        <v>0</v>
      </c>
      <c r="P95" s="13"/>
      <c r="Q95" s="13"/>
      <c r="R95" s="13"/>
      <c r="S95" s="13">
        <f t="shared" ca="1" si="58"/>
        <v>1000000</v>
      </c>
      <c r="T95" s="13"/>
      <c r="U95" s="13"/>
      <c r="V95" s="14">
        <f t="shared" ca="1" si="59"/>
        <v>1000000</v>
      </c>
      <c r="W95" s="15">
        <f t="shared" ca="1" si="60"/>
        <v>0</v>
      </c>
      <c r="X95" s="13"/>
      <c r="Y95" s="13"/>
      <c r="Z95" s="13"/>
      <c r="AA95" s="13">
        <f t="shared" ca="1" si="61"/>
        <v>1000000</v>
      </c>
      <c r="AB95" s="13"/>
      <c r="AC95" s="13"/>
    </row>
    <row r="96" spans="1:29" x14ac:dyDescent="0.35">
      <c r="A96" s="2" t="s">
        <v>143</v>
      </c>
      <c r="B96" s="12">
        <v>5</v>
      </c>
      <c r="C96" s="12">
        <v>40</v>
      </c>
      <c r="D96" s="12">
        <v>-3</v>
      </c>
      <c r="E96" s="12">
        <v>0</v>
      </c>
      <c r="F96" s="12"/>
      <c r="G96" s="13">
        <f t="shared" si="49"/>
        <v>5.666666666666667</v>
      </c>
      <c r="H96" s="13">
        <f t="shared" si="50"/>
        <v>-5.2359877559829883E-2</v>
      </c>
      <c r="I96" s="13">
        <f t="shared" ca="1" si="51"/>
        <v>18.426614769444445</v>
      </c>
      <c r="J96" s="14">
        <f t="shared" ca="1" si="52"/>
        <v>3.3873245930772358E-2</v>
      </c>
      <c r="K96" s="14">
        <f t="shared" ca="1" si="53"/>
        <v>-0.99297712200226373</v>
      </c>
      <c r="L96" s="14">
        <f t="shared" ca="1" si="54"/>
        <v>0.11830653058940271</v>
      </c>
      <c r="M96" s="14">
        <f t="shared" ca="1" si="55"/>
        <v>-1.4522120650830468</v>
      </c>
      <c r="N96" s="14">
        <f t="shared" ca="1" si="56"/>
        <v>1000000</v>
      </c>
      <c r="O96" s="15">
        <f t="shared" ca="1" si="57"/>
        <v>1</v>
      </c>
      <c r="P96" s="13"/>
      <c r="Q96" s="13"/>
      <c r="R96" s="13"/>
      <c r="S96" s="13">
        <f t="shared" ca="1" si="58"/>
        <v>1000000</v>
      </c>
      <c r="T96" s="13"/>
      <c r="U96" s="13"/>
      <c r="V96" s="14">
        <f t="shared" ca="1" si="59"/>
        <v>1000000</v>
      </c>
      <c r="W96" s="15">
        <f t="shared" ca="1" si="60"/>
        <v>1</v>
      </c>
      <c r="X96" s="13"/>
      <c r="Y96" s="13"/>
      <c r="Z96" s="13"/>
      <c r="AA96" s="13">
        <f t="shared" ca="1" si="61"/>
        <v>1000000</v>
      </c>
      <c r="AB96" s="13"/>
      <c r="AC96" s="13"/>
    </row>
    <row r="98" spans="1:29" x14ac:dyDescent="0.35">
      <c r="A98" s="2" t="s">
        <v>144</v>
      </c>
      <c r="B98" s="12">
        <v>21</v>
      </c>
      <c r="C98" s="12">
        <v>5</v>
      </c>
      <c r="D98" s="12">
        <v>30</v>
      </c>
      <c r="E98" s="12">
        <v>0</v>
      </c>
      <c r="F98" s="12"/>
      <c r="G98" s="13">
        <f t="shared" ref="G98:G105" si="62">+B98+C98/60</f>
        <v>21.083333333333332</v>
      </c>
      <c r="H98" s="13">
        <f t="shared" ref="H98:H105" si="63">(D98+E98/60)*PI()/180</f>
        <v>0.52359877559829882</v>
      </c>
      <c r="I98" s="13">
        <f t="shared" ref="I98:I105" ca="1" si="64">IF($L$10-G98&lt;0,24+$L$10-G98,$L$10-G98)</f>
        <v>3.0099481027777806</v>
      </c>
      <c r="J98" s="14">
        <f t="shared" ref="J98:J105" ca="1" si="65">ASIN(COS(H98)*COS(I98*PI()/12)*COS($D$8)+SIN($D$8)*SIN(H98))</f>
        <v>0.89218148216552873</v>
      </c>
      <c r="K98" s="14">
        <f t="shared" ref="K98:K105" ca="1" si="66">(COS(H98)*SIN(I98*PI()/12))/COS(J98)</f>
        <v>0.97809494764088201</v>
      </c>
      <c r="L98" s="14">
        <f t="shared" ref="L98:L105" ca="1" si="67">(COS(H98)*COS(I98*PI()/12)*SIN($D$8)-COS($D$8)*SIN(H98))/COS(J98)</f>
        <v>0.20815925009323988</v>
      </c>
      <c r="M98" s="14">
        <f t="shared" ref="M98:M105" ca="1" si="68">IF(L98&lt;0,-ASIN(K98)+PI(),ASIN(K98))</f>
        <v>1.361103719847947</v>
      </c>
      <c r="N98" s="14">
        <f ca="1">IF(PRODUCT($O$98:$O$105)=0,$G$6,COS(J98)*SIN(M98))</f>
        <v>0.61396522424318667</v>
      </c>
      <c r="O98" s="15">
        <f t="shared" ref="O98:O105" ca="1" si="69">IF(J98&lt;0,0,1)</f>
        <v>1</v>
      </c>
      <c r="P98" s="13"/>
      <c r="Q98" s="13"/>
      <c r="R98" s="13"/>
      <c r="S98" s="13">
        <f t="shared" ref="S98:S105" ca="1" si="70">IF(PRODUCT($O$98:$O$105)=0,$G$6,+COS(J98)*COS(PI()+M98))</f>
        <v>-0.13066475905027827</v>
      </c>
      <c r="T98" s="13"/>
      <c r="U98" s="13"/>
      <c r="V98" s="14">
        <f t="shared" ref="V98:V105" ca="1" si="71">IF(PRODUCT($W$98:$W$105)=0,$G$6,-COS(J98)*SIN(M98+$E$8))</f>
        <v>1000000</v>
      </c>
      <c r="W98" s="15">
        <f t="shared" ref="W98:W105" ca="1" si="72">IF(OR(J98&lt;0,COS(PI()+M98+$E$8)&lt;0),0,1)</f>
        <v>1</v>
      </c>
      <c r="X98" s="13"/>
      <c r="Y98" s="13"/>
      <c r="Z98" s="13"/>
      <c r="AA98" s="13">
        <f t="shared" ref="AA98:AA105" ca="1" si="73">IF(PRODUCT($W$98:$W$105)=0,$G$6,SIN(J98))</f>
        <v>1000000</v>
      </c>
      <c r="AB98" s="13"/>
      <c r="AC98" s="13"/>
    </row>
    <row r="99" spans="1:29" x14ac:dyDescent="0.35">
      <c r="A99" s="2" t="s">
        <v>144</v>
      </c>
      <c r="B99" s="12">
        <v>20</v>
      </c>
      <c r="C99" s="12">
        <v>50</v>
      </c>
      <c r="D99" s="12">
        <v>34</v>
      </c>
      <c r="E99" s="12">
        <v>0</v>
      </c>
      <c r="F99" s="12"/>
      <c r="G99" s="13">
        <f t="shared" si="62"/>
        <v>20.833333333333332</v>
      </c>
      <c r="H99" s="13">
        <f t="shared" si="63"/>
        <v>0.59341194567807209</v>
      </c>
      <c r="I99" s="13">
        <f t="shared" ca="1" si="64"/>
        <v>3.2599481027777806</v>
      </c>
      <c r="J99" s="14">
        <f t="shared" ca="1" si="65"/>
        <v>0.8941939417882776</v>
      </c>
      <c r="K99" s="14">
        <f t="shared" ca="1" si="66"/>
        <v>0.99772809737329882</v>
      </c>
      <c r="L99" s="14">
        <f t="shared" ca="1" si="67"/>
        <v>6.7369456817291951E-2</v>
      </c>
      <c r="M99" s="14">
        <f t="shared" ca="1" si="68"/>
        <v>1.5033758046197467</v>
      </c>
      <c r="N99" s="14">
        <f t="shared" ref="N99:N105" ca="1" si="74">IF(PRODUCT($O$98:$O$105)=0,$G$6,COS(J99)*SIN(M99))</f>
        <v>0.62472496088465179</v>
      </c>
      <c r="O99" s="15">
        <f t="shared" ca="1" si="69"/>
        <v>1</v>
      </c>
      <c r="P99" s="13"/>
      <c r="Q99" s="13"/>
      <c r="R99" s="13"/>
      <c r="S99" s="13">
        <f t="shared" ca="1" si="70"/>
        <v>-4.2183217437502696E-2</v>
      </c>
      <c r="T99" s="13"/>
      <c r="U99" s="13"/>
      <c r="V99" s="14">
        <f t="shared" ca="1" si="71"/>
        <v>1000000</v>
      </c>
      <c r="W99" s="15">
        <f t="shared" ca="1" si="72"/>
        <v>1</v>
      </c>
      <c r="X99" s="13"/>
      <c r="Y99" s="13"/>
      <c r="Z99" s="13"/>
      <c r="AA99" s="13">
        <f t="shared" ca="1" si="73"/>
        <v>1000000</v>
      </c>
      <c r="AB99" s="13"/>
      <c r="AC99" s="13"/>
    </row>
    <row r="100" spans="1:29" x14ac:dyDescent="0.35">
      <c r="A100" s="2" t="s">
        <v>144</v>
      </c>
      <c r="B100" s="12">
        <v>20</v>
      </c>
      <c r="C100" s="12">
        <v>25</v>
      </c>
      <c r="D100" s="12">
        <v>40</v>
      </c>
      <c r="E100" s="12">
        <v>0</v>
      </c>
      <c r="F100" s="12"/>
      <c r="G100" s="13">
        <f t="shared" si="62"/>
        <v>20.416666666666668</v>
      </c>
      <c r="H100" s="13">
        <f t="shared" si="63"/>
        <v>0.69813170079773179</v>
      </c>
      <c r="I100" s="13">
        <f t="shared" ca="1" si="64"/>
        <v>3.6766147694444449</v>
      </c>
      <c r="J100" s="14">
        <f t="shared" ca="1" si="65"/>
        <v>0.88204207901853349</v>
      </c>
      <c r="K100" s="14">
        <f t="shared" ca="1" si="66"/>
        <v>0.98910149468290165</v>
      </c>
      <c r="L100" s="14">
        <f t="shared" ca="1" si="67"/>
        <v>-0.14723529881128905</v>
      </c>
      <c r="M100" s="14">
        <f t="shared" ca="1" si="68"/>
        <v>1.7185688498765184</v>
      </c>
      <c r="N100" s="14">
        <f t="shared" ca="1" si="74"/>
        <v>0.62864907970872452</v>
      </c>
      <c r="O100" s="15">
        <f t="shared" ca="1" si="69"/>
        <v>1</v>
      </c>
      <c r="P100" s="13"/>
      <c r="Q100" s="13"/>
      <c r="R100" s="13"/>
      <c r="S100" s="13">
        <f t="shared" ca="1" si="70"/>
        <v>9.3579208600863079E-2</v>
      </c>
      <c r="T100" s="13"/>
      <c r="U100" s="13"/>
      <c r="V100" s="14">
        <f t="shared" ca="1" si="71"/>
        <v>1000000</v>
      </c>
      <c r="W100" s="15">
        <f t="shared" ca="1" si="72"/>
        <v>0</v>
      </c>
      <c r="X100" s="13"/>
      <c r="Y100" s="13"/>
      <c r="Z100" s="13"/>
      <c r="AA100" s="13">
        <f t="shared" ca="1" si="73"/>
        <v>1000000</v>
      </c>
      <c r="AB100" s="13"/>
      <c r="AC100" s="13"/>
    </row>
    <row r="101" spans="1:29" x14ac:dyDescent="0.35">
      <c r="A101" s="2" t="s">
        <v>144</v>
      </c>
      <c r="B101" s="12">
        <v>20</v>
      </c>
      <c r="C101" s="12">
        <v>40</v>
      </c>
      <c r="D101" s="12">
        <v>45</v>
      </c>
      <c r="E101" s="12">
        <v>1</v>
      </c>
      <c r="F101" s="12"/>
      <c r="G101" s="13">
        <f t="shared" si="62"/>
        <v>20.666666666666668</v>
      </c>
      <c r="H101" s="13">
        <f t="shared" si="63"/>
        <v>0.78568905160611402</v>
      </c>
      <c r="I101" s="13">
        <f t="shared" ca="1" si="64"/>
        <v>3.4266147694444449</v>
      </c>
      <c r="J101" s="14">
        <f t="shared" ca="1" si="65"/>
        <v>0.96626963930981169</v>
      </c>
      <c r="K101" s="14">
        <f t="shared" ca="1" si="66"/>
        <v>0.9719883597048885</v>
      </c>
      <c r="L101" s="14">
        <f t="shared" ca="1" si="67"/>
        <v>-0.23502899522867476</v>
      </c>
      <c r="M101" s="14">
        <f t="shared" ca="1" si="68"/>
        <v>1.8080447256211676</v>
      </c>
      <c r="N101" s="14">
        <f t="shared" ca="1" si="74"/>
        <v>0.55245166006579138</v>
      </c>
      <c r="O101" s="15">
        <f t="shared" ca="1" si="69"/>
        <v>1</v>
      </c>
      <c r="P101" s="13"/>
      <c r="Q101" s="13"/>
      <c r="R101" s="13"/>
      <c r="S101" s="13">
        <f t="shared" ca="1" si="70"/>
        <v>0.13358406742350096</v>
      </c>
      <c r="T101" s="13"/>
      <c r="U101" s="13"/>
      <c r="V101" s="14">
        <f t="shared" ca="1" si="71"/>
        <v>1000000</v>
      </c>
      <c r="W101" s="15">
        <f t="shared" ca="1" si="72"/>
        <v>0</v>
      </c>
      <c r="X101" s="13"/>
      <c r="Y101" s="13"/>
      <c r="Z101" s="13"/>
      <c r="AA101" s="13">
        <f t="shared" ca="1" si="73"/>
        <v>1000000</v>
      </c>
      <c r="AB101" s="13"/>
      <c r="AC101" s="13"/>
    </row>
    <row r="102" spans="1:29" x14ac:dyDescent="0.35">
      <c r="A102" s="2" t="s">
        <v>144</v>
      </c>
      <c r="B102" s="12">
        <v>20</v>
      </c>
      <c r="C102" s="12">
        <v>25</v>
      </c>
      <c r="D102" s="12">
        <v>40</v>
      </c>
      <c r="E102" s="12">
        <v>0</v>
      </c>
      <c r="F102" s="12"/>
      <c r="G102" s="13">
        <f t="shared" si="62"/>
        <v>20.416666666666668</v>
      </c>
      <c r="H102" s="13">
        <f t="shared" si="63"/>
        <v>0.69813170079773179</v>
      </c>
      <c r="I102" s="13">
        <f t="shared" ca="1" si="64"/>
        <v>3.6766147694444449</v>
      </c>
      <c r="J102" s="14">
        <f t="shared" ca="1" si="65"/>
        <v>0.88204207901853349</v>
      </c>
      <c r="K102" s="14">
        <f t="shared" ca="1" si="66"/>
        <v>0.98910149468290165</v>
      </c>
      <c r="L102" s="14">
        <f t="shared" ca="1" si="67"/>
        <v>-0.14723529881128905</v>
      </c>
      <c r="M102" s="14">
        <f t="shared" ca="1" si="68"/>
        <v>1.7185688498765184</v>
      </c>
      <c r="N102" s="14">
        <f t="shared" ca="1" si="74"/>
        <v>0.62864907970872452</v>
      </c>
      <c r="O102" s="15">
        <f t="shared" ca="1" si="69"/>
        <v>1</v>
      </c>
      <c r="P102" s="13"/>
      <c r="Q102" s="13"/>
      <c r="R102" s="13"/>
      <c r="S102" s="13">
        <f t="shared" ca="1" si="70"/>
        <v>9.3579208600863079E-2</v>
      </c>
      <c r="T102" s="13"/>
      <c r="U102" s="13"/>
      <c r="V102" s="14">
        <f t="shared" ca="1" si="71"/>
        <v>1000000</v>
      </c>
      <c r="W102" s="15">
        <f t="shared" ca="1" si="72"/>
        <v>0</v>
      </c>
      <c r="X102" s="13"/>
      <c r="Y102" s="13"/>
      <c r="Z102" s="13"/>
      <c r="AA102" s="13">
        <f t="shared" ca="1" si="73"/>
        <v>1000000</v>
      </c>
      <c r="AB102" s="13"/>
      <c r="AC102" s="13"/>
    </row>
    <row r="103" spans="1:29" x14ac:dyDescent="0.35">
      <c r="A103" s="2" t="s">
        <v>144</v>
      </c>
      <c r="B103" s="12">
        <v>19</v>
      </c>
      <c r="C103" s="12">
        <v>40</v>
      </c>
      <c r="D103" s="12">
        <v>45</v>
      </c>
      <c r="E103" s="12">
        <v>0</v>
      </c>
      <c r="F103" s="12"/>
      <c r="G103" s="13">
        <f t="shared" si="62"/>
        <v>19.666666666666668</v>
      </c>
      <c r="H103" s="13">
        <f t="shared" si="63"/>
        <v>0.78539816339744828</v>
      </c>
      <c r="I103" s="13">
        <f t="shared" ca="1" si="64"/>
        <v>4.4266147694444449</v>
      </c>
      <c r="J103" s="14">
        <f t="shared" ca="1" si="65"/>
        <v>0.80187116803864378</v>
      </c>
      <c r="K103" s="14">
        <f t="shared" ca="1" si="66"/>
        <v>0.93183311528327462</v>
      </c>
      <c r="L103" s="14">
        <f t="shared" ca="1" si="67"/>
        <v>-0.36288709712728467</v>
      </c>
      <c r="M103" s="14">
        <f t="shared" ca="1" si="68"/>
        <v>1.9421606567350993</v>
      </c>
      <c r="N103" s="14">
        <f t="shared" ca="1" si="74"/>
        <v>0.64796245379898265</v>
      </c>
      <c r="O103" s="15">
        <f t="shared" ca="1" si="69"/>
        <v>1</v>
      </c>
      <c r="P103" s="13"/>
      <c r="Q103" s="13"/>
      <c r="R103" s="13"/>
      <c r="S103" s="13">
        <f t="shared" ca="1" si="70"/>
        <v>0.25233833188585936</v>
      </c>
      <c r="T103" s="13"/>
      <c r="U103" s="13"/>
      <c r="V103" s="14">
        <f t="shared" ca="1" si="71"/>
        <v>1000000</v>
      </c>
      <c r="W103" s="15">
        <f t="shared" ca="1" si="72"/>
        <v>0</v>
      </c>
      <c r="X103" s="13"/>
      <c r="Y103" s="13"/>
      <c r="Z103" s="13"/>
      <c r="AA103" s="13">
        <f t="shared" ca="1" si="73"/>
        <v>1000000</v>
      </c>
      <c r="AB103" s="13"/>
      <c r="AC103" s="13"/>
    </row>
    <row r="104" spans="1:29" x14ac:dyDescent="0.35">
      <c r="A104" s="2" t="s">
        <v>144</v>
      </c>
      <c r="B104" s="12">
        <v>20</v>
      </c>
      <c r="C104" s="12">
        <v>25</v>
      </c>
      <c r="D104" s="12">
        <v>40</v>
      </c>
      <c r="E104" s="12">
        <v>0</v>
      </c>
      <c r="F104" s="12"/>
      <c r="G104" s="13">
        <f t="shared" si="62"/>
        <v>20.416666666666668</v>
      </c>
      <c r="H104" s="13">
        <f t="shared" si="63"/>
        <v>0.69813170079773179</v>
      </c>
      <c r="I104" s="13">
        <f t="shared" ca="1" si="64"/>
        <v>3.6766147694444449</v>
      </c>
      <c r="J104" s="14">
        <f t="shared" ca="1" si="65"/>
        <v>0.88204207901853349</v>
      </c>
      <c r="K104" s="14">
        <f t="shared" ca="1" si="66"/>
        <v>0.98910149468290165</v>
      </c>
      <c r="L104" s="14">
        <f t="shared" ca="1" si="67"/>
        <v>-0.14723529881128905</v>
      </c>
      <c r="M104" s="14">
        <f t="shared" ca="1" si="68"/>
        <v>1.7185688498765184</v>
      </c>
      <c r="N104" s="14">
        <f t="shared" ca="1" si="74"/>
        <v>0.62864907970872452</v>
      </c>
      <c r="O104" s="15">
        <f t="shared" ca="1" si="69"/>
        <v>1</v>
      </c>
      <c r="P104" s="13"/>
      <c r="Q104" s="13"/>
      <c r="R104" s="13"/>
      <c r="S104" s="13">
        <f t="shared" ca="1" si="70"/>
        <v>9.3579208600863079E-2</v>
      </c>
      <c r="T104" s="13"/>
      <c r="U104" s="13"/>
      <c r="V104" s="14">
        <f t="shared" ca="1" si="71"/>
        <v>1000000</v>
      </c>
      <c r="W104" s="15">
        <f t="shared" ca="1" si="72"/>
        <v>0</v>
      </c>
      <c r="X104" s="13"/>
      <c r="Y104" s="13"/>
      <c r="Z104" s="13"/>
      <c r="AA104" s="13">
        <f t="shared" ca="1" si="73"/>
        <v>1000000</v>
      </c>
      <c r="AB104" s="13"/>
      <c r="AC104" s="13"/>
    </row>
    <row r="105" spans="1:29" x14ac:dyDescent="0.35">
      <c r="A105" s="2" t="s">
        <v>144</v>
      </c>
      <c r="B105" s="12">
        <v>19</v>
      </c>
      <c r="C105" s="12">
        <v>30</v>
      </c>
      <c r="D105" s="12">
        <v>28</v>
      </c>
      <c r="E105" s="12">
        <v>0</v>
      </c>
      <c r="F105" s="12"/>
      <c r="G105" s="13">
        <f t="shared" si="62"/>
        <v>19.5</v>
      </c>
      <c r="H105" s="13">
        <f t="shared" si="63"/>
        <v>0.48869219055841229</v>
      </c>
      <c r="I105" s="13">
        <f t="shared" ca="1" si="64"/>
        <v>4.5932814361111127</v>
      </c>
      <c r="J105" s="14">
        <f t="shared" ca="1" si="65"/>
        <v>0.59759434031081249</v>
      </c>
      <c r="K105" s="14">
        <f t="shared" ca="1" si="66"/>
        <v>0.99643542517582029</v>
      </c>
      <c r="L105" s="14">
        <f t="shared" ca="1" si="67"/>
        <v>-8.4359015254340766E-2</v>
      </c>
      <c r="M105" s="14">
        <f t="shared" ca="1" si="68"/>
        <v>1.6552557198595037</v>
      </c>
      <c r="N105" s="14">
        <f t="shared" ca="1" si="74"/>
        <v>0.82374475911418577</v>
      </c>
      <c r="O105" s="15">
        <f t="shared" ca="1" si="69"/>
        <v>1</v>
      </c>
      <c r="P105" s="13"/>
      <c r="Q105" s="13"/>
      <c r="R105" s="13"/>
      <c r="S105" s="13">
        <f t="shared" ca="1" si="70"/>
        <v>6.9738886177732967E-2</v>
      </c>
      <c r="T105" s="13"/>
      <c r="U105" s="13"/>
      <c r="V105" s="14">
        <f t="shared" ca="1" si="71"/>
        <v>1000000</v>
      </c>
      <c r="W105" s="15">
        <f t="shared" ca="1" si="72"/>
        <v>0</v>
      </c>
      <c r="X105" s="13"/>
      <c r="Y105" s="13"/>
      <c r="Z105" s="13"/>
      <c r="AA105" s="13">
        <f t="shared" ca="1" si="73"/>
        <v>1000000</v>
      </c>
      <c r="AB105" s="13"/>
      <c r="AC105" s="13"/>
    </row>
    <row r="107" spans="1:29" x14ac:dyDescent="0.35">
      <c r="A107" s="2" t="s">
        <v>145</v>
      </c>
      <c r="B107" s="12">
        <v>21</v>
      </c>
      <c r="C107" s="12">
        <v>40</v>
      </c>
      <c r="D107" s="12">
        <v>10</v>
      </c>
      <c r="E107" s="12">
        <v>8</v>
      </c>
      <c r="F107" s="12"/>
      <c r="G107" s="13">
        <f t="shared" ref="G107:G114" si="75">+B107+C107/60</f>
        <v>21.666666666666668</v>
      </c>
      <c r="H107" s="13">
        <f t="shared" ref="H107:H114" si="76">(D107+E107/60)*PI()/180</f>
        <v>0.17686003086875871</v>
      </c>
      <c r="I107" s="13">
        <f t="shared" ref="I107:I114" ca="1" si="77">IF($L$10-G107&lt;0,24+$L$10-G107,$L$10-G107)</f>
        <v>2.4266147694444449</v>
      </c>
      <c r="J107" s="14">
        <f t="shared" ref="J107:J114" ca="1" si="78">ASIN(COS(H107)*COS(I107*PI()/12)*COS($D$8)+SIN($D$8)*SIN(H107))</f>
        <v>0.71287322844868317</v>
      </c>
      <c r="K107" s="14">
        <f t="shared" ref="K107:K114" ca="1" si="79">(COS(H107)*SIN(I107*PI()/12))/COS(J107)</f>
        <v>0.77219071550665264</v>
      </c>
      <c r="L107" s="14">
        <f t="shared" ref="L107:L114" ca="1" si="80">(COS(H107)*COS(I107*PI()/12)*SIN($D$8)-COS($D$8)*SIN(H107))/COS(J107)</f>
        <v>0.63539082373396294</v>
      </c>
      <c r="M107" s="14">
        <f t="shared" ref="M107:M114" ca="1" si="81">IF(L107&lt;0,-ASIN(K107)+PI(),ASIN(K107))</f>
        <v>0.88228178875722141</v>
      </c>
      <c r="N107" s="14">
        <f t="shared" ref="N107:N114" ca="1" si="82">IF(PRODUCT($O$107:$O$114)=0,$G$6,COS(J107)*SIN(M107))</f>
        <v>0.5841513736650179</v>
      </c>
      <c r="O107" s="15">
        <f t="shared" ref="O107:O114" ca="1" si="83">IF(J107&lt;0,0,1)</f>
        <v>1</v>
      </c>
      <c r="P107" s="13"/>
      <c r="Q107" s="13"/>
      <c r="R107" s="13"/>
      <c r="S107" s="13">
        <f t="shared" ref="S107:S114" ca="1" si="84">IF(PRODUCT($O$107:$O$114)=0,$G$6,+COS(J107)*COS(PI()+M107))</f>
        <v>-0.48066418702640323</v>
      </c>
      <c r="T107" s="13"/>
      <c r="U107" s="13"/>
      <c r="V107" s="14">
        <f t="shared" ref="V107:V114" ca="1" si="85">IF(PRODUCT($W$107:$W$114)=0,$G$6,-COS(J107)*SIN(M107+$E$8))</f>
        <v>0.58415137366501768</v>
      </c>
      <c r="W107" s="15">
        <f t="shared" ref="W107:W114" ca="1" si="86">IF(OR(J107&lt;0,COS(PI()+M107+$E$8)&lt;0),0,1)</f>
        <v>1</v>
      </c>
      <c r="X107" s="13"/>
      <c r="Y107" s="13"/>
      <c r="Z107" s="13"/>
      <c r="AA107" s="13">
        <f t="shared" ref="AA107:AA114" ca="1" si="87">IF(PRODUCT($W$107:$W$114)=0,$G$6,SIN(J107))</f>
        <v>0.65401002435400002</v>
      </c>
      <c r="AB107" s="13"/>
      <c r="AC107" s="13"/>
    </row>
    <row r="108" spans="1:29" x14ac:dyDescent="0.35">
      <c r="A108" s="2" t="s">
        <v>145</v>
      </c>
      <c r="B108" s="12">
        <v>22</v>
      </c>
      <c r="C108" s="12">
        <v>5</v>
      </c>
      <c r="D108" s="12">
        <v>6</v>
      </c>
      <c r="E108" s="12">
        <v>0</v>
      </c>
      <c r="F108" s="12"/>
      <c r="G108" s="13">
        <f t="shared" si="75"/>
        <v>22.083333333333332</v>
      </c>
      <c r="H108" s="13">
        <f t="shared" si="76"/>
        <v>0.10471975511965977</v>
      </c>
      <c r="I108" s="13">
        <f t="shared" ca="1" si="77"/>
        <v>2.0099481027777806</v>
      </c>
      <c r="J108" s="14">
        <f t="shared" ca="1" si="78"/>
        <v>0.70072779959687581</v>
      </c>
      <c r="K108" s="14">
        <f t="shared" ca="1" si="79"/>
        <v>0.65347978685037089</v>
      </c>
      <c r="L108" s="14">
        <f t="shared" ca="1" si="80"/>
        <v>0.756943966339645</v>
      </c>
      <c r="M108" s="14">
        <f t="shared" ca="1" si="81"/>
        <v>0.71217251875554355</v>
      </c>
      <c r="N108" s="14">
        <f t="shared" ca="1" si="82"/>
        <v>0.49950238574530254</v>
      </c>
      <c r="O108" s="15">
        <f t="shared" ca="1" si="83"/>
        <v>1</v>
      </c>
      <c r="P108" s="13"/>
      <c r="Q108" s="13"/>
      <c r="R108" s="13"/>
      <c r="S108" s="13">
        <f t="shared" ca="1" si="84"/>
        <v>-0.5785876237802261</v>
      </c>
      <c r="T108" s="13"/>
      <c r="U108" s="13"/>
      <c r="V108" s="14">
        <f t="shared" ca="1" si="85"/>
        <v>0.49950238574530254</v>
      </c>
      <c r="W108" s="15">
        <f t="shared" ca="1" si="86"/>
        <v>1</v>
      </c>
      <c r="X108" s="13"/>
      <c r="Y108" s="13"/>
      <c r="Z108" s="13"/>
      <c r="AA108" s="13">
        <f t="shared" ca="1" si="87"/>
        <v>0.64477416840557633</v>
      </c>
      <c r="AB108" s="13"/>
      <c r="AC108" s="13"/>
    </row>
    <row r="109" spans="1:29" x14ac:dyDescent="0.35">
      <c r="A109" s="2" t="s">
        <v>145</v>
      </c>
      <c r="B109" s="12">
        <v>22</v>
      </c>
      <c r="C109" s="12">
        <v>40</v>
      </c>
      <c r="D109" s="12">
        <v>10</v>
      </c>
      <c r="E109" s="12">
        <v>0</v>
      </c>
      <c r="F109" s="12"/>
      <c r="G109" s="13">
        <f t="shared" si="75"/>
        <v>22.666666666666668</v>
      </c>
      <c r="H109" s="13">
        <f t="shared" si="76"/>
        <v>0.17453292519943295</v>
      </c>
      <c r="I109" s="13">
        <f t="shared" ca="1" si="77"/>
        <v>1.4266147694444449</v>
      </c>
      <c r="J109" s="14">
        <f t="shared" ca="1" si="78"/>
        <v>0.82461037985306229</v>
      </c>
      <c r="K109" s="14">
        <f t="shared" ca="1" si="79"/>
        <v>0.52931380417400042</v>
      </c>
      <c r="L109" s="14">
        <f t="shared" ca="1" si="80"/>
        <v>0.8484261292009152</v>
      </c>
      <c r="M109" s="14">
        <f t="shared" ca="1" si="81"/>
        <v>0.55779157433427551</v>
      </c>
      <c r="N109" s="14">
        <f t="shared" ca="1" si="82"/>
        <v>0.35932102831794677</v>
      </c>
      <c r="O109" s="15">
        <f t="shared" ca="1" si="83"/>
        <v>1</v>
      </c>
      <c r="P109" s="13"/>
      <c r="Q109" s="13"/>
      <c r="R109" s="13"/>
      <c r="S109" s="13">
        <f t="shared" ca="1" si="84"/>
        <v>-0.57594823107253168</v>
      </c>
      <c r="T109" s="13"/>
      <c r="U109" s="13"/>
      <c r="V109" s="14">
        <f t="shared" ca="1" si="85"/>
        <v>0.35932102831794677</v>
      </c>
      <c r="W109" s="15">
        <f t="shared" ca="1" si="86"/>
        <v>1</v>
      </c>
      <c r="X109" s="13"/>
      <c r="Y109" s="13"/>
      <c r="Z109" s="13"/>
      <c r="AA109" s="13">
        <f t="shared" ca="1" si="87"/>
        <v>0.73428334703502229</v>
      </c>
      <c r="AB109" s="13"/>
      <c r="AC109" s="13"/>
    </row>
    <row r="110" spans="1:29" x14ac:dyDescent="0.35">
      <c r="A110" s="2" t="s">
        <v>145</v>
      </c>
      <c r="B110" s="12">
        <v>23</v>
      </c>
      <c r="C110" s="12">
        <v>0</v>
      </c>
      <c r="D110" s="12">
        <v>15</v>
      </c>
      <c r="E110" s="12">
        <v>0</v>
      </c>
      <c r="F110" s="12"/>
      <c r="G110" s="13">
        <f t="shared" si="75"/>
        <v>23</v>
      </c>
      <c r="H110" s="13">
        <f t="shared" si="76"/>
        <v>0.26179938779914941</v>
      </c>
      <c r="I110" s="13">
        <f t="shared" ca="1" si="77"/>
        <v>1.0932814361111127</v>
      </c>
      <c r="J110" s="14">
        <f t="shared" ca="1" si="78"/>
        <v>0.93532840640508064</v>
      </c>
      <c r="K110" s="14">
        <f t="shared" ca="1" si="79"/>
        <v>0.45944975895223711</v>
      </c>
      <c r="L110" s="14">
        <f t="shared" ca="1" si="80"/>
        <v>0.88820375984271238</v>
      </c>
      <c r="M110" s="14">
        <f t="shared" ca="1" si="81"/>
        <v>0.47737560051720823</v>
      </c>
      <c r="N110" s="14">
        <f t="shared" ca="1" si="82"/>
        <v>0.27270831521615213</v>
      </c>
      <c r="O110" s="15">
        <f t="shared" ca="1" si="83"/>
        <v>1</v>
      </c>
      <c r="P110" s="13"/>
      <c r="Q110" s="13"/>
      <c r="R110" s="13"/>
      <c r="S110" s="13">
        <f t="shared" ca="1" si="84"/>
        <v>-0.52719703557519648</v>
      </c>
      <c r="T110" s="13"/>
      <c r="U110" s="13"/>
      <c r="V110" s="14">
        <f t="shared" ca="1" si="85"/>
        <v>0.27270831521615208</v>
      </c>
      <c r="W110" s="15">
        <f t="shared" ca="1" si="86"/>
        <v>1</v>
      </c>
      <c r="X110" s="13"/>
      <c r="Y110" s="13"/>
      <c r="Z110" s="13"/>
      <c r="AA110" s="13">
        <f t="shared" ca="1" si="87"/>
        <v>0.80479404849482639</v>
      </c>
      <c r="AB110" s="13"/>
      <c r="AC110" s="13"/>
    </row>
    <row r="111" spans="1:29" x14ac:dyDescent="0.35">
      <c r="A111" s="2" t="s">
        <v>145</v>
      </c>
      <c r="B111" s="12">
        <v>23</v>
      </c>
      <c r="C111" s="12">
        <v>0</v>
      </c>
      <c r="D111" s="12">
        <v>28</v>
      </c>
      <c r="E111" s="12">
        <v>0</v>
      </c>
      <c r="F111" s="12"/>
      <c r="G111" s="13">
        <f t="shared" si="75"/>
        <v>23</v>
      </c>
      <c r="H111" s="13">
        <f t="shared" si="76"/>
        <v>0.48869219055841229</v>
      </c>
      <c r="I111" s="13">
        <f t="shared" ca="1" si="77"/>
        <v>1.0932814361111127</v>
      </c>
      <c r="J111" s="14">
        <f t="shared" ca="1" si="78"/>
        <v>1.1456402512159447</v>
      </c>
      <c r="K111" s="14">
        <f t="shared" ca="1" si="79"/>
        <v>0.60437232188988332</v>
      </c>
      <c r="L111" s="14">
        <f t="shared" ca="1" si="80"/>
        <v>0.79670201238193861</v>
      </c>
      <c r="M111" s="14">
        <f t="shared" ca="1" si="81"/>
        <v>0.64897778625389357</v>
      </c>
      <c r="N111" s="14">
        <f t="shared" ca="1" si="82"/>
        <v>0.2492812014332203</v>
      </c>
      <c r="O111" s="15">
        <f t="shared" ca="1" si="83"/>
        <v>1</v>
      </c>
      <c r="P111" s="13"/>
      <c r="Q111" s="13"/>
      <c r="R111" s="13"/>
      <c r="S111" s="13">
        <f t="shared" ca="1" si="84"/>
        <v>-0.3286100763347326</v>
      </c>
      <c r="T111" s="13"/>
      <c r="U111" s="13"/>
      <c r="V111" s="14">
        <f t="shared" ca="1" si="85"/>
        <v>0.24928120143322019</v>
      </c>
      <c r="W111" s="15">
        <f t="shared" ca="1" si="86"/>
        <v>1</v>
      </c>
      <c r="X111" s="13"/>
      <c r="Y111" s="13"/>
      <c r="Z111" s="13"/>
      <c r="AA111" s="13">
        <f t="shared" ca="1" si="87"/>
        <v>0.91097436865330716</v>
      </c>
      <c r="AB111" s="13"/>
      <c r="AC111" s="13"/>
    </row>
    <row r="112" spans="1:29" x14ac:dyDescent="0.35">
      <c r="A112" s="2" t="s">
        <v>145</v>
      </c>
      <c r="B112" s="12">
        <v>0</v>
      </c>
      <c r="C112" s="12">
        <v>5</v>
      </c>
      <c r="D112" s="12">
        <v>28</v>
      </c>
      <c r="E112" s="12">
        <v>8</v>
      </c>
      <c r="F112" s="12"/>
      <c r="G112" s="13">
        <f t="shared" si="75"/>
        <v>8.3333333333333329E-2</v>
      </c>
      <c r="H112" s="13">
        <f t="shared" si="76"/>
        <v>0.49101929622773804</v>
      </c>
      <c r="I112" s="13">
        <f t="shared" ca="1" si="77"/>
        <v>9.9481027777793968E-3</v>
      </c>
      <c r="J112" s="14">
        <f t="shared" ca="1" si="78"/>
        <v>1.209507602162905</v>
      </c>
      <c r="K112" s="14">
        <f t="shared" ca="1" si="79"/>
        <v>6.4973989278933929E-3</v>
      </c>
      <c r="L112" s="14">
        <f t="shared" ca="1" si="80"/>
        <v>0.999978891680805</v>
      </c>
      <c r="M112" s="14">
        <f t="shared" ca="1" si="81"/>
        <v>6.4974446446695632E-3</v>
      </c>
      <c r="N112" s="14">
        <f t="shared" ca="1" si="82"/>
        <v>2.2967009219450711E-3</v>
      </c>
      <c r="O112" s="15">
        <f t="shared" ca="1" si="83"/>
        <v>1</v>
      </c>
      <c r="P112" s="13"/>
      <c r="Q112" s="13"/>
      <c r="R112" s="13"/>
      <c r="S112" s="13">
        <f t="shared" ca="1" si="84"/>
        <v>-0.35347259233065809</v>
      </c>
      <c r="T112" s="13"/>
      <c r="U112" s="13"/>
      <c r="V112" s="14">
        <f t="shared" ca="1" si="85"/>
        <v>2.2967009219450069E-3</v>
      </c>
      <c r="W112" s="15">
        <f t="shared" ca="1" si="86"/>
        <v>1</v>
      </c>
      <c r="X112" s="13"/>
      <c r="Y112" s="13"/>
      <c r="Z112" s="13"/>
      <c r="AA112" s="13">
        <f t="shared" ca="1" si="87"/>
        <v>0.93544206214811587</v>
      </c>
      <c r="AB112" s="13"/>
      <c r="AC112" s="13"/>
    </row>
    <row r="113" spans="1:29" x14ac:dyDescent="0.35">
      <c r="A113" s="2" t="s">
        <v>145</v>
      </c>
      <c r="B113" s="12">
        <v>0</v>
      </c>
      <c r="C113" s="12">
        <v>10</v>
      </c>
      <c r="D113" s="12">
        <v>15</v>
      </c>
      <c r="E113" s="12">
        <v>0</v>
      </c>
      <c r="F113" s="12"/>
      <c r="G113" s="13">
        <f t="shared" si="75"/>
        <v>0.16666666666666666</v>
      </c>
      <c r="H113" s="13">
        <f t="shared" si="76"/>
        <v>0.26179938779914941</v>
      </c>
      <c r="I113" s="13">
        <f t="shared" ca="1" si="77"/>
        <v>23.926614769444445</v>
      </c>
      <c r="J113" s="14">
        <f t="shared" ca="1" si="78"/>
        <v>0.9800825480073353</v>
      </c>
      <c r="K113" s="14">
        <f t="shared" ca="1" si="79"/>
        <v>-3.3317701402108484E-2</v>
      </c>
      <c r="L113" s="14">
        <f t="shared" ca="1" si="80"/>
        <v>0.99944481126937723</v>
      </c>
      <c r="M113" s="14">
        <f t="shared" ca="1" si="81"/>
        <v>-3.3323868642506069E-2</v>
      </c>
      <c r="N113" s="14">
        <f t="shared" ca="1" si="82"/>
        <v>-1.8556426699063742E-2</v>
      </c>
      <c r="O113" s="15">
        <f t="shared" ca="1" si="83"/>
        <v>1</v>
      </c>
      <c r="P113" s="13"/>
      <c r="Q113" s="13"/>
      <c r="R113" s="13"/>
      <c r="S113" s="13">
        <f t="shared" ca="1" si="84"/>
        <v>-0.55664477438729032</v>
      </c>
      <c r="T113" s="13"/>
      <c r="U113" s="13"/>
      <c r="V113" s="14">
        <f t="shared" ca="1" si="85"/>
        <v>-1.8556426699063849E-2</v>
      </c>
      <c r="W113" s="15">
        <f t="shared" ca="1" si="86"/>
        <v>1</v>
      </c>
      <c r="X113" s="13"/>
      <c r="Y113" s="13"/>
      <c r="Z113" s="13"/>
      <c r="AA113" s="13">
        <f t="shared" ca="1" si="87"/>
        <v>0.83054334876361802</v>
      </c>
      <c r="AB113" s="13"/>
      <c r="AC113" s="13"/>
    </row>
    <row r="114" spans="1:29" x14ac:dyDescent="0.35">
      <c r="A114" s="2" t="s">
        <v>145</v>
      </c>
      <c r="B114" s="12">
        <v>23</v>
      </c>
      <c r="C114" s="12">
        <v>0</v>
      </c>
      <c r="D114" s="12">
        <v>15</v>
      </c>
      <c r="E114" s="12">
        <v>8</v>
      </c>
      <c r="F114" s="12"/>
      <c r="G114" s="13">
        <f t="shared" si="75"/>
        <v>23</v>
      </c>
      <c r="H114" s="13">
        <f t="shared" si="76"/>
        <v>0.26412649346847517</v>
      </c>
      <c r="I114" s="13">
        <f t="shared" ca="1" si="77"/>
        <v>1.0932814361111127</v>
      </c>
      <c r="J114" s="14">
        <f t="shared" ca="1" si="78"/>
        <v>0.93753814266856927</v>
      </c>
      <c r="K114" s="14">
        <f t="shared" ca="1" si="79"/>
        <v>0.46054301038662959</v>
      </c>
      <c r="L114" s="14">
        <f t="shared" ca="1" si="80"/>
        <v>0.8876373896947003</v>
      </c>
      <c r="M114" s="14">
        <f t="shared" ca="1" si="81"/>
        <v>0.47860684949076143</v>
      </c>
      <c r="N114" s="14">
        <f t="shared" ca="1" si="82"/>
        <v>0.27253753075257836</v>
      </c>
      <c r="O114" s="15">
        <f t="shared" ca="1" si="83"/>
        <v>1</v>
      </c>
      <c r="P114" s="13"/>
      <c r="Q114" s="13"/>
      <c r="R114" s="13"/>
      <c r="S114" s="13">
        <f t="shared" ca="1" si="84"/>
        <v>-0.52528102030680823</v>
      </c>
      <c r="T114" s="13"/>
      <c r="U114" s="13"/>
      <c r="V114" s="14">
        <f t="shared" ca="1" si="85"/>
        <v>0.27253753075257825</v>
      </c>
      <c r="W114" s="15">
        <f t="shared" ca="1" si="86"/>
        <v>1</v>
      </c>
      <c r="X114" s="13"/>
      <c r="Y114" s="13"/>
      <c r="Z114" s="13"/>
      <c r="AA114" s="13">
        <f t="shared" ca="1" si="87"/>
        <v>0.8061036806991555</v>
      </c>
      <c r="AB114" s="13"/>
      <c r="AC114" s="13"/>
    </row>
    <row r="116" spans="1:29" x14ac:dyDescent="0.35">
      <c r="A116" s="2" t="s">
        <v>146</v>
      </c>
      <c r="B116" s="12">
        <v>0</v>
      </c>
      <c r="C116" s="12">
        <v>5</v>
      </c>
      <c r="D116" s="12">
        <v>28</v>
      </c>
      <c r="E116" s="12">
        <v>8</v>
      </c>
      <c r="F116" s="12"/>
      <c r="G116" s="13">
        <f>+B116+C116/60</f>
        <v>8.3333333333333329E-2</v>
      </c>
      <c r="H116" s="13">
        <f>(D116+E116/60)*PI()/180</f>
        <v>0.49101929622773804</v>
      </c>
      <c r="I116" s="13">
        <f t="shared" ref="I116:I120" ca="1" si="88">IF($L$10-G116&lt;0,24+$L$10-G116,$L$10-G116)</f>
        <v>9.9481027777793968E-3</v>
      </c>
      <c r="J116" s="14">
        <f ca="1">ASIN(COS(H116)*COS(I116*PI()/12)*COS($D$8)+SIN($D$8)*SIN(H116))</f>
        <v>1.209507602162905</v>
      </c>
      <c r="K116" s="14">
        <f ca="1">(COS(H116)*SIN(I116*PI()/12))/COS(J116)</f>
        <v>6.4973989278933929E-3</v>
      </c>
      <c r="L116" s="14">
        <f ca="1">(COS(H116)*COS(I116*PI()/12)*SIN($D$8)-COS($D$8)*SIN(H116))/COS(J116)</f>
        <v>0.999978891680805</v>
      </c>
      <c r="M116" s="14">
        <f ca="1">IF(L116&lt;0,-ASIN(K116)+PI(),ASIN(K116))</f>
        <v>6.4974446446695632E-3</v>
      </c>
      <c r="N116" s="14">
        <f ca="1">IF(PRODUCT($O$116:$O$120)=0,$G$6,COS(J116)*SIN(M116))</f>
        <v>2.2967009219450711E-3</v>
      </c>
      <c r="O116" s="15">
        <f ca="1">IF(J116&lt;0,0,1)</f>
        <v>1</v>
      </c>
      <c r="P116" s="13"/>
      <c r="Q116" s="13"/>
      <c r="R116" s="13"/>
      <c r="S116" s="13">
        <f ca="1">IF(PRODUCT($O$116:$O$120)=0,$G$6,+COS(J116)*COS(PI()+M116))</f>
        <v>-0.35347259233065809</v>
      </c>
      <c r="T116" s="13"/>
      <c r="U116" s="13"/>
      <c r="V116" s="14">
        <f ca="1">IF(PRODUCT($W$116:$W$120)=0,$G$6,-COS(J116)*SIN(M116+$E$8))</f>
        <v>2.2967009219450069E-3</v>
      </c>
      <c r="W116" s="15">
        <f ca="1">IF(OR(J116&lt;0,COS(PI()+M116+$E$8)&lt;0),0,1)</f>
        <v>1</v>
      </c>
      <c r="X116" s="13"/>
      <c r="Y116" s="13"/>
      <c r="Z116" s="13"/>
      <c r="AA116" s="13">
        <f ca="1">IF(PRODUCT($W$116:$W$120)=0,$G$6,SIN(J116))</f>
        <v>0.93544206214811587</v>
      </c>
      <c r="AB116" s="13"/>
      <c r="AC116" s="13"/>
    </row>
    <row r="117" spans="1:29" x14ac:dyDescent="0.35">
      <c r="A117" s="2" t="s">
        <v>146</v>
      </c>
      <c r="B117" s="12">
        <v>0</v>
      </c>
      <c r="C117" s="12">
        <v>35</v>
      </c>
      <c r="D117" s="12">
        <v>31</v>
      </c>
      <c r="E117" s="12">
        <v>0</v>
      </c>
      <c r="F117" s="12"/>
      <c r="G117" s="13">
        <f>+B117+C117/60</f>
        <v>0.58333333333333337</v>
      </c>
      <c r="H117" s="13">
        <f>(D117+E117/60)*PI()/180</f>
        <v>0.54105206811824214</v>
      </c>
      <c r="I117" s="13">
        <f t="shared" ca="1" si="88"/>
        <v>23.509948102777781</v>
      </c>
      <c r="J117" s="14">
        <f ca="1">ASIN(COS(H117)*COS(I117*PI()/12)*COS($D$8)+SIN($D$8)*SIN(H117))</f>
        <v>1.2447440913106236</v>
      </c>
      <c r="K117" s="14">
        <f ca="1">(COS(H117)*SIN(I117*PI()/12))/COS(J117)</f>
        <v>-0.3423887618933884</v>
      </c>
      <c r="L117" s="14">
        <f ca="1">(COS(H117)*COS(I117*PI()/12)*SIN($D$8)-COS($D$8)*SIN(H117))/COS(J117)</f>
        <v>0.93955837270981324</v>
      </c>
      <c r="M117" s="14">
        <f ca="1">IF(L117&lt;0,-ASIN(K117)+PI(),ASIN(K117))</f>
        <v>-0.34945815410312669</v>
      </c>
      <c r="N117" s="14">
        <f ca="1">IF(PRODUCT($O$116:$O$120)=0,$G$6,COS(J117)*SIN(M117))</f>
        <v>-0.10966909280763645</v>
      </c>
      <c r="O117" s="15">
        <f ca="1">IF(J117&lt;0,0,1)</f>
        <v>1</v>
      </c>
      <c r="P117" s="13"/>
      <c r="Q117" s="13"/>
      <c r="R117" s="13"/>
      <c r="S117" s="13">
        <f ca="1">IF(PRODUCT($O$116:$O$120)=0,$G$6,+COS(J117)*COS(PI()+M117))</f>
        <v>-0.30094595922219175</v>
      </c>
      <c r="T117" s="13"/>
      <c r="U117" s="13"/>
      <c r="V117" s="14">
        <f ca="1">IF(PRODUCT($W$116:$W$120)=0,$G$6,-COS(J117)*SIN(M117+$E$8))</f>
        <v>-0.10966909280763643</v>
      </c>
      <c r="W117" s="15">
        <f ca="1">IF(OR(J117&lt;0,COS(PI()+M117+$E$8)&lt;0),0,1)</f>
        <v>1</v>
      </c>
      <c r="X117" s="13"/>
      <c r="Y117" s="13"/>
      <c r="Z117" s="13"/>
      <c r="AA117" s="13">
        <f ca="1">IF(PRODUCT($W$116:$W$120)=0,$G$6,SIN(J117))</f>
        <v>0.94731421382273417</v>
      </c>
      <c r="AB117" s="13"/>
      <c r="AC117" s="13"/>
    </row>
    <row r="118" spans="1:29" x14ac:dyDescent="0.35">
      <c r="A118" s="2" t="s">
        <v>146</v>
      </c>
      <c r="B118" s="12">
        <v>1</v>
      </c>
      <c r="C118" s="12">
        <v>5</v>
      </c>
      <c r="D118" s="12">
        <v>36</v>
      </c>
      <c r="E118" s="12">
        <v>0</v>
      </c>
      <c r="F118" s="12"/>
      <c r="G118" s="13">
        <f>+B118+C118/60</f>
        <v>1.0833333333333333</v>
      </c>
      <c r="H118" s="13">
        <f>(D118+E118/60)*PI()/180</f>
        <v>0.62831853071795862</v>
      </c>
      <c r="I118" s="13">
        <f t="shared" ca="1" si="88"/>
        <v>23.009948102777781</v>
      </c>
      <c r="J118" s="14">
        <f ca="1">ASIN(COS(H118)*COS(I118*PI()/12)*COS($D$8)+SIN($D$8)*SIN(H118))</f>
        <v>1.2772776441626175</v>
      </c>
      <c r="K118" s="14">
        <f ca="1">(COS(H118)*SIN(I118*PI()/12))/COS(J118)</f>
        <v>-0.71668568865881654</v>
      </c>
      <c r="L118" s="14">
        <f ca="1">(COS(H118)*COS(I118*PI()/12)*SIN($D$8)-COS($D$8)*SIN(H118))/COS(J118)</f>
        <v>0.69739631750650855</v>
      </c>
      <c r="M118" s="14">
        <f ca="1">IF(L118&lt;0,-ASIN(K118)+PI(),ASIN(K118))</f>
        <v>-0.79903823149922804</v>
      </c>
      <c r="N118" s="14">
        <f ca="1">IF(PRODUCT($O$116:$O$120)=0,$G$6,COS(J118)*SIN(M118))</f>
        <v>-0.2073530830364857</v>
      </c>
      <c r="O118" s="15">
        <f ca="1">IF(J118&lt;0,0,1)</f>
        <v>1</v>
      </c>
      <c r="P118" s="13"/>
      <c r="Q118" s="13"/>
      <c r="R118" s="13"/>
      <c r="S118" s="13">
        <f ca="1">IF(PRODUCT($O$116:$O$120)=0,$G$6,+COS(J118)*COS(PI()+M118))</f>
        <v>-0.20177223966042879</v>
      </c>
      <c r="T118" s="13"/>
      <c r="U118" s="13"/>
      <c r="V118" s="14">
        <f ca="1">IF(PRODUCT($W$116:$W$120)=0,$G$6,-COS(J118)*SIN(M118+$E$8))</f>
        <v>-0.20735308303648572</v>
      </c>
      <c r="W118" s="15">
        <f ca="1">IF(OR(J118&lt;0,COS(PI()+M118+$E$8)&lt;0),0,1)</f>
        <v>1</v>
      </c>
      <c r="X118" s="13"/>
      <c r="Y118" s="13"/>
      <c r="Z118" s="13"/>
      <c r="AA118" s="13">
        <f ca="1">IF(PRODUCT($W$116:$W$120)=0,$G$6,SIN(J118))</f>
        <v>0.95723177039715868</v>
      </c>
      <c r="AB118" s="13"/>
      <c r="AC118" s="13"/>
    </row>
    <row r="119" spans="1:29" x14ac:dyDescent="0.35">
      <c r="A119" s="2" t="s">
        <v>146</v>
      </c>
      <c r="B119" s="12">
        <v>0</v>
      </c>
      <c r="C119" s="12">
        <v>50</v>
      </c>
      <c r="D119" s="12">
        <v>41</v>
      </c>
      <c r="E119" s="12">
        <v>0</v>
      </c>
      <c r="F119" s="12"/>
      <c r="G119" s="13">
        <f>+B119+C119/60</f>
        <v>0.83333333333333337</v>
      </c>
      <c r="H119" s="13">
        <f>(D119+E119/60)*PI()/180</f>
        <v>0.715584993317675</v>
      </c>
      <c r="I119" s="13">
        <f t="shared" ca="1" si="88"/>
        <v>23.259948102777781</v>
      </c>
      <c r="J119" s="14">
        <f ca="1">ASIN(COS(H119)*COS(I119*PI()/12)*COS($D$8)+SIN($D$8)*SIN(H119))</f>
        <v>1.3774867867958049</v>
      </c>
      <c r="K119" s="14">
        <f ca="1">(COS(H119)*SIN(I119*PI()/12))/COS(J119)</f>
        <v>-0.75638889551621835</v>
      </c>
      <c r="L119" s="14">
        <f ca="1">(COS(H119)*COS(I119*PI()/12)*SIN($D$8)-COS($D$8)*SIN(H119))/COS(J119)</f>
        <v>0.65412218945679512</v>
      </c>
      <c r="M119" s="14">
        <f ca="1">IF(L119&lt;0,-ASIN(K119)+PI(),ASIN(K119))</f>
        <v>-0.8577748175970874</v>
      </c>
      <c r="N119" s="14">
        <f ca="1">IF(PRODUCT($O$116:$O$120)=0,$G$6,COS(J119)*SIN(M119))</f>
        <v>-0.14530823468553372</v>
      </c>
      <c r="O119" s="15">
        <f ca="1">IF(J119&lt;0,0,1)</f>
        <v>1</v>
      </c>
      <c r="P119" s="13"/>
      <c r="Q119" s="13"/>
      <c r="R119" s="13"/>
      <c r="S119" s="13">
        <f ca="1">IF(PRODUCT($O$116:$O$120)=0,$G$6,+COS(J119)*COS(PI()+M119))</f>
        <v>-0.12566199898232844</v>
      </c>
      <c r="T119" s="13"/>
      <c r="U119" s="13"/>
      <c r="V119" s="14">
        <f ca="1">IF(PRODUCT($W$116:$W$120)=0,$G$6,-COS(J119)*SIN(M119+$E$8))</f>
        <v>-0.14530823468553375</v>
      </c>
      <c r="W119" s="15">
        <f ca="1">IF(OR(J119&lt;0,COS(PI()+M119+$E$8)&lt;0),0,1)</f>
        <v>1</v>
      </c>
      <c r="X119" s="13"/>
      <c r="Y119" s="13"/>
      <c r="Z119" s="13"/>
      <c r="AA119" s="13">
        <f ca="1">IF(PRODUCT($W$116:$W$120)=0,$G$6,SIN(J119))</f>
        <v>0.98137382222287706</v>
      </c>
      <c r="AB119" s="13"/>
      <c r="AC119" s="13"/>
    </row>
    <row r="120" spans="1:29" x14ac:dyDescent="0.35">
      <c r="A120" s="2" t="s">
        <v>146</v>
      </c>
      <c r="B120" s="12">
        <v>1</v>
      </c>
      <c r="C120" s="12">
        <v>5</v>
      </c>
      <c r="D120" s="12">
        <v>46</v>
      </c>
      <c r="E120" s="12">
        <v>0</v>
      </c>
      <c r="F120" s="12"/>
      <c r="G120" s="13">
        <f>+B120+C120/60</f>
        <v>1.0833333333333333</v>
      </c>
      <c r="H120" s="13">
        <f>(D120+E120/60)*PI()/180</f>
        <v>0.80285145591739149</v>
      </c>
      <c r="I120" s="13">
        <f t="shared" ca="1" si="88"/>
        <v>23.009948102777781</v>
      </c>
      <c r="J120" s="14">
        <f ca="1">ASIN(COS(H120)*COS(I120*PI()/12)*COS($D$8)+SIN($D$8)*SIN(H120))</f>
        <v>1.3889060471611823</v>
      </c>
      <c r="K120" s="14">
        <f ca="1">(COS(H120)*SIN(I120*PI()/12))/COS(J120)</f>
        <v>-0.98426487437140064</v>
      </c>
      <c r="L120" s="14">
        <f ca="1">(COS(H120)*COS(I120*PI()/12)*SIN($D$8)-COS($D$8)*SIN(H120))/COS(J120)</f>
        <v>0.17669934091176501</v>
      </c>
      <c r="M120" s="14">
        <f ca="1">IF(L120&lt;0,-ASIN(K120)+PI(),ASIN(K120))</f>
        <v>-1.3931643175288131</v>
      </c>
      <c r="N120" s="14">
        <f ca="1">IF(PRODUCT($O$116:$O$120)=0,$G$6,COS(J120)*SIN(M120))</f>
        <v>-0.17804268114671726</v>
      </c>
      <c r="O120" s="15">
        <f ca="1">IF(J120&lt;0,0,1)</f>
        <v>1</v>
      </c>
      <c r="P120" s="13"/>
      <c r="Q120" s="13"/>
      <c r="R120" s="13"/>
      <c r="S120" s="13">
        <f ca="1">IF(PRODUCT($O$116:$O$120)=0,$G$6,+COS(J120)*COS(PI()+M120))</f>
        <v>-3.1962965693436651E-2</v>
      </c>
      <c r="T120" s="13"/>
      <c r="U120" s="13"/>
      <c r="V120" s="14">
        <f ca="1">IF(PRODUCT($W$116:$W$120)=0,$G$6,-COS(J120)*SIN(M120+$E$8))</f>
        <v>-0.17804268114671726</v>
      </c>
      <c r="W120" s="15">
        <f ca="1">IF(OR(J120&lt;0,COS(PI()+M120+$E$8)&lt;0),0,1)</f>
        <v>1</v>
      </c>
      <c r="X120" s="13"/>
      <c r="Y120" s="13"/>
      <c r="Z120" s="13"/>
      <c r="AA120" s="13">
        <f ca="1">IF(PRODUCT($W$116:$W$120)=0,$G$6,SIN(J120))</f>
        <v>0.98350351931966595</v>
      </c>
      <c r="AB120" s="13"/>
      <c r="AC120" s="13"/>
    </row>
    <row r="122" spans="1:29" x14ac:dyDescent="0.35">
      <c r="A122" s="2" t="s">
        <v>147</v>
      </c>
      <c r="B122" s="12">
        <v>14</v>
      </c>
      <c r="C122" s="12">
        <v>2</v>
      </c>
      <c r="D122" s="12">
        <v>-27</v>
      </c>
      <c r="E122" s="12">
        <v>0</v>
      </c>
      <c r="F122" s="12"/>
      <c r="G122" s="13">
        <f t="shared" ref="G122:G132" si="89">+B122+C122/60</f>
        <v>14.033333333333333</v>
      </c>
      <c r="H122" s="13">
        <f t="shared" ref="H122:H132" si="90">(D122+E122/60)*PI()/180</f>
        <v>-0.47123889803846897</v>
      </c>
      <c r="I122" s="13">
        <f t="shared" ref="I122:I132" ca="1" si="91">IF($L$10-G122&lt;0,24+$L$10-G122,$L$10-G122)</f>
        <v>10.05994810277778</v>
      </c>
      <c r="J122" s="14">
        <f t="shared" ref="J122:J132" ca="1" si="92">ASIN(COS(H122)*COS(I122*PI()/12)*COS($D$8)+SIN($D$8)*SIN(H122))</f>
        <v>-1.0240724506569838</v>
      </c>
      <c r="K122" s="14">
        <f t="shared" ref="K122:K132" ca="1" si="93">(COS(H122)*SIN(I122*PI()/12))/COS(J122)</f>
        <v>0.8335174045924566</v>
      </c>
      <c r="L122" s="14">
        <f t="shared" ref="L122:L132" ca="1" si="94">(COS(H122)*COS(I122*PI()/12)*SIN($D$8)-COS($D$8)*SIN(H122))/COS(J122)</f>
        <v>-0.5524932001766667</v>
      </c>
      <c r="M122" s="14">
        <f t="shared" ref="M122:M132" ca="1" si="95">IF(L122&lt;0,-ASIN(K122)+PI(),ASIN(K122))</f>
        <v>2.1561487891824394</v>
      </c>
      <c r="N122" s="14">
        <f t="shared" ref="N122:N132" ca="1" si="96">IF(PRODUCT($O$122:$O$132)=0,$G$6,COS(J122)*SIN(M122))</f>
        <v>1000000</v>
      </c>
      <c r="O122" s="15">
        <f t="shared" ref="O122:O132" ca="1" si="97">IF(J122&lt;0,0,1)</f>
        <v>0</v>
      </c>
      <c r="P122" s="13"/>
      <c r="Q122" s="13"/>
      <c r="R122" s="13"/>
      <c r="S122" s="13">
        <f t="shared" ref="S122:S132" ca="1" si="98">IF(PRODUCT($O$122:$O$132)=0,$G$6,+COS(J122)*COS(PI()+M122))</f>
        <v>1000000</v>
      </c>
      <c r="T122" s="13"/>
      <c r="U122" s="13"/>
      <c r="V122" s="14">
        <f t="shared" ref="V122:V132" ca="1" si="99">IF(PRODUCT($W$122:$W$132)=0,$G$6,-COS(J122)*SIN(M122+$E$8))</f>
        <v>1000000</v>
      </c>
      <c r="W122" s="15">
        <f t="shared" ref="W122:W132" ca="1" si="100">IF(OR(J122&lt;0,COS(PI()+M122+$E$8)&lt;0),0,1)</f>
        <v>0</v>
      </c>
      <c r="X122" s="13"/>
      <c r="Y122" s="13"/>
      <c r="Z122" s="13"/>
      <c r="AA122" s="13">
        <f t="shared" ref="AA122:AA132" ca="1" si="101">IF(PRODUCT($W$122:$W$132)=0,$G$6,SIN(J122))</f>
        <v>1000000</v>
      </c>
      <c r="AB122" s="13"/>
      <c r="AC122" s="13"/>
    </row>
    <row r="123" spans="1:29" x14ac:dyDescent="0.35">
      <c r="A123" s="2" t="s">
        <v>147</v>
      </c>
      <c r="B123" s="12">
        <v>13</v>
      </c>
      <c r="C123" s="12">
        <v>15</v>
      </c>
      <c r="D123" s="12">
        <v>-22</v>
      </c>
      <c r="E123" s="12">
        <v>0</v>
      </c>
      <c r="F123" s="12"/>
      <c r="G123" s="13">
        <f t="shared" si="89"/>
        <v>13.25</v>
      </c>
      <c r="H123" s="13">
        <f t="shared" si="90"/>
        <v>-0.38397243543875248</v>
      </c>
      <c r="I123" s="13">
        <f t="shared" ca="1" si="91"/>
        <v>10.843281436111113</v>
      </c>
      <c r="J123" s="14">
        <f t="shared" ca="1" si="92"/>
        <v>-1.0442579799051905</v>
      </c>
      <c r="K123" s="14">
        <f t="shared" ca="1" si="93"/>
        <v>0.55021221826184186</v>
      </c>
      <c r="L123" s="14">
        <f t="shared" ca="1" si="94"/>
        <v>-0.8350248588367799</v>
      </c>
      <c r="M123" s="14">
        <f t="shared" ca="1" si="95"/>
        <v>2.5589742909537527</v>
      </c>
      <c r="N123" s="14">
        <f t="shared" ca="1" si="96"/>
        <v>1000000</v>
      </c>
      <c r="O123" s="15">
        <f t="shared" ca="1" si="97"/>
        <v>0</v>
      </c>
      <c r="P123" s="13"/>
      <c r="Q123" s="13"/>
      <c r="R123" s="13"/>
      <c r="S123" s="13">
        <f t="shared" ca="1" si="98"/>
        <v>1000000</v>
      </c>
      <c r="T123" s="13"/>
      <c r="U123" s="13"/>
      <c r="V123" s="14">
        <f t="shared" ca="1" si="99"/>
        <v>1000000</v>
      </c>
      <c r="W123" s="15">
        <f t="shared" ca="1" si="100"/>
        <v>0</v>
      </c>
      <c r="X123" s="13"/>
      <c r="Y123" s="13"/>
      <c r="Z123" s="13"/>
      <c r="AA123" s="13">
        <f t="shared" ca="1" si="101"/>
        <v>1000000</v>
      </c>
      <c r="AB123" s="13"/>
      <c r="AC123" s="13"/>
    </row>
    <row r="124" spans="1:29" x14ac:dyDescent="0.35">
      <c r="A124" s="2" t="s">
        <v>147</v>
      </c>
      <c r="B124" s="12">
        <v>11</v>
      </c>
      <c r="C124" s="12">
        <v>50</v>
      </c>
      <c r="D124" s="12">
        <v>-33</v>
      </c>
      <c r="E124" s="12">
        <v>0</v>
      </c>
      <c r="F124" s="12"/>
      <c r="G124" s="13">
        <f t="shared" si="89"/>
        <v>11.833333333333334</v>
      </c>
      <c r="H124" s="13">
        <f t="shared" si="90"/>
        <v>-0.57595865315812877</v>
      </c>
      <c r="I124" s="13">
        <f t="shared" ca="1" si="91"/>
        <v>12.259948102777779</v>
      </c>
      <c r="J124" s="14">
        <f t="shared" ca="1" si="92"/>
        <v>-1.2898068710716553</v>
      </c>
      <c r="K124" s="14">
        <f t="shared" ca="1" si="93"/>
        <v>-0.20566076699202043</v>
      </c>
      <c r="L124" s="14">
        <f t="shared" ca="1" si="94"/>
        <v>-0.97862334374377791</v>
      </c>
      <c r="M124" s="14">
        <f t="shared" ca="1" si="95"/>
        <v>3.34873151352638</v>
      </c>
      <c r="N124" s="14">
        <f t="shared" ca="1" si="96"/>
        <v>1000000</v>
      </c>
      <c r="O124" s="15">
        <f t="shared" ca="1" si="97"/>
        <v>0</v>
      </c>
      <c r="P124" s="13"/>
      <c r="Q124" s="13"/>
      <c r="R124" s="13"/>
      <c r="S124" s="13">
        <f t="shared" ca="1" si="98"/>
        <v>1000000</v>
      </c>
      <c r="T124" s="13"/>
      <c r="U124" s="13"/>
      <c r="V124" s="14">
        <f t="shared" ca="1" si="99"/>
        <v>1000000</v>
      </c>
      <c r="W124" s="15">
        <f t="shared" ca="1" si="100"/>
        <v>0</v>
      </c>
      <c r="X124" s="13"/>
      <c r="Y124" s="13"/>
      <c r="Z124" s="13"/>
      <c r="AA124" s="13">
        <f t="shared" ca="1" si="101"/>
        <v>1000000</v>
      </c>
      <c r="AB124" s="13"/>
      <c r="AC124" s="13"/>
    </row>
    <row r="125" spans="1:29" x14ac:dyDescent="0.35">
      <c r="A125" s="2" t="s">
        <v>147</v>
      </c>
      <c r="B125" s="12">
        <v>10</v>
      </c>
      <c r="C125" s="12">
        <v>50</v>
      </c>
      <c r="D125" s="12">
        <v>-17</v>
      </c>
      <c r="E125" s="12">
        <v>0</v>
      </c>
      <c r="F125" s="12"/>
      <c r="G125" s="13">
        <f t="shared" si="89"/>
        <v>10.833333333333334</v>
      </c>
      <c r="H125" s="13">
        <f t="shared" si="90"/>
        <v>-0.29670597283903605</v>
      </c>
      <c r="I125" s="13">
        <f t="shared" ca="1" si="91"/>
        <v>13.259948102777779</v>
      </c>
      <c r="J125" s="14">
        <f t="shared" ca="1" si="92"/>
        <v>-0.95385193039724259</v>
      </c>
      <c r="K125" s="14">
        <f t="shared" ca="1" si="93"/>
        <v>-0.53539685620283506</v>
      </c>
      <c r="L125" s="14">
        <f t="shared" ca="1" si="94"/>
        <v>-0.84460061944573606</v>
      </c>
      <c r="M125" s="14">
        <f t="shared" ca="1" si="95"/>
        <v>3.7065702051771172</v>
      </c>
      <c r="N125" s="14">
        <f t="shared" ca="1" si="96"/>
        <v>1000000</v>
      </c>
      <c r="O125" s="15">
        <f t="shared" ca="1" si="97"/>
        <v>0</v>
      </c>
      <c r="P125" s="13"/>
      <c r="Q125" s="13"/>
      <c r="R125" s="13"/>
      <c r="S125" s="13">
        <f t="shared" ca="1" si="98"/>
        <v>1000000</v>
      </c>
      <c r="T125" s="13"/>
      <c r="U125" s="13"/>
      <c r="V125" s="14">
        <f t="shared" ca="1" si="99"/>
        <v>1000000</v>
      </c>
      <c r="W125" s="15">
        <f t="shared" ca="1" si="100"/>
        <v>0</v>
      </c>
      <c r="X125" s="13"/>
      <c r="Y125" s="13"/>
      <c r="Z125" s="13"/>
      <c r="AA125" s="13">
        <f t="shared" ca="1" si="101"/>
        <v>1000000</v>
      </c>
      <c r="AB125" s="13"/>
      <c r="AC125" s="13"/>
    </row>
    <row r="126" spans="1:29" x14ac:dyDescent="0.35">
      <c r="A126" s="2" t="s">
        <v>147</v>
      </c>
      <c r="B126" s="12">
        <v>9</v>
      </c>
      <c r="C126" s="12">
        <v>25</v>
      </c>
      <c r="D126" s="12">
        <v>-8</v>
      </c>
      <c r="E126" s="12">
        <v>-4</v>
      </c>
      <c r="F126" s="12"/>
      <c r="G126" s="13">
        <f t="shared" si="89"/>
        <v>9.4166666666666661</v>
      </c>
      <c r="H126" s="13">
        <f t="shared" si="90"/>
        <v>-0.14078989299420924</v>
      </c>
      <c r="I126" s="13">
        <f t="shared" ca="1" si="91"/>
        <v>14.676614769444447</v>
      </c>
      <c r="J126" s="14">
        <f t="shared" ca="1" si="92"/>
        <v>-0.64826522530961173</v>
      </c>
      <c r="K126" s="14">
        <f t="shared" ca="1" si="93"/>
        <v>-0.80087155498426921</v>
      </c>
      <c r="L126" s="14">
        <f t="shared" ca="1" si="94"/>
        <v>-0.5988361649208227</v>
      </c>
      <c r="M126" s="14">
        <f t="shared" ca="1" si="95"/>
        <v>4.0703418731576306</v>
      </c>
      <c r="N126" s="14">
        <f t="shared" ca="1" si="96"/>
        <v>1000000</v>
      </c>
      <c r="O126" s="15">
        <f t="shared" ca="1" si="97"/>
        <v>0</v>
      </c>
      <c r="P126" s="13"/>
      <c r="Q126" s="13"/>
      <c r="R126" s="13"/>
      <c r="S126" s="13">
        <f t="shared" ca="1" si="98"/>
        <v>1000000</v>
      </c>
      <c r="T126" s="13"/>
      <c r="U126" s="13"/>
      <c r="V126" s="14">
        <f t="shared" ca="1" si="99"/>
        <v>1000000</v>
      </c>
      <c r="W126" s="15">
        <f t="shared" ca="1" si="100"/>
        <v>0</v>
      </c>
      <c r="X126" s="13"/>
      <c r="Y126" s="13"/>
      <c r="Z126" s="13"/>
      <c r="AA126" s="13">
        <f t="shared" ca="1" si="101"/>
        <v>1000000</v>
      </c>
      <c r="AB126" s="13"/>
      <c r="AC126" s="13"/>
    </row>
    <row r="127" spans="1:29" x14ac:dyDescent="0.35">
      <c r="A127" s="2" t="s">
        <v>147</v>
      </c>
      <c r="B127" s="12">
        <v>9</v>
      </c>
      <c r="C127" s="12">
        <v>40</v>
      </c>
      <c r="D127" s="12">
        <v>-2</v>
      </c>
      <c r="E127" s="12">
        <v>0</v>
      </c>
      <c r="F127" s="12"/>
      <c r="G127" s="13">
        <f t="shared" si="89"/>
        <v>9.6666666666666661</v>
      </c>
      <c r="H127" s="13">
        <f t="shared" si="90"/>
        <v>-3.4906585039886591E-2</v>
      </c>
      <c r="I127" s="13">
        <f t="shared" ca="1" si="91"/>
        <v>14.426614769444447</v>
      </c>
      <c r="J127" s="14">
        <f t="shared" ca="1" si="92"/>
        <v>-0.58929787361195429</v>
      </c>
      <c r="K127" s="14">
        <f t="shared" ca="1" si="93"/>
        <v>-0.71336974582414769</v>
      </c>
      <c r="L127" s="14">
        <f t="shared" ca="1" si="94"/>
        <v>-0.70078784645767878</v>
      </c>
      <c r="M127" s="14">
        <f t="shared" ca="1" si="95"/>
        <v>3.935887680719679</v>
      </c>
      <c r="N127" s="14">
        <f t="shared" ca="1" si="96"/>
        <v>1000000</v>
      </c>
      <c r="O127" s="15">
        <f t="shared" ca="1" si="97"/>
        <v>0</v>
      </c>
      <c r="P127" s="13"/>
      <c r="Q127" s="13"/>
      <c r="R127" s="13"/>
      <c r="S127" s="13">
        <f t="shared" ca="1" si="98"/>
        <v>1000000</v>
      </c>
      <c r="T127" s="13"/>
      <c r="U127" s="13"/>
      <c r="V127" s="14">
        <f t="shared" ca="1" si="99"/>
        <v>1000000</v>
      </c>
      <c r="W127" s="15">
        <f t="shared" ca="1" si="100"/>
        <v>0</v>
      </c>
      <c r="X127" s="13"/>
      <c r="Y127" s="13"/>
      <c r="Z127" s="13"/>
      <c r="AA127" s="13">
        <f t="shared" ca="1" si="101"/>
        <v>1000000</v>
      </c>
      <c r="AB127" s="13"/>
      <c r="AC127" s="13"/>
    </row>
    <row r="128" spans="1:29" x14ac:dyDescent="0.35">
      <c r="A128" s="2" t="s">
        <v>147</v>
      </c>
      <c r="B128" s="12">
        <v>8</v>
      </c>
      <c r="C128" s="12">
        <v>45</v>
      </c>
      <c r="D128" s="12">
        <v>8</v>
      </c>
      <c r="E128" s="12">
        <v>0</v>
      </c>
      <c r="F128" s="12"/>
      <c r="G128" s="13">
        <f t="shared" si="89"/>
        <v>8.75</v>
      </c>
      <c r="H128" s="13">
        <f t="shared" si="90"/>
        <v>0.13962634015954636</v>
      </c>
      <c r="I128" s="13">
        <f t="shared" ca="1" si="91"/>
        <v>15.343281436111113</v>
      </c>
      <c r="J128" s="14">
        <f t="shared" ca="1" si="92"/>
        <v>-0.31827335737203721</v>
      </c>
      <c r="K128" s="14">
        <f t="shared" ca="1" si="93"/>
        <v>-0.80044520739371217</v>
      </c>
      <c r="L128" s="14">
        <f t="shared" ca="1" si="94"/>
        <v>-0.59940593086858684</v>
      </c>
      <c r="M128" s="14">
        <f t="shared" ca="1" si="95"/>
        <v>4.0696302514009544</v>
      </c>
      <c r="N128" s="14">
        <f t="shared" ca="1" si="96"/>
        <v>1000000</v>
      </c>
      <c r="O128" s="15">
        <f t="shared" ca="1" si="97"/>
        <v>0</v>
      </c>
      <c r="P128" s="13"/>
      <c r="Q128" s="13"/>
      <c r="R128" s="13"/>
      <c r="S128" s="13">
        <f t="shared" ca="1" si="98"/>
        <v>1000000</v>
      </c>
      <c r="T128" s="13"/>
      <c r="U128" s="13"/>
      <c r="V128" s="14">
        <f t="shared" ca="1" si="99"/>
        <v>1000000</v>
      </c>
      <c r="W128" s="15">
        <f t="shared" ca="1" si="100"/>
        <v>0</v>
      </c>
      <c r="X128" s="13"/>
      <c r="Y128" s="13"/>
      <c r="Z128" s="13"/>
      <c r="AA128" s="13">
        <f t="shared" ca="1" si="101"/>
        <v>1000000</v>
      </c>
      <c r="AB128" s="13"/>
      <c r="AC128" s="13"/>
    </row>
    <row r="129" spans="1:29" x14ac:dyDescent="0.35">
      <c r="A129" s="2" t="s">
        <v>147</v>
      </c>
      <c r="B129" s="12">
        <v>8</v>
      </c>
      <c r="C129" s="12">
        <v>35</v>
      </c>
      <c r="D129" s="12">
        <v>6</v>
      </c>
      <c r="E129" s="12">
        <v>0</v>
      </c>
      <c r="F129" s="12"/>
      <c r="G129" s="13">
        <f t="shared" si="89"/>
        <v>8.5833333333333339</v>
      </c>
      <c r="H129" s="13">
        <f t="shared" si="90"/>
        <v>0.10471975511965977</v>
      </c>
      <c r="I129" s="13">
        <f t="shared" ca="1" si="91"/>
        <v>15.509948102777779</v>
      </c>
      <c r="J129" s="14">
        <f t="shared" ca="1" si="92"/>
        <v>-0.32412578074270693</v>
      </c>
      <c r="K129" s="14">
        <f t="shared" ca="1" si="93"/>
        <v>-0.83400860388664355</v>
      </c>
      <c r="L129" s="14">
        <f t="shared" ca="1" si="94"/>
        <v>-0.55175143737289123</v>
      </c>
      <c r="M129" s="14">
        <f t="shared" ca="1" si="95"/>
        <v>4.1279261745915026</v>
      </c>
      <c r="N129" s="14">
        <f t="shared" ca="1" si="96"/>
        <v>1000000</v>
      </c>
      <c r="O129" s="15">
        <f t="shared" ca="1" si="97"/>
        <v>0</v>
      </c>
      <c r="P129" s="13"/>
      <c r="Q129" s="13"/>
      <c r="R129" s="13"/>
      <c r="S129" s="13">
        <f t="shared" ca="1" si="98"/>
        <v>1000000</v>
      </c>
      <c r="T129" s="13"/>
      <c r="U129" s="13"/>
      <c r="V129" s="14">
        <f t="shared" ca="1" si="99"/>
        <v>1000000</v>
      </c>
      <c r="W129" s="15">
        <f t="shared" ca="1" si="100"/>
        <v>0</v>
      </c>
      <c r="X129" s="13"/>
      <c r="Y129" s="13"/>
      <c r="Z129" s="13"/>
      <c r="AA129" s="13">
        <f t="shared" ca="1" si="101"/>
        <v>1000000</v>
      </c>
      <c r="AB129" s="13"/>
      <c r="AC129" s="13"/>
    </row>
    <row r="130" spans="1:29" x14ac:dyDescent="0.35">
      <c r="A130" s="2" t="s">
        <v>147</v>
      </c>
      <c r="B130" s="12">
        <v>8</v>
      </c>
      <c r="C130" s="12">
        <v>36</v>
      </c>
      <c r="D130" s="12">
        <v>4</v>
      </c>
      <c r="E130" s="12">
        <v>0</v>
      </c>
      <c r="F130" s="12"/>
      <c r="G130" s="13">
        <f t="shared" si="89"/>
        <v>8.6</v>
      </c>
      <c r="H130" s="13">
        <f t="shared" si="90"/>
        <v>6.9813170079773182E-2</v>
      </c>
      <c r="I130" s="13">
        <f t="shared" ca="1" si="91"/>
        <v>15.493281436111113</v>
      </c>
      <c r="J130" s="14">
        <f t="shared" ca="1" si="92"/>
        <v>-0.35559182221988578</v>
      </c>
      <c r="K130" s="14">
        <f t="shared" ca="1" si="93"/>
        <v>-0.84309489581989383</v>
      </c>
      <c r="L130" s="14">
        <f t="shared" ca="1" si="94"/>
        <v>-0.53776481536303788</v>
      </c>
      <c r="M130" s="14">
        <f t="shared" ca="1" si="95"/>
        <v>4.1446052856454507</v>
      </c>
      <c r="N130" s="14">
        <f t="shared" ca="1" si="96"/>
        <v>1000000</v>
      </c>
      <c r="O130" s="15">
        <f t="shared" ca="1" si="97"/>
        <v>0</v>
      </c>
      <c r="P130" s="13"/>
      <c r="Q130" s="13"/>
      <c r="R130" s="13"/>
      <c r="S130" s="13">
        <f t="shared" ca="1" si="98"/>
        <v>1000000</v>
      </c>
      <c r="T130" s="13"/>
      <c r="U130" s="13"/>
      <c r="V130" s="14">
        <f t="shared" ca="1" si="99"/>
        <v>1000000</v>
      </c>
      <c r="W130" s="15">
        <f t="shared" ca="1" si="100"/>
        <v>0</v>
      </c>
      <c r="X130" s="13"/>
      <c r="Y130" s="13"/>
      <c r="Z130" s="13"/>
      <c r="AA130" s="13">
        <f t="shared" ca="1" si="101"/>
        <v>1000000</v>
      </c>
      <c r="AB130" s="13"/>
      <c r="AC130" s="13"/>
    </row>
    <row r="131" spans="1:29" x14ac:dyDescent="0.35">
      <c r="A131" s="2" t="s">
        <v>147</v>
      </c>
      <c r="B131" s="12">
        <v>8</v>
      </c>
      <c r="C131" s="12">
        <v>40</v>
      </c>
      <c r="D131" s="12">
        <v>4</v>
      </c>
      <c r="E131" s="12">
        <v>0</v>
      </c>
      <c r="F131" s="12"/>
      <c r="G131" s="13">
        <f t="shared" si="89"/>
        <v>8.6666666666666661</v>
      </c>
      <c r="H131" s="13">
        <f t="shared" si="90"/>
        <v>6.9813170079773182E-2</v>
      </c>
      <c r="I131" s="13">
        <f t="shared" ca="1" si="91"/>
        <v>15.426614769444447</v>
      </c>
      <c r="J131" s="14">
        <f t="shared" ca="1" si="92"/>
        <v>-0.36522966231232451</v>
      </c>
      <c r="K131" s="14">
        <f t="shared" ca="1" si="93"/>
        <v>-0.83466104665681362</v>
      </c>
      <c r="L131" s="14">
        <f t="shared" ca="1" si="94"/>
        <v>-0.55076395778386988</v>
      </c>
      <c r="M131" s="14">
        <f t="shared" ca="1" si="95"/>
        <v>4.1291097275774735</v>
      </c>
      <c r="N131" s="14">
        <f t="shared" ca="1" si="96"/>
        <v>1000000</v>
      </c>
      <c r="O131" s="15">
        <f t="shared" ca="1" si="97"/>
        <v>0</v>
      </c>
      <c r="P131" s="13"/>
      <c r="Q131" s="13"/>
      <c r="R131" s="13"/>
      <c r="S131" s="13">
        <f t="shared" ca="1" si="98"/>
        <v>1000000</v>
      </c>
      <c r="T131" s="13"/>
      <c r="U131" s="13"/>
      <c r="V131" s="14">
        <f t="shared" ca="1" si="99"/>
        <v>1000000</v>
      </c>
      <c r="W131" s="15">
        <f t="shared" ca="1" si="100"/>
        <v>0</v>
      </c>
      <c r="X131" s="13"/>
      <c r="Y131" s="13"/>
      <c r="Z131" s="13"/>
      <c r="AA131" s="13">
        <f t="shared" ca="1" si="101"/>
        <v>1000000</v>
      </c>
      <c r="AB131" s="13"/>
      <c r="AC131" s="13"/>
    </row>
    <row r="132" spans="1:29" x14ac:dyDescent="0.35">
      <c r="A132" s="2" t="s">
        <v>147</v>
      </c>
      <c r="B132" s="12">
        <v>8</v>
      </c>
      <c r="C132" s="12">
        <v>45</v>
      </c>
      <c r="D132" s="12">
        <v>8</v>
      </c>
      <c r="E132" s="12">
        <v>0</v>
      </c>
      <c r="F132" s="12"/>
      <c r="G132" s="13">
        <f t="shared" si="89"/>
        <v>8.75</v>
      </c>
      <c r="H132" s="13">
        <f t="shared" si="90"/>
        <v>0.13962634015954636</v>
      </c>
      <c r="I132" s="13">
        <f t="shared" ca="1" si="91"/>
        <v>15.343281436111113</v>
      </c>
      <c r="J132" s="14">
        <f t="shared" ca="1" si="92"/>
        <v>-0.31827335737203721</v>
      </c>
      <c r="K132" s="14">
        <f t="shared" ca="1" si="93"/>
        <v>-0.80044520739371217</v>
      </c>
      <c r="L132" s="14">
        <f t="shared" ca="1" si="94"/>
        <v>-0.59940593086858684</v>
      </c>
      <c r="M132" s="14">
        <f t="shared" ca="1" si="95"/>
        <v>4.0696302514009544</v>
      </c>
      <c r="N132" s="14">
        <f t="shared" ca="1" si="96"/>
        <v>1000000</v>
      </c>
      <c r="O132" s="15">
        <f t="shared" ca="1" si="97"/>
        <v>0</v>
      </c>
      <c r="P132" s="13"/>
      <c r="Q132" s="13"/>
      <c r="R132" s="13"/>
      <c r="S132" s="13">
        <f t="shared" ca="1" si="98"/>
        <v>1000000</v>
      </c>
      <c r="T132" s="13"/>
      <c r="U132" s="13"/>
      <c r="V132" s="14">
        <f t="shared" ca="1" si="99"/>
        <v>1000000</v>
      </c>
      <c r="W132" s="15">
        <f t="shared" ca="1" si="100"/>
        <v>0</v>
      </c>
      <c r="X132" s="13"/>
      <c r="Y132" s="13"/>
      <c r="Z132" s="13"/>
      <c r="AA132" s="13">
        <f t="shared" ca="1" si="101"/>
        <v>1000000</v>
      </c>
      <c r="AB132" s="13"/>
      <c r="AC132" s="13"/>
    </row>
    <row r="134" spans="1:29" x14ac:dyDescent="0.35">
      <c r="A134" s="2" t="s">
        <v>148</v>
      </c>
      <c r="B134" s="12">
        <v>12</v>
      </c>
      <c r="C134" s="12">
        <v>23</v>
      </c>
      <c r="D134" s="12">
        <v>-62</v>
      </c>
      <c r="E134" s="12">
        <v>-8</v>
      </c>
      <c r="F134" s="12"/>
      <c r="G134" s="13">
        <f t="shared" ref="G134:G140" si="102">+B134+C134/60</f>
        <v>12.383333333333333</v>
      </c>
      <c r="H134" s="13">
        <f t="shared" ref="H134:H140" si="103">(D134+E134/60)*PI()/180</f>
        <v>-1.08443124190581</v>
      </c>
      <c r="I134" s="13">
        <f t="shared" ref="I134:I140" ca="1" si="104">IF($L$10-G134&lt;0,24+$L$10-G134,$L$10-G134)</f>
        <v>11.70994810277778</v>
      </c>
      <c r="J134" s="14">
        <f t="shared" ref="J134:J140" ca="1" si="105">ASIN(COS(H134)*COS(I134*PI()/12)*COS($D$8)+SIN($D$8)*SIN(H134))</f>
        <v>-1.3348443403268959</v>
      </c>
      <c r="K134" s="14">
        <f t="shared" ref="K134:K140" ca="1" si="106">(COS(H134)*SIN(I134*PI()/12))/COS(J134)</f>
        <v>0.15168537493135442</v>
      </c>
      <c r="L134" s="14">
        <f t="shared" ref="L134:L140" ca="1" si="107">(COS(H134)*COS(I134*PI()/12)*SIN($D$8)-COS($D$8)*SIN(H134))/COS(J134)</f>
        <v>0.98842882749944483</v>
      </c>
      <c r="M134" s="14">
        <f t="shared" ref="M134:M140" ca="1" si="108">IF(L134&lt;0,-ASIN(K134)+PI(),ASIN(K134))</f>
        <v>0.15227315557107593</v>
      </c>
      <c r="N134" s="14">
        <f t="shared" ref="N134:N140" ca="1" si="109">IF(PRODUCT($O$134:$O$140)=0,$G$6,COS(J134)*SIN(M134))</f>
        <v>1000000</v>
      </c>
      <c r="O134" s="15">
        <f t="shared" ref="O134:O140" ca="1" si="110">IF(J134&lt;0,0,1)</f>
        <v>0</v>
      </c>
      <c r="P134" s="13"/>
      <c r="Q134" s="13"/>
      <c r="R134" s="13"/>
      <c r="S134" s="13">
        <f t="shared" ref="S134:S140" ca="1" si="111">IF(PRODUCT($O$134:$O$140)=0,$G$6,+COS(J134)*COS(PI()+M134))</f>
        <v>1000000</v>
      </c>
      <c r="T134" s="13"/>
      <c r="U134" s="13"/>
      <c r="V134" s="14">
        <f t="shared" ref="V134:V140" ca="1" si="112">IF(PRODUCT($W$134:$W$140)=0,$G$6,-COS(J134)*SIN(M134+$E$8))</f>
        <v>1000000</v>
      </c>
      <c r="W134" s="15">
        <f t="shared" ref="W134:W140" ca="1" si="113">IF(OR(J134&lt;0,COS(PI()+M134+$E$8)&lt;0),0,1)</f>
        <v>0</v>
      </c>
      <c r="X134" s="13"/>
      <c r="Y134" s="13"/>
      <c r="Z134" s="13"/>
      <c r="AA134" s="13">
        <f t="shared" ref="AA134:AA140" ca="1" si="114">IF(PRODUCT($W$134:$W$140)=0,$G$6,SIN(J134))</f>
        <v>1000000</v>
      </c>
      <c r="AB134" s="13"/>
      <c r="AC134" s="13"/>
    </row>
    <row r="135" spans="1:29" x14ac:dyDescent="0.35">
      <c r="A135" s="2" t="s">
        <v>148</v>
      </c>
      <c r="B135" s="12">
        <v>12</v>
      </c>
      <c r="C135" s="12">
        <v>24</v>
      </c>
      <c r="D135" s="12">
        <v>-59</v>
      </c>
      <c r="E135" s="12">
        <v>0</v>
      </c>
      <c r="F135" s="12"/>
      <c r="G135" s="13">
        <f t="shared" si="102"/>
        <v>12.4</v>
      </c>
      <c r="H135" s="13">
        <f t="shared" si="103"/>
        <v>-1.0297442586766543</v>
      </c>
      <c r="I135" s="13">
        <f t="shared" ca="1" si="104"/>
        <v>11.693281436111112</v>
      </c>
      <c r="J135" s="14">
        <f t="shared" ca="1" si="105"/>
        <v>-1.3872688812196363</v>
      </c>
      <c r="K135" s="14">
        <f t="shared" ca="1" si="106"/>
        <v>0.22637107952090482</v>
      </c>
      <c r="L135" s="14">
        <f t="shared" ca="1" si="107"/>
        <v>0.97404113586467078</v>
      </c>
      <c r="M135" s="14">
        <f t="shared" ca="1" si="108"/>
        <v>0.22835042620665719</v>
      </c>
      <c r="N135" s="14">
        <f t="shared" ca="1" si="109"/>
        <v>1000000</v>
      </c>
      <c r="O135" s="15">
        <f t="shared" ca="1" si="110"/>
        <v>0</v>
      </c>
      <c r="P135" s="13"/>
      <c r="Q135" s="13"/>
      <c r="R135" s="13"/>
      <c r="S135" s="13">
        <f t="shared" ca="1" si="111"/>
        <v>1000000</v>
      </c>
      <c r="T135" s="13"/>
      <c r="U135" s="13"/>
      <c r="V135" s="14">
        <f t="shared" ca="1" si="112"/>
        <v>1000000</v>
      </c>
      <c r="W135" s="15">
        <f t="shared" ca="1" si="113"/>
        <v>0</v>
      </c>
      <c r="X135" s="13"/>
      <c r="Y135" s="13"/>
      <c r="Z135" s="13"/>
      <c r="AA135" s="13">
        <f t="shared" ca="1" si="114"/>
        <v>1000000</v>
      </c>
      <c r="AB135" s="13"/>
      <c r="AC135" s="13"/>
    </row>
    <row r="136" spans="1:29" x14ac:dyDescent="0.35">
      <c r="A136" s="2" t="s">
        <v>148</v>
      </c>
      <c r="B136" s="12">
        <v>12</v>
      </c>
      <c r="C136" s="12">
        <v>28</v>
      </c>
      <c r="D136" s="12">
        <v>-56</v>
      </c>
      <c r="E136" s="12">
        <v>-8</v>
      </c>
      <c r="F136" s="12"/>
      <c r="G136" s="13">
        <f t="shared" si="102"/>
        <v>12.466666666666667</v>
      </c>
      <c r="H136" s="13">
        <f t="shared" si="103"/>
        <v>-0.97971148678615028</v>
      </c>
      <c r="I136" s="13">
        <f t="shared" ca="1" si="104"/>
        <v>11.626614769444446</v>
      </c>
      <c r="J136" s="14">
        <f t="shared" ca="1" si="105"/>
        <v>-1.4302761652854588</v>
      </c>
      <c r="K136" s="14">
        <f t="shared" ca="1" si="106"/>
        <v>0.38831573224637256</v>
      </c>
      <c r="L136" s="14">
        <f t="shared" ca="1" si="107"/>
        <v>0.92152639250863011</v>
      </c>
      <c r="M136" s="14">
        <f t="shared" ca="1" si="108"/>
        <v>0.39880319387971541</v>
      </c>
      <c r="N136" s="14">
        <f t="shared" ca="1" si="109"/>
        <v>1000000</v>
      </c>
      <c r="O136" s="15">
        <f t="shared" ca="1" si="110"/>
        <v>0</v>
      </c>
      <c r="P136" s="13"/>
      <c r="Q136" s="13"/>
      <c r="R136" s="13"/>
      <c r="S136" s="13">
        <f t="shared" ca="1" si="111"/>
        <v>1000000</v>
      </c>
      <c r="T136" s="13"/>
      <c r="U136" s="13"/>
      <c r="V136" s="14">
        <f t="shared" ca="1" si="112"/>
        <v>1000000</v>
      </c>
      <c r="W136" s="15">
        <f t="shared" ca="1" si="113"/>
        <v>0</v>
      </c>
      <c r="X136" s="13"/>
      <c r="Y136" s="13"/>
      <c r="Z136" s="13"/>
      <c r="AA136" s="13">
        <f t="shared" ca="1" si="114"/>
        <v>1000000</v>
      </c>
      <c r="AB136" s="13"/>
      <c r="AC136" s="13"/>
    </row>
    <row r="137" spans="1:29" x14ac:dyDescent="0.35">
      <c r="A137" s="2" t="s">
        <v>148</v>
      </c>
      <c r="B137" s="12">
        <v>12</v>
      </c>
      <c r="C137" s="12">
        <v>24</v>
      </c>
      <c r="D137" s="12">
        <v>-59</v>
      </c>
      <c r="E137" s="12">
        <v>0</v>
      </c>
      <c r="F137" s="12"/>
      <c r="G137" s="13">
        <f t="shared" si="102"/>
        <v>12.4</v>
      </c>
      <c r="H137" s="13">
        <f t="shared" si="103"/>
        <v>-1.0297442586766543</v>
      </c>
      <c r="I137" s="13">
        <f t="shared" ca="1" si="104"/>
        <v>11.693281436111112</v>
      </c>
      <c r="J137" s="14">
        <f t="shared" ca="1" si="105"/>
        <v>-1.3872688812196363</v>
      </c>
      <c r="K137" s="14">
        <f t="shared" ca="1" si="106"/>
        <v>0.22637107952090482</v>
      </c>
      <c r="L137" s="14">
        <f t="shared" ca="1" si="107"/>
        <v>0.97404113586467078</v>
      </c>
      <c r="M137" s="14">
        <f t="shared" ca="1" si="108"/>
        <v>0.22835042620665719</v>
      </c>
      <c r="N137" s="14">
        <f t="shared" ca="1" si="109"/>
        <v>1000000</v>
      </c>
      <c r="O137" s="15">
        <f t="shared" ca="1" si="110"/>
        <v>0</v>
      </c>
      <c r="P137" s="13"/>
      <c r="Q137" s="13"/>
      <c r="R137" s="13"/>
      <c r="S137" s="13">
        <f t="shared" ca="1" si="111"/>
        <v>1000000</v>
      </c>
      <c r="T137" s="13"/>
      <c r="U137" s="13"/>
      <c r="V137" s="14">
        <f t="shared" ca="1" si="112"/>
        <v>1000000</v>
      </c>
      <c r="W137" s="15">
        <f t="shared" ca="1" si="113"/>
        <v>0</v>
      </c>
      <c r="X137" s="13"/>
      <c r="Y137" s="13"/>
      <c r="Z137" s="13"/>
      <c r="AA137" s="13">
        <f t="shared" ca="1" si="114"/>
        <v>1000000</v>
      </c>
      <c r="AB137" s="13"/>
      <c r="AC137" s="13"/>
    </row>
    <row r="138" spans="1:29" x14ac:dyDescent="0.35">
      <c r="A138" s="2" t="s">
        <v>148</v>
      </c>
      <c r="B138" s="12">
        <v>12</v>
      </c>
      <c r="C138" s="12">
        <v>5</v>
      </c>
      <c r="D138" s="12">
        <v>-58</v>
      </c>
      <c r="E138" s="12">
        <v>0</v>
      </c>
      <c r="F138" s="12"/>
      <c r="G138" s="13">
        <f t="shared" si="102"/>
        <v>12.083333333333334</v>
      </c>
      <c r="H138" s="13">
        <f t="shared" si="103"/>
        <v>-1.0122909661567112</v>
      </c>
      <c r="I138" s="13">
        <f t="shared" ca="1" si="104"/>
        <v>12.009948102777779</v>
      </c>
      <c r="J138" s="14">
        <f t="shared" ca="1" si="105"/>
        <v>-1.4108003862041689</v>
      </c>
      <c r="K138" s="14">
        <f t="shared" ca="1" si="106"/>
        <v>-8.6629064086710551E-3</v>
      </c>
      <c r="L138" s="14">
        <f t="shared" ca="1" si="107"/>
        <v>0.99996247632225921</v>
      </c>
      <c r="M138" s="14">
        <f t="shared" ca="1" si="108"/>
        <v>-8.6630147650002074E-3</v>
      </c>
      <c r="N138" s="14">
        <f t="shared" ca="1" si="109"/>
        <v>1000000</v>
      </c>
      <c r="O138" s="15">
        <f t="shared" ca="1" si="110"/>
        <v>0</v>
      </c>
      <c r="P138" s="13"/>
      <c r="Q138" s="13"/>
      <c r="R138" s="13"/>
      <c r="S138" s="13">
        <f t="shared" ca="1" si="111"/>
        <v>1000000</v>
      </c>
      <c r="T138" s="13"/>
      <c r="U138" s="13"/>
      <c r="V138" s="14">
        <f t="shared" ca="1" si="112"/>
        <v>1000000</v>
      </c>
      <c r="W138" s="15">
        <f t="shared" ca="1" si="113"/>
        <v>0</v>
      </c>
      <c r="X138" s="13"/>
      <c r="Y138" s="13"/>
      <c r="Z138" s="13"/>
      <c r="AA138" s="13">
        <f t="shared" ca="1" si="114"/>
        <v>1000000</v>
      </c>
      <c r="AB138" s="13"/>
      <c r="AC138" s="13"/>
    </row>
    <row r="139" spans="1:29" x14ac:dyDescent="0.35">
      <c r="A139" s="2" t="s">
        <v>148</v>
      </c>
      <c r="B139" s="12">
        <v>12</v>
      </c>
      <c r="C139" s="12">
        <v>24</v>
      </c>
      <c r="D139" s="12">
        <v>-59</v>
      </c>
      <c r="E139" s="12">
        <v>0</v>
      </c>
      <c r="F139" s="12"/>
      <c r="G139" s="13">
        <f t="shared" si="102"/>
        <v>12.4</v>
      </c>
      <c r="H139" s="13">
        <f t="shared" si="103"/>
        <v>-1.0297442586766543</v>
      </c>
      <c r="I139" s="13">
        <f t="shared" ca="1" si="104"/>
        <v>11.693281436111112</v>
      </c>
      <c r="J139" s="14">
        <f t="shared" ca="1" si="105"/>
        <v>-1.3872688812196363</v>
      </c>
      <c r="K139" s="14">
        <f t="shared" ca="1" si="106"/>
        <v>0.22637107952090482</v>
      </c>
      <c r="L139" s="14">
        <f t="shared" ca="1" si="107"/>
        <v>0.97404113586467078</v>
      </c>
      <c r="M139" s="14">
        <f t="shared" ca="1" si="108"/>
        <v>0.22835042620665719</v>
      </c>
      <c r="N139" s="14">
        <f t="shared" ca="1" si="109"/>
        <v>1000000</v>
      </c>
      <c r="O139" s="15">
        <f t="shared" ca="1" si="110"/>
        <v>0</v>
      </c>
      <c r="P139" s="13"/>
      <c r="Q139" s="13"/>
      <c r="R139" s="13"/>
      <c r="S139" s="13">
        <f t="shared" ca="1" si="111"/>
        <v>1000000</v>
      </c>
      <c r="T139" s="13"/>
      <c r="U139" s="13"/>
      <c r="V139" s="14">
        <f t="shared" ca="1" si="112"/>
        <v>1000000</v>
      </c>
      <c r="W139" s="15">
        <f t="shared" ca="1" si="113"/>
        <v>0</v>
      </c>
      <c r="X139" s="13"/>
      <c r="Y139" s="13"/>
      <c r="Z139" s="13"/>
      <c r="AA139" s="13">
        <f t="shared" ca="1" si="114"/>
        <v>1000000</v>
      </c>
      <c r="AB139" s="13"/>
      <c r="AC139" s="13"/>
    </row>
    <row r="140" spans="1:29" x14ac:dyDescent="0.35">
      <c r="A140" s="2" t="s">
        <v>148</v>
      </c>
      <c r="B140" s="12">
        <v>12</v>
      </c>
      <c r="C140" s="12">
        <v>45</v>
      </c>
      <c r="D140" s="12">
        <v>-60</v>
      </c>
      <c r="E140" s="12">
        <v>0</v>
      </c>
      <c r="F140" s="12"/>
      <c r="G140" s="13">
        <f t="shared" si="102"/>
        <v>12.75</v>
      </c>
      <c r="H140" s="13">
        <f t="shared" si="103"/>
        <v>-1.0471975511965976</v>
      </c>
      <c r="I140" s="13">
        <f t="shared" ca="1" si="104"/>
        <v>11.343281436111113</v>
      </c>
      <c r="J140" s="14">
        <f t="shared" ca="1" si="105"/>
        <v>-1.352258878948511</v>
      </c>
      <c r="K140" s="14">
        <f t="shared" ca="1" si="106"/>
        <v>0.39455973833281416</v>
      </c>
      <c r="L140" s="14">
        <f t="shared" ca="1" si="107"/>
        <v>0.91887029165532574</v>
      </c>
      <c r="M140" s="14">
        <f t="shared" ca="1" si="108"/>
        <v>0.40558866810122041</v>
      </c>
      <c r="N140" s="14">
        <f t="shared" ca="1" si="109"/>
        <v>1000000</v>
      </c>
      <c r="O140" s="15">
        <f t="shared" ca="1" si="110"/>
        <v>0</v>
      </c>
      <c r="P140" s="13"/>
      <c r="Q140" s="13"/>
      <c r="R140" s="13"/>
      <c r="S140" s="13">
        <f t="shared" ca="1" si="111"/>
        <v>1000000</v>
      </c>
      <c r="T140" s="13"/>
      <c r="U140" s="13"/>
      <c r="V140" s="14">
        <f t="shared" ca="1" si="112"/>
        <v>1000000</v>
      </c>
      <c r="W140" s="15">
        <f t="shared" ca="1" si="113"/>
        <v>0</v>
      </c>
      <c r="X140" s="13"/>
      <c r="Y140" s="13"/>
      <c r="Z140" s="13"/>
      <c r="AA140" s="13">
        <f t="shared" ca="1" si="114"/>
        <v>1000000</v>
      </c>
      <c r="AB140" s="13"/>
      <c r="AC140" s="13"/>
    </row>
    <row r="142" spans="1:29" x14ac:dyDescent="0.35">
      <c r="A142" s="2" t="s">
        <v>149</v>
      </c>
      <c r="B142" s="12">
        <v>15</v>
      </c>
      <c r="C142" s="12">
        <v>5</v>
      </c>
      <c r="D142" s="12">
        <v>-68</v>
      </c>
      <c r="E142" s="12">
        <v>0</v>
      </c>
      <c r="F142" s="12"/>
      <c r="G142" s="13">
        <f>+B142+C142/60</f>
        <v>15.083333333333334</v>
      </c>
      <c r="H142" s="13">
        <f>(D142+E142/60)*PI()/180</f>
        <v>-1.1868238913561442</v>
      </c>
      <c r="I142" s="13">
        <f t="shared" ref="I142:I145" ca="1" si="115">IF($L$10-G142&lt;0,24+$L$10-G142,$L$10-G142)</f>
        <v>9.0099481027777788</v>
      </c>
      <c r="J142" s="14">
        <f ca="1">ASIN(COS(H142)*COS(I142*PI()/12)*COS($D$8)+SIN($D$8)*SIN(H142))</f>
        <v>-1.0609056384638027</v>
      </c>
      <c r="K142" s="14">
        <f ca="1">(COS(H142)*SIN(I142*PI()/12))/COS(J142)</f>
        <v>0.54129465281960798</v>
      </c>
      <c r="L142" s="14">
        <f ca="1">(COS(H142)*COS(I142*PI()/12)*SIN($D$8)-COS($D$8)*SIN(H142))/COS(J142)</f>
        <v>0.8408329791515663</v>
      </c>
      <c r="M142" s="14">
        <f ca="1">IF(L142&lt;0,-ASIN(K142)+PI(),ASIN(K142))</f>
        <v>0.57197607416235408</v>
      </c>
      <c r="N142" s="14">
        <f ca="1">IF(PRODUCT($O$142:$O$145)=0,$G$6,COS(J142)*SIN(M142))</f>
        <v>1000000</v>
      </c>
      <c r="O142" s="15">
        <f ca="1">IF(J142&lt;0,0,1)</f>
        <v>0</v>
      </c>
      <c r="P142" s="13"/>
      <c r="Q142" s="13"/>
      <c r="R142" s="13"/>
      <c r="S142" s="13">
        <f ca="1">IF(PRODUCT($O$142:$O$145)=0,$G$6,+COS(J142)*COS(PI()+M142))</f>
        <v>1000000</v>
      </c>
      <c r="T142" s="13"/>
      <c r="U142" s="13"/>
      <c r="V142" s="14">
        <f ca="1">IF(PRODUCT($W$142:$W$145)=0,$G$6,-COS(J142)*SIN(M142+$E$8))</f>
        <v>1000000</v>
      </c>
      <c r="W142" s="15">
        <f ca="1">IF(OR(J142&lt;0,COS(PI()+M142+$E$8)&lt;0),0,1)</f>
        <v>0</v>
      </c>
      <c r="X142" s="13"/>
      <c r="Y142" s="13"/>
      <c r="Z142" s="13"/>
      <c r="AA142" s="13">
        <f ca="1">IF(PRODUCT($W$142:$W$145)=0,$G$6,SIN(J142))</f>
        <v>1000000</v>
      </c>
      <c r="AB142" s="13"/>
      <c r="AC142" s="13"/>
    </row>
    <row r="143" spans="1:29" x14ac:dyDescent="0.35">
      <c r="A143" s="2" t="s">
        <v>149</v>
      </c>
      <c r="B143" s="12">
        <v>16</v>
      </c>
      <c r="C143" s="12">
        <v>55</v>
      </c>
      <c r="D143" s="12">
        <v>-69</v>
      </c>
      <c r="E143" s="12">
        <v>0</v>
      </c>
      <c r="F143" s="12"/>
      <c r="G143" s="13">
        <f>+B143+C143/60</f>
        <v>16.916666666666668</v>
      </c>
      <c r="H143" s="13">
        <f>(D143+E143/60)*PI()/180</f>
        <v>-1.2042771838760873</v>
      </c>
      <c r="I143" s="13">
        <f t="shared" ca="1" si="115"/>
        <v>7.1766147694444449</v>
      </c>
      <c r="J143" s="14">
        <f ca="1">ASIN(COS(H143)*COS(I143*PI()/12)*COS($D$8)+SIN($D$8)*SIN(H143))</f>
        <v>-0.88563748654630581</v>
      </c>
      <c r="K143" s="14">
        <f ca="1">(COS(H143)*SIN(I143*PI()/12))/COS(J143)</f>
        <v>0.53966801777226014</v>
      </c>
      <c r="L143" s="14">
        <f ca="1">(COS(H143)*COS(I143*PI()/12)*SIN($D$8)-COS($D$8)*SIN(H143))/COS(J143)</f>
        <v>0.84187791905582099</v>
      </c>
      <c r="M143" s="14">
        <f ca="1">IF(L143&lt;0,-ASIN(K143)+PI(),ASIN(K143))</f>
        <v>0.570042724182384</v>
      </c>
      <c r="N143" s="14">
        <f ca="1">IF(PRODUCT($O$142:$O$145)=0,$G$6,COS(J143)*SIN(M143))</f>
        <v>1000000</v>
      </c>
      <c r="O143" s="15">
        <f ca="1">IF(J143&lt;0,0,1)</f>
        <v>0</v>
      </c>
      <c r="P143" s="13"/>
      <c r="Q143" s="13"/>
      <c r="R143" s="13"/>
      <c r="S143" s="13">
        <f ca="1">IF(PRODUCT($O$142:$O$145)=0,$G$6,+COS(J143)*COS(PI()+M143))</f>
        <v>1000000</v>
      </c>
      <c r="T143" s="13"/>
      <c r="U143" s="13"/>
      <c r="V143" s="14">
        <f ca="1">IF(PRODUCT($W$142:$W$145)=0,$G$6,-COS(J143)*SIN(M143+$E$8))</f>
        <v>1000000</v>
      </c>
      <c r="W143" s="15">
        <f ca="1">IF(OR(J143&lt;0,COS(PI()+M143+$E$8)&lt;0),0,1)</f>
        <v>0</v>
      </c>
      <c r="X143" s="13"/>
      <c r="Y143" s="13"/>
      <c r="Z143" s="13"/>
      <c r="AA143" s="13">
        <f ca="1">IF(PRODUCT($W$142:$W$145)=0,$G$6,SIN(J143))</f>
        <v>1000000</v>
      </c>
      <c r="AB143" s="13"/>
      <c r="AC143" s="13"/>
    </row>
    <row r="144" spans="1:29" x14ac:dyDescent="0.35">
      <c r="A144" s="2" t="s">
        <v>149</v>
      </c>
      <c r="B144" s="12">
        <v>15</v>
      </c>
      <c r="C144" s="12">
        <v>55</v>
      </c>
      <c r="D144" s="12">
        <v>-63</v>
      </c>
      <c r="E144" s="12">
        <v>0</v>
      </c>
      <c r="F144" s="12"/>
      <c r="G144" s="13">
        <f>+B144+C144/60</f>
        <v>15.916666666666666</v>
      </c>
      <c r="H144" s="13">
        <f>(D144+E144/60)*PI()/180</f>
        <v>-1.0995574287564276</v>
      </c>
      <c r="I144" s="13">
        <f t="shared" ca="1" si="115"/>
        <v>8.1766147694444467</v>
      </c>
      <c r="J144" s="14">
        <f ca="1">ASIN(COS(H144)*COS(I144*PI()/12)*COS($D$8)+SIN($D$8)*SIN(H144))</f>
        <v>-0.98264969301268179</v>
      </c>
      <c r="K144" s="14">
        <f ca="1">(COS(H144)*SIN(I144*PI()/12))/COS(J144)</f>
        <v>0.68897136839319151</v>
      </c>
      <c r="L144" s="14">
        <f ca="1">(COS(H144)*COS(I144*PI()/12)*SIN($D$8)-COS($D$8)*SIN(H144))/COS(J144)</f>
        <v>0.72478855781145757</v>
      </c>
      <c r="M144" s="14">
        <f ca="1">IF(L144&lt;0,-ASIN(K144)+PI(),ASIN(K144))</f>
        <v>0.76006887753381591</v>
      </c>
      <c r="N144" s="14">
        <f ca="1">IF(PRODUCT($O$142:$O$145)=0,$G$6,COS(J144)*SIN(M144))</f>
        <v>1000000</v>
      </c>
      <c r="O144" s="15">
        <f ca="1">IF(J144&lt;0,0,1)</f>
        <v>0</v>
      </c>
      <c r="P144" s="13"/>
      <c r="Q144" s="13"/>
      <c r="R144" s="13"/>
      <c r="S144" s="13">
        <f ca="1">IF(PRODUCT($O$142:$O$145)=0,$G$6,+COS(J144)*COS(PI()+M144))</f>
        <v>1000000</v>
      </c>
      <c r="T144" s="13"/>
      <c r="U144" s="13"/>
      <c r="V144" s="14">
        <f ca="1">IF(PRODUCT($W$142:$W$145)=0,$G$6,-COS(J144)*SIN(M144+$E$8))</f>
        <v>1000000</v>
      </c>
      <c r="W144" s="15">
        <f ca="1">IF(OR(J144&lt;0,COS(PI()+M144+$E$8)&lt;0),0,1)</f>
        <v>0</v>
      </c>
      <c r="X144" s="13"/>
      <c r="Y144" s="13"/>
      <c r="Z144" s="13"/>
      <c r="AA144" s="13">
        <f ca="1">IF(PRODUCT($W$142:$W$145)=0,$G$6,SIN(J144))</f>
        <v>1000000</v>
      </c>
      <c r="AB144" s="13"/>
      <c r="AC144" s="13"/>
    </row>
    <row r="145" spans="1:29" x14ac:dyDescent="0.35">
      <c r="A145" s="2" t="s">
        <v>149</v>
      </c>
      <c r="B145" s="12">
        <v>15</v>
      </c>
      <c r="C145" s="12">
        <v>5</v>
      </c>
      <c r="D145" s="12">
        <v>-68</v>
      </c>
      <c r="E145" s="12">
        <v>0</v>
      </c>
      <c r="F145" s="12"/>
      <c r="G145" s="13">
        <f>+B145+C145/60</f>
        <v>15.083333333333334</v>
      </c>
      <c r="H145" s="13">
        <f>(D145+E145/60)*PI()/180</f>
        <v>-1.1868238913561442</v>
      </c>
      <c r="I145" s="13">
        <f t="shared" ca="1" si="115"/>
        <v>9.0099481027777788</v>
      </c>
      <c r="J145" s="14">
        <f ca="1">ASIN(COS(H145)*COS(I145*PI()/12)*COS($D$8)+SIN($D$8)*SIN(H145))</f>
        <v>-1.0609056384638027</v>
      </c>
      <c r="K145" s="14">
        <f ca="1">(COS(H145)*SIN(I145*PI()/12))/COS(J145)</f>
        <v>0.54129465281960798</v>
      </c>
      <c r="L145" s="14">
        <f ca="1">(COS(H145)*COS(I145*PI()/12)*SIN($D$8)-COS($D$8)*SIN(H145))/COS(J145)</f>
        <v>0.8408329791515663</v>
      </c>
      <c r="M145" s="14">
        <f ca="1">IF(L145&lt;0,-ASIN(K145)+PI(),ASIN(K145))</f>
        <v>0.57197607416235408</v>
      </c>
      <c r="N145" s="14">
        <f ca="1">IF(PRODUCT($O$142:$O$145)=0,$G$6,COS(J145)*SIN(M145))</f>
        <v>1000000</v>
      </c>
      <c r="O145" s="15">
        <f ca="1">IF(J145&lt;0,0,1)</f>
        <v>0</v>
      </c>
      <c r="P145" s="13"/>
      <c r="Q145" s="13"/>
      <c r="R145" s="13"/>
      <c r="S145" s="13">
        <f ca="1">IF(PRODUCT($O$142:$O$145)=0,$G$6,+COS(J145)*COS(PI()+M145))</f>
        <v>1000000</v>
      </c>
      <c r="T145" s="13"/>
      <c r="U145" s="13"/>
      <c r="V145" s="14">
        <f ca="1">IF(PRODUCT($W$142:$W$145)=0,$G$6,-COS(J145)*SIN(M145+$E$8))</f>
        <v>1000000</v>
      </c>
      <c r="W145" s="15">
        <f ca="1">IF(OR(J145&lt;0,COS(PI()+M145+$E$8)&lt;0),0,1)</f>
        <v>0</v>
      </c>
      <c r="X145" s="13"/>
      <c r="Y145" s="13"/>
      <c r="Z145" s="13"/>
      <c r="AA145" s="13">
        <f ca="1">IF(PRODUCT($W$142:$W$145)=0,$G$6,SIN(J145))</f>
        <v>1000000</v>
      </c>
      <c r="AB145" s="13"/>
      <c r="AC145" s="13"/>
    </row>
    <row r="147" spans="1:29" x14ac:dyDescent="0.35">
      <c r="A147" s="2" t="s">
        <v>150</v>
      </c>
      <c r="B147" s="12">
        <v>6</v>
      </c>
      <c r="C147" s="12">
        <v>23</v>
      </c>
      <c r="D147" s="12">
        <v>-52</v>
      </c>
      <c r="E147" s="12">
        <v>-7</v>
      </c>
      <c r="F147" s="12"/>
      <c r="G147" s="13">
        <f t="shared" ref="G147:G157" si="116">+B147+C147/60</f>
        <v>6.3833333333333337</v>
      </c>
      <c r="H147" s="13">
        <f t="shared" ref="H147:H157" si="117">(D147+E147/60)*PI()/180</f>
        <v>-0.90960742849771148</v>
      </c>
      <c r="I147" s="13">
        <f t="shared" ref="I147:I157" ca="1" si="118">IF($L$10-G147&lt;0,24+$L$10-G147,$L$10-G147)</f>
        <v>17.70994810277778</v>
      </c>
      <c r="J147" s="14">
        <f t="shared" ref="J147:J157" ca="1" si="119">ASIN(COS(H147)*COS(I147*PI()/12)*COS($D$8)+SIN($D$8)*SIN(H147))</f>
        <v>-0.67490000314868892</v>
      </c>
      <c r="K147" s="14">
        <f t="shared" ref="K147:K157" ca="1" si="120">(COS(H147)*SIN(I147*PI()/12))/COS(J147)</f>
        <v>-0.78420860541215753</v>
      </c>
      <c r="L147" s="14">
        <f t="shared" ref="L147:L157" ca="1" si="121">(COS(H147)*COS(I147*PI()/12)*SIN($D$8)-COS($D$8)*SIN(H147))/COS(J147)</f>
        <v>0.62049727090255491</v>
      </c>
      <c r="M147" s="14">
        <f t="shared" ref="M147:M157" ca="1" si="122">IF(L147&lt;0,-ASIN(K147)+PI(),ASIN(K147))</f>
        <v>-0.90141967715633653</v>
      </c>
      <c r="N147" s="14">
        <f t="shared" ref="N147:N157" ca="1" si="123">IF(PRODUCT($O$147:$O$157)=0,$G$6,COS(J147)*SIN(M147))</f>
        <v>1000000</v>
      </c>
      <c r="O147" s="15">
        <f t="shared" ref="O147:O157" ca="1" si="124">IF(J147&lt;0,0,1)</f>
        <v>0</v>
      </c>
      <c r="P147" s="13"/>
      <c r="Q147" s="13"/>
      <c r="R147" s="13"/>
      <c r="S147" s="13">
        <f t="shared" ref="S147:S157" ca="1" si="125">IF(PRODUCT($O$147:$O$157)=0,$G$6,+COS(J147)*COS(PI()+M147))</f>
        <v>1000000</v>
      </c>
      <c r="T147" s="13"/>
      <c r="U147" s="13"/>
      <c r="V147" s="14">
        <f t="shared" ref="V147:V157" ca="1" si="126">IF(PRODUCT($W$147:$W$157)=0,$G$6,-COS(J147)*SIN(M147+$E$8))</f>
        <v>1000000</v>
      </c>
      <c r="W147" s="15">
        <f t="shared" ref="W147:W157" ca="1" si="127">IF(OR(J147&lt;0,COS(PI()+M147+$E$8)&lt;0),0,1)</f>
        <v>0</v>
      </c>
      <c r="X147" s="13"/>
      <c r="Y147" s="13"/>
      <c r="Z147" s="13"/>
      <c r="AA147" s="13">
        <f t="shared" ref="AA147:AA157" ca="1" si="128">IF(PRODUCT($W$147:$W$157)=0,$G$6,SIN(J147))</f>
        <v>1000000</v>
      </c>
      <c r="AB147" s="13"/>
      <c r="AC147" s="13"/>
    </row>
    <row r="148" spans="1:29" x14ac:dyDescent="0.35">
      <c r="A148" s="2" t="s">
        <v>150</v>
      </c>
      <c r="B148" s="12">
        <v>7</v>
      </c>
      <c r="C148" s="12">
        <v>57</v>
      </c>
      <c r="D148" s="12">
        <v>-52</v>
      </c>
      <c r="E148" s="12">
        <v>0</v>
      </c>
      <c r="F148" s="12"/>
      <c r="G148" s="13">
        <f t="shared" si="116"/>
        <v>7.95</v>
      </c>
      <c r="H148" s="13">
        <f t="shared" si="117"/>
        <v>-0.90757121103705141</v>
      </c>
      <c r="I148" s="13">
        <f t="shared" ca="1" si="118"/>
        <v>16.143281436111113</v>
      </c>
      <c r="J148" s="14">
        <f t="shared" ca="1" si="119"/>
        <v>-0.89873262882716975</v>
      </c>
      <c r="K148" s="14">
        <f t="shared" ca="1" si="120"/>
        <v>-0.87431060978950881</v>
      </c>
      <c r="L148" s="14">
        <f t="shared" ca="1" si="121"/>
        <v>0.48536682788329977</v>
      </c>
      <c r="M148" s="14">
        <f t="shared" ca="1" si="122"/>
        <v>-1.0640136455243472</v>
      </c>
      <c r="N148" s="14">
        <f t="shared" ca="1" si="123"/>
        <v>1000000</v>
      </c>
      <c r="O148" s="15">
        <f t="shared" ca="1" si="124"/>
        <v>0</v>
      </c>
      <c r="P148" s="13"/>
      <c r="Q148" s="13"/>
      <c r="R148" s="13"/>
      <c r="S148" s="13">
        <f t="shared" ca="1" si="125"/>
        <v>1000000</v>
      </c>
      <c r="T148" s="13"/>
      <c r="U148" s="13"/>
      <c r="V148" s="14">
        <f t="shared" ca="1" si="126"/>
        <v>1000000</v>
      </c>
      <c r="W148" s="15">
        <f t="shared" ca="1" si="127"/>
        <v>0</v>
      </c>
      <c r="X148" s="13"/>
      <c r="Y148" s="13"/>
      <c r="Z148" s="13"/>
      <c r="AA148" s="13">
        <f t="shared" ca="1" si="128"/>
        <v>1000000</v>
      </c>
      <c r="AB148" s="13"/>
      <c r="AC148" s="13"/>
    </row>
    <row r="149" spans="1:29" x14ac:dyDescent="0.35">
      <c r="A149" s="2" t="s">
        <v>150</v>
      </c>
      <c r="B149" s="12">
        <v>8</v>
      </c>
      <c r="C149" s="12">
        <v>21</v>
      </c>
      <c r="D149" s="12">
        <v>-59</v>
      </c>
      <c r="E149" s="12">
        <v>-3</v>
      </c>
      <c r="F149" s="12"/>
      <c r="G149" s="13">
        <f t="shared" si="116"/>
        <v>8.35</v>
      </c>
      <c r="H149" s="13">
        <f t="shared" si="117"/>
        <v>-1.0306169233026514</v>
      </c>
      <c r="I149" s="13">
        <f t="shared" ca="1" si="118"/>
        <v>15.743281436111113</v>
      </c>
      <c r="J149" s="14">
        <f t="shared" ca="1" si="119"/>
        <v>-0.9866534934321729</v>
      </c>
      <c r="K149" s="14">
        <f t="shared" ca="1" si="120"/>
        <v>-0.77447893049749972</v>
      </c>
      <c r="L149" s="14">
        <f t="shared" ca="1" si="121"/>
        <v>0.63259970456478143</v>
      </c>
      <c r="M149" s="14">
        <f t="shared" ca="1" si="122"/>
        <v>-0.88589098370918096</v>
      </c>
      <c r="N149" s="14">
        <f t="shared" ca="1" si="123"/>
        <v>1000000</v>
      </c>
      <c r="O149" s="15">
        <f t="shared" ca="1" si="124"/>
        <v>0</v>
      </c>
      <c r="P149" s="13"/>
      <c r="Q149" s="13"/>
      <c r="R149" s="13"/>
      <c r="S149" s="13">
        <f t="shared" ca="1" si="125"/>
        <v>1000000</v>
      </c>
      <c r="T149" s="13"/>
      <c r="U149" s="13"/>
      <c r="V149" s="14">
        <f t="shared" ca="1" si="126"/>
        <v>1000000</v>
      </c>
      <c r="W149" s="15">
        <f t="shared" ca="1" si="127"/>
        <v>0</v>
      </c>
      <c r="X149" s="13"/>
      <c r="Y149" s="13"/>
      <c r="Z149" s="13"/>
      <c r="AA149" s="13">
        <f t="shared" ca="1" si="128"/>
        <v>1000000</v>
      </c>
      <c r="AB149" s="13"/>
      <c r="AC149" s="13"/>
    </row>
    <row r="150" spans="1:29" x14ac:dyDescent="0.35">
      <c r="A150" s="2" t="s">
        <v>150</v>
      </c>
      <c r="B150" s="12">
        <v>9</v>
      </c>
      <c r="C150" s="12">
        <v>10</v>
      </c>
      <c r="D150" s="12">
        <v>-59</v>
      </c>
      <c r="E150" s="12">
        <v>0</v>
      </c>
      <c r="F150" s="12"/>
      <c r="G150" s="13">
        <f t="shared" si="116"/>
        <v>9.1666666666666661</v>
      </c>
      <c r="H150" s="13">
        <f t="shared" si="117"/>
        <v>-1.0297442586766543</v>
      </c>
      <c r="I150" s="13">
        <f t="shared" ca="1" si="118"/>
        <v>14.926614769444447</v>
      </c>
      <c r="J150" s="14">
        <f t="shared" ca="1" si="119"/>
        <v>-1.0963845821598828</v>
      </c>
      <c r="K150" s="14">
        <f t="shared" ca="1" si="120"/>
        <v>-0.78176748881976776</v>
      </c>
      <c r="L150" s="14">
        <f t="shared" ca="1" si="121"/>
        <v>0.62357003890856799</v>
      </c>
      <c r="M150" s="14">
        <f t="shared" ca="1" si="122"/>
        <v>-0.89749526978677796</v>
      </c>
      <c r="N150" s="14">
        <f t="shared" ca="1" si="123"/>
        <v>1000000</v>
      </c>
      <c r="O150" s="15">
        <f t="shared" ca="1" si="124"/>
        <v>0</v>
      </c>
      <c r="P150" s="13"/>
      <c r="Q150" s="13"/>
      <c r="R150" s="13"/>
      <c r="S150" s="13">
        <f t="shared" ca="1" si="125"/>
        <v>1000000</v>
      </c>
      <c r="T150" s="13"/>
      <c r="U150" s="13"/>
      <c r="V150" s="14">
        <f t="shared" ca="1" si="126"/>
        <v>1000000</v>
      </c>
      <c r="W150" s="15">
        <f t="shared" ca="1" si="127"/>
        <v>0</v>
      </c>
      <c r="X150" s="13"/>
      <c r="Y150" s="13"/>
      <c r="Z150" s="13"/>
      <c r="AA150" s="13">
        <f t="shared" ca="1" si="128"/>
        <v>1000000</v>
      </c>
      <c r="AB150" s="13"/>
      <c r="AC150" s="13"/>
    </row>
    <row r="151" spans="1:29" x14ac:dyDescent="0.35">
      <c r="A151" s="2" t="s">
        <v>150</v>
      </c>
      <c r="B151" s="12">
        <v>9</v>
      </c>
      <c r="C151" s="12">
        <v>13</v>
      </c>
      <c r="D151" s="12">
        <v>-69</v>
      </c>
      <c r="E151" s="12">
        <v>-5</v>
      </c>
      <c r="F151" s="12"/>
      <c r="G151" s="13">
        <f t="shared" si="116"/>
        <v>9.2166666666666668</v>
      </c>
      <c r="H151" s="13">
        <f t="shared" si="117"/>
        <v>-1.2057316249194159</v>
      </c>
      <c r="I151" s="13">
        <f t="shared" ca="1" si="118"/>
        <v>14.876614769444446</v>
      </c>
      <c r="J151" s="14">
        <f t="shared" ca="1" si="119"/>
        <v>-1.0646944816528014</v>
      </c>
      <c r="K151" s="14">
        <f t="shared" ca="1" si="120"/>
        <v>-0.50365844820623529</v>
      </c>
      <c r="L151" s="14">
        <f t="shared" ca="1" si="121"/>
        <v>0.86390286928015614</v>
      </c>
      <c r="M151" s="14">
        <f t="shared" ca="1" si="122"/>
        <v>-0.52782836454627546</v>
      </c>
      <c r="N151" s="14">
        <f t="shared" ca="1" si="123"/>
        <v>1000000</v>
      </c>
      <c r="O151" s="15">
        <f t="shared" ca="1" si="124"/>
        <v>0</v>
      </c>
      <c r="P151" s="13"/>
      <c r="Q151" s="13"/>
      <c r="R151" s="13"/>
      <c r="S151" s="13">
        <f t="shared" ca="1" si="125"/>
        <v>1000000</v>
      </c>
      <c r="T151" s="13"/>
      <c r="U151" s="13"/>
      <c r="V151" s="14">
        <f t="shared" ca="1" si="126"/>
        <v>1000000</v>
      </c>
      <c r="W151" s="15">
        <f t="shared" ca="1" si="127"/>
        <v>0</v>
      </c>
      <c r="X151" s="13"/>
      <c r="Y151" s="13"/>
      <c r="Z151" s="13"/>
      <c r="AA151" s="13">
        <f t="shared" ca="1" si="128"/>
        <v>1000000</v>
      </c>
      <c r="AB151" s="13"/>
      <c r="AC151" s="13"/>
    </row>
    <row r="152" spans="1:29" x14ac:dyDescent="0.35">
      <c r="A152" s="2" t="s">
        <v>150</v>
      </c>
      <c r="B152" s="12">
        <v>10</v>
      </c>
      <c r="C152" s="12">
        <v>10</v>
      </c>
      <c r="D152" s="12">
        <v>-70</v>
      </c>
      <c r="E152" s="12">
        <v>0</v>
      </c>
      <c r="F152" s="12"/>
      <c r="G152" s="13">
        <f t="shared" si="116"/>
        <v>10.166666666666666</v>
      </c>
      <c r="H152" s="13">
        <f t="shared" si="117"/>
        <v>-1.2217304763960306</v>
      </c>
      <c r="I152" s="13">
        <f t="shared" ca="1" si="118"/>
        <v>13.926614769444447</v>
      </c>
      <c r="J152" s="14">
        <f t="shared" ca="1" si="119"/>
        <v>-1.1302015726567911</v>
      </c>
      <c r="K152" s="14">
        <f t="shared" ca="1" si="120"/>
        <v>-0.38756615272624778</v>
      </c>
      <c r="L152" s="14">
        <f t="shared" ca="1" si="121"/>
        <v>0.92184189385218018</v>
      </c>
      <c r="M152" s="14">
        <f t="shared" ca="1" si="122"/>
        <v>-0.39798992234373859</v>
      </c>
      <c r="N152" s="14">
        <f t="shared" ca="1" si="123"/>
        <v>1000000</v>
      </c>
      <c r="O152" s="15">
        <f t="shared" ca="1" si="124"/>
        <v>0</v>
      </c>
      <c r="P152" s="13"/>
      <c r="Q152" s="13"/>
      <c r="R152" s="13"/>
      <c r="S152" s="13">
        <f t="shared" ca="1" si="125"/>
        <v>1000000</v>
      </c>
      <c r="T152" s="13"/>
      <c r="U152" s="13"/>
      <c r="V152" s="14">
        <f t="shared" ca="1" si="126"/>
        <v>1000000</v>
      </c>
      <c r="W152" s="15">
        <f t="shared" ca="1" si="127"/>
        <v>0</v>
      </c>
      <c r="X152" s="13"/>
      <c r="Y152" s="13"/>
      <c r="Z152" s="13"/>
      <c r="AA152" s="13">
        <f t="shared" ca="1" si="128"/>
        <v>1000000</v>
      </c>
      <c r="AB152" s="13"/>
      <c r="AC152" s="13"/>
    </row>
    <row r="153" spans="1:29" x14ac:dyDescent="0.35">
      <c r="A153" s="2" t="s">
        <v>150</v>
      </c>
      <c r="B153" s="12">
        <v>10</v>
      </c>
      <c r="C153" s="12">
        <v>45</v>
      </c>
      <c r="D153" s="12">
        <v>-64</v>
      </c>
      <c r="E153" s="12">
        <v>0</v>
      </c>
      <c r="F153" s="12"/>
      <c r="G153" s="13">
        <f t="shared" si="116"/>
        <v>10.75</v>
      </c>
      <c r="H153" s="13">
        <f t="shared" si="117"/>
        <v>-1.1170107212763709</v>
      </c>
      <c r="I153" s="13">
        <f t="shared" ca="1" si="118"/>
        <v>13.343281436111113</v>
      </c>
      <c r="J153" s="14">
        <f t="shared" ca="1" si="119"/>
        <v>-1.2453518369320462</v>
      </c>
      <c r="K153" s="14">
        <f t="shared" ca="1" si="120"/>
        <v>-0.47228633089703409</v>
      </c>
      <c r="L153" s="14">
        <f t="shared" ca="1" si="121"/>
        <v>0.8814451892476467</v>
      </c>
      <c r="M153" s="14">
        <f t="shared" ca="1" si="122"/>
        <v>-0.49188282447144238</v>
      </c>
      <c r="N153" s="14">
        <f t="shared" ca="1" si="123"/>
        <v>1000000</v>
      </c>
      <c r="O153" s="15">
        <f t="shared" ca="1" si="124"/>
        <v>0</v>
      </c>
      <c r="P153" s="13"/>
      <c r="Q153" s="13"/>
      <c r="R153" s="13"/>
      <c r="S153" s="13">
        <f t="shared" ca="1" si="125"/>
        <v>1000000</v>
      </c>
      <c r="T153" s="13"/>
      <c r="U153" s="13"/>
      <c r="V153" s="14">
        <f t="shared" ca="1" si="126"/>
        <v>1000000</v>
      </c>
      <c r="W153" s="15">
        <f t="shared" ca="1" si="127"/>
        <v>0</v>
      </c>
      <c r="X153" s="13"/>
      <c r="Y153" s="13"/>
      <c r="Z153" s="13"/>
      <c r="AA153" s="13">
        <f t="shared" ca="1" si="128"/>
        <v>1000000</v>
      </c>
      <c r="AB153" s="13"/>
      <c r="AC153" s="13"/>
    </row>
    <row r="154" spans="1:29" x14ac:dyDescent="0.35">
      <c r="A154" s="2" t="s">
        <v>150</v>
      </c>
      <c r="B154" s="12">
        <v>9</v>
      </c>
      <c r="C154" s="12">
        <v>50</v>
      </c>
      <c r="D154" s="12">
        <v>-65</v>
      </c>
      <c r="E154" s="12">
        <v>0</v>
      </c>
      <c r="F154" s="12"/>
      <c r="G154" s="13">
        <f t="shared" si="116"/>
        <v>9.8333333333333339</v>
      </c>
      <c r="H154" s="13">
        <f t="shared" si="117"/>
        <v>-1.1344640137963142</v>
      </c>
      <c r="I154" s="13">
        <f t="shared" ca="1" si="118"/>
        <v>14.259948102777779</v>
      </c>
      <c r="J154" s="14">
        <f t="shared" ca="1" si="119"/>
        <v>-1.1509932091203838</v>
      </c>
      <c r="K154" s="14">
        <f t="shared" ca="1" si="120"/>
        <v>-0.57831128292066425</v>
      </c>
      <c r="L154" s="14">
        <f t="shared" ca="1" si="121"/>
        <v>0.81581619256218263</v>
      </c>
      <c r="M154" s="14">
        <f t="shared" ca="1" si="122"/>
        <v>-0.61665719577409805</v>
      </c>
      <c r="N154" s="14">
        <f t="shared" ca="1" si="123"/>
        <v>1000000</v>
      </c>
      <c r="O154" s="15">
        <f t="shared" ca="1" si="124"/>
        <v>0</v>
      </c>
      <c r="P154" s="13"/>
      <c r="Q154" s="13"/>
      <c r="R154" s="13"/>
      <c r="S154" s="13">
        <f t="shared" ca="1" si="125"/>
        <v>1000000</v>
      </c>
      <c r="T154" s="13"/>
      <c r="U154" s="13"/>
      <c r="V154" s="14">
        <f t="shared" ca="1" si="126"/>
        <v>1000000</v>
      </c>
      <c r="W154" s="15">
        <f t="shared" ca="1" si="127"/>
        <v>0</v>
      </c>
      <c r="X154" s="13"/>
      <c r="Y154" s="13"/>
      <c r="Z154" s="13"/>
      <c r="AA154" s="13">
        <f t="shared" ca="1" si="128"/>
        <v>1000000</v>
      </c>
      <c r="AB154" s="13"/>
      <c r="AC154" s="13"/>
    </row>
    <row r="155" spans="1:29" x14ac:dyDescent="0.35">
      <c r="A155" s="2" t="s">
        <v>150</v>
      </c>
      <c r="B155" s="12">
        <v>9</v>
      </c>
      <c r="C155" s="12">
        <v>10</v>
      </c>
      <c r="D155" s="12">
        <v>-59</v>
      </c>
      <c r="E155" s="12">
        <v>0</v>
      </c>
      <c r="F155" s="12"/>
      <c r="G155" s="13">
        <f t="shared" si="116"/>
        <v>9.1666666666666661</v>
      </c>
      <c r="H155" s="13">
        <f t="shared" si="117"/>
        <v>-1.0297442586766543</v>
      </c>
      <c r="I155" s="13">
        <f t="shared" ca="1" si="118"/>
        <v>14.926614769444447</v>
      </c>
      <c r="J155" s="14">
        <f t="shared" ca="1" si="119"/>
        <v>-1.0963845821598828</v>
      </c>
      <c r="K155" s="14">
        <f t="shared" ca="1" si="120"/>
        <v>-0.78176748881976776</v>
      </c>
      <c r="L155" s="14">
        <f t="shared" ca="1" si="121"/>
        <v>0.62357003890856799</v>
      </c>
      <c r="M155" s="14">
        <f t="shared" ca="1" si="122"/>
        <v>-0.89749526978677796</v>
      </c>
      <c r="N155" s="14">
        <f t="shared" ca="1" si="123"/>
        <v>1000000</v>
      </c>
      <c r="O155" s="15">
        <f t="shared" ca="1" si="124"/>
        <v>0</v>
      </c>
      <c r="P155" s="13"/>
      <c r="Q155" s="13"/>
      <c r="R155" s="13"/>
      <c r="S155" s="13">
        <f t="shared" ca="1" si="125"/>
        <v>1000000</v>
      </c>
      <c r="T155" s="13"/>
      <c r="U155" s="13"/>
      <c r="V155" s="14">
        <f t="shared" ca="1" si="126"/>
        <v>1000000</v>
      </c>
      <c r="W155" s="15">
        <f t="shared" ca="1" si="127"/>
        <v>0</v>
      </c>
      <c r="X155" s="13"/>
      <c r="Y155" s="13"/>
      <c r="Z155" s="13"/>
      <c r="AA155" s="13">
        <f t="shared" ca="1" si="128"/>
        <v>1000000</v>
      </c>
      <c r="AB155" s="13"/>
      <c r="AC155" s="13"/>
    </row>
    <row r="156" spans="1:29" x14ac:dyDescent="0.35">
      <c r="A156" s="2" t="s">
        <v>150</v>
      </c>
      <c r="B156" s="12">
        <v>7</v>
      </c>
      <c r="C156" s="12">
        <v>21</v>
      </c>
      <c r="D156" s="12">
        <v>-59</v>
      </c>
      <c r="E156" s="12">
        <v>-3</v>
      </c>
      <c r="F156" s="12"/>
      <c r="G156" s="13">
        <f t="shared" si="116"/>
        <v>7.35</v>
      </c>
      <c r="H156" s="13">
        <f t="shared" si="117"/>
        <v>-1.0306169233026514</v>
      </c>
      <c r="I156" s="13">
        <f t="shared" ca="1" si="118"/>
        <v>16.743281436111111</v>
      </c>
      <c r="J156" s="14">
        <f t="shared" ca="1" si="119"/>
        <v>-0.85564373830623741</v>
      </c>
      <c r="K156" s="14">
        <f t="shared" ca="1" si="120"/>
        <v>-0.74223093017018815</v>
      </c>
      <c r="L156" s="14">
        <f t="shared" ca="1" si="121"/>
        <v>0.67014419813850323</v>
      </c>
      <c r="M156" s="14">
        <f t="shared" ca="1" si="122"/>
        <v>-0.83639327972636812</v>
      </c>
      <c r="N156" s="14">
        <f t="shared" ca="1" si="123"/>
        <v>1000000</v>
      </c>
      <c r="O156" s="15">
        <f t="shared" ca="1" si="124"/>
        <v>0</v>
      </c>
      <c r="P156" s="13"/>
      <c r="Q156" s="13"/>
      <c r="R156" s="13"/>
      <c r="S156" s="13">
        <f t="shared" ca="1" si="125"/>
        <v>1000000</v>
      </c>
      <c r="T156" s="13"/>
      <c r="U156" s="13"/>
      <c r="V156" s="14">
        <f t="shared" ca="1" si="126"/>
        <v>1000000</v>
      </c>
      <c r="W156" s="15">
        <f t="shared" ca="1" si="127"/>
        <v>0</v>
      </c>
      <c r="X156" s="13"/>
      <c r="Y156" s="13"/>
      <c r="Z156" s="13"/>
      <c r="AA156" s="13">
        <f t="shared" ca="1" si="128"/>
        <v>1000000</v>
      </c>
      <c r="AB156" s="13"/>
      <c r="AC156" s="13"/>
    </row>
    <row r="157" spans="1:29" x14ac:dyDescent="0.35">
      <c r="A157" s="2" t="s">
        <v>150</v>
      </c>
      <c r="B157" s="12">
        <v>6</v>
      </c>
      <c r="C157" s="12">
        <v>29</v>
      </c>
      <c r="D157" s="12">
        <v>-52</v>
      </c>
      <c r="E157" s="12">
        <v>-7</v>
      </c>
      <c r="F157" s="12"/>
      <c r="G157" s="13">
        <f t="shared" si="116"/>
        <v>6.4833333333333334</v>
      </c>
      <c r="H157" s="13">
        <f t="shared" si="117"/>
        <v>-0.90960742849771148</v>
      </c>
      <c r="I157" s="13">
        <f t="shared" ca="1" si="118"/>
        <v>17.609948102777778</v>
      </c>
      <c r="J157" s="14">
        <f t="shared" ca="1" si="119"/>
        <v>-0.68847339232839033</v>
      </c>
      <c r="K157" s="14">
        <f t="shared" ca="1" si="120"/>
        <v>-0.7910431727038314</v>
      </c>
      <c r="L157" s="14">
        <f t="shared" ca="1" si="121"/>
        <v>0.61176032800325986</v>
      </c>
      <c r="M157" s="14">
        <f t="shared" ca="1" si="122"/>
        <v>-0.91251232079945421</v>
      </c>
      <c r="N157" s="14">
        <f t="shared" ca="1" si="123"/>
        <v>1000000</v>
      </c>
      <c r="O157" s="15">
        <f t="shared" ca="1" si="124"/>
        <v>0</v>
      </c>
      <c r="P157" s="13"/>
      <c r="Q157" s="13"/>
      <c r="R157" s="13"/>
      <c r="S157" s="13">
        <f t="shared" ca="1" si="125"/>
        <v>1000000</v>
      </c>
      <c r="T157" s="13"/>
      <c r="U157" s="13"/>
      <c r="V157" s="14">
        <f t="shared" ca="1" si="126"/>
        <v>1000000</v>
      </c>
      <c r="W157" s="15">
        <f t="shared" ca="1" si="127"/>
        <v>0</v>
      </c>
      <c r="X157" s="13"/>
      <c r="Y157" s="13"/>
      <c r="Z157" s="13"/>
      <c r="AA157" s="13">
        <f t="shared" ca="1" si="128"/>
        <v>1000000</v>
      </c>
      <c r="AB157" s="13"/>
      <c r="AC157" s="13"/>
    </row>
    <row r="159" spans="1:29" x14ac:dyDescent="0.35">
      <c r="A159" s="2" t="s">
        <v>151</v>
      </c>
      <c r="B159" s="12">
        <v>14</v>
      </c>
      <c r="C159" s="12">
        <v>36</v>
      </c>
      <c r="D159" s="12">
        <v>-60</v>
      </c>
      <c r="E159" s="12">
        <v>-6</v>
      </c>
      <c r="F159" s="12"/>
      <c r="G159" s="13">
        <f t="shared" ref="G159:G167" si="129">+B159+C159/60</f>
        <v>14.6</v>
      </c>
      <c r="H159" s="13">
        <f t="shared" ref="H159:H167" si="130">(D159+E159/60)*PI()/180</f>
        <v>-1.0489428804485921</v>
      </c>
      <c r="I159" s="13">
        <f t="shared" ref="I159:I167" ca="1" si="131">IF($L$10-G159&lt;0,24+$L$10-G159,$L$10-G159)</f>
        <v>9.4932814361111131</v>
      </c>
      <c r="J159" s="14">
        <f t="shared" ref="J159:J167" ca="1" si="132">ASIN(COS(H159)*COS(I159*PI()/12)*COS($D$8)+SIN($D$8)*SIN(H159))</f>
        <v>-1.1495247305652538</v>
      </c>
      <c r="K159" s="14">
        <f t="shared" ref="K159:K167" ca="1" si="133">(COS(H159)*SIN(I159*PI()/12))/COS(J159)</f>
        <v>0.74379916478785713</v>
      </c>
      <c r="L159" s="14">
        <f t="shared" ref="L159:L167" ca="1" si="134">(COS(H159)*COS(I159*PI()/12)*SIN($D$8)-COS($D$8)*SIN(H159))/COS(J159)</f>
        <v>0.66840317358678591</v>
      </c>
      <c r="M159" s="14">
        <f t="shared" ref="M159:M167" ca="1" si="135">IF(L159&lt;0,-ASIN(K159)+PI(),ASIN(K159))</f>
        <v>0.83873646747341235</v>
      </c>
      <c r="N159" s="14">
        <f t="shared" ref="N159:N167" ca="1" si="136">IF(PRODUCT($O$159:$O$167)=0,$G$6,COS(J159)*SIN(M159))</f>
        <v>1000000</v>
      </c>
      <c r="O159" s="15">
        <f t="shared" ref="O159:O167" ca="1" si="137">IF(J159&lt;0,0,1)</f>
        <v>0</v>
      </c>
      <c r="P159" s="13"/>
      <c r="Q159" s="13"/>
      <c r="R159" s="13"/>
      <c r="S159" s="13">
        <f t="shared" ref="S159:S167" ca="1" si="138">IF(PRODUCT($O$159:$O$167)=0,$G$6,+COS(J159)*COS(PI()+M159))</f>
        <v>1000000</v>
      </c>
      <c r="T159" s="13"/>
      <c r="U159" s="13"/>
      <c r="V159" s="14">
        <f t="shared" ref="V159:V167" ca="1" si="139">IF(PRODUCT($W$159:$W$167)=0,$G$6,-COS(J159)*SIN(M159+$E$8))</f>
        <v>1000000</v>
      </c>
      <c r="W159" s="15">
        <f t="shared" ref="W159:W167" ca="1" si="140">IF(OR(J159&lt;0,COS(PI()+M159+$E$8)&lt;0),0,1)</f>
        <v>0</v>
      </c>
      <c r="X159" s="13"/>
      <c r="Y159" s="13"/>
      <c r="Z159" s="13"/>
      <c r="AA159" s="13">
        <f t="shared" ref="AA159:AA167" ca="1" si="141">IF(PRODUCT($W$159:$W$167)=0,$G$6,SIN(J159))</f>
        <v>1000000</v>
      </c>
      <c r="AB159" s="13"/>
      <c r="AC159" s="13"/>
    </row>
    <row r="160" spans="1:29" x14ac:dyDescent="0.35">
      <c r="A160" s="2" t="s">
        <v>151</v>
      </c>
      <c r="B160" s="12">
        <v>14</v>
      </c>
      <c r="C160" s="12">
        <v>0</v>
      </c>
      <c r="D160" s="12">
        <v>-60</v>
      </c>
      <c r="E160" s="12">
        <v>-1</v>
      </c>
      <c r="F160" s="12"/>
      <c r="G160" s="13">
        <f t="shared" si="129"/>
        <v>14</v>
      </c>
      <c r="H160" s="13">
        <f t="shared" si="130"/>
        <v>-1.0474884394052635</v>
      </c>
      <c r="I160" s="13">
        <f t="shared" ca="1" si="131"/>
        <v>10.093281436111113</v>
      </c>
      <c r="J160" s="14">
        <f t="shared" ca="1" si="132"/>
        <v>-1.2251915835826523</v>
      </c>
      <c r="K160" s="14">
        <f t="shared" ca="1" si="133"/>
        <v>0.70618504950983807</v>
      </c>
      <c r="L160" s="14">
        <f t="shared" ca="1" si="134"/>
        <v>0.70802731292570076</v>
      </c>
      <c r="M160" s="14">
        <f t="shared" ca="1" si="135"/>
        <v>0.78409548607492663</v>
      </c>
      <c r="N160" s="14">
        <f t="shared" ca="1" si="136"/>
        <v>1000000</v>
      </c>
      <c r="O160" s="15">
        <f t="shared" ca="1" si="137"/>
        <v>0</v>
      </c>
      <c r="P160" s="13"/>
      <c r="Q160" s="13"/>
      <c r="R160" s="13"/>
      <c r="S160" s="13">
        <f t="shared" ca="1" si="138"/>
        <v>1000000</v>
      </c>
      <c r="T160" s="13"/>
      <c r="U160" s="13"/>
      <c r="V160" s="14">
        <f t="shared" ca="1" si="139"/>
        <v>1000000</v>
      </c>
      <c r="W160" s="15">
        <f t="shared" ca="1" si="140"/>
        <v>0</v>
      </c>
      <c r="X160" s="13"/>
      <c r="Y160" s="13"/>
      <c r="Z160" s="13"/>
      <c r="AA160" s="13">
        <f t="shared" ca="1" si="141"/>
        <v>1000000</v>
      </c>
      <c r="AB160" s="13"/>
      <c r="AC160" s="13"/>
    </row>
    <row r="161" spans="1:29" x14ac:dyDescent="0.35">
      <c r="A161" s="2" t="s">
        <v>151</v>
      </c>
      <c r="B161" s="12">
        <v>13</v>
      </c>
      <c r="C161" s="12">
        <v>40</v>
      </c>
      <c r="D161" s="12">
        <v>-54</v>
      </c>
      <c r="E161" s="12">
        <v>0</v>
      </c>
      <c r="F161" s="12"/>
      <c r="G161" s="13">
        <f t="shared" si="129"/>
        <v>13.666666666666666</v>
      </c>
      <c r="H161" s="13">
        <f t="shared" si="130"/>
        <v>-0.94247779607693793</v>
      </c>
      <c r="I161" s="13">
        <f t="shared" ca="1" si="131"/>
        <v>10.426614769444447</v>
      </c>
      <c r="J161" s="14">
        <f t="shared" ca="1" si="132"/>
        <v>-1.300061772948444</v>
      </c>
      <c r="K161" s="14">
        <f t="shared" ca="1" si="133"/>
        <v>0.87992516306943291</v>
      </c>
      <c r="L161" s="14">
        <f t="shared" ca="1" si="134"/>
        <v>0.47511231029855827</v>
      </c>
      <c r="M161" s="14">
        <f t="shared" ca="1" si="135"/>
        <v>1.0757046632817826</v>
      </c>
      <c r="N161" s="14">
        <f t="shared" ca="1" si="136"/>
        <v>1000000</v>
      </c>
      <c r="O161" s="15">
        <f t="shared" ca="1" si="137"/>
        <v>0</v>
      </c>
      <c r="P161" s="13"/>
      <c r="Q161" s="13"/>
      <c r="R161" s="13"/>
      <c r="S161" s="13">
        <f t="shared" ca="1" si="138"/>
        <v>1000000</v>
      </c>
      <c r="T161" s="13"/>
      <c r="U161" s="13"/>
      <c r="V161" s="14">
        <f t="shared" ca="1" si="139"/>
        <v>1000000</v>
      </c>
      <c r="W161" s="15">
        <f t="shared" ca="1" si="140"/>
        <v>0</v>
      </c>
      <c r="X161" s="13"/>
      <c r="Y161" s="13"/>
      <c r="Z161" s="13"/>
      <c r="AA161" s="13">
        <f t="shared" ca="1" si="141"/>
        <v>1000000</v>
      </c>
      <c r="AB161" s="13"/>
      <c r="AC161" s="13"/>
    </row>
    <row r="162" spans="1:29" x14ac:dyDescent="0.35">
      <c r="A162" s="2" t="s">
        <v>151</v>
      </c>
      <c r="B162" s="12">
        <v>12</v>
      </c>
      <c r="C162" s="12">
        <v>0</v>
      </c>
      <c r="D162" s="12">
        <v>-50</v>
      </c>
      <c r="E162" s="12">
        <v>0</v>
      </c>
      <c r="F162" s="12"/>
      <c r="G162" s="13">
        <f t="shared" si="129"/>
        <v>12</v>
      </c>
      <c r="H162" s="13">
        <f t="shared" si="130"/>
        <v>-0.87266462599716477</v>
      </c>
      <c r="I162" s="13">
        <f t="shared" ca="1" si="131"/>
        <v>12.093281436111113</v>
      </c>
      <c r="J162" s="14">
        <f t="shared" ca="1" si="132"/>
        <v>-1.544970584667426</v>
      </c>
      <c r="K162" s="14">
        <f t="shared" ca="1" si="133"/>
        <v>-0.60783211991329256</v>
      </c>
      <c r="L162" s="14">
        <f t="shared" ca="1" si="134"/>
        <v>0.79406556026664465</v>
      </c>
      <c r="M162" s="14">
        <f t="shared" ca="1" si="135"/>
        <v>-0.65332762670529032</v>
      </c>
      <c r="N162" s="14">
        <f t="shared" ca="1" si="136"/>
        <v>1000000</v>
      </c>
      <c r="O162" s="15">
        <f t="shared" ca="1" si="137"/>
        <v>0</v>
      </c>
      <c r="P162" s="13"/>
      <c r="Q162" s="13"/>
      <c r="R162" s="13"/>
      <c r="S162" s="13">
        <f t="shared" ca="1" si="138"/>
        <v>1000000</v>
      </c>
      <c r="T162" s="13"/>
      <c r="U162" s="13"/>
      <c r="V162" s="14">
        <f t="shared" ca="1" si="139"/>
        <v>1000000</v>
      </c>
      <c r="W162" s="15">
        <f t="shared" ca="1" si="140"/>
        <v>0</v>
      </c>
      <c r="X162" s="13"/>
      <c r="Y162" s="13"/>
      <c r="Z162" s="13"/>
      <c r="AA162" s="13">
        <f t="shared" ca="1" si="141"/>
        <v>1000000</v>
      </c>
      <c r="AB162" s="13"/>
      <c r="AC162" s="13"/>
    </row>
    <row r="163" spans="1:29" x14ac:dyDescent="0.35">
      <c r="A163" s="2" t="s">
        <v>151</v>
      </c>
      <c r="B163" s="12">
        <v>11</v>
      </c>
      <c r="C163" s="12">
        <v>35</v>
      </c>
      <c r="D163" s="12">
        <v>-63</v>
      </c>
      <c r="E163" s="12">
        <v>0</v>
      </c>
      <c r="F163" s="12"/>
      <c r="G163" s="13">
        <f t="shared" si="129"/>
        <v>11.583333333333334</v>
      </c>
      <c r="H163" s="13">
        <f t="shared" si="130"/>
        <v>-1.0995574287564276</v>
      </c>
      <c r="I163" s="13">
        <f t="shared" ca="1" si="131"/>
        <v>12.509948102777779</v>
      </c>
      <c r="J163" s="14">
        <f t="shared" ca="1" si="132"/>
        <v>-1.3129001419322224</v>
      </c>
      <c r="K163" s="14">
        <f t="shared" ca="1" si="133"/>
        <v>-0.23693569594987035</v>
      </c>
      <c r="L163" s="14">
        <f t="shared" ca="1" si="134"/>
        <v>0.97152533471070712</v>
      </c>
      <c r="M163" s="14">
        <f t="shared" ca="1" si="135"/>
        <v>-0.23921051529085482</v>
      </c>
      <c r="N163" s="14">
        <f t="shared" ca="1" si="136"/>
        <v>1000000</v>
      </c>
      <c r="O163" s="15">
        <f t="shared" ca="1" si="137"/>
        <v>0</v>
      </c>
      <c r="P163" s="13"/>
      <c r="Q163" s="13"/>
      <c r="R163" s="13"/>
      <c r="S163" s="13">
        <f t="shared" ca="1" si="138"/>
        <v>1000000</v>
      </c>
      <c r="T163" s="13"/>
      <c r="U163" s="13"/>
      <c r="V163" s="14">
        <f t="shared" ca="1" si="139"/>
        <v>1000000</v>
      </c>
      <c r="W163" s="15">
        <f t="shared" ca="1" si="140"/>
        <v>0</v>
      </c>
      <c r="X163" s="13"/>
      <c r="Y163" s="13"/>
      <c r="Z163" s="13"/>
      <c r="AA163" s="13">
        <f t="shared" ca="1" si="141"/>
        <v>1000000</v>
      </c>
      <c r="AB163" s="13"/>
      <c r="AC163" s="13"/>
    </row>
    <row r="164" spans="1:29" x14ac:dyDescent="0.35">
      <c r="A164" s="2" t="s">
        <v>151</v>
      </c>
      <c r="B164" s="12">
        <v>12</v>
      </c>
      <c r="C164" s="12">
        <v>0</v>
      </c>
      <c r="D164" s="12">
        <v>-50</v>
      </c>
      <c r="E164" s="12">
        <v>0</v>
      </c>
      <c r="F164" s="12"/>
      <c r="G164" s="13">
        <f t="shared" si="129"/>
        <v>12</v>
      </c>
      <c r="H164" s="13">
        <f t="shared" si="130"/>
        <v>-0.87266462599716477</v>
      </c>
      <c r="I164" s="13">
        <f t="shared" ca="1" si="131"/>
        <v>12.093281436111113</v>
      </c>
      <c r="J164" s="14">
        <f t="shared" ca="1" si="132"/>
        <v>-1.544970584667426</v>
      </c>
      <c r="K164" s="14">
        <f t="shared" ca="1" si="133"/>
        <v>-0.60783211991329256</v>
      </c>
      <c r="L164" s="14">
        <f t="shared" ca="1" si="134"/>
        <v>0.79406556026664465</v>
      </c>
      <c r="M164" s="14">
        <f t="shared" ca="1" si="135"/>
        <v>-0.65332762670529032</v>
      </c>
      <c r="N164" s="14">
        <f t="shared" ca="1" si="136"/>
        <v>1000000</v>
      </c>
      <c r="O164" s="15">
        <f t="shared" ca="1" si="137"/>
        <v>0</v>
      </c>
      <c r="P164" s="13"/>
      <c r="Q164" s="13"/>
      <c r="R164" s="13"/>
      <c r="S164" s="13">
        <f t="shared" ca="1" si="138"/>
        <v>1000000</v>
      </c>
      <c r="T164" s="13"/>
      <c r="U164" s="13"/>
      <c r="V164" s="14">
        <f t="shared" ca="1" si="139"/>
        <v>1000000</v>
      </c>
      <c r="W164" s="15">
        <f t="shared" ca="1" si="140"/>
        <v>0</v>
      </c>
      <c r="X164" s="13"/>
      <c r="Y164" s="13"/>
      <c r="Z164" s="13"/>
      <c r="AA164" s="13">
        <f t="shared" ca="1" si="141"/>
        <v>1000000</v>
      </c>
      <c r="AB164" s="13"/>
      <c r="AC164" s="13"/>
    </row>
    <row r="165" spans="1:29" x14ac:dyDescent="0.35">
      <c r="A165" s="2" t="s">
        <v>151</v>
      </c>
      <c r="B165" s="12">
        <v>13</v>
      </c>
      <c r="C165" s="12">
        <v>40</v>
      </c>
      <c r="D165" s="12">
        <v>-54</v>
      </c>
      <c r="E165" s="12">
        <v>0</v>
      </c>
      <c r="F165" s="12"/>
      <c r="G165" s="13">
        <f t="shared" si="129"/>
        <v>13.666666666666666</v>
      </c>
      <c r="H165" s="13">
        <f t="shared" si="130"/>
        <v>-0.94247779607693793</v>
      </c>
      <c r="I165" s="13">
        <f t="shared" ca="1" si="131"/>
        <v>10.426614769444447</v>
      </c>
      <c r="J165" s="14">
        <f t="shared" ca="1" si="132"/>
        <v>-1.300061772948444</v>
      </c>
      <c r="K165" s="14">
        <f t="shared" ca="1" si="133"/>
        <v>0.87992516306943291</v>
      </c>
      <c r="L165" s="14">
        <f t="shared" ca="1" si="134"/>
        <v>0.47511231029855827</v>
      </c>
      <c r="M165" s="14">
        <f t="shared" ca="1" si="135"/>
        <v>1.0757046632817826</v>
      </c>
      <c r="N165" s="14">
        <f t="shared" ca="1" si="136"/>
        <v>1000000</v>
      </c>
      <c r="O165" s="15">
        <f t="shared" ca="1" si="137"/>
        <v>0</v>
      </c>
      <c r="P165" s="13"/>
      <c r="Q165" s="13"/>
      <c r="R165" s="13"/>
      <c r="S165" s="13">
        <f t="shared" ca="1" si="138"/>
        <v>1000000</v>
      </c>
      <c r="T165" s="13"/>
      <c r="U165" s="13"/>
      <c r="V165" s="14">
        <f t="shared" ca="1" si="139"/>
        <v>1000000</v>
      </c>
      <c r="W165" s="15">
        <f t="shared" ca="1" si="140"/>
        <v>0</v>
      </c>
      <c r="X165" s="13"/>
      <c r="Y165" s="13"/>
      <c r="Z165" s="13"/>
      <c r="AA165" s="13">
        <f t="shared" ca="1" si="141"/>
        <v>1000000</v>
      </c>
      <c r="AB165" s="13"/>
      <c r="AC165" s="13"/>
    </row>
    <row r="166" spans="1:29" x14ac:dyDescent="0.35">
      <c r="A166" s="2" t="s">
        <v>151</v>
      </c>
      <c r="B166" s="12">
        <v>13</v>
      </c>
      <c r="C166" s="12">
        <v>50</v>
      </c>
      <c r="D166" s="12">
        <v>-47</v>
      </c>
      <c r="E166" s="12">
        <v>0</v>
      </c>
      <c r="F166" s="12"/>
      <c r="G166" s="13">
        <f t="shared" si="129"/>
        <v>13.833333333333334</v>
      </c>
      <c r="H166" s="13">
        <f t="shared" si="130"/>
        <v>-0.82030474843733492</v>
      </c>
      <c r="I166" s="13">
        <f t="shared" ca="1" si="131"/>
        <v>10.259948102777779</v>
      </c>
      <c r="J166" s="14">
        <f t="shared" ca="1" si="132"/>
        <v>-1.2653316431838997</v>
      </c>
      <c r="K166" s="14">
        <f t="shared" ca="1" si="133"/>
        <v>0.99770474632441963</v>
      </c>
      <c r="L166" s="14">
        <f t="shared" ca="1" si="134"/>
        <v>6.7714394051210686E-2</v>
      </c>
      <c r="M166" s="14">
        <f t="shared" ca="1" si="135"/>
        <v>1.5030300778952499</v>
      </c>
      <c r="N166" s="14">
        <f t="shared" ca="1" si="136"/>
        <v>1000000</v>
      </c>
      <c r="O166" s="15">
        <f t="shared" ca="1" si="137"/>
        <v>0</v>
      </c>
      <c r="P166" s="13"/>
      <c r="Q166" s="13"/>
      <c r="R166" s="13"/>
      <c r="S166" s="13">
        <f t="shared" ca="1" si="138"/>
        <v>1000000</v>
      </c>
      <c r="T166" s="13"/>
      <c r="U166" s="13"/>
      <c r="V166" s="14">
        <f t="shared" ca="1" si="139"/>
        <v>1000000</v>
      </c>
      <c r="W166" s="15">
        <f t="shared" ca="1" si="140"/>
        <v>0</v>
      </c>
      <c r="X166" s="13"/>
      <c r="Y166" s="13"/>
      <c r="Z166" s="13"/>
      <c r="AA166" s="13">
        <f t="shared" ca="1" si="141"/>
        <v>1000000</v>
      </c>
      <c r="AB166" s="13"/>
      <c r="AC166" s="13"/>
    </row>
    <row r="167" spans="1:29" x14ac:dyDescent="0.35">
      <c r="A167" s="2" t="s">
        <v>151</v>
      </c>
      <c r="B167" s="12">
        <v>14</v>
      </c>
      <c r="C167" s="12">
        <v>50</v>
      </c>
      <c r="D167" s="12">
        <v>-37</v>
      </c>
      <c r="E167" s="12">
        <v>0</v>
      </c>
      <c r="F167" s="12"/>
      <c r="G167" s="13">
        <f t="shared" si="129"/>
        <v>14.833333333333334</v>
      </c>
      <c r="H167" s="13">
        <f t="shared" si="130"/>
        <v>-0.64577182323790194</v>
      </c>
      <c r="I167" s="13">
        <f t="shared" ca="1" si="131"/>
        <v>9.2599481027777788</v>
      </c>
      <c r="J167" s="14">
        <f t="shared" ca="1" si="132"/>
        <v>-1.0144515773684646</v>
      </c>
      <c r="K167" s="14">
        <f t="shared" ca="1" si="133"/>
        <v>0.99417834083008527</v>
      </c>
      <c r="L167" s="14">
        <f t="shared" ca="1" si="134"/>
        <v>-0.10774704926047274</v>
      </c>
      <c r="M167" s="14">
        <f t="shared" ca="1" si="135"/>
        <v>1.6787529530367604</v>
      </c>
      <c r="N167" s="14">
        <f t="shared" ca="1" si="136"/>
        <v>1000000</v>
      </c>
      <c r="O167" s="15">
        <f t="shared" ca="1" si="137"/>
        <v>0</v>
      </c>
      <c r="P167" s="13"/>
      <c r="Q167" s="13"/>
      <c r="R167" s="13"/>
      <c r="S167" s="13">
        <f t="shared" ca="1" si="138"/>
        <v>1000000</v>
      </c>
      <c r="T167" s="13"/>
      <c r="U167" s="13"/>
      <c r="V167" s="14">
        <f t="shared" ca="1" si="139"/>
        <v>1000000</v>
      </c>
      <c r="W167" s="15">
        <f t="shared" ca="1" si="140"/>
        <v>0</v>
      </c>
      <c r="X167" s="13"/>
      <c r="Y167" s="13"/>
      <c r="Z167" s="13"/>
      <c r="AA167" s="13">
        <f t="shared" ca="1" si="141"/>
        <v>1000000</v>
      </c>
      <c r="AB167" s="13"/>
      <c r="AC167" s="13"/>
    </row>
    <row r="169" spans="1:29" x14ac:dyDescent="0.35">
      <c r="A169" s="2" t="s">
        <v>152</v>
      </c>
      <c r="B169" s="12">
        <v>0</v>
      </c>
      <c r="C169" s="12">
        <v>20</v>
      </c>
      <c r="D169" s="12">
        <v>-78</v>
      </c>
      <c r="E169" s="12">
        <v>0</v>
      </c>
      <c r="F169" s="12"/>
      <c r="G169" s="13">
        <f>+B169+C169/60</f>
        <v>0.33333333333333331</v>
      </c>
      <c r="H169" s="13">
        <f>(D169+E169/60)*PI()/180</f>
        <v>-1.3613568165555769</v>
      </c>
      <c r="I169" s="13">
        <f t="shared" ref="I169:I172" ca="1" si="142">IF($L$10-G169&lt;0,24+$L$10-G169,$L$10-G169)</f>
        <v>23.759948102777781</v>
      </c>
      <c r="J169" s="14">
        <f ca="1">ASIN(COS(H169)*COS(I169*PI()/12)*COS($D$8)+SIN($D$8)*SIN(H169))</f>
        <v>-0.64320054131422799</v>
      </c>
      <c r="K169" s="14">
        <f ca="1">(COS(H169)*SIN(I169*PI()/12))/COS(J169)</f>
        <v>-1.6318450056837346E-2</v>
      </c>
      <c r="L169" s="14">
        <f ca="1">(COS(H169)*COS(I169*PI()/12)*SIN($D$8)-COS($D$8)*SIN(H169))/COS(J169)</f>
        <v>0.99986684522877445</v>
      </c>
      <c r="M169" s="14">
        <f ca="1">IF(L169&lt;0,-ASIN(K169)+PI(),ASIN(K169))</f>
        <v>-1.6319174388578141E-2</v>
      </c>
      <c r="N169" s="14">
        <f ca="1">IF(PRODUCT($O$169:$O$172)=0,$G$6,COS(J169)*SIN(M169))</f>
        <v>1000000</v>
      </c>
      <c r="O169" s="15">
        <f ca="1">IF(J169&lt;0,0,1)</f>
        <v>0</v>
      </c>
      <c r="P169" s="13"/>
      <c r="Q169" s="13"/>
      <c r="R169" s="13"/>
      <c r="S169" s="13">
        <f ca="1">IF(PRODUCT($O$169:$O$172)=0,$G$6,+COS(J169)*COS(PI()+M169))</f>
        <v>1000000</v>
      </c>
      <c r="T169" s="13"/>
      <c r="U169" s="13"/>
      <c r="V169" s="14">
        <f ca="1">IF(PRODUCT($W$169:$W$172)=0,$G$6,-COS(J169)*SIN(M169+$E$8))</f>
        <v>1000000</v>
      </c>
      <c r="W169" s="15">
        <f ca="1">IF(OR(J169&lt;0,COS(PI()+M169+$E$8)&lt;0),0,1)</f>
        <v>0</v>
      </c>
      <c r="X169" s="13"/>
      <c r="Y169" s="13"/>
      <c r="Z169" s="13"/>
      <c r="AA169" s="13">
        <f ca="1">IF(PRODUCT($W$169:$W$172)=0,$G$6,SIN(J169))</f>
        <v>1000000</v>
      </c>
      <c r="AB169" s="13"/>
      <c r="AC169" s="13"/>
    </row>
    <row r="170" spans="1:29" x14ac:dyDescent="0.35">
      <c r="A170" s="2" t="s">
        <v>152</v>
      </c>
      <c r="B170" s="12">
        <v>3</v>
      </c>
      <c r="C170" s="12">
        <v>55</v>
      </c>
      <c r="D170" s="12">
        <v>-74</v>
      </c>
      <c r="E170" s="12">
        <v>0</v>
      </c>
      <c r="F170" s="12"/>
      <c r="G170" s="13">
        <f>+B170+C170/60</f>
        <v>3.9166666666666665</v>
      </c>
      <c r="H170" s="13">
        <f>(D170+E170/60)*PI()/180</f>
        <v>-1.2915436464758039</v>
      </c>
      <c r="I170" s="13">
        <f t="shared" ca="1" si="142"/>
        <v>20.176614769444445</v>
      </c>
      <c r="J170" s="14">
        <f ca="1">ASIN(COS(H170)*COS(I170*PI()/12)*COS($D$8)+SIN($D$8)*SIN(H170))</f>
        <v>-0.67609357962423133</v>
      </c>
      <c r="K170" s="14">
        <f ca="1">(COS(H170)*SIN(I170*PI()/12))/COS(J170)</f>
        <v>-0.2975343742339539</v>
      </c>
      <c r="L170" s="14">
        <f ca="1">(COS(H170)*COS(I170*PI()/12)*SIN($D$8)-COS($D$8)*SIN(H170))/COS(J170)</f>
        <v>0.95471110612017573</v>
      </c>
      <c r="M170" s="14">
        <f ca="1">IF(L170&lt;0,-ASIN(K170)+PI(),ASIN(K170))</f>
        <v>-0.3021090226558194</v>
      </c>
      <c r="N170" s="14">
        <f ca="1">IF(PRODUCT($O$169:$O$172)=0,$G$6,COS(J170)*SIN(M170))</f>
        <v>1000000</v>
      </c>
      <c r="O170" s="15">
        <f ca="1">IF(J170&lt;0,0,1)</f>
        <v>0</v>
      </c>
      <c r="P170" s="13"/>
      <c r="Q170" s="13"/>
      <c r="R170" s="13"/>
      <c r="S170" s="13">
        <f ca="1">IF(PRODUCT($O$169:$O$172)=0,$G$6,+COS(J170)*COS(PI()+M170))</f>
        <v>1000000</v>
      </c>
      <c r="T170" s="13"/>
      <c r="U170" s="13"/>
      <c r="V170" s="14">
        <f ca="1">IF(PRODUCT($W$169:$W$172)=0,$G$6,-COS(J170)*SIN(M170+$E$8))</f>
        <v>1000000</v>
      </c>
      <c r="W170" s="15">
        <f ca="1">IF(OR(J170&lt;0,COS(PI()+M170+$E$8)&lt;0),0,1)</f>
        <v>0</v>
      </c>
      <c r="X170" s="13"/>
      <c r="Y170" s="13"/>
      <c r="Z170" s="13"/>
      <c r="AA170" s="13">
        <f ca="1">IF(PRODUCT($W$169:$W$172)=0,$G$6,SIN(J170))</f>
        <v>1000000</v>
      </c>
      <c r="AB170" s="13"/>
      <c r="AC170" s="13"/>
    </row>
    <row r="171" spans="1:29" x14ac:dyDescent="0.35">
      <c r="A171" s="2" t="s">
        <v>152</v>
      </c>
      <c r="B171" s="12">
        <v>2</v>
      </c>
      <c r="C171" s="12">
        <v>0</v>
      </c>
      <c r="D171" s="12">
        <v>-62</v>
      </c>
      <c r="E171" s="12">
        <v>0</v>
      </c>
      <c r="F171" s="12"/>
      <c r="G171" s="13">
        <f>+B171+C171/60</f>
        <v>2</v>
      </c>
      <c r="H171" s="13">
        <f>(D171+E171/60)*PI()/180</f>
        <v>-1.0821041362364843</v>
      </c>
      <c r="I171" s="13">
        <f t="shared" ca="1" si="142"/>
        <v>22.093281436111113</v>
      </c>
      <c r="J171" s="14">
        <f ca="1">ASIN(COS(H171)*COS(I171*PI()/12)*COS($D$8)+SIN($D$8)*SIN(H171))</f>
        <v>-0.40428308750814446</v>
      </c>
      <c r="K171" s="14">
        <f ca="1">(COS(H171)*SIN(I171*PI()/12))/COS(J171)</f>
        <v>-0.24444373509115025</v>
      </c>
      <c r="L171" s="14">
        <f ca="1">(COS(H171)*COS(I171*PI()/12)*SIN($D$8)-COS($D$8)*SIN(H171))/COS(J171)</f>
        <v>0.96966347790080631</v>
      </c>
      <c r="M171" s="14">
        <f ca="1">IF(L171&lt;0,-ASIN(K171)+PI(),ASIN(K171))</f>
        <v>-0.24694598301451434</v>
      </c>
      <c r="N171" s="14">
        <f ca="1">IF(PRODUCT($O$169:$O$172)=0,$G$6,COS(J171)*SIN(M171))</f>
        <v>1000000</v>
      </c>
      <c r="O171" s="15">
        <f ca="1">IF(J171&lt;0,0,1)</f>
        <v>0</v>
      </c>
      <c r="P171" s="13"/>
      <c r="Q171" s="13"/>
      <c r="R171" s="13"/>
      <c r="S171" s="13">
        <f ca="1">IF(PRODUCT($O$169:$O$172)=0,$G$6,+COS(J171)*COS(PI()+M171))</f>
        <v>1000000</v>
      </c>
      <c r="T171" s="13"/>
      <c r="U171" s="13"/>
      <c r="V171" s="14">
        <f ca="1">IF(PRODUCT($W$169:$W$172)=0,$G$6,-COS(J171)*SIN(M171+$E$8))</f>
        <v>1000000</v>
      </c>
      <c r="W171" s="15">
        <f ca="1">IF(OR(J171&lt;0,COS(PI()+M171+$E$8)&lt;0),0,1)</f>
        <v>0</v>
      </c>
      <c r="X171" s="13"/>
      <c r="Y171" s="13"/>
      <c r="Z171" s="13"/>
      <c r="AA171" s="13">
        <f ca="1">IF(PRODUCT($W$169:$W$172)=0,$G$6,SIN(J171))</f>
        <v>1000000</v>
      </c>
      <c r="AB171" s="13"/>
      <c r="AC171" s="13"/>
    </row>
    <row r="172" spans="1:29" x14ac:dyDescent="0.35">
      <c r="A172" s="2" t="s">
        <v>152</v>
      </c>
      <c r="B172" s="12">
        <v>0</v>
      </c>
      <c r="C172" s="12">
        <v>20</v>
      </c>
      <c r="D172" s="12">
        <v>-78</v>
      </c>
      <c r="E172" s="12">
        <v>0</v>
      </c>
      <c r="F172" s="12"/>
      <c r="G172" s="13">
        <f>+B172+C172/60</f>
        <v>0.33333333333333331</v>
      </c>
      <c r="H172" s="13">
        <f>(D172+E172/60)*PI()/180</f>
        <v>-1.3613568165555769</v>
      </c>
      <c r="I172" s="13">
        <f t="shared" ca="1" si="142"/>
        <v>23.759948102777781</v>
      </c>
      <c r="J172" s="14">
        <f ca="1">ASIN(COS(H172)*COS(I172*PI()/12)*COS($D$8)+SIN($D$8)*SIN(H172))</f>
        <v>-0.64320054131422799</v>
      </c>
      <c r="K172" s="14">
        <f ca="1">(COS(H172)*SIN(I172*PI()/12))/COS(J172)</f>
        <v>-1.6318450056837346E-2</v>
      </c>
      <c r="L172" s="14">
        <f ca="1">(COS(H172)*COS(I172*PI()/12)*SIN($D$8)-COS($D$8)*SIN(H172))/COS(J172)</f>
        <v>0.99986684522877445</v>
      </c>
      <c r="M172" s="14">
        <f ca="1">IF(L172&lt;0,-ASIN(K172)+PI(),ASIN(K172))</f>
        <v>-1.6319174388578141E-2</v>
      </c>
      <c r="N172" s="14">
        <f ca="1">IF(PRODUCT($O$169:$O$172)=0,$G$6,COS(J172)*SIN(M172))</f>
        <v>1000000</v>
      </c>
      <c r="O172" s="15">
        <f ca="1">IF(J172&lt;0,0,1)</f>
        <v>0</v>
      </c>
      <c r="P172" s="13"/>
      <c r="Q172" s="13"/>
      <c r="R172" s="13"/>
      <c r="S172" s="13">
        <f ca="1">IF(PRODUCT($O$169:$O$172)=0,$G$6,+COS(J172)*COS(PI()+M172))</f>
        <v>1000000</v>
      </c>
      <c r="T172" s="13"/>
      <c r="U172" s="13"/>
      <c r="V172" s="14">
        <f ca="1">IF(PRODUCT($W$169:$W$172)=0,$G$6,-COS(J172)*SIN(M172+$E$8))</f>
        <v>1000000</v>
      </c>
      <c r="W172" s="15">
        <f ca="1">IF(OR(J172&lt;0,COS(PI()+M172+$E$8)&lt;0),0,1)</f>
        <v>0</v>
      </c>
      <c r="X172" s="13"/>
      <c r="Y172" s="13"/>
      <c r="Z172" s="13"/>
      <c r="AA172" s="13">
        <f ca="1">IF(PRODUCT($W$169:$W$172)=0,$G$6,SIN(J172))</f>
        <v>1000000</v>
      </c>
      <c r="AB172" s="13"/>
      <c r="AC172" s="13"/>
    </row>
    <row r="174" spans="1:29" x14ac:dyDescent="0.35">
      <c r="A174" s="2" t="s">
        <v>153</v>
      </c>
      <c r="B174" s="12">
        <v>9</v>
      </c>
      <c r="C174" s="12">
        <v>40</v>
      </c>
      <c r="D174" s="12">
        <v>24</v>
      </c>
      <c r="E174" s="12">
        <v>0</v>
      </c>
      <c r="F174" s="12"/>
      <c r="G174" s="13">
        <f t="shared" ref="G174:G185" si="143">+B174+C174/60</f>
        <v>9.6666666666666661</v>
      </c>
      <c r="H174" s="13">
        <f t="shared" ref="H174:H185" si="144">(D174+E174/60)*PI()/180</f>
        <v>0.41887902047863906</v>
      </c>
      <c r="I174" s="13">
        <f t="shared" ref="I174:I185" ca="1" si="145">IF($L$10-G174&lt;0,24+$L$10-G174,$L$10-G174)</f>
        <v>14.426614769444447</v>
      </c>
      <c r="J174" s="14">
        <f t="shared" ref="J174:J185" ca="1" si="146">ASIN(COS(H174)*COS(I174*PI()/12)*COS($D$8)+SIN($D$8)*SIN(H174))</f>
        <v>-0.1787822706825461</v>
      </c>
      <c r="K174" s="14">
        <f t="shared" ref="K174:K185" ca="1" si="147">(COS(H174)*SIN(I174*PI()/12))/COS(J174)</f>
        <v>-0.55088572037674044</v>
      </c>
      <c r="L174" s="14">
        <f t="shared" ref="L174:L185" ca="1" si="148">(COS(H174)*COS(I174*PI()/12)*SIN($D$8)-COS($D$8)*SIN(H174))/COS(J174)</f>
        <v>-0.83458068698299004</v>
      </c>
      <c r="M174" s="14">
        <f t="shared" ref="M174:M185" ca="1" si="149">IF(L174&lt;0,-ASIN(K174)+PI(),ASIN(K174))</f>
        <v>3.7250177961027373</v>
      </c>
      <c r="N174" s="14">
        <f t="shared" ref="N174:N185" ca="1" si="150">IF(PRODUCT($O$174:$O$185)=0,$G$6,COS(J174)*SIN(M174))</f>
        <v>1000000</v>
      </c>
      <c r="O174" s="15">
        <f t="shared" ref="O174:O185" ca="1" si="151">IF(J174&lt;0,0,1)</f>
        <v>0</v>
      </c>
      <c r="P174" s="13"/>
      <c r="Q174" s="13"/>
      <c r="R174" s="13"/>
      <c r="S174" s="13"/>
      <c r="T174" s="13">
        <f t="shared" ref="T174:T185" ca="1" si="152">IF(PRODUCT($O$174:$O$185)=0,$G$6,+COS(J174)*COS(PI()+M174))</f>
        <v>1000000</v>
      </c>
      <c r="U174" s="13"/>
      <c r="V174" s="14">
        <f t="shared" ref="V174:V185" ca="1" si="153">IF(PRODUCT($W$174:$W$185)=0,$G$6,-COS(J174)*SIN(M174+$E$8))</f>
        <v>1000000</v>
      </c>
      <c r="W174" s="15">
        <f t="shared" ref="W174:W185" ca="1" si="154">IF(OR(J174&lt;0,COS(PI()+M174+$E$8)&lt;0),0,1)</f>
        <v>0</v>
      </c>
      <c r="X174" s="13"/>
      <c r="Y174" s="13"/>
      <c r="Z174" s="13"/>
      <c r="AA174" s="13"/>
      <c r="AB174" s="13">
        <f t="shared" ref="AB174:AB185" ca="1" si="155">IF(PRODUCT($W$174:$W$185)=0,$G$6,SIN(J174))</f>
        <v>1000000</v>
      </c>
      <c r="AC174" s="13"/>
    </row>
    <row r="175" spans="1:29" x14ac:dyDescent="0.35">
      <c r="A175" s="2" t="s">
        <v>153</v>
      </c>
      <c r="B175" s="12">
        <v>9</v>
      </c>
      <c r="C175" s="12">
        <v>55</v>
      </c>
      <c r="D175" s="12">
        <v>26</v>
      </c>
      <c r="E175" s="12">
        <v>0</v>
      </c>
      <c r="F175" s="12"/>
      <c r="G175" s="13">
        <f t="shared" si="143"/>
        <v>9.9166666666666661</v>
      </c>
      <c r="H175" s="13">
        <f t="shared" si="144"/>
        <v>0.4537856055185257</v>
      </c>
      <c r="I175" s="13">
        <f t="shared" ca="1" si="145"/>
        <v>14.176614769444447</v>
      </c>
      <c r="J175" s="14">
        <f t="shared" ca="1" si="146"/>
        <v>-0.16894593930824869</v>
      </c>
      <c r="K175" s="14">
        <f t="shared" ca="1" si="147"/>
        <v>-0.4918976506641507</v>
      </c>
      <c r="L175" s="14">
        <f t="shared" ca="1" si="148"/>
        <v>-0.87065303150628792</v>
      </c>
      <c r="M175" s="14">
        <f t="shared" ca="1" si="149"/>
        <v>3.6558606395771656</v>
      </c>
      <c r="N175" s="14">
        <f t="shared" ca="1" si="150"/>
        <v>1000000</v>
      </c>
      <c r="O175" s="15">
        <f t="shared" ca="1" si="151"/>
        <v>0</v>
      </c>
      <c r="P175" s="13"/>
      <c r="Q175" s="13"/>
      <c r="R175" s="13"/>
      <c r="S175" s="13"/>
      <c r="T175" s="13">
        <f t="shared" ca="1" si="152"/>
        <v>1000000</v>
      </c>
      <c r="U175" s="13"/>
      <c r="V175" s="14">
        <f t="shared" ca="1" si="153"/>
        <v>1000000</v>
      </c>
      <c r="W175" s="15">
        <f t="shared" ca="1" si="154"/>
        <v>0</v>
      </c>
      <c r="X175" s="13"/>
      <c r="Y175" s="13"/>
      <c r="Z175" s="13"/>
      <c r="AA175" s="13"/>
      <c r="AB175" s="13">
        <f t="shared" ca="1" si="155"/>
        <v>1000000</v>
      </c>
      <c r="AC175" s="13"/>
    </row>
    <row r="176" spans="1:29" x14ac:dyDescent="0.35">
      <c r="A176" s="2" t="s">
        <v>153</v>
      </c>
      <c r="B176" s="12">
        <v>10</v>
      </c>
      <c r="C176" s="12">
        <v>15</v>
      </c>
      <c r="D176" s="12">
        <v>24</v>
      </c>
      <c r="E176" s="12">
        <v>0</v>
      </c>
      <c r="F176" s="12"/>
      <c r="G176" s="13">
        <f t="shared" si="143"/>
        <v>10.25</v>
      </c>
      <c r="H176" s="13">
        <f t="shared" si="144"/>
        <v>0.41887902047863906</v>
      </c>
      <c r="I176" s="13">
        <f t="shared" ca="1" si="145"/>
        <v>13.843281436111113</v>
      </c>
      <c r="J176" s="14">
        <f t="shared" ca="1" si="146"/>
        <v>-0.22846435694058709</v>
      </c>
      <c r="K176" s="14">
        <f t="shared" ca="1" si="147"/>
        <v>-0.43524707855592704</v>
      </c>
      <c r="L176" s="14">
        <f t="shared" ca="1" si="148"/>
        <v>-0.90031104658808359</v>
      </c>
      <c r="M176" s="14">
        <f t="shared" ca="1" si="149"/>
        <v>3.5919053490426149</v>
      </c>
      <c r="N176" s="14">
        <f t="shared" ca="1" si="150"/>
        <v>1000000</v>
      </c>
      <c r="O176" s="15">
        <f t="shared" ca="1" si="151"/>
        <v>0</v>
      </c>
      <c r="P176" s="13"/>
      <c r="Q176" s="13"/>
      <c r="R176" s="13"/>
      <c r="S176" s="13"/>
      <c r="T176" s="13">
        <f t="shared" ca="1" si="152"/>
        <v>1000000</v>
      </c>
      <c r="U176" s="13"/>
      <c r="V176" s="14">
        <f t="shared" ca="1" si="153"/>
        <v>1000000</v>
      </c>
      <c r="W176" s="15">
        <f t="shared" ca="1" si="154"/>
        <v>0</v>
      </c>
      <c r="X176" s="13"/>
      <c r="Y176" s="13"/>
      <c r="Z176" s="13"/>
      <c r="AA176" s="13"/>
      <c r="AB176" s="13">
        <f t="shared" ca="1" si="155"/>
        <v>1000000</v>
      </c>
      <c r="AC176" s="13"/>
    </row>
    <row r="177" spans="1:29" x14ac:dyDescent="0.35">
      <c r="A177" s="2" t="s">
        <v>153</v>
      </c>
      <c r="B177" s="12">
        <v>10</v>
      </c>
      <c r="C177" s="12">
        <v>20</v>
      </c>
      <c r="D177" s="12">
        <v>20</v>
      </c>
      <c r="E177" s="12">
        <v>0</v>
      </c>
      <c r="F177" s="12"/>
      <c r="G177" s="13">
        <f t="shared" si="143"/>
        <v>10.333333333333334</v>
      </c>
      <c r="H177" s="13">
        <f t="shared" si="144"/>
        <v>0.3490658503988659</v>
      </c>
      <c r="I177" s="13">
        <f t="shared" ca="1" si="145"/>
        <v>13.759948102777779</v>
      </c>
      <c r="J177" s="14">
        <f t="shared" ca="1" si="146"/>
        <v>-0.3011073475612675</v>
      </c>
      <c r="K177" s="14">
        <f t="shared" ca="1" si="147"/>
        <v>-0.43749232705963315</v>
      </c>
      <c r="L177" s="14">
        <f t="shared" ca="1" si="148"/>
        <v>-0.89922214372420073</v>
      </c>
      <c r="M177" s="14">
        <f t="shared" ca="1" si="149"/>
        <v>3.5944007154528856</v>
      </c>
      <c r="N177" s="14">
        <f t="shared" ca="1" si="150"/>
        <v>1000000</v>
      </c>
      <c r="O177" s="15">
        <f t="shared" ca="1" si="151"/>
        <v>0</v>
      </c>
      <c r="P177" s="13"/>
      <c r="Q177" s="13"/>
      <c r="R177" s="13"/>
      <c r="S177" s="13"/>
      <c r="T177" s="13">
        <f t="shared" ca="1" si="152"/>
        <v>1000000</v>
      </c>
      <c r="U177" s="13"/>
      <c r="V177" s="14">
        <f t="shared" ca="1" si="153"/>
        <v>1000000</v>
      </c>
      <c r="W177" s="15">
        <f t="shared" ca="1" si="154"/>
        <v>0</v>
      </c>
      <c r="X177" s="13"/>
      <c r="Y177" s="13"/>
      <c r="Z177" s="13"/>
      <c r="AA177" s="13"/>
      <c r="AB177" s="13">
        <f t="shared" ca="1" si="155"/>
        <v>1000000</v>
      </c>
      <c r="AC177" s="13"/>
    </row>
    <row r="178" spans="1:29" x14ac:dyDescent="0.35">
      <c r="A178" s="2" t="s">
        <v>153</v>
      </c>
      <c r="B178" s="12">
        <v>10</v>
      </c>
      <c r="C178" s="12">
        <v>3</v>
      </c>
      <c r="D178" s="12">
        <v>17</v>
      </c>
      <c r="E178" s="12">
        <v>0</v>
      </c>
      <c r="F178" s="12"/>
      <c r="G178" s="13">
        <f t="shared" si="143"/>
        <v>10.050000000000001</v>
      </c>
      <c r="H178" s="13">
        <f t="shared" si="144"/>
        <v>0.29670597283903605</v>
      </c>
      <c r="I178" s="13">
        <f t="shared" ca="1" si="145"/>
        <v>14.043281436111112</v>
      </c>
      <c r="J178" s="14">
        <f t="shared" ca="1" si="146"/>
        <v>-0.32726611797527377</v>
      </c>
      <c r="K178" s="14">
        <f t="shared" ca="1" si="147"/>
        <v>-0.51483046138426558</v>
      </c>
      <c r="L178" s="14">
        <f t="shared" ca="1" si="148"/>
        <v>-0.85729201327836013</v>
      </c>
      <c r="M178" s="14">
        <f t="shared" ca="1" si="149"/>
        <v>3.6824025304549903</v>
      </c>
      <c r="N178" s="14">
        <f t="shared" ca="1" si="150"/>
        <v>1000000</v>
      </c>
      <c r="O178" s="15">
        <f t="shared" ca="1" si="151"/>
        <v>0</v>
      </c>
      <c r="P178" s="13"/>
      <c r="Q178" s="13"/>
      <c r="R178" s="13"/>
      <c r="S178" s="13"/>
      <c r="T178" s="13">
        <f t="shared" ca="1" si="152"/>
        <v>1000000</v>
      </c>
      <c r="U178" s="13"/>
      <c r="V178" s="14">
        <f t="shared" ca="1" si="153"/>
        <v>1000000</v>
      </c>
      <c r="W178" s="15">
        <f t="shared" ca="1" si="154"/>
        <v>0</v>
      </c>
      <c r="X178" s="13"/>
      <c r="Y178" s="13"/>
      <c r="Z178" s="13"/>
      <c r="AA178" s="13"/>
      <c r="AB178" s="13">
        <f t="shared" ca="1" si="155"/>
        <v>1000000</v>
      </c>
      <c r="AC178" s="13"/>
    </row>
    <row r="179" spans="1:29" x14ac:dyDescent="0.35">
      <c r="A179" s="2" t="s">
        <v>153</v>
      </c>
      <c r="B179" s="12">
        <v>10</v>
      </c>
      <c r="C179" s="12">
        <v>5</v>
      </c>
      <c r="D179" s="12">
        <v>12</v>
      </c>
      <c r="E179" s="12">
        <v>2</v>
      </c>
      <c r="F179" s="12"/>
      <c r="G179" s="13">
        <f t="shared" si="143"/>
        <v>10.083333333333334</v>
      </c>
      <c r="H179" s="13">
        <f t="shared" si="144"/>
        <v>0.21002128665665099</v>
      </c>
      <c r="I179" s="13">
        <f t="shared" ca="1" si="145"/>
        <v>14.009948102777779</v>
      </c>
      <c r="J179" s="14">
        <f t="shared" ca="1" si="146"/>
        <v>-0.41124652808306406</v>
      </c>
      <c r="K179" s="14">
        <f t="shared" ca="1" si="147"/>
        <v>-0.53589902804554812</v>
      </c>
      <c r="L179" s="14">
        <f t="shared" ca="1" si="148"/>
        <v>-0.84428208066962829</v>
      </c>
      <c r="M179" s="14">
        <f t="shared" ca="1" si="149"/>
        <v>3.7071648845208984</v>
      </c>
      <c r="N179" s="14">
        <f t="shared" ca="1" si="150"/>
        <v>1000000</v>
      </c>
      <c r="O179" s="15">
        <f t="shared" ca="1" si="151"/>
        <v>0</v>
      </c>
      <c r="P179" s="13"/>
      <c r="Q179" s="13"/>
      <c r="R179" s="13"/>
      <c r="S179" s="13"/>
      <c r="T179" s="13">
        <f t="shared" ca="1" si="152"/>
        <v>1000000</v>
      </c>
      <c r="U179" s="13"/>
      <c r="V179" s="14">
        <f t="shared" ca="1" si="153"/>
        <v>1000000</v>
      </c>
      <c r="W179" s="15">
        <f t="shared" ca="1" si="154"/>
        <v>0</v>
      </c>
      <c r="X179" s="13"/>
      <c r="Y179" s="13"/>
      <c r="Z179" s="13"/>
      <c r="AA179" s="13"/>
      <c r="AB179" s="13">
        <f t="shared" ca="1" si="155"/>
        <v>1000000</v>
      </c>
      <c r="AC179" s="13"/>
    </row>
    <row r="180" spans="1:29" x14ac:dyDescent="0.35">
      <c r="A180" s="2" t="s">
        <v>153</v>
      </c>
      <c r="B180" s="12">
        <v>9</v>
      </c>
      <c r="C180" s="12">
        <v>35</v>
      </c>
      <c r="D180" s="12">
        <v>10</v>
      </c>
      <c r="E180" s="12">
        <v>0</v>
      </c>
      <c r="F180" s="12"/>
      <c r="G180" s="13">
        <f t="shared" si="143"/>
        <v>9.5833333333333339</v>
      </c>
      <c r="H180" s="13">
        <f t="shared" si="144"/>
        <v>0.17453292519943295</v>
      </c>
      <c r="I180" s="13">
        <f t="shared" ca="1" si="145"/>
        <v>14.509948102777779</v>
      </c>
      <c r="J180" s="14">
        <f t="shared" ca="1" si="146"/>
        <v>-0.39254470887841492</v>
      </c>
      <c r="K180" s="14">
        <f t="shared" ca="1" si="147"/>
        <v>-0.65106681968430824</v>
      </c>
      <c r="L180" s="14">
        <f t="shared" ca="1" si="148"/>
        <v>-0.75902041889936034</v>
      </c>
      <c r="M180" s="14">
        <f t="shared" ca="1" si="149"/>
        <v>3.8505817662550728</v>
      </c>
      <c r="N180" s="14">
        <f t="shared" ca="1" si="150"/>
        <v>1000000</v>
      </c>
      <c r="O180" s="15">
        <f t="shared" ca="1" si="151"/>
        <v>0</v>
      </c>
      <c r="P180" s="13"/>
      <c r="Q180" s="13"/>
      <c r="R180" s="13"/>
      <c r="S180" s="13"/>
      <c r="T180" s="13">
        <f t="shared" ca="1" si="152"/>
        <v>1000000</v>
      </c>
      <c r="U180" s="13"/>
      <c r="V180" s="14">
        <f t="shared" ca="1" si="153"/>
        <v>1000000</v>
      </c>
      <c r="W180" s="15">
        <f t="shared" ca="1" si="154"/>
        <v>0</v>
      </c>
      <c r="X180" s="13"/>
      <c r="Y180" s="13"/>
      <c r="Z180" s="13"/>
      <c r="AA180" s="13"/>
      <c r="AB180" s="13">
        <f t="shared" ca="1" si="155"/>
        <v>1000000</v>
      </c>
      <c r="AC180" s="13"/>
    </row>
    <row r="181" spans="1:29" x14ac:dyDescent="0.35">
      <c r="A181" s="2" t="s">
        <v>153</v>
      </c>
      <c r="B181" s="12">
        <v>10</v>
      </c>
      <c r="C181" s="12">
        <v>5</v>
      </c>
      <c r="D181" s="12">
        <v>12</v>
      </c>
      <c r="E181" s="12">
        <v>2</v>
      </c>
      <c r="F181" s="12"/>
      <c r="G181" s="13">
        <f t="shared" si="143"/>
        <v>10.083333333333334</v>
      </c>
      <c r="H181" s="13">
        <f t="shared" si="144"/>
        <v>0.21002128665665099</v>
      </c>
      <c r="I181" s="13">
        <f t="shared" ca="1" si="145"/>
        <v>14.009948102777779</v>
      </c>
      <c r="J181" s="14">
        <f t="shared" ca="1" si="146"/>
        <v>-0.41124652808306406</v>
      </c>
      <c r="K181" s="14">
        <f t="shared" ca="1" si="147"/>
        <v>-0.53589902804554812</v>
      </c>
      <c r="L181" s="14">
        <f t="shared" ca="1" si="148"/>
        <v>-0.84428208066962829</v>
      </c>
      <c r="M181" s="14">
        <f t="shared" ca="1" si="149"/>
        <v>3.7071648845208984</v>
      </c>
      <c r="N181" s="14">
        <f t="shared" ca="1" si="150"/>
        <v>1000000</v>
      </c>
      <c r="O181" s="15">
        <f t="shared" ca="1" si="151"/>
        <v>0</v>
      </c>
      <c r="P181" s="13"/>
      <c r="Q181" s="13"/>
      <c r="R181" s="13"/>
      <c r="S181" s="13"/>
      <c r="T181" s="13">
        <f t="shared" ca="1" si="152"/>
        <v>1000000</v>
      </c>
      <c r="U181" s="13"/>
      <c r="V181" s="14">
        <f t="shared" ca="1" si="153"/>
        <v>1000000</v>
      </c>
      <c r="W181" s="15">
        <f t="shared" ca="1" si="154"/>
        <v>0</v>
      </c>
      <c r="X181" s="13"/>
      <c r="Y181" s="13"/>
      <c r="Z181" s="13"/>
      <c r="AA181" s="13"/>
      <c r="AB181" s="13">
        <f t="shared" ca="1" si="155"/>
        <v>1000000</v>
      </c>
      <c r="AC181" s="13"/>
    </row>
    <row r="182" spans="1:29" x14ac:dyDescent="0.35">
      <c r="A182" s="2" t="s">
        <v>153</v>
      </c>
      <c r="B182" s="12">
        <v>11</v>
      </c>
      <c r="C182" s="12">
        <v>10</v>
      </c>
      <c r="D182" s="12">
        <v>16</v>
      </c>
      <c r="E182" s="12">
        <v>0</v>
      </c>
      <c r="F182" s="12"/>
      <c r="G182" s="13">
        <f t="shared" si="143"/>
        <v>11.166666666666666</v>
      </c>
      <c r="H182" s="13">
        <f t="shared" si="144"/>
        <v>0.27925268031909273</v>
      </c>
      <c r="I182" s="13">
        <f t="shared" ca="1" si="145"/>
        <v>12.926614769444447</v>
      </c>
      <c r="J182" s="14">
        <f t="shared" ca="1" si="146"/>
        <v>-0.41886701014814764</v>
      </c>
      <c r="K182" s="14">
        <f t="shared" ca="1" si="147"/>
        <v>-0.25276038642419479</v>
      </c>
      <c r="L182" s="14">
        <f t="shared" ca="1" si="148"/>
        <v>-0.96752890760673993</v>
      </c>
      <c r="M182" s="14">
        <f t="shared" ca="1" si="149"/>
        <v>3.3971248774968381</v>
      </c>
      <c r="N182" s="14">
        <f t="shared" ca="1" si="150"/>
        <v>1000000</v>
      </c>
      <c r="O182" s="15">
        <f t="shared" ca="1" si="151"/>
        <v>0</v>
      </c>
      <c r="P182" s="13"/>
      <c r="Q182" s="13"/>
      <c r="R182" s="13"/>
      <c r="S182" s="13"/>
      <c r="T182" s="13">
        <f t="shared" ca="1" si="152"/>
        <v>1000000</v>
      </c>
      <c r="U182" s="13"/>
      <c r="V182" s="14">
        <f t="shared" ca="1" si="153"/>
        <v>1000000</v>
      </c>
      <c r="W182" s="15">
        <f t="shared" ca="1" si="154"/>
        <v>0</v>
      </c>
      <c r="X182" s="13"/>
      <c r="Y182" s="13"/>
      <c r="Z182" s="13"/>
      <c r="AA182" s="13"/>
      <c r="AB182" s="13">
        <f t="shared" ca="1" si="155"/>
        <v>1000000</v>
      </c>
      <c r="AC182" s="13"/>
    </row>
    <row r="183" spans="1:29" x14ac:dyDescent="0.35">
      <c r="A183" s="2" t="s">
        <v>153</v>
      </c>
      <c r="B183" s="12">
        <v>11</v>
      </c>
      <c r="C183" s="12">
        <v>50</v>
      </c>
      <c r="D183" s="12">
        <v>15</v>
      </c>
      <c r="E183" s="12">
        <v>0</v>
      </c>
      <c r="F183" s="12"/>
      <c r="G183" s="13">
        <f t="shared" si="143"/>
        <v>11.833333333333334</v>
      </c>
      <c r="H183" s="13">
        <f t="shared" si="144"/>
        <v>0.26179938779914941</v>
      </c>
      <c r="I183" s="13">
        <f t="shared" ca="1" si="145"/>
        <v>12.259948102777779</v>
      </c>
      <c r="J183" s="14">
        <f t="shared" ca="1" si="146"/>
        <v>-0.45505528650958171</v>
      </c>
      <c r="K183" s="14">
        <f t="shared" ca="1" si="147"/>
        <v>-7.3126193002480022E-2</v>
      </c>
      <c r="L183" s="14">
        <f t="shared" ca="1" si="148"/>
        <v>-0.99732269597004752</v>
      </c>
      <c r="M183" s="14">
        <f t="shared" ca="1" si="149"/>
        <v>3.2147841769116865</v>
      </c>
      <c r="N183" s="14">
        <f t="shared" ca="1" si="150"/>
        <v>1000000</v>
      </c>
      <c r="O183" s="15">
        <f t="shared" ca="1" si="151"/>
        <v>0</v>
      </c>
      <c r="P183" s="13"/>
      <c r="Q183" s="13"/>
      <c r="R183" s="13"/>
      <c r="S183" s="13"/>
      <c r="T183" s="13">
        <f t="shared" ca="1" si="152"/>
        <v>1000000</v>
      </c>
      <c r="U183" s="13"/>
      <c r="V183" s="14">
        <f t="shared" ca="1" si="153"/>
        <v>1000000</v>
      </c>
      <c r="W183" s="15">
        <f t="shared" ca="1" si="154"/>
        <v>0</v>
      </c>
      <c r="X183" s="13"/>
      <c r="Y183" s="13"/>
      <c r="Z183" s="13"/>
      <c r="AA183" s="13"/>
      <c r="AB183" s="13">
        <f t="shared" ca="1" si="155"/>
        <v>1000000</v>
      </c>
      <c r="AC183" s="13"/>
    </row>
    <row r="184" spans="1:29" x14ac:dyDescent="0.35">
      <c r="A184" s="2" t="s">
        <v>153</v>
      </c>
      <c r="B184" s="12">
        <v>11</v>
      </c>
      <c r="C184" s="12">
        <v>10</v>
      </c>
      <c r="D184" s="12">
        <v>21</v>
      </c>
      <c r="E184" s="12">
        <v>0</v>
      </c>
      <c r="F184" s="12"/>
      <c r="G184" s="13">
        <f t="shared" si="143"/>
        <v>11.166666666666666</v>
      </c>
      <c r="H184" s="13">
        <f t="shared" si="144"/>
        <v>0.36651914291880922</v>
      </c>
      <c r="I184" s="13">
        <f t="shared" ca="1" si="145"/>
        <v>12.926614769444447</v>
      </c>
      <c r="J184" s="14">
        <f t="shared" ca="1" si="146"/>
        <v>-0.33287179552376861</v>
      </c>
      <c r="K184" s="14">
        <f t="shared" ca="1" si="147"/>
        <v>-0.23728496545671504</v>
      </c>
      <c r="L184" s="14">
        <f t="shared" ca="1" si="148"/>
        <v>-0.97144008830612172</v>
      </c>
      <c r="M184" s="14">
        <f t="shared" ca="1" si="149"/>
        <v>3.3811626909791319</v>
      </c>
      <c r="N184" s="14">
        <f t="shared" ca="1" si="150"/>
        <v>1000000</v>
      </c>
      <c r="O184" s="15">
        <f t="shared" ca="1" si="151"/>
        <v>0</v>
      </c>
      <c r="P184" s="13"/>
      <c r="Q184" s="13"/>
      <c r="R184" s="13"/>
      <c r="S184" s="13"/>
      <c r="T184" s="13">
        <f t="shared" ca="1" si="152"/>
        <v>1000000</v>
      </c>
      <c r="U184" s="13"/>
      <c r="V184" s="14">
        <f t="shared" ca="1" si="153"/>
        <v>1000000</v>
      </c>
      <c r="W184" s="15">
        <f t="shared" ca="1" si="154"/>
        <v>0</v>
      </c>
      <c r="X184" s="13"/>
      <c r="Y184" s="13"/>
      <c r="Z184" s="13"/>
      <c r="AA184" s="13"/>
      <c r="AB184" s="13">
        <f t="shared" ca="1" si="155"/>
        <v>1000000</v>
      </c>
      <c r="AC184" s="13"/>
    </row>
    <row r="185" spans="1:29" x14ac:dyDescent="0.35">
      <c r="A185" s="2" t="s">
        <v>153</v>
      </c>
      <c r="B185" s="12">
        <v>10</v>
      </c>
      <c r="C185" s="12">
        <v>20</v>
      </c>
      <c r="D185" s="12">
        <v>20</v>
      </c>
      <c r="E185" s="12">
        <v>0</v>
      </c>
      <c r="F185" s="12"/>
      <c r="G185" s="13">
        <f t="shared" si="143"/>
        <v>10.333333333333334</v>
      </c>
      <c r="H185" s="13">
        <f t="shared" si="144"/>
        <v>0.3490658503988659</v>
      </c>
      <c r="I185" s="13">
        <f t="shared" ca="1" si="145"/>
        <v>13.759948102777779</v>
      </c>
      <c r="J185" s="14">
        <f t="shared" ca="1" si="146"/>
        <v>-0.3011073475612675</v>
      </c>
      <c r="K185" s="14">
        <f t="shared" ca="1" si="147"/>
        <v>-0.43749232705963315</v>
      </c>
      <c r="L185" s="14">
        <f t="shared" ca="1" si="148"/>
        <v>-0.89922214372420073</v>
      </c>
      <c r="M185" s="14">
        <f t="shared" ca="1" si="149"/>
        <v>3.5944007154528856</v>
      </c>
      <c r="N185" s="14">
        <f t="shared" ca="1" si="150"/>
        <v>1000000</v>
      </c>
      <c r="O185" s="15">
        <f t="shared" ca="1" si="151"/>
        <v>0</v>
      </c>
      <c r="P185" s="13"/>
      <c r="Q185" s="13"/>
      <c r="R185" s="13"/>
      <c r="S185" s="13"/>
      <c r="T185" s="13">
        <f t="shared" ca="1" si="152"/>
        <v>1000000</v>
      </c>
      <c r="U185" s="13"/>
      <c r="V185" s="14">
        <f t="shared" ca="1" si="153"/>
        <v>1000000</v>
      </c>
      <c r="W185" s="15">
        <f t="shared" ca="1" si="154"/>
        <v>0</v>
      </c>
      <c r="X185" s="13"/>
      <c r="Y185" s="13"/>
      <c r="Z185" s="13"/>
      <c r="AA185" s="13"/>
      <c r="AB185" s="13">
        <f t="shared" ca="1" si="155"/>
        <v>1000000</v>
      </c>
      <c r="AC185" s="13"/>
    </row>
    <row r="186" spans="1:29" x14ac:dyDescent="0.35">
      <c r="F186" s="12"/>
    </row>
    <row r="187" spans="1:29" x14ac:dyDescent="0.35">
      <c r="A187" s="2" t="s">
        <v>154</v>
      </c>
      <c r="B187" s="12">
        <v>16</v>
      </c>
      <c r="C187" s="12">
        <v>0</v>
      </c>
      <c r="D187" s="12">
        <v>-20</v>
      </c>
      <c r="E187" s="12">
        <v>0</v>
      </c>
      <c r="F187" s="12"/>
      <c r="G187" s="13">
        <f t="shared" ref="G187:G198" si="156">+B187+C187/60</f>
        <v>16</v>
      </c>
      <c r="H187" s="13">
        <f t="shared" ref="H187:H198" si="157">(D187+E187/60)*PI()/180</f>
        <v>-0.3490658503988659</v>
      </c>
      <c r="I187" s="13">
        <f t="shared" ref="I187:I198" ca="1" si="158">IF($L$10-G187&lt;0,24+$L$10-G187,$L$10-G187)</f>
        <v>8.0932814361111127</v>
      </c>
      <c r="J187" s="14">
        <f t="shared" ref="J187:J198" ca="1" si="159">ASIN(COS(H187)*COS(I187*PI()/12)*COS($D$8)+SIN($D$8)*SIN(H187))</f>
        <v>-0.61840660078097298</v>
      </c>
      <c r="K187" s="14">
        <f t="shared" ref="K187:K198" ca="1" si="160">(COS(H187)*SIN(I187*PI()/12))/COS(J187)</f>
        <v>0.98438738839318907</v>
      </c>
      <c r="L187" s="14">
        <f t="shared" ref="L187:L198" ca="1" si="161">(COS(H187)*COS(I187*PI()/12)*SIN($D$8)-COS($D$8)*SIN(H187))/COS(J187)</f>
        <v>-0.17601553787219243</v>
      </c>
      <c r="M187" s="14">
        <f t="shared" ref="M187:M198" ca="1" si="162">IF(L187&lt;0,-ASIN(K187)+PI(),ASIN(K187))</f>
        <v>1.7477336445453642</v>
      </c>
      <c r="N187" s="14">
        <f t="shared" ref="N187:N198" ca="1" si="163">IF(PRODUCT($O$187:$O$198)=0,$G$6,COS(J187)*SIN(M187))</f>
        <v>1000000</v>
      </c>
      <c r="O187" s="15">
        <f t="shared" ref="O187:O198" ca="1" si="164">IF(J187&lt;0,0,1)</f>
        <v>0</v>
      </c>
      <c r="P187" s="13"/>
      <c r="Q187" s="13"/>
      <c r="R187" s="13"/>
      <c r="S187" s="13"/>
      <c r="T187" s="13">
        <f t="shared" ref="T187:T198" ca="1" si="165">IF(PRODUCT($O$187:$O$198)=0,$G$6,+COS(J187)*COS(PI()+M187))</f>
        <v>1000000</v>
      </c>
      <c r="U187" s="13"/>
      <c r="V187" s="14">
        <f t="shared" ref="V187:V198" ca="1" si="166">IF(PRODUCT($W$187:$W$198)=0,$G$6,-COS(J187)*SIN(M187+$E$8))</f>
        <v>1000000</v>
      </c>
      <c r="W187" s="15">
        <f t="shared" ref="W187:W198" ca="1" si="167">IF(OR(J187&lt;0,COS(PI()+M187+$E$8)&lt;0),0,1)</f>
        <v>0</v>
      </c>
      <c r="X187" s="13"/>
      <c r="Y187" s="13"/>
      <c r="Z187" s="13"/>
      <c r="AA187" s="13"/>
      <c r="AB187" s="13">
        <f t="shared" ref="AB187:AB198" ca="1" si="168">IF(PRODUCT($W$187:$W$198)=0,$G$6,SIN(J187))</f>
        <v>1000000</v>
      </c>
      <c r="AC187" s="13"/>
    </row>
    <row r="188" spans="1:29" x14ac:dyDescent="0.35">
      <c r="A188" s="2" t="s">
        <v>154</v>
      </c>
      <c r="B188" s="12">
        <v>15</v>
      </c>
      <c r="C188" s="12">
        <v>55</v>
      </c>
      <c r="D188" s="12">
        <v>-22</v>
      </c>
      <c r="E188" s="12">
        <v>0</v>
      </c>
      <c r="F188" s="12"/>
      <c r="G188" s="13">
        <f t="shared" si="156"/>
        <v>15.916666666666666</v>
      </c>
      <c r="H188" s="13">
        <f t="shared" si="157"/>
        <v>-0.38397243543875248</v>
      </c>
      <c r="I188" s="13">
        <f t="shared" ca="1" si="158"/>
        <v>8.1766147694444467</v>
      </c>
      <c r="J188" s="14">
        <f t="shared" ca="1" si="159"/>
        <v>-0.65766102851529751</v>
      </c>
      <c r="K188" s="14">
        <f t="shared" ca="1" si="160"/>
        <v>0.9864228262385748</v>
      </c>
      <c r="L188" s="14">
        <f t="shared" ca="1" si="161"/>
        <v>-0.16422547876472324</v>
      </c>
      <c r="M188" s="14">
        <f t="shared" ca="1" si="162"/>
        <v>1.7357691049120536</v>
      </c>
      <c r="N188" s="14">
        <f t="shared" ca="1" si="163"/>
        <v>1000000</v>
      </c>
      <c r="O188" s="15">
        <f t="shared" ca="1" si="164"/>
        <v>0</v>
      </c>
      <c r="P188" s="13"/>
      <c r="Q188" s="13"/>
      <c r="R188" s="13"/>
      <c r="S188" s="13"/>
      <c r="T188" s="13">
        <f t="shared" ca="1" si="165"/>
        <v>1000000</v>
      </c>
      <c r="U188" s="13"/>
      <c r="V188" s="14">
        <f t="shared" ca="1" si="166"/>
        <v>1000000</v>
      </c>
      <c r="W188" s="15">
        <f t="shared" ca="1" si="167"/>
        <v>0</v>
      </c>
      <c r="X188" s="13"/>
      <c r="Y188" s="13"/>
      <c r="Z188" s="13"/>
      <c r="AA188" s="13"/>
      <c r="AB188" s="13">
        <f t="shared" ca="1" si="168"/>
        <v>1000000</v>
      </c>
      <c r="AC188" s="13"/>
    </row>
    <row r="189" spans="1:29" x14ac:dyDescent="0.35">
      <c r="A189" s="2" t="s">
        <v>154</v>
      </c>
      <c r="B189" s="12">
        <v>15</v>
      </c>
      <c r="C189" s="12">
        <v>0</v>
      </c>
      <c r="D189" s="12">
        <v>-28</v>
      </c>
      <c r="E189" s="12">
        <v>0</v>
      </c>
      <c r="F189" s="12"/>
      <c r="G189" s="13">
        <f t="shared" si="156"/>
        <v>15</v>
      </c>
      <c r="H189" s="13">
        <f t="shared" si="157"/>
        <v>-0.48869219055841229</v>
      </c>
      <c r="I189" s="13">
        <f t="shared" ca="1" si="158"/>
        <v>9.0932814361111127</v>
      </c>
      <c r="J189" s="14">
        <f t="shared" ca="1" si="159"/>
        <v>-0.88561087479733125</v>
      </c>
      <c r="K189" s="14">
        <f t="shared" ca="1" si="160"/>
        <v>0.96221651890266546</v>
      </c>
      <c r="L189" s="14">
        <f t="shared" ca="1" si="161"/>
        <v>-0.27228545820670741</v>
      </c>
      <c r="M189" s="14">
        <f t="shared" ca="1" si="162"/>
        <v>1.8465637643995212</v>
      </c>
      <c r="N189" s="14">
        <f t="shared" ca="1" si="163"/>
        <v>1000000</v>
      </c>
      <c r="O189" s="15">
        <f t="shared" ca="1" si="164"/>
        <v>0</v>
      </c>
      <c r="P189" s="13"/>
      <c r="Q189" s="13"/>
      <c r="R189" s="13"/>
      <c r="S189" s="13"/>
      <c r="T189" s="13">
        <f t="shared" ca="1" si="165"/>
        <v>1000000</v>
      </c>
      <c r="U189" s="13"/>
      <c r="V189" s="14">
        <f t="shared" ca="1" si="166"/>
        <v>1000000</v>
      </c>
      <c r="W189" s="15">
        <f t="shared" ca="1" si="167"/>
        <v>0</v>
      </c>
      <c r="X189" s="13"/>
      <c r="Y189" s="13"/>
      <c r="Z189" s="13"/>
      <c r="AA189" s="13"/>
      <c r="AB189" s="13">
        <f t="shared" ca="1" si="168"/>
        <v>1000000</v>
      </c>
      <c r="AC189" s="13"/>
    </row>
    <row r="190" spans="1:29" x14ac:dyDescent="0.35">
      <c r="A190" s="2" t="s">
        <v>154</v>
      </c>
      <c r="B190" s="12">
        <v>15</v>
      </c>
      <c r="C190" s="12">
        <v>55</v>
      </c>
      <c r="D190" s="12">
        <v>-22</v>
      </c>
      <c r="E190" s="12">
        <v>0</v>
      </c>
      <c r="F190" s="12"/>
      <c r="G190" s="13">
        <f t="shared" si="156"/>
        <v>15.916666666666666</v>
      </c>
      <c r="H190" s="13">
        <f t="shared" si="157"/>
        <v>-0.38397243543875248</v>
      </c>
      <c r="I190" s="13">
        <f t="shared" ca="1" si="158"/>
        <v>8.1766147694444467</v>
      </c>
      <c r="J190" s="14">
        <f t="shared" ca="1" si="159"/>
        <v>-0.65766102851529751</v>
      </c>
      <c r="K190" s="14">
        <f t="shared" ca="1" si="160"/>
        <v>0.9864228262385748</v>
      </c>
      <c r="L190" s="14">
        <f t="shared" ca="1" si="161"/>
        <v>-0.16422547876472324</v>
      </c>
      <c r="M190" s="14">
        <f t="shared" ca="1" si="162"/>
        <v>1.7357691049120536</v>
      </c>
      <c r="N190" s="14">
        <f t="shared" ca="1" si="163"/>
        <v>1000000</v>
      </c>
      <c r="O190" s="15">
        <f t="shared" ca="1" si="164"/>
        <v>0</v>
      </c>
      <c r="P190" s="13"/>
      <c r="Q190" s="13"/>
      <c r="R190" s="13"/>
      <c r="S190" s="13"/>
      <c r="T190" s="13">
        <f t="shared" ca="1" si="165"/>
        <v>1000000</v>
      </c>
      <c r="U190" s="13"/>
      <c r="V190" s="14">
        <f t="shared" ca="1" si="166"/>
        <v>1000000</v>
      </c>
      <c r="W190" s="15">
        <f t="shared" ca="1" si="167"/>
        <v>0</v>
      </c>
      <c r="X190" s="13"/>
      <c r="Y190" s="13"/>
      <c r="Z190" s="13"/>
      <c r="AA190" s="13"/>
      <c r="AB190" s="13">
        <f t="shared" ca="1" si="168"/>
        <v>1000000</v>
      </c>
      <c r="AC190" s="13"/>
    </row>
    <row r="191" spans="1:29" x14ac:dyDescent="0.35">
      <c r="A191" s="2" t="s">
        <v>154</v>
      </c>
      <c r="B191" s="12">
        <v>16</v>
      </c>
      <c r="C191" s="12">
        <v>26</v>
      </c>
      <c r="D191" s="12">
        <v>-26</v>
      </c>
      <c r="E191" s="12">
        <v>-3</v>
      </c>
      <c r="F191" s="12"/>
      <c r="G191" s="13">
        <f t="shared" si="156"/>
        <v>16.433333333333334</v>
      </c>
      <c r="H191" s="13">
        <f t="shared" si="157"/>
        <v>-0.45465827014452287</v>
      </c>
      <c r="I191" s="13">
        <f t="shared" ca="1" si="158"/>
        <v>7.6599481027777792</v>
      </c>
      <c r="J191" s="14">
        <f t="shared" ca="1" si="159"/>
        <v>-0.61821365485172974</v>
      </c>
      <c r="K191" s="14">
        <f t="shared" ca="1" si="160"/>
        <v>0.9999859018113062</v>
      </c>
      <c r="L191" s="14">
        <f t="shared" ca="1" si="161"/>
        <v>5.3100074038021734E-3</v>
      </c>
      <c r="M191" s="14">
        <f t="shared" ca="1" si="162"/>
        <v>1.565486294437102</v>
      </c>
      <c r="N191" s="14">
        <f t="shared" ca="1" si="163"/>
        <v>1000000</v>
      </c>
      <c r="O191" s="15">
        <f t="shared" ca="1" si="164"/>
        <v>0</v>
      </c>
      <c r="P191" s="13"/>
      <c r="Q191" s="13"/>
      <c r="R191" s="13"/>
      <c r="S191" s="13"/>
      <c r="T191" s="13">
        <f t="shared" ca="1" si="165"/>
        <v>1000000</v>
      </c>
      <c r="U191" s="13"/>
      <c r="V191" s="14">
        <f t="shared" ca="1" si="166"/>
        <v>1000000</v>
      </c>
      <c r="W191" s="15">
        <f t="shared" ca="1" si="167"/>
        <v>0</v>
      </c>
      <c r="X191" s="13"/>
      <c r="Y191" s="13"/>
      <c r="Z191" s="13"/>
      <c r="AA191" s="13"/>
      <c r="AB191" s="13">
        <f t="shared" ca="1" si="168"/>
        <v>1000000</v>
      </c>
      <c r="AC191" s="13"/>
    </row>
    <row r="192" spans="1:29" x14ac:dyDescent="0.35">
      <c r="A192" s="2" t="s">
        <v>154</v>
      </c>
      <c r="B192" s="12">
        <v>16</v>
      </c>
      <c r="C192" s="12">
        <v>50</v>
      </c>
      <c r="D192" s="12">
        <v>-33</v>
      </c>
      <c r="E192" s="12">
        <v>0</v>
      </c>
      <c r="F192" s="12"/>
      <c r="G192" s="13">
        <f t="shared" si="156"/>
        <v>16.833333333333332</v>
      </c>
      <c r="H192" s="13">
        <f t="shared" si="157"/>
        <v>-0.57595865315812877</v>
      </c>
      <c r="I192" s="13">
        <f t="shared" ca="1" si="158"/>
        <v>7.2599481027777806</v>
      </c>
      <c r="J192" s="14">
        <f t="shared" ca="1" si="159"/>
        <v>-0.62959407587463512</v>
      </c>
      <c r="K192" s="14">
        <f t="shared" ca="1" si="160"/>
        <v>0.98167813206691468</v>
      </c>
      <c r="L192" s="14">
        <f t="shared" ca="1" si="161"/>
        <v>0.19054670036926241</v>
      </c>
      <c r="M192" s="14">
        <f t="shared" ca="1" si="162"/>
        <v>1.3790773064427864</v>
      </c>
      <c r="N192" s="14">
        <f t="shared" ca="1" si="163"/>
        <v>1000000</v>
      </c>
      <c r="O192" s="15">
        <f t="shared" ca="1" si="164"/>
        <v>0</v>
      </c>
      <c r="P192" s="13"/>
      <c r="Q192" s="13"/>
      <c r="R192" s="13"/>
      <c r="S192" s="13"/>
      <c r="T192" s="13">
        <f t="shared" ca="1" si="165"/>
        <v>1000000</v>
      </c>
      <c r="U192" s="13"/>
      <c r="V192" s="14">
        <f t="shared" ca="1" si="166"/>
        <v>1000000</v>
      </c>
      <c r="W192" s="15">
        <f t="shared" ca="1" si="167"/>
        <v>0</v>
      </c>
      <c r="X192" s="13"/>
      <c r="Y192" s="13"/>
      <c r="Z192" s="13"/>
      <c r="AA192" s="13"/>
      <c r="AB192" s="13">
        <f t="shared" ca="1" si="168"/>
        <v>1000000</v>
      </c>
      <c r="AC192" s="13"/>
    </row>
    <row r="193" spans="1:29" x14ac:dyDescent="0.35">
      <c r="A193" s="2" t="s">
        <v>154</v>
      </c>
      <c r="B193" s="12">
        <v>16</v>
      </c>
      <c r="C193" s="12">
        <v>55</v>
      </c>
      <c r="D193" s="12">
        <v>-42</v>
      </c>
      <c r="E193" s="12">
        <v>0</v>
      </c>
      <c r="F193" s="12"/>
      <c r="G193" s="13">
        <f t="shared" si="156"/>
        <v>16.916666666666668</v>
      </c>
      <c r="H193" s="13">
        <f t="shared" si="157"/>
        <v>-0.73303828583761843</v>
      </c>
      <c r="I193" s="13">
        <f t="shared" ca="1" si="158"/>
        <v>7.1766147694444449</v>
      </c>
      <c r="J193" s="14">
        <f t="shared" ca="1" si="159"/>
        <v>-0.71026256693041256</v>
      </c>
      <c r="K193" s="14">
        <f t="shared" ca="1" si="160"/>
        <v>0.93402017782891655</v>
      </c>
      <c r="L193" s="14">
        <f t="shared" ca="1" si="161"/>
        <v>0.35722025055760626</v>
      </c>
      <c r="M193" s="14">
        <f t="shared" ca="1" si="162"/>
        <v>1.2055062462790014</v>
      </c>
      <c r="N193" s="14">
        <f t="shared" ca="1" si="163"/>
        <v>1000000</v>
      </c>
      <c r="O193" s="15">
        <f t="shared" ca="1" si="164"/>
        <v>0</v>
      </c>
      <c r="P193" s="13"/>
      <c r="Q193" s="13"/>
      <c r="R193" s="13"/>
      <c r="S193" s="13"/>
      <c r="T193" s="13">
        <f t="shared" ca="1" si="165"/>
        <v>1000000</v>
      </c>
      <c r="U193" s="13"/>
      <c r="V193" s="14">
        <f t="shared" ca="1" si="166"/>
        <v>1000000</v>
      </c>
      <c r="W193" s="15">
        <f t="shared" ca="1" si="167"/>
        <v>0</v>
      </c>
      <c r="X193" s="13"/>
      <c r="Y193" s="13"/>
      <c r="Z193" s="13"/>
      <c r="AA193" s="13"/>
      <c r="AB193" s="13">
        <f t="shared" ca="1" si="168"/>
        <v>1000000</v>
      </c>
      <c r="AC193" s="13"/>
    </row>
    <row r="194" spans="1:29" x14ac:dyDescent="0.35">
      <c r="A194" s="2" t="s">
        <v>154</v>
      </c>
      <c r="B194" s="12">
        <v>17</v>
      </c>
      <c r="C194" s="12">
        <v>33</v>
      </c>
      <c r="D194" s="12">
        <v>-43</v>
      </c>
      <c r="E194" s="12">
        <v>0</v>
      </c>
      <c r="F194" s="12"/>
      <c r="G194" s="13">
        <f t="shared" si="156"/>
        <v>17.55</v>
      </c>
      <c r="H194" s="13">
        <f t="shared" si="157"/>
        <v>-0.75049157835756164</v>
      </c>
      <c r="I194" s="13">
        <f t="shared" ca="1" si="158"/>
        <v>6.543281436111112</v>
      </c>
      <c r="J194" s="14">
        <f t="shared" ca="1" si="159"/>
        <v>-0.6207536183015353</v>
      </c>
      <c r="K194" s="14">
        <f t="shared" ca="1" si="160"/>
        <v>0.89000831539066649</v>
      </c>
      <c r="L194" s="14">
        <f t="shared" ca="1" si="161"/>
        <v>0.45594429323708846</v>
      </c>
      <c r="M194" s="14">
        <f t="shared" ca="1" si="162"/>
        <v>1.0973634069320501</v>
      </c>
      <c r="N194" s="14">
        <f t="shared" ca="1" si="163"/>
        <v>1000000</v>
      </c>
      <c r="O194" s="15">
        <f t="shared" ca="1" si="164"/>
        <v>0</v>
      </c>
      <c r="P194" s="13"/>
      <c r="Q194" s="13"/>
      <c r="R194" s="13"/>
      <c r="S194" s="13"/>
      <c r="T194" s="13">
        <f t="shared" ca="1" si="165"/>
        <v>1000000</v>
      </c>
      <c r="U194" s="13"/>
      <c r="V194" s="14">
        <f t="shared" ca="1" si="166"/>
        <v>1000000</v>
      </c>
      <c r="W194" s="15">
        <f t="shared" ca="1" si="167"/>
        <v>0</v>
      </c>
      <c r="X194" s="13"/>
      <c r="Y194" s="13"/>
      <c r="Z194" s="13"/>
      <c r="AA194" s="13"/>
      <c r="AB194" s="13">
        <f t="shared" ca="1" si="168"/>
        <v>1000000</v>
      </c>
      <c r="AC194" s="13"/>
    </row>
    <row r="195" spans="1:29" x14ac:dyDescent="0.35">
      <c r="A195" s="2" t="s">
        <v>154</v>
      </c>
      <c r="B195" s="12">
        <v>17</v>
      </c>
      <c r="C195" s="12">
        <v>40</v>
      </c>
      <c r="D195" s="12">
        <v>-39</v>
      </c>
      <c r="E195" s="12">
        <v>0</v>
      </c>
      <c r="F195" s="12"/>
      <c r="G195" s="13">
        <f t="shared" si="156"/>
        <v>17.666666666666668</v>
      </c>
      <c r="H195" s="13">
        <f t="shared" si="157"/>
        <v>-0.68067840827778847</v>
      </c>
      <c r="I195" s="13">
        <f t="shared" ca="1" si="158"/>
        <v>6.4266147694444449</v>
      </c>
      <c r="J195" s="14">
        <f t="shared" ca="1" si="159"/>
        <v>-0.55950530105474094</v>
      </c>
      <c r="K195" s="14">
        <f t="shared" ca="1" si="160"/>
        <v>0.91125391816001555</v>
      </c>
      <c r="L195" s="14">
        <f t="shared" ca="1" si="161"/>
        <v>0.41184499103184369</v>
      </c>
      <c r="M195" s="14">
        <f t="shared" ca="1" si="162"/>
        <v>1.1463185159180083</v>
      </c>
      <c r="N195" s="14">
        <f t="shared" ca="1" si="163"/>
        <v>1000000</v>
      </c>
      <c r="O195" s="15">
        <f t="shared" ca="1" si="164"/>
        <v>0</v>
      </c>
      <c r="P195" s="13"/>
      <c r="Q195" s="13"/>
      <c r="R195" s="13"/>
      <c r="S195" s="13"/>
      <c r="T195" s="13">
        <f t="shared" ca="1" si="165"/>
        <v>1000000</v>
      </c>
      <c r="U195" s="13"/>
      <c r="V195" s="14">
        <f t="shared" ca="1" si="166"/>
        <v>1000000</v>
      </c>
      <c r="W195" s="15">
        <f t="shared" ca="1" si="167"/>
        <v>0</v>
      </c>
      <c r="X195" s="13"/>
      <c r="Y195" s="13"/>
      <c r="Z195" s="13"/>
      <c r="AA195" s="13"/>
      <c r="AB195" s="13">
        <f t="shared" ca="1" si="168"/>
        <v>1000000</v>
      </c>
      <c r="AC195" s="13"/>
    </row>
    <row r="196" spans="1:29" x14ac:dyDescent="0.35">
      <c r="A196" s="2" t="s">
        <v>154</v>
      </c>
      <c r="B196" s="12">
        <v>17</v>
      </c>
      <c r="C196" s="12">
        <v>50</v>
      </c>
      <c r="D196" s="12">
        <v>-37</v>
      </c>
      <c r="E196" s="12">
        <v>0</v>
      </c>
      <c r="F196" s="12"/>
      <c r="G196" s="13">
        <f t="shared" si="156"/>
        <v>17.833333333333332</v>
      </c>
      <c r="H196" s="13">
        <f t="shared" si="157"/>
        <v>-0.64577182323790194</v>
      </c>
      <c r="I196" s="13">
        <f t="shared" ca="1" si="158"/>
        <v>6.2599481027777806</v>
      </c>
      <c r="J196" s="14">
        <f t="shared" ca="1" si="159"/>
        <v>-0.51070666692794831</v>
      </c>
      <c r="K196" s="14">
        <f t="shared" ca="1" si="160"/>
        <v>0.91332812939328056</v>
      </c>
      <c r="L196" s="14">
        <f t="shared" ca="1" si="161"/>
        <v>0.40722441977240359</v>
      </c>
      <c r="M196" s="14">
        <f t="shared" ca="1" si="162"/>
        <v>1.1513833047427782</v>
      </c>
      <c r="N196" s="14">
        <f t="shared" ca="1" si="163"/>
        <v>1000000</v>
      </c>
      <c r="O196" s="15">
        <f t="shared" ca="1" si="164"/>
        <v>0</v>
      </c>
      <c r="P196" s="13"/>
      <c r="Q196" s="13"/>
      <c r="R196" s="13"/>
      <c r="S196" s="13"/>
      <c r="T196" s="13">
        <f t="shared" ca="1" si="165"/>
        <v>1000000</v>
      </c>
      <c r="U196" s="13"/>
      <c r="V196" s="14">
        <f t="shared" ca="1" si="166"/>
        <v>1000000</v>
      </c>
      <c r="W196" s="15">
        <f t="shared" ca="1" si="167"/>
        <v>0</v>
      </c>
      <c r="X196" s="13"/>
      <c r="Y196" s="13"/>
      <c r="Z196" s="13"/>
      <c r="AA196" s="13"/>
      <c r="AB196" s="13">
        <f t="shared" ca="1" si="168"/>
        <v>1000000</v>
      </c>
      <c r="AC196" s="13"/>
    </row>
    <row r="197" spans="1:29" x14ac:dyDescent="0.35">
      <c r="A197" s="2" t="s">
        <v>154</v>
      </c>
      <c r="B197" s="12">
        <v>17</v>
      </c>
      <c r="C197" s="12">
        <v>25</v>
      </c>
      <c r="D197" s="12">
        <v>-37</v>
      </c>
      <c r="E197" s="12">
        <v>0</v>
      </c>
      <c r="F197" s="12"/>
      <c r="G197" s="13">
        <f t="shared" si="156"/>
        <v>17.416666666666668</v>
      </c>
      <c r="H197" s="13">
        <f t="shared" si="157"/>
        <v>-0.64577182323790194</v>
      </c>
      <c r="I197" s="13">
        <f t="shared" ca="1" si="158"/>
        <v>6.6766147694444449</v>
      </c>
      <c r="J197" s="14">
        <f t="shared" ca="1" si="159"/>
        <v>-0.5772010325669279</v>
      </c>
      <c r="K197" s="14">
        <f t="shared" ca="1" si="160"/>
        <v>0.93812040922717543</v>
      </c>
      <c r="L197" s="14">
        <f t="shared" ca="1" si="161"/>
        <v>0.34630925166884718</v>
      </c>
      <c r="M197" s="14">
        <f t="shared" ca="1" si="162"/>
        <v>1.2171622890251437</v>
      </c>
      <c r="N197" s="14">
        <f t="shared" ca="1" si="163"/>
        <v>1000000</v>
      </c>
      <c r="O197" s="15">
        <f t="shared" ca="1" si="164"/>
        <v>0</v>
      </c>
      <c r="P197" s="13"/>
      <c r="Q197" s="13"/>
      <c r="R197" s="13"/>
      <c r="S197" s="13"/>
      <c r="T197" s="13">
        <f t="shared" ca="1" si="165"/>
        <v>1000000</v>
      </c>
      <c r="U197" s="13"/>
      <c r="V197" s="14">
        <f t="shared" ca="1" si="166"/>
        <v>1000000</v>
      </c>
      <c r="W197" s="15">
        <f t="shared" ca="1" si="167"/>
        <v>0</v>
      </c>
      <c r="X197" s="13"/>
      <c r="Y197" s="13"/>
      <c r="Z197" s="13"/>
      <c r="AA197" s="13"/>
      <c r="AB197" s="13">
        <f t="shared" ca="1" si="168"/>
        <v>1000000</v>
      </c>
      <c r="AC197" s="13"/>
    </row>
    <row r="198" spans="1:29" x14ac:dyDescent="0.35">
      <c r="A198" s="2" t="s">
        <v>154</v>
      </c>
      <c r="B198" s="12">
        <v>17</v>
      </c>
      <c r="C198" s="12">
        <v>40</v>
      </c>
      <c r="D198" s="12">
        <v>-39</v>
      </c>
      <c r="E198" s="12">
        <v>0</v>
      </c>
      <c r="F198" s="12"/>
      <c r="G198" s="13">
        <f t="shared" si="156"/>
        <v>17.666666666666668</v>
      </c>
      <c r="H198" s="13">
        <f t="shared" si="157"/>
        <v>-0.68067840827778847</v>
      </c>
      <c r="I198" s="13">
        <f t="shared" ca="1" si="158"/>
        <v>6.4266147694444449</v>
      </c>
      <c r="J198" s="14">
        <f t="shared" ca="1" si="159"/>
        <v>-0.55950530105474094</v>
      </c>
      <c r="K198" s="14">
        <f t="shared" ca="1" si="160"/>
        <v>0.91125391816001555</v>
      </c>
      <c r="L198" s="14">
        <f t="shared" ca="1" si="161"/>
        <v>0.41184499103184369</v>
      </c>
      <c r="M198" s="14">
        <f t="shared" ca="1" si="162"/>
        <v>1.1463185159180083</v>
      </c>
      <c r="N198" s="14">
        <f t="shared" ca="1" si="163"/>
        <v>1000000</v>
      </c>
      <c r="O198" s="15">
        <f t="shared" ca="1" si="164"/>
        <v>0</v>
      </c>
      <c r="P198" s="13"/>
      <c r="Q198" s="13"/>
      <c r="R198" s="13"/>
      <c r="S198" s="13"/>
      <c r="T198" s="13">
        <f t="shared" ca="1" si="165"/>
        <v>1000000</v>
      </c>
      <c r="U198" s="13"/>
      <c r="V198" s="14">
        <f t="shared" ca="1" si="166"/>
        <v>1000000</v>
      </c>
      <c r="W198" s="15">
        <f t="shared" ca="1" si="167"/>
        <v>0</v>
      </c>
      <c r="X198" s="13"/>
      <c r="Y198" s="13"/>
      <c r="Z198" s="13"/>
      <c r="AA198" s="13"/>
      <c r="AB198" s="13">
        <f t="shared" ca="1" si="168"/>
        <v>1000000</v>
      </c>
      <c r="AC198" s="13"/>
    </row>
    <row r="199" spans="1:29" x14ac:dyDescent="0.35">
      <c r="F199" s="12"/>
    </row>
    <row r="200" spans="1:29" x14ac:dyDescent="0.35">
      <c r="A200" s="2" t="s">
        <v>155</v>
      </c>
      <c r="B200" s="12">
        <v>14</v>
      </c>
      <c r="C200" s="12">
        <v>15</v>
      </c>
      <c r="D200" s="12">
        <v>-6</v>
      </c>
      <c r="E200" s="12">
        <v>0</v>
      </c>
      <c r="F200" s="12"/>
      <c r="G200" s="13">
        <f t="shared" ref="G200:G207" si="169">+B200+C200/60</f>
        <v>14.25</v>
      </c>
      <c r="H200" s="13">
        <f t="shared" ref="H200:H207" si="170">(D200+E200/60)*PI()/180</f>
        <v>-0.10471975511965977</v>
      </c>
      <c r="I200" s="13">
        <f t="shared" ref="I200:I207" ca="1" si="171">IF($L$10-G200&lt;0,24+$L$10-G200,$L$10-G200)</f>
        <v>9.8432814361111127</v>
      </c>
      <c r="J200" s="14">
        <f t="shared" ref="J200:J207" ca="1" si="172">ASIN(COS(H200)*COS(I200*PI()/12)*COS($D$8)+SIN($D$8)*SIN(H200))</f>
        <v>-0.68377716635891417</v>
      </c>
      <c r="K200" s="14">
        <f t="shared" ref="K200:K207" ca="1" si="173">(COS(H200)*SIN(I200*PI()/12))/COS(J200)</f>
        <v>0.68650067286232419</v>
      </c>
      <c r="L200" s="14">
        <f t="shared" ref="L200:L207" ca="1" si="174">(COS(H200)*COS(I200*PI()/12)*SIN($D$8)-COS($D$8)*SIN(H200))/COS(J200)</f>
        <v>-0.72712916745209422</v>
      </c>
      <c r="M200" s="14">
        <f t="shared" ref="M200:M207" ca="1" si="175">IF(L200&lt;0,-ASIN(K200)+PI(),ASIN(K200))</f>
        <v>2.3849271275036226</v>
      </c>
      <c r="N200" s="14">
        <f t="shared" ref="N200:N207" ca="1" si="176">IF(PRODUCT($O$200:$O$207)=0,$G$6,COS(J200)*SIN(M200))</f>
        <v>1000000</v>
      </c>
      <c r="O200" s="15">
        <f t="shared" ref="O200:O207" ca="1" si="177">IF(J200&lt;0,0,1)</f>
        <v>0</v>
      </c>
      <c r="P200" s="13"/>
      <c r="Q200" s="13"/>
      <c r="R200" s="13"/>
      <c r="S200" s="13"/>
      <c r="T200" s="13">
        <f t="shared" ref="T200:T207" ca="1" si="178">IF(PRODUCT($O$200:$O$207)=0,$G$6,+COS(J200)*COS(PI()+M200))</f>
        <v>1000000</v>
      </c>
      <c r="U200" s="13"/>
      <c r="V200" s="14">
        <f t="shared" ref="V200:V207" ca="1" si="179">IF(PRODUCT($W$200:$W$207)=0,$G$6,-COS(J200)*SIN(M200+$E$8))</f>
        <v>1000000</v>
      </c>
      <c r="W200" s="15">
        <f t="shared" ref="W200:W207" ca="1" si="180">IF(OR(J200&lt;0,COS(PI()+M200+$E$8)&lt;0),0,1)</f>
        <v>0</v>
      </c>
      <c r="X200" s="13"/>
      <c r="Y200" s="13"/>
      <c r="Z200" s="13"/>
      <c r="AA200" s="13"/>
      <c r="AB200" s="13">
        <f t="shared" ref="AB200:AB207" ca="1" si="181">IF(PRODUCT($W$200:$W$207)=0,$G$6,SIN(J200))</f>
        <v>1000000</v>
      </c>
      <c r="AC200" s="13"/>
    </row>
    <row r="201" spans="1:29" x14ac:dyDescent="0.35">
      <c r="A201" s="2" t="s">
        <v>155</v>
      </c>
      <c r="B201" s="12">
        <v>14</v>
      </c>
      <c r="C201" s="12">
        <v>0</v>
      </c>
      <c r="D201" s="12">
        <v>2</v>
      </c>
      <c r="E201" s="12">
        <v>0</v>
      </c>
      <c r="F201" s="12"/>
      <c r="G201" s="13">
        <f t="shared" si="169"/>
        <v>14</v>
      </c>
      <c r="H201" s="13">
        <f t="shared" si="170"/>
        <v>3.4906585039886591E-2</v>
      </c>
      <c r="I201" s="13">
        <f t="shared" ca="1" si="171"/>
        <v>10.093281436111113</v>
      </c>
      <c r="J201" s="14">
        <f t="shared" ca="1" si="172"/>
        <v>-0.58392772587853559</v>
      </c>
      <c r="K201" s="14">
        <f t="shared" ca="1" si="173"/>
        <v>0.57342687608833709</v>
      </c>
      <c r="L201" s="14">
        <f t="shared" ca="1" si="174"/>
        <v>-0.81925674716755958</v>
      </c>
      <c r="M201" s="14">
        <f t="shared" ca="1" si="175"/>
        <v>2.530909983091699</v>
      </c>
      <c r="N201" s="14">
        <f t="shared" ca="1" si="176"/>
        <v>1000000</v>
      </c>
      <c r="O201" s="15">
        <f t="shared" ca="1" si="177"/>
        <v>0</v>
      </c>
      <c r="P201" s="13"/>
      <c r="Q201" s="13"/>
      <c r="R201" s="13"/>
      <c r="S201" s="13"/>
      <c r="T201" s="13">
        <f t="shared" ca="1" si="178"/>
        <v>1000000</v>
      </c>
      <c r="U201" s="13"/>
      <c r="V201" s="14">
        <f t="shared" ca="1" si="179"/>
        <v>1000000</v>
      </c>
      <c r="W201" s="15">
        <f t="shared" ca="1" si="180"/>
        <v>0</v>
      </c>
      <c r="X201" s="13"/>
      <c r="Y201" s="13"/>
      <c r="Z201" s="13"/>
      <c r="AA201" s="13"/>
      <c r="AB201" s="13">
        <f t="shared" ca="1" si="181"/>
        <v>1000000</v>
      </c>
      <c r="AC201" s="13"/>
    </row>
    <row r="202" spans="1:29" x14ac:dyDescent="0.35">
      <c r="A202" s="2" t="s">
        <v>155</v>
      </c>
      <c r="B202" s="12">
        <v>13</v>
      </c>
      <c r="C202" s="12">
        <v>30</v>
      </c>
      <c r="D202" s="12">
        <v>-1</v>
      </c>
      <c r="E202" s="12">
        <v>0</v>
      </c>
      <c r="F202" s="12"/>
      <c r="G202" s="13">
        <f t="shared" si="169"/>
        <v>13.5</v>
      </c>
      <c r="H202" s="13">
        <f t="shared" si="170"/>
        <v>-1.7453292519943295E-2</v>
      </c>
      <c r="I202" s="13">
        <f t="shared" ca="1" si="171"/>
        <v>10.593281436111113</v>
      </c>
      <c r="J202" s="14">
        <f t="shared" ca="1" si="172"/>
        <v>-0.67790104741836388</v>
      </c>
      <c r="K202" s="14">
        <f t="shared" ca="1" si="173"/>
        <v>0.46213750017556959</v>
      </c>
      <c r="L202" s="14">
        <f t="shared" ca="1" si="174"/>
        <v>-0.88680828307558968</v>
      </c>
      <c r="M202" s="14">
        <f t="shared" ca="1" si="175"/>
        <v>2.6611886351191649</v>
      </c>
      <c r="N202" s="14">
        <f t="shared" ca="1" si="176"/>
        <v>1000000</v>
      </c>
      <c r="O202" s="15">
        <f t="shared" ca="1" si="177"/>
        <v>0</v>
      </c>
      <c r="P202" s="13"/>
      <c r="Q202" s="13"/>
      <c r="R202" s="13"/>
      <c r="S202" s="13"/>
      <c r="T202" s="13">
        <f t="shared" ca="1" si="178"/>
        <v>1000000</v>
      </c>
      <c r="U202" s="13"/>
      <c r="V202" s="14">
        <f t="shared" ca="1" si="179"/>
        <v>1000000</v>
      </c>
      <c r="W202" s="15">
        <f t="shared" ca="1" si="180"/>
        <v>0</v>
      </c>
      <c r="X202" s="13"/>
      <c r="Y202" s="13"/>
      <c r="Z202" s="13"/>
      <c r="AA202" s="13"/>
      <c r="AB202" s="13">
        <f t="shared" ca="1" si="181"/>
        <v>1000000</v>
      </c>
      <c r="AC202" s="13"/>
    </row>
    <row r="203" spans="1:29" x14ac:dyDescent="0.35">
      <c r="A203" s="2" t="s">
        <v>155</v>
      </c>
      <c r="B203" s="12">
        <v>13</v>
      </c>
      <c r="C203" s="12">
        <v>22</v>
      </c>
      <c r="D203" s="12">
        <v>-10</v>
      </c>
      <c r="E203" s="12">
        <v>-9</v>
      </c>
      <c r="F203" s="12"/>
      <c r="G203" s="13">
        <f t="shared" si="169"/>
        <v>13.366666666666667</v>
      </c>
      <c r="H203" s="13">
        <f t="shared" si="170"/>
        <v>-0.17715091907742447</v>
      </c>
      <c r="I203" s="13">
        <f t="shared" ca="1" si="171"/>
        <v>10.726614769444446</v>
      </c>
      <c r="J203" s="14">
        <f t="shared" ca="1" si="172"/>
        <v>-0.84044344047629582</v>
      </c>
      <c r="K203" s="14">
        <f t="shared" ca="1" si="173"/>
        <v>0.48282683609439314</v>
      </c>
      <c r="L203" s="14">
        <f t="shared" ca="1" si="174"/>
        <v>-0.87571584794788204</v>
      </c>
      <c r="M203" s="14">
        <f t="shared" ca="1" si="175"/>
        <v>2.6377127741530382</v>
      </c>
      <c r="N203" s="14">
        <f t="shared" ca="1" si="176"/>
        <v>1000000</v>
      </c>
      <c r="O203" s="15">
        <f t="shared" ca="1" si="177"/>
        <v>0</v>
      </c>
      <c r="P203" s="13"/>
      <c r="Q203" s="13"/>
      <c r="R203" s="13"/>
      <c r="S203" s="13"/>
      <c r="T203" s="13">
        <f t="shared" ca="1" si="178"/>
        <v>1000000</v>
      </c>
      <c r="U203" s="13"/>
      <c r="V203" s="14">
        <f t="shared" ca="1" si="179"/>
        <v>1000000</v>
      </c>
      <c r="W203" s="15">
        <f t="shared" ca="1" si="180"/>
        <v>0</v>
      </c>
      <c r="X203" s="13"/>
      <c r="Y203" s="13"/>
      <c r="Z203" s="13"/>
      <c r="AA203" s="13"/>
      <c r="AB203" s="13">
        <f t="shared" ca="1" si="181"/>
        <v>1000000</v>
      </c>
      <c r="AC203" s="13"/>
    </row>
    <row r="204" spans="1:29" x14ac:dyDescent="0.35">
      <c r="A204" s="2" t="s">
        <v>155</v>
      </c>
      <c r="B204" s="12">
        <v>12</v>
      </c>
      <c r="C204" s="12">
        <v>45</v>
      </c>
      <c r="D204" s="12">
        <v>-2</v>
      </c>
      <c r="E204" s="12">
        <v>0</v>
      </c>
      <c r="F204" s="12"/>
      <c r="G204" s="13">
        <f t="shared" si="169"/>
        <v>12.75</v>
      </c>
      <c r="H204" s="13">
        <f t="shared" si="170"/>
        <v>-3.4906585039886591E-2</v>
      </c>
      <c r="I204" s="13">
        <f t="shared" ca="1" si="171"/>
        <v>11.343281436111113</v>
      </c>
      <c r="J204" s="14">
        <f t="shared" ca="1" si="172"/>
        <v>-0.74018427302045853</v>
      </c>
      <c r="K204" s="14">
        <f t="shared" ca="1" si="173"/>
        <v>0.23157019540655877</v>
      </c>
      <c r="L204" s="14">
        <f t="shared" ca="1" si="174"/>
        <v>-0.97281819709510364</v>
      </c>
      <c r="M204" s="14">
        <f t="shared" ca="1" si="175"/>
        <v>2.9079012112775886</v>
      </c>
      <c r="N204" s="14">
        <f t="shared" ca="1" si="176"/>
        <v>1000000</v>
      </c>
      <c r="O204" s="15">
        <f t="shared" ca="1" si="177"/>
        <v>0</v>
      </c>
      <c r="P204" s="13"/>
      <c r="Q204" s="13"/>
      <c r="R204" s="13"/>
      <c r="S204" s="13"/>
      <c r="T204" s="13">
        <f t="shared" ca="1" si="178"/>
        <v>1000000</v>
      </c>
      <c r="U204" s="13"/>
      <c r="V204" s="14">
        <f t="shared" ca="1" si="179"/>
        <v>1000000</v>
      </c>
      <c r="W204" s="15">
        <f t="shared" ca="1" si="180"/>
        <v>0</v>
      </c>
      <c r="X204" s="13"/>
      <c r="Y204" s="13"/>
      <c r="Z204" s="13"/>
      <c r="AA204" s="13"/>
      <c r="AB204" s="13">
        <f t="shared" ca="1" si="181"/>
        <v>1000000</v>
      </c>
      <c r="AC204" s="13"/>
    </row>
    <row r="205" spans="1:29" x14ac:dyDescent="0.35">
      <c r="A205" s="2" t="s">
        <v>155</v>
      </c>
      <c r="B205" s="12">
        <v>13</v>
      </c>
      <c r="C205" s="12">
        <v>0</v>
      </c>
      <c r="D205" s="12">
        <v>11</v>
      </c>
      <c r="E205" s="12">
        <v>0</v>
      </c>
      <c r="F205" s="12"/>
      <c r="G205" s="13">
        <f t="shared" si="169"/>
        <v>13</v>
      </c>
      <c r="H205" s="13">
        <f t="shared" si="170"/>
        <v>0.19198621771937624</v>
      </c>
      <c r="I205" s="13">
        <f t="shared" ca="1" si="171"/>
        <v>11.093281436111113</v>
      </c>
      <c r="J205" s="14">
        <f t="shared" ca="1" si="172"/>
        <v>-0.50567419405103653</v>
      </c>
      <c r="K205" s="14">
        <f t="shared" ca="1" si="173"/>
        <v>0.26385706781775331</v>
      </c>
      <c r="L205" s="14">
        <f t="shared" ca="1" si="174"/>
        <v>-0.96456179053631275</v>
      </c>
      <c r="M205" s="14">
        <f t="shared" ca="1" si="175"/>
        <v>2.8745738474074032</v>
      </c>
      <c r="N205" s="14">
        <f t="shared" ca="1" si="176"/>
        <v>1000000</v>
      </c>
      <c r="O205" s="15">
        <f t="shared" ca="1" si="177"/>
        <v>0</v>
      </c>
      <c r="P205" s="13"/>
      <c r="Q205" s="13"/>
      <c r="R205" s="13"/>
      <c r="S205" s="13"/>
      <c r="T205" s="13">
        <f t="shared" ca="1" si="178"/>
        <v>1000000</v>
      </c>
      <c r="U205" s="13"/>
      <c r="V205" s="14">
        <f t="shared" ca="1" si="179"/>
        <v>1000000</v>
      </c>
      <c r="W205" s="15">
        <f t="shared" ca="1" si="180"/>
        <v>0</v>
      </c>
      <c r="X205" s="13"/>
      <c r="Y205" s="13"/>
      <c r="Z205" s="13"/>
      <c r="AA205" s="13"/>
      <c r="AB205" s="13">
        <f t="shared" ca="1" si="181"/>
        <v>1000000</v>
      </c>
      <c r="AC205" s="13"/>
    </row>
    <row r="206" spans="1:29" x14ac:dyDescent="0.35">
      <c r="A206" s="2" t="s">
        <v>155</v>
      </c>
      <c r="B206" s="12">
        <v>12</v>
      </c>
      <c r="C206" s="12">
        <v>45</v>
      </c>
      <c r="D206" s="12">
        <v>-2</v>
      </c>
      <c r="E206" s="12">
        <v>0</v>
      </c>
      <c r="F206" s="12"/>
      <c r="G206" s="13">
        <f t="shared" si="169"/>
        <v>12.75</v>
      </c>
      <c r="H206" s="13">
        <f t="shared" si="170"/>
        <v>-3.4906585039886591E-2</v>
      </c>
      <c r="I206" s="13">
        <f t="shared" ca="1" si="171"/>
        <v>11.343281436111113</v>
      </c>
      <c r="J206" s="14">
        <f t="shared" ca="1" si="172"/>
        <v>-0.74018427302045853</v>
      </c>
      <c r="K206" s="14">
        <f t="shared" ca="1" si="173"/>
        <v>0.23157019540655877</v>
      </c>
      <c r="L206" s="14">
        <f t="shared" ca="1" si="174"/>
        <v>-0.97281819709510364</v>
      </c>
      <c r="M206" s="14">
        <f t="shared" ca="1" si="175"/>
        <v>2.9079012112775886</v>
      </c>
      <c r="N206" s="14">
        <f t="shared" ca="1" si="176"/>
        <v>1000000</v>
      </c>
      <c r="O206" s="15">
        <f t="shared" ca="1" si="177"/>
        <v>0</v>
      </c>
      <c r="P206" s="13"/>
      <c r="Q206" s="13"/>
      <c r="R206" s="13"/>
      <c r="S206" s="13"/>
      <c r="T206" s="13">
        <f t="shared" ca="1" si="178"/>
        <v>1000000</v>
      </c>
      <c r="U206" s="13"/>
      <c r="V206" s="14">
        <f t="shared" ca="1" si="179"/>
        <v>1000000</v>
      </c>
      <c r="W206" s="15">
        <f t="shared" ca="1" si="180"/>
        <v>0</v>
      </c>
      <c r="X206" s="13"/>
      <c r="Y206" s="13"/>
      <c r="Z206" s="13"/>
      <c r="AA206" s="13"/>
      <c r="AB206" s="13">
        <f t="shared" ca="1" si="181"/>
        <v>1000000</v>
      </c>
      <c r="AC206" s="13"/>
    </row>
    <row r="207" spans="1:29" x14ac:dyDescent="0.35">
      <c r="A207" s="2" t="s">
        <v>155</v>
      </c>
      <c r="B207" s="12">
        <v>11</v>
      </c>
      <c r="C207" s="12">
        <v>50</v>
      </c>
      <c r="D207" s="12">
        <v>-3</v>
      </c>
      <c r="E207" s="12">
        <v>0</v>
      </c>
      <c r="F207" s="12"/>
      <c r="G207" s="13">
        <f t="shared" si="169"/>
        <v>11.833333333333334</v>
      </c>
      <c r="H207" s="13">
        <f t="shared" si="170"/>
        <v>-5.2359877559829883E-2</v>
      </c>
      <c r="I207" s="13">
        <f t="shared" ca="1" si="171"/>
        <v>12.259948102777779</v>
      </c>
      <c r="J207" s="14">
        <f t="shared" ca="1" si="172"/>
        <v>-0.7687346488137512</v>
      </c>
      <c r="K207" s="14">
        <f t="shared" ca="1" si="173"/>
        <v>-9.4476066270909972E-2</v>
      </c>
      <c r="L207" s="14">
        <f t="shared" ca="1" si="174"/>
        <v>-0.9955271331822021</v>
      </c>
      <c r="M207" s="14">
        <f t="shared" ca="1" si="175"/>
        <v>3.236209831983933</v>
      </c>
      <c r="N207" s="14">
        <f t="shared" ca="1" si="176"/>
        <v>1000000</v>
      </c>
      <c r="O207" s="15">
        <f t="shared" ca="1" si="177"/>
        <v>0</v>
      </c>
      <c r="P207" s="13"/>
      <c r="Q207" s="13"/>
      <c r="R207" s="13"/>
      <c r="S207" s="13"/>
      <c r="T207" s="13">
        <f t="shared" ca="1" si="178"/>
        <v>1000000</v>
      </c>
      <c r="U207" s="13"/>
      <c r="V207" s="14">
        <f t="shared" ca="1" si="179"/>
        <v>1000000</v>
      </c>
      <c r="W207" s="15">
        <f t="shared" ca="1" si="180"/>
        <v>0</v>
      </c>
      <c r="X207" s="13"/>
      <c r="Y207" s="13"/>
      <c r="Z207" s="13"/>
      <c r="AA207" s="13"/>
      <c r="AB207" s="13">
        <f t="shared" ca="1" si="181"/>
        <v>1000000</v>
      </c>
      <c r="AC207" s="13"/>
    </row>
    <row r="208" spans="1:29" x14ac:dyDescent="0.35">
      <c r="F208" s="12"/>
    </row>
    <row r="209" spans="1:29" x14ac:dyDescent="0.35">
      <c r="A209" s="2" t="s">
        <v>156</v>
      </c>
      <c r="B209" s="12">
        <v>1</v>
      </c>
      <c r="C209" s="12">
        <v>30</v>
      </c>
      <c r="D209" s="12">
        <v>15</v>
      </c>
      <c r="E209" s="12">
        <v>0</v>
      </c>
      <c r="F209" s="12"/>
      <c r="G209" s="13">
        <f t="shared" ref="G209:G216" si="182">+B209+C209/60</f>
        <v>1.5</v>
      </c>
      <c r="H209" s="13">
        <f t="shared" ref="H209:H216" si="183">(D209+E209/60)*PI()/180</f>
        <v>0.26179938779914941</v>
      </c>
      <c r="I209" s="13">
        <f t="shared" ref="I209:I216" ca="1" si="184">IF($L$10-G209&lt;0,24+$L$10-G209,$L$10-G209)</f>
        <v>22.593281436111113</v>
      </c>
      <c r="J209" s="14">
        <f t="shared" ref="J209:J216" ca="1" si="185">ASIN(COS(H209)*COS(I209*PI()/12)*COS($D$8)+SIN($D$8)*SIN(H209))</f>
        <v>0.90759913648345025</v>
      </c>
      <c r="K209" s="14">
        <f t="shared" ref="K209:K216" ca="1" si="186">(COS(H209)*SIN(I209*PI()/12))/COS(J209)</f>
        <v>-0.56484756960884774</v>
      </c>
      <c r="L209" s="14">
        <f t="shared" ref="L209:L216" ca="1" si="187">(COS(H209)*COS(I209*PI()/12)*SIN($D$8)-COS($D$8)*SIN(H209))/COS(J209)</f>
        <v>0.82519526362369378</v>
      </c>
      <c r="M209" s="14">
        <f t="shared" ref="M209:M216" ca="1" si="188">IF(L209&lt;0,-ASIN(K209)+PI(),ASIN(K209))</f>
        <v>-0.60024852150956309</v>
      </c>
      <c r="N209" s="14">
        <f t="shared" ref="N209:N216" ca="1" si="189">IF(PRODUCT($O$209:$O$216)=0,$G$6,COS(J209)*SIN(M209))</f>
        <v>-0.34774245812130244</v>
      </c>
      <c r="O209" s="15">
        <f t="shared" ref="O209:O216" ca="1" si="190">IF(J209&lt;0,0,1)</f>
        <v>1</v>
      </c>
      <c r="P209" s="13"/>
      <c r="Q209" s="13"/>
      <c r="R209" s="13"/>
      <c r="S209" s="13"/>
      <c r="T209" s="13">
        <f t="shared" ref="T209:T216" ca="1" si="191">IF(PRODUCT($O$209:$O$216)=0,$G$6,+COS(J209)*COS(PI()+M209))</f>
        <v>-0.50802277435888366</v>
      </c>
      <c r="U209" s="13"/>
      <c r="V209" s="14">
        <f t="shared" ref="V209:V216" ca="1" si="192">IF(PRODUCT($W$209:$W$216)=0,$G$6,-COS(J209)*SIN(M209+$E$8))</f>
        <v>-0.34774245812130261</v>
      </c>
      <c r="W209" s="15">
        <f t="shared" ref="W209:W216" ca="1" si="193">IF(OR(J209&lt;0,COS(PI()+M209+$E$8)&lt;0),0,1)</f>
        <v>1</v>
      </c>
      <c r="X209" s="13"/>
      <c r="Y209" s="13"/>
      <c r="Z209" s="13"/>
      <c r="AA209" s="13"/>
      <c r="AB209" s="13">
        <f t="shared" ref="AB209:AB216" ca="1" si="194">IF(PRODUCT($W$209:$W$216)=0,$G$6,SIN(J209))</f>
        <v>0.78802794592099135</v>
      </c>
      <c r="AC209" s="13"/>
    </row>
    <row r="210" spans="1:29" x14ac:dyDescent="0.35">
      <c r="A210" s="2" t="s">
        <v>156</v>
      </c>
      <c r="B210" s="12">
        <v>2</v>
      </c>
      <c r="C210" s="12">
        <v>0</v>
      </c>
      <c r="D210" s="12">
        <v>3</v>
      </c>
      <c r="E210" s="12">
        <v>0</v>
      </c>
      <c r="F210" s="12"/>
      <c r="G210" s="13">
        <f t="shared" si="182"/>
        <v>2</v>
      </c>
      <c r="H210" s="13">
        <f t="shared" si="183"/>
        <v>5.2359877559829883E-2</v>
      </c>
      <c r="I210" s="13">
        <f t="shared" ca="1" si="184"/>
        <v>22.093281436111113</v>
      </c>
      <c r="J210" s="14">
        <f t="shared" ca="1" si="185"/>
        <v>0.66433512835343844</v>
      </c>
      <c r="K210" s="14">
        <f t="shared" ca="1" si="186"/>
        <v>-0.60717823085579459</v>
      </c>
      <c r="L210" s="14">
        <f t="shared" ca="1" si="187"/>
        <v>0.79456566498611514</v>
      </c>
      <c r="M210" s="14">
        <f t="shared" ca="1" si="188"/>
        <v>-0.65250441611975396</v>
      </c>
      <c r="N210" s="14">
        <f t="shared" ca="1" si="189"/>
        <v>-0.47804773985088073</v>
      </c>
      <c r="O210" s="15">
        <f t="shared" ca="1" si="190"/>
        <v>1</v>
      </c>
      <c r="P210" s="13"/>
      <c r="Q210" s="13"/>
      <c r="R210" s="13"/>
      <c r="S210" s="13"/>
      <c r="T210" s="13">
        <f t="shared" ca="1" si="191"/>
        <v>-0.62558290302067299</v>
      </c>
      <c r="U210" s="13"/>
      <c r="V210" s="14">
        <f t="shared" ca="1" si="192"/>
        <v>-0.478047739850881</v>
      </c>
      <c r="W210" s="15">
        <f t="shared" ca="1" si="193"/>
        <v>1</v>
      </c>
      <c r="X210" s="13"/>
      <c r="Y210" s="13"/>
      <c r="Z210" s="13"/>
      <c r="AA210" s="13"/>
      <c r="AB210" s="13">
        <f t="shared" ca="1" si="194"/>
        <v>0.61653579772117995</v>
      </c>
      <c r="AC210" s="13"/>
    </row>
    <row r="211" spans="1:29" x14ac:dyDescent="0.35">
      <c r="A211" s="2" t="s">
        <v>156</v>
      </c>
      <c r="B211" s="12">
        <v>1</v>
      </c>
      <c r="C211" s="12">
        <v>40</v>
      </c>
      <c r="D211" s="12">
        <v>6</v>
      </c>
      <c r="E211" s="12">
        <v>0</v>
      </c>
      <c r="F211" s="12"/>
      <c r="G211" s="13">
        <f t="shared" si="182"/>
        <v>1.6666666666666665</v>
      </c>
      <c r="H211" s="13">
        <f t="shared" si="183"/>
        <v>0.10471975511965977</v>
      </c>
      <c r="I211" s="13">
        <f t="shared" ca="1" si="184"/>
        <v>22.426614769444445</v>
      </c>
      <c r="J211" s="14">
        <f t="shared" ca="1" si="185"/>
        <v>0.74582512913262455</v>
      </c>
      <c r="K211" s="14">
        <f t="shared" ca="1" si="186"/>
        <v>-0.542073456381298</v>
      </c>
      <c r="L211" s="14">
        <f t="shared" ca="1" si="187"/>
        <v>0.84033110610451178</v>
      </c>
      <c r="M211" s="14">
        <f t="shared" ca="1" si="188"/>
        <v>-0.57290257921062271</v>
      </c>
      <c r="N211" s="14">
        <f t="shared" ca="1" si="189"/>
        <v>-0.39816826073625311</v>
      </c>
      <c r="O211" s="15">
        <f t="shared" ca="1" si="190"/>
        <v>1</v>
      </c>
      <c r="P211" s="13"/>
      <c r="Q211" s="13"/>
      <c r="R211" s="13"/>
      <c r="S211" s="13"/>
      <c r="T211" s="13">
        <f t="shared" ca="1" si="191"/>
        <v>-0.61724692663211755</v>
      </c>
      <c r="U211" s="13"/>
      <c r="V211" s="14">
        <f t="shared" ca="1" si="192"/>
        <v>-0.39816826073625311</v>
      </c>
      <c r="W211" s="15">
        <f t="shared" ca="1" si="193"/>
        <v>1</v>
      </c>
      <c r="X211" s="13"/>
      <c r="Y211" s="13"/>
      <c r="Z211" s="13"/>
      <c r="AA211" s="13"/>
      <c r="AB211" s="13">
        <f t="shared" ca="1" si="194"/>
        <v>0.67857812203568169</v>
      </c>
      <c r="AC211" s="13"/>
    </row>
    <row r="212" spans="1:29" x14ac:dyDescent="0.35">
      <c r="A212" s="2" t="s">
        <v>156</v>
      </c>
      <c r="B212" s="12">
        <v>1</v>
      </c>
      <c r="C212" s="12">
        <v>0</v>
      </c>
      <c r="D212" s="12">
        <v>8</v>
      </c>
      <c r="E212" s="12">
        <v>0</v>
      </c>
      <c r="F212" s="12"/>
      <c r="G212" s="13">
        <f t="shared" si="182"/>
        <v>1</v>
      </c>
      <c r="H212" s="13">
        <f t="shared" si="183"/>
        <v>0.13962634015954636</v>
      </c>
      <c r="I212" s="13">
        <f t="shared" ca="1" si="184"/>
        <v>23.093281436111113</v>
      </c>
      <c r="J212" s="14">
        <f t="shared" ca="1" si="185"/>
        <v>0.83059916897057118</v>
      </c>
      <c r="K212" s="14">
        <f t="shared" ca="1" si="186"/>
        <v>-0.34527763771376235</v>
      </c>
      <c r="L212" s="14">
        <f t="shared" ca="1" si="187"/>
        <v>0.9385005875836222</v>
      </c>
      <c r="M212" s="14">
        <f t="shared" ca="1" si="188"/>
        <v>-0.35253460016042926</v>
      </c>
      <c r="N212" s="14">
        <f t="shared" ca="1" si="189"/>
        <v>-0.23286680338803722</v>
      </c>
      <c r="O212" s="15">
        <f t="shared" ca="1" si="190"/>
        <v>1</v>
      </c>
      <c r="P212" s="13"/>
      <c r="Q212" s="13"/>
      <c r="R212" s="13"/>
      <c r="S212" s="13"/>
      <c r="T212" s="13">
        <f t="shared" ca="1" si="191"/>
        <v>-0.63295622981980837</v>
      </c>
      <c r="U212" s="13"/>
      <c r="V212" s="14">
        <f t="shared" ca="1" si="192"/>
        <v>-0.23286680338803731</v>
      </c>
      <c r="W212" s="15">
        <f t="shared" ca="1" si="193"/>
        <v>1</v>
      </c>
      <c r="X212" s="13"/>
      <c r="Y212" s="13"/>
      <c r="Z212" s="13"/>
      <c r="AA212" s="13"/>
      <c r="AB212" s="13">
        <f t="shared" ca="1" si="194"/>
        <v>0.73833560324024128</v>
      </c>
      <c r="AC212" s="13"/>
    </row>
    <row r="213" spans="1:29" x14ac:dyDescent="0.35">
      <c r="A213" s="2" t="s">
        <v>156</v>
      </c>
      <c r="B213" s="12">
        <v>23</v>
      </c>
      <c r="C213" s="12">
        <v>35</v>
      </c>
      <c r="D213" s="12">
        <v>6</v>
      </c>
      <c r="E213" s="12">
        <v>0</v>
      </c>
      <c r="F213" s="12"/>
      <c r="G213" s="13">
        <f t="shared" si="182"/>
        <v>23.583333333333332</v>
      </c>
      <c r="H213" s="13">
        <f t="shared" si="183"/>
        <v>0.10471975511965977</v>
      </c>
      <c r="I213" s="13">
        <f t="shared" ca="1" si="184"/>
        <v>0.50994810277778058</v>
      </c>
      <c r="J213" s="14">
        <f t="shared" ca="1" si="185"/>
        <v>0.81468444012247399</v>
      </c>
      <c r="K213" s="14">
        <f t="shared" ca="1" si="186"/>
        <v>0.19294429347519951</v>
      </c>
      <c r="L213" s="14">
        <f t="shared" ca="1" si="187"/>
        <v>0.98120971235274435</v>
      </c>
      <c r="M213" s="14">
        <f t="shared" ca="1" si="188"/>
        <v>0.19416194333456815</v>
      </c>
      <c r="N213" s="14">
        <f t="shared" ca="1" si="189"/>
        <v>0.13237869392359145</v>
      </c>
      <c r="O213" s="15">
        <f t="shared" ca="1" si="190"/>
        <v>1</v>
      </c>
      <c r="P213" s="13"/>
      <c r="Q213" s="13"/>
      <c r="R213" s="13"/>
      <c r="S213" s="13"/>
      <c r="T213" s="13">
        <f t="shared" ca="1" si="191"/>
        <v>-0.67320602152504194</v>
      </c>
      <c r="U213" s="13"/>
      <c r="V213" s="14">
        <f t="shared" ca="1" si="192"/>
        <v>0.13237869392359128</v>
      </c>
      <c r="W213" s="15">
        <f t="shared" ca="1" si="193"/>
        <v>1</v>
      </c>
      <c r="X213" s="13"/>
      <c r="Y213" s="13"/>
      <c r="Z213" s="13"/>
      <c r="AA213" s="13"/>
      <c r="AB213" s="13">
        <f t="shared" ca="1" si="194"/>
        <v>0.7275091298241616</v>
      </c>
      <c r="AC213" s="13"/>
    </row>
    <row r="214" spans="1:29" x14ac:dyDescent="0.35">
      <c r="A214" s="2" t="s">
        <v>156</v>
      </c>
      <c r="B214" s="12">
        <v>23</v>
      </c>
      <c r="C214" s="12">
        <v>25</v>
      </c>
      <c r="D214" s="12">
        <v>7</v>
      </c>
      <c r="E214" s="12">
        <v>0</v>
      </c>
      <c r="F214" s="12"/>
      <c r="G214" s="13">
        <f t="shared" si="182"/>
        <v>23.416666666666668</v>
      </c>
      <c r="H214" s="13">
        <f t="shared" si="183"/>
        <v>0.12217304763960307</v>
      </c>
      <c r="I214" s="13">
        <f t="shared" ca="1" si="184"/>
        <v>0.67661476944444487</v>
      </c>
      <c r="J214" s="14">
        <f t="shared" ca="1" si="185"/>
        <v>0.82546711022385177</v>
      </c>
      <c r="K214" s="14">
        <f t="shared" ca="1" si="186"/>
        <v>0.25788176462299628</v>
      </c>
      <c r="L214" s="14">
        <f t="shared" ca="1" si="187"/>
        <v>0.96617648257185851</v>
      </c>
      <c r="M214" s="14">
        <f t="shared" ca="1" si="188"/>
        <v>0.26082916960552449</v>
      </c>
      <c r="N214" s="14">
        <f t="shared" ca="1" si="189"/>
        <v>0.17489896556041487</v>
      </c>
      <c r="O214" s="15">
        <f t="shared" ca="1" si="190"/>
        <v>1</v>
      </c>
      <c r="P214" s="13"/>
      <c r="Q214" s="13"/>
      <c r="R214" s="13"/>
      <c r="S214" s="13"/>
      <c r="T214" s="13">
        <f t="shared" ca="1" si="191"/>
        <v>-0.65527420132888869</v>
      </c>
      <c r="U214" s="13"/>
      <c r="V214" s="14">
        <f t="shared" ca="1" si="192"/>
        <v>0.17489896556041479</v>
      </c>
      <c r="W214" s="15">
        <f t="shared" ca="1" si="193"/>
        <v>1</v>
      </c>
      <c r="X214" s="13"/>
      <c r="Y214" s="13"/>
      <c r="Z214" s="13"/>
      <c r="AA214" s="13"/>
      <c r="AB214" s="13">
        <f t="shared" ca="1" si="194"/>
        <v>0.73486466299495179</v>
      </c>
      <c r="AC214" s="13"/>
    </row>
    <row r="215" spans="1:29" x14ac:dyDescent="0.35">
      <c r="A215" s="2" t="s">
        <v>156</v>
      </c>
      <c r="B215" s="12">
        <v>23</v>
      </c>
      <c r="C215" s="12">
        <v>15</v>
      </c>
      <c r="D215" s="12">
        <v>3</v>
      </c>
      <c r="E215" s="12">
        <v>0</v>
      </c>
      <c r="F215" s="12"/>
      <c r="G215" s="13">
        <f t="shared" si="182"/>
        <v>23.25</v>
      </c>
      <c r="H215" s="13">
        <f t="shared" si="183"/>
        <v>5.2359877559829883E-2</v>
      </c>
      <c r="I215" s="13">
        <f t="shared" ca="1" si="184"/>
        <v>0.84328143611111273</v>
      </c>
      <c r="J215" s="14">
        <f t="shared" ca="1" si="185"/>
        <v>0.74884522996017278</v>
      </c>
      <c r="K215" s="14">
        <f t="shared" ca="1" si="186"/>
        <v>0.29855119760960275</v>
      </c>
      <c r="L215" s="14">
        <f t="shared" ca="1" si="187"/>
        <v>0.95439362026674934</v>
      </c>
      <c r="M215" s="14">
        <f t="shared" ca="1" si="188"/>
        <v>0.30317425838170009</v>
      </c>
      <c r="N215" s="14">
        <f t="shared" ca="1" si="189"/>
        <v>0.21868144277996557</v>
      </c>
      <c r="O215" s="15">
        <f t="shared" ca="1" si="190"/>
        <v>1</v>
      </c>
      <c r="P215" s="13"/>
      <c r="Q215" s="13"/>
      <c r="R215" s="13"/>
      <c r="S215" s="13"/>
      <c r="T215" s="13">
        <f t="shared" ca="1" si="191"/>
        <v>-0.69906996029820745</v>
      </c>
      <c r="U215" s="13"/>
      <c r="V215" s="14">
        <f t="shared" ca="1" si="192"/>
        <v>0.2186814427799656</v>
      </c>
      <c r="W215" s="15">
        <f t="shared" ca="1" si="193"/>
        <v>1</v>
      </c>
      <c r="X215" s="13"/>
      <c r="Y215" s="13"/>
      <c r="Z215" s="13"/>
      <c r="AA215" s="13"/>
      <c r="AB215" s="13">
        <f t="shared" ca="1" si="194"/>
        <v>0.68079337334637402</v>
      </c>
      <c r="AC215" s="13"/>
    </row>
    <row r="216" spans="1:29" x14ac:dyDescent="0.35">
      <c r="A216" s="2" t="s">
        <v>156</v>
      </c>
      <c r="B216" s="12">
        <v>23</v>
      </c>
      <c r="C216" s="12">
        <v>0</v>
      </c>
      <c r="D216" s="12">
        <v>4</v>
      </c>
      <c r="E216" s="12">
        <v>0</v>
      </c>
      <c r="F216" s="12"/>
      <c r="G216" s="13">
        <f t="shared" si="182"/>
        <v>23</v>
      </c>
      <c r="H216" s="13">
        <f t="shared" si="183"/>
        <v>6.9813170079773182E-2</v>
      </c>
      <c r="I216" s="13">
        <f t="shared" ca="1" si="184"/>
        <v>1.0932814361111127</v>
      </c>
      <c r="J216" s="14">
        <f t="shared" ca="1" si="185"/>
        <v>0.75110490807487262</v>
      </c>
      <c r="K216" s="14">
        <f t="shared" ca="1" si="186"/>
        <v>0.38531549239119361</v>
      </c>
      <c r="L216" s="14">
        <f t="shared" ca="1" si="187"/>
        <v>0.92278489981323997</v>
      </c>
      <c r="M216" s="14">
        <f t="shared" ca="1" si="188"/>
        <v>0.39554968974390597</v>
      </c>
      <c r="N216" s="14">
        <f t="shared" ca="1" si="189"/>
        <v>0.28164068509453455</v>
      </c>
      <c r="O216" s="15">
        <f t="shared" ca="1" si="190"/>
        <v>1</v>
      </c>
      <c r="P216" s="13"/>
      <c r="Q216" s="13"/>
      <c r="R216" s="13"/>
      <c r="S216" s="13"/>
      <c r="T216" s="13">
        <f t="shared" ca="1" si="191"/>
        <v>-0.67449603379672551</v>
      </c>
      <c r="U216" s="13"/>
      <c r="V216" s="14">
        <f t="shared" ca="1" si="192"/>
        <v>0.28164068509453444</v>
      </c>
      <c r="W216" s="15">
        <f t="shared" ca="1" si="193"/>
        <v>1</v>
      </c>
      <c r="X216" s="13"/>
      <c r="Y216" s="13"/>
      <c r="Z216" s="13"/>
      <c r="AA216" s="13"/>
      <c r="AB216" s="13">
        <f t="shared" ca="1" si="194"/>
        <v>0.68244679271864683</v>
      </c>
      <c r="AC216" s="13"/>
    </row>
    <row r="217" spans="1:29" x14ac:dyDescent="0.35">
      <c r="F217" s="12"/>
    </row>
    <row r="218" spans="1:29" x14ac:dyDescent="0.35">
      <c r="A218" s="2" t="s">
        <v>157</v>
      </c>
      <c r="B218" s="12">
        <v>5</v>
      </c>
      <c r="C218" s="12">
        <v>25</v>
      </c>
      <c r="D218" s="12">
        <v>28</v>
      </c>
      <c r="E218" s="12">
        <v>0</v>
      </c>
      <c r="F218" s="12"/>
      <c r="G218" s="13">
        <f>+B218+C218/60</f>
        <v>5.416666666666667</v>
      </c>
      <c r="H218" s="13">
        <f>(D218+E218/60)*PI()/180</f>
        <v>0.48869219055841229</v>
      </c>
      <c r="I218" s="13">
        <f t="shared" ref="I218:I222" ca="1" si="195">IF($L$10-G218&lt;0,24+$L$10-G218,$L$10-G218)</f>
        <v>18.676614769444445</v>
      </c>
      <c r="J218" s="14">
        <f ca="1">ASIN(COS(H218)*COS(I218*PI()/12)*COS($D$8)+SIN($D$8)*SIN(H218))</f>
        <v>0.47330698549838929</v>
      </c>
      <c r="K218" s="14">
        <f ca="1">(COS(H218)*SIN(I218*PI()/12))/COS(J218)</f>
        <v>-0.97647999031405364</v>
      </c>
      <c r="L218" s="14">
        <f ca="1">(COS(H218)*COS(I218*PI()/12)*SIN($D$8)-COS($D$8)*SIN(H218))/COS(J218)</f>
        <v>-0.21560804371884165</v>
      </c>
      <c r="M218" s="14">
        <f ca="1">IF(L218&lt;0,-ASIN(K218)+PI(),ASIN(K218))</f>
        <v>4.495074503924573</v>
      </c>
      <c r="N218" s="14">
        <f ca="1">IF(PRODUCT($O$218:$O$222)=0,$G$6,COS(J218)*SIN(M218))</f>
        <v>-0.8691313728584944</v>
      </c>
      <c r="O218" s="15">
        <f ca="1">IF(J218&lt;0,0,1)</f>
        <v>1</v>
      </c>
      <c r="P218" s="13"/>
      <c r="Q218" s="13"/>
      <c r="R218" s="13"/>
      <c r="S218" s="13"/>
      <c r="T218" s="13">
        <f ca="1">IF(PRODUCT($O$218:$O$222)=0,$G$6,+COS(J218)*COS(PI()+M218))</f>
        <v>0.19190533026326717</v>
      </c>
      <c r="U218" s="13"/>
      <c r="V218" s="14">
        <f ca="1">IF(PRODUCT($W$218:$W$222)=0,$G$6,-COS(J218)*SIN(M218+$E$8))</f>
        <v>1000000</v>
      </c>
      <c r="W218" s="15">
        <f ca="1">IF(OR(J218&lt;0,COS(PI()+M218+$E$8)&lt;0),0,1)</f>
        <v>0</v>
      </c>
      <c r="X218" s="13"/>
      <c r="Y218" s="13"/>
      <c r="Z218" s="13"/>
      <c r="AA218" s="13"/>
      <c r="AB218" s="13">
        <f ca="1">IF(PRODUCT($W$218:$W$222)=0,$G$6,SIN(J218))</f>
        <v>1000000</v>
      </c>
      <c r="AC218" s="13"/>
    </row>
    <row r="219" spans="1:29" x14ac:dyDescent="0.35">
      <c r="A219" s="2" t="s">
        <v>157</v>
      </c>
      <c r="B219" s="12">
        <v>4</v>
      </c>
      <c r="C219" s="12">
        <v>30</v>
      </c>
      <c r="D219" s="12">
        <v>19</v>
      </c>
      <c r="E219" s="12">
        <v>0</v>
      </c>
      <c r="F219" s="12"/>
      <c r="G219" s="13">
        <f>+B219+C219/60</f>
        <v>4.5</v>
      </c>
      <c r="H219" s="13">
        <f>(D219+E219/60)*PI()/180</f>
        <v>0.33161255787892258</v>
      </c>
      <c r="I219" s="13">
        <f t="shared" ca="1" si="195"/>
        <v>19.593281436111113</v>
      </c>
      <c r="J219" s="14">
        <f ca="1">ASIN(COS(H219)*COS(I219*PI()/12)*COS($D$8)+SIN($D$8)*SIN(H219))</f>
        <v>0.52040900627604025</v>
      </c>
      <c r="K219" s="14">
        <f ca="1">(COS(H219)*SIN(I219*PI()/12))/COS(J219)</f>
        <v>-0.99635025356515083</v>
      </c>
      <c r="L219" s="14">
        <f ca="1">(COS(H219)*COS(I219*PI()/12)*SIN($D$8)-COS($D$8)*SIN(H219))/COS(J219)</f>
        <v>8.5359078138529748E-2</v>
      </c>
      <c r="M219" s="14">
        <f ca="1">IF(L219&lt;0,-ASIN(K219)+PI(),ASIN(K219))</f>
        <v>-1.4853332504833607</v>
      </c>
      <c r="N219" s="14">
        <f ca="1">IF(PRODUCT($O$218:$O$222)=0,$G$6,COS(J219)*SIN(M219))</f>
        <v>-0.86444930203658765</v>
      </c>
      <c r="O219" s="15">
        <f ca="1">IF(J219&lt;0,0,1)</f>
        <v>1</v>
      </c>
      <c r="P219" s="13"/>
      <c r="Q219" s="13"/>
      <c r="R219" s="13"/>
      <c r="S219" s="13"/>
      <c r="T219" s="13">
        <f ca="1">IF(PRODUCT($O$218:$O$222)=0,$G$6,+COS(J219)*COS(PI()+M219))</f>
        <v>-7.4058891695273299E-2</v>
      </c>
      <c r="U219" s="13"/>
      <c r="V219" s="14">
        <f ca="1">IF(PRODUCT($W$218:$W$222)=0,$G$6,-COS(J219)*SIN(M219+$E$8))</f>
        <v>1000000</v>
      </c>
      <c r="W219" s="15">
        <f ca="1">IF(OR(J219&lt;0,COS(PI()+M219+$E$8)&lt;0),0,1)</f>
        <v>1</v>
      </c>
      <c r="X219" s="13"/>
      <c r="Y219" s="13"/>
      <c r="Z219" s="13"/>
      <c r="AA219" s="13"/>
      <c r="AB219" s="13">
        <f ca="1">IF(PRODUCT($W$218:$W$222)=0,$G$6,SIN(J219))</f>
        <v>1000000</v>
      </c>
      <c r="AC219" s="13"/>
    </row>
    <row r="220" spans="1:29" x14ac:dyDescent="0.35">
      <c r="A220" s="2" t="s">
        <v>157</v>
      </c>
      <c r="B220" s="12">
        <v>4</v>
      </c>
      <c r="C220" s="12">
        <v>20</v>
      </c>
      <c r="D220" s="12">
        <v>15</v>
      </c>
      <c r="E220" s="12">
        <v>0</v>
      </c>
      <c r="F220" s="12"/>
      <c r="G220" s="13">
        <f>+B220+C220/60</f>
        <v>4.333333333333333</v>
      </c>
      <c r="H220" s="13">
        <f>(D220+E220/60)*PI()/180</f>
        <v>0.26179938779914941</v>
      </c>
      <c r="I220" s="13">
        <f t="shared" ca="1" si="195"/>
        <v>19.759948102777781</v>
      </c>
      <c r="J220" s="14">
        <f ca="1">ASIN(COS(H220)*COS(I220*PI()/12)*COS($D$8)+SIN($D$8)*SIN(H220))</f>
        <v>0.49785230129449193</v>
      </c>
      <c r="K220" s="14">
        <f ca="1">(COS(H220)*SIN(I220*PI()/12))/COS(J220)</f>
        <v>-0.98473356962318159</v>
      </c>
      <c r="L220" s="14">
        <f ca="1">(COS(H220)*COS(I220*PI()/12)*SIN($D$8)-COS($D$8)*SIN(H220))/COS(J220)</f>
        <v>0.17406836834182959</v>
      </c>
      <c r="M220" s="14">
        <f ca="1">IF(L220&lt;0,-ASIN(K220)+PI(),ASIN(K220))</f>
        <v>-1.3958367127378153</v>
      </c>
      <c r="N220" s="14">
        <f ca="1">IF(PRODUCT($O$218:$O$222)=0,$G$6,COS(J220)*SIN(M220))</f>
        <v>-0.86519695730794066</v>
      </c>
      <c r="O220" s="15">
        <f ca="1">IF(J220&lt;0,0,1)</f>
        <v>1</v>
      </c>
      <c r="P220" s="13"/>
      <c r="Q220" s="13"/>
      <c r="R220" s="13"/>
      <c r="S220" s="13"/>
      <c r="T220" s="13">
        <f ca="1">IF(PRODUCT($O$218:$O$222)=0,$G$6,+COS(J220)*COS(PI()+M220))</f>
        <v>-0.15293824370234269</v>
      </c>
      <c r="U220" s="13"/>
      <c r="V220" s="14">
        <f ca="1">IF(PRODUCT($W$218:$W$222)=0,$G$6,-COS(J220)*SIN(M220+$E$8))</f>
        <v>1000000</v>
      </c>
      <c r="W220" s="15">
        <f ca="1">IF(OR(J220&lt;0,COS(PI()+M220+$E$8)&lt;0),0,1)</f>
        <v>1</v>
      </c>
      <c r="X220" s="13"/>
      <c r="Y220" s="13"/>
      <c r="Z220" s="13"/>
      <c r="AA220" s="13"/>
      <c r="AB220" s="13">
        <f ca="1">IF(PRODUCT($W$218:$W$222)=0,$G$6,SIN(J220))</f>
        <v>1000000</v>
      </c>
      <c r="AC220" s="13"/>
    </row>
    <row r="221" spans="1:29" x14ac:dyDescent="0.35">
      <c r="A221" s="2" t="s">
        <v>157</v>
      </c>
      <c r="B221" s="12">
        <v>4</v>
      </c>
      <c r="C221" s="12">
        <v>33</v>
      </c>
      <c r="D221" s="12">
        <v>16</v>
      </c>
      <c r="E221" s="12">
        <v>4</v>
      </c>
      <c r="F221" s="12"/>
      <c r="G221" s="13">
        <f>+B221+C221/60</f>
        <v>4.55</v>
      </c>
      <c r="H221" s="13">
        <f>(D221+E221/60)*PI()/180</f>
        <v>0.28041623315375563</v>
      </c>
      <c r="I221" s="13">
        <f t="shared" ca="1" si="195"/>
        <v>19.543281436111112</v>
      </c>
      <c r="J221" s="14">
        <f ca="1">ASIN(COS(H221)*COS(I221*PI()/12)*COS($D$8)+SIN($D$8)*SIN(H221))</f>
        <v>0.47463065457844583</v>
      </c>
      <c r="K221" s="14">
        <f ca="1">(COS(H221)*SIN(I221*PI()/12))/COS(J221)</f>
        <v>-0.99337552497142234</v>
      </c>
      <c r="L221" s="14">
        <f ca="1">(COS(H221)*COS(I221*PI()/12)*SIN($D$8)-COS($D$8)*SIN(H221))/COS(J221)</f>
        <v>0.11491329943810211</v>
      </c>
      <c r="M221" s="14">
        <f ca="1">IF(L221&lt;0,-ASIN(K221)+PI(),ASIN(K221))</f>
        <v>-1.4556286063057484</v>
      </c>
      <c r="N221" s="14">
        <f ca="1">IF(PRODUCT($O$218:$O$222)=0,$G$6,COS(J221)*SIN(M221))</f>
        <v>-0.8835693608194487</v>
      </c>
      <c r="O221" s="15">
        <f ca="1">IF(J221&lt;0,0,1)</f>
        <v>1</v>
      </c>
      <c r="P221" s="13"/>
      <c r="Q221" s="13"/>
      <c r="R221" s="13"/>
      <c r="S221" s="13"/>
      <c r="T221" s="13">
        <f ca="1">IF(PRODUCT($O$218:$O$222)=0,$G$6,+COS(J221)*COS(PI()+M221))</f>
        <v>-0.10221096451626388</v>
      </c>
      <c r="U221" s="13"/>
      <c r="V221" s="14">
        <f ca="1">IF(PRODUCT($W$218:$W$222)=0,$G$6,-COS(J221)*SIN(M221+$E$8))</f>
        <v>1000000</v>
      </c>
      <c r="W221" s="15">
        <f ca="1">IF(OR(J221&lt;0,COS(PI()+M221+$E$8)&lt;0),0,1)</f>
        <v>1</v>
      </c>
      <c r="X221" s="13"/>
      <c r="Y221" s="13"/>
      <c r="Z221" s="13"/>
      <c r="AA221" s="13"/>
      <c r="AB221" s="13">
        <f ca="1">IF(PRODUCT($W$218:$W$222)=0,$G$6,SIN(J221))</f>
        <v>1000000</v>
      </c>
      <c r="AC221" s="13"/>
    </row>
    <row r="222" spans="1:29" x14ac:dyDescent="0.35">
      <c r="A222" s="2" t="s">
        <v>157</v>
      </c>
      <c r="B222" s="12">
        <v>5</v>
      </c>
      <c r="C222" s="12">
        <v>30</v>
      </c>
      <c r="D222" s="12">
        <v>21</v>
      </c>
      <c r="E222" s="12">
        <v>0</v>
      </c>
      <c r="F222" s="12"/>
      <c r="G222" s="13">
        <f>+B222+C222/60</f>
        <v>5.5</v>
      </c>
      <c r="H222" s="13">
        <f>(D222+E222/60)*PI()/180</f>
        <v>0.36651914291880922</v>
      </c>
      <c r="I222" s="13">
        <f t="shared" ca="1" si="195"/>
        <v>18.593281436111113</v>
      </c>
      <c r="J222" s="14">
        <f ca="1">ASIN(COS(H222)*COS(I222*PI()/12)*COS($D$8)+SIN($D$8)*SIN(H222))</f>
        <v>0.3734660261162866</v>
      </c>
      <c r="K222" s="14">
        <f ca="1">(COS(H222)*SIN(I222*PI()/12))/COS(J222)</f>
        <v>-0.99062751516877678</v>
      </c>
      <c r="L222" s="14">
        <f ca="1">(COS(H222)*COS(I222*PI()/12)*SIN($D$8)-COS($D$8)*SIN(H222))/COS(J222)</f>
        <v>-0.13659109118289961</v>
      </c>
      <c r="M222" s="14">
        <f ca="1">IF(L222&lt;0,-ASIN(K222)+PI(),ASIN(K222))</f>
        <v>4.5753695502873049</v>
      </c>
      <c r="N222" s="14">
        <f ca="1">IF(PRODUCT($O$218:$O$222)=0,$G$6,COS(J222)*SIN(M222))</f>
        <v>-0.92234195514576434</v>
      </c>
      <c r="O222" s="15">
        <f ca="1">IF(J222&lt;0,0,1)</f>
        <v>1</v>
      </c>
      <c r="P222" s="13"/>
      <c r="Q222" s="13"/>
      <c r="R222" s="13"/>
      <c r="S222" s="13"/>
      <c r="T222" s="13">
        <f ca="1">IF(PRODUCT($O$218:$O$222)=0,$G$6,+COS(J222)*COS(PI()+M222))</f>
        <v>0.1271756459093136</v>
      </c>
      <c r="U222" s="13"/>
      <c r="V222" s="14">
        <f ca="1">IF(PRODUCT($W$218:$W$222)=0,$G$6,-COS(J222)*SIN(M222+$E$8))</f>
        <v>1000000</v>
      </c>
      <c r="W222" s="15">
        <f ca="1">IF(OR(J222&lt;0,COS(PI()+M222+$E$8)&lt;0),0,1)</f>
        <v>0</v>
      </c>
      <c r="X222" s="13"/>
      <c r="Y222" s="13"/>
      <c r="Z222" s="13"/>
      <c r="AA222" s="13"/>
      <c r="AB222" s="13">
        <f ca="1">IF(PRODUCT($W$218:$W$222)=0,$G$6,SIN(J222))</f>
        <v>1000000</v>
      </c>
      <c r="AC222" s="13"/>
    </row>
    <row r="223" spans="1:29" x14ac:dyDescent="0.35">
      <c r="F223" s="12"/>
    </row>
    <row r="224" spans="1:29" x14ac:dyDescent="0.35">
      <c r="A224" s="2" t="s">
        <v>158</v>
      </c>
      <c r="B224" s="12">
        <v>6</v>
      </c>
      <c r="C224" s="12">
        <v>10</v>
      </c>
      <c r="D224" s="12">
        <v>22</v>
      </c>
      <c r="E224" s="12">
        <v>0</v>
      </c>
      <c r="F224" s="12"/>
      <c r="G224" s="13">
        <f t="shared" ref="G224:G232" si="196">+B224+C224/60</f>
        <v>6.166666666666667</v>
      </c>
      <c r="H224" s="13">
        <f t="shared" ref="H224:H232" si="197">(D224+E224/60)*PI()/180</f>
        <v>0.38397243543875248</v>
      </c>
      <c r="I224" s="13">
        <f t="shared" ref="I224:I232" ca="1" si="198">IF($L$10-G224&lt;0,24+$L$10-G224,$L$10-G224)</f>
        <v>17.926614769444445</v>
      </c>
      <c r="J224" s="14">
        <f t="shared" ref="J224:J232" ca="1" si="199">ASIN(COS(H224)*COS(I224*PI()/12)*COS($D$8)+SIN($D$8)*SIN(H224))</f>
        <v>0.27368198674463484</v>
      </c>
      <c r="K224" s="14">
        <f t="shared" ref="K224:K232" ca="1" si="200">(COS(H224)*SIN(I224*PI()/12))/COS(J224)</f>
        <v>-0.96284775750352758</v>
      </c>
      <c r="L224" s="14">
        <f t="shared" ref="L224:L232" ca="1" si="201">(COS(H224)*COS(I224*PI()/12)*SIN($D$8)-COS($D$8)*SIN(H224))/COS(J224)</f>
        <v>-0.27004480345014681</v>
      </c>
      <c r="M224" s="14">
        <f t="shared" ref="M224:M232" ca="1" si="202">IF(L224&lt;0,-ASIN(K224)+PI(),ASIN(K224))</f>
        <v>4.4389494169941157</v>
      </c>
      <c r="N224" s="14">
        <f t="shared" ref="N224:N232" ca="1" si="203">IF(PRODUCT($O$224:$O$232)=0,$G$6,COS(J224)*SIN(M224))</f>
        <v>-0.92701274389925203</v>
      </c>
      <c r="O224" s="15">
        <f t="shared" ref="O224:O232" ca="1" si="204">IF(J224&lt;0,0,1)</f>
        <v>1</v>
      </c>
      <c r="P224" s="13"/>
      <c r="Q224" s="13"/>
      <c r="R224" s="13"/>
      <c r="S224" s="13"/>
      <c r="T224" s="13">
        <f t="shared" ref="T224:T232" ca="1" si="205">IF(PRODUCT($O$224:$O$232)=0,$G$6,+COS(J224)*COS(PI()+M224))</f>
        <v>0.25999434725913884</v>
      </c>
      <c r="U224" s="13"/>
      <c r="V224" s="14">
        <f t="shared" ref="V224:V232" ca="1" si="206">IF(PRODUCT($W$224:$W$232)=0,$G$6,-COS(J224)*SIN(M224+$E$8))</f>
        <v>1000000</v>
      </c>
      <c r="W224" s="15">
        <f t="shared" ref="W224:W232" ca="1" si="207">IF(OR(J224&lt;0,COS(PI()+M224+$E$8)&lt;0),0,1)</f>
        <v>0</v>
      </c>
      <c r="X224" s="13"/>
      <c r="Y224" s="13"/>
      <c r="Z224" s="13"/>
      <c r="AA224" s="13"/>
      <c r="AB224" s="13">
        <f t="shared" ref="AB224:AB232" ca="1" si="208">IF(PRODUCT($W$224:$W$232)=0,$G$6,SIN(J224))</f>
        <v>1000000</v>
      </c>
      <c r="AC224" s="13"/>
    </row>
    <row r="225" spans="1:29" x14ac:dyDescent="0.35">
      <c r="A225" s="2" t="s">
        <v>158</v>
      </c>
      <c r="B225" s="12">
        <v>6</v>
      </c>
      <c r="C225" s="12">
        <v>20</v>
      </c>
      <c r="D225" s="12">
        <v>22</v>
      </c>
      <c r="E225" s="12">
        <v>0</v>
      </c>
      <c r="F225" s="12"/>
      <c r="G225" s="13">
        <f t="shared" si="196"/>
        <v>6.333333333333333</v>
      </c>
      <c r="H225" s="13">
        <f t="shared" si="197"/>
        <v>0.38397243543875248</v>
      </c>
      <c r="I225" s="13">
        <f t="shared" ca="1" si="198"/>
        <v>17.759948102777781</v>
      </c>
      <c r="J225" s="14">
        <f t="shared" ca="1" si="199"/>
        <v>0.24615068732941942</v>
      </c>
      <c r="K225" s="14">
        <f t="shared" ca="1" si="200"/>
        <v>-0.95411274869969509</v>
      </c>
      <c r="L225" s="14">
        <f t="shared" ca="1" si="201"/>
        <v>-0.29944759603094578</v>
      </c>
      <c r="M225" s="14">
        <f t="shared" ca="1" si="202"/>
        <v>4.4082753503875711</v>
      </c>
      <c r="N225" s="14">
        <f t="shared" ca="1" si="203"/>
        <v>-0.92535347794632994</v>
      </c>
      <c r="O225" s="15">
        <f t="shared" ca="1" si="204"/>
        <v>1</v>
      </c>
      <c r="P225" s="13"/>
      <c r="Q225" s="13"/>
      <c r="R225" s="13"/>
      <c r="S225" s="13"/>
      <c r="T225" s="13">
        <f t="shared" ca="1" si="205"/>
        <v>0.29042151970774938</v>
      </c>
      <c r="U225" s="13"/>
      <c r="V225" s="14">
        <f t="shared" ca="1" si="206"/>
        <v>1000000</v>
      </c>
      <c r="W225" s="15">
        <f t="shared" ca="1" si="207"/>
        <v>0</v>
      </c>
      <c r="X225" s="13"/>
      <c r="Y225" s="13"/>
      <c r="Z225" s="13"/>
      <c r="AA225" s="13"/>
      <c r="AB225" s="13">
        <f t="shared" ca="1" si="208"/>
        <v>1000000</v>
      </c>
      <c r="AC225" s="13"/>
    </row>
    <row r="226" spans="1:29" x14ac:dyDescent="0.35">
      <c r="A226" s="2" t="s">
        <v>158</v>
      </c>
      <c r="B226" s="12">
        <v>6</v>
      </c>
      <c r="C226" s="12">
        <v>40</v>
      </c>
      <c r="D226" s="12">
        <v>25</v>
      </c>
      <c r="E226" s="12">
        <v>0</v>
      </c>
      <c r="F226" s="12"/>
      <c r="G226" s="13">
        <f t="shared" si="196"/>
        <v>6.666666666666667</v>
      </c>
      <c r="H226" s="13">
        <f t="shared" si="197"/>
        <v>0.43633231299858238</v>
      </c>
      <c r="I226" s="13">
        <f t="shared" ca="1" si="198"/>
        <v>17.426614769444445</v>
      </c>
      <c r="J226" s="14">
        <f t="shared" ca="1" si="199"/>
        <v>0.23097689476736294</v>
      </c>
      <c r="K226" s="14">
        <f t="shared" ca="1" si="200"/>
        <v>-0.9205629536832679</v>
      </c>
      <c r="L226" s="14">
        <f t="shared" ca="1" si="201"/>
        <v>-0.39059422461928128</v>
      </c>
      <c r="M226" s="14">
        <f t="shared" ca="1" si="202"/>
        <v>4.311111974672083</v>
      </c>
      <c r="N226" s="14">
        <f t="shared" ca="1" si="203"/>
        <v>-0.89611576620950739</v>
      </c>
      <c r="O226" s="15">
        <f t="shared" ca="1" si="204"/>
        <v>1</v>
      </c>
      <c r="P226" s="13"/>
      <c r="Q226" s="13"/>
      <c r="R226" s="13"/>
      <c r="S226" s="13"/>
      <c r="T226" s="13">
        <f t="shared" ca="1" si="205"/>
        <v>0.38022129988096898</v>
      </c>
      <c r="U226" s="13"/>
      <c r="V226" s="14">
        <f t="shared" ca="1" si="206"/>
        <v>1000000</v>
      </c>
      <c r="W226" s="15">
        <f t="shared" ca="1" si="207"/>
        <v>0</v>
      </c>
      <c r="X226" s="13"/>
      <c r="Y226" s="13"/>
      <c r="Z226" s="13"/>
      <c r="AA226" s="13"/>
      <c r="AB226" s="13">
        <f t="shared" ca="1" si="208"/>
        <v>1000000</v>
      </c>
      <c r="AC226" s="13"/>
    </row>
    <row r="227" spans="1:29" x14ac:dyDescent="0.35">
      <c r="A227" s="2" t="s">
        <v>158</v>
      </c>
      <c r="B227" s="12">
        <v>7</v>
      </c>
      <c r="C227" s="12">
        <v>31</v>
      </c>
      <c r="D227" s="12">
        <v>32</v>
      </c>
      <c r="E227" s="12">
        <v>0</v>
      </c>
      <c r="F227" s="12"/>
      <c r="G227" s="13">
        <f t="shared" si="196"/>
        <v>7.5166666666666666</v>
      </c>
      <c r="H227" s="13">
        <f t="shared" si="197"/>
        <v>0.55850536063818546</v>
      </c>
      <c r="I227" s="13">
        <f t="shared" ca="1" si="198"/>
        <v>16.576614769444447</v>
      </c>
      <c r="J227" s="14">
        <f t="shared" ca="1" si="199"/>
        <v>0.19695480482733491</v>
      </c>
      <c r="K227" s="14">
        <f t="shared" ca="1" si="200"/>
        <v>-0.80541675409940539</v>
      </c>
      <c r="L227" s="14">
        <f t="shared" ca="1" si="201"/>
        <v>-0.59270891018777316</v>
      </c>
      <c r="M227" s="14">
        <f t="shared" ca="1" si="202"/>
        <v>4.0779709207949404</v>
      </c>
      <c r="N227" s="14">
        <f t="shared" ca="1" si="203"/>
        <v>-0.78984564778939481</v>
      </c>
      <c r="O227" s="15">
        <f t="shared" ca="1" si="204"/>
        <v>1</v>
      </c>
      <c r="P227" s="13"/>
      <c r="Q227" s="13"/>
      <c r="R227" s="13"/>
      <c r="S227" s="13"/>
      <c r="T227" s="13">
        <f t="shared" ca="1" si="205"/>
        <v>0.58125008045217375</v>
      </c>
      <c r="U227" s="13"/>
      <c r="V227" s="14">
        <f t="shared" ca="1" si="206"/>
        <v>1000000</v>
      </c>
      <c r="W227" s="15">
        <f t="shared" ca="1" si="207"/>
        <v>0</v>
      </c>
      <c r="X227" s="13"/>
      <c r="Y227" s="13"/>
      <c r="Z227" s="13"/>
      <c r="AA227" s="13"/>
      <c r="AB227" s="13">
        <f t="shared" ca="1" si="208"/>
        <v>1000000</v>
      </c>
      <c r="AC227" s="13"/>
    </row>
    <row r="228" spans="1:29" x14ac:dyDescent="0.35">
      <c r="A228" s="2" t="s">
        <v>158</v>
      </c>
      <c r="B228" s="12">
        <v>7</v>
      </c>
      <c r="C228" s="12">
        <v>42</v>
      </c>
      <c r="D228" s="12">
        <v>28</v>
      </c>
      <c r="E228" s="12">
        <v>2</v>
      </c>
      <c r="F228" s="12"/>
      <c r="G228" s="13">
        <f t="shared" si="196"/>
        <v>7.7</v>
      </c>
      <c r="H228" s="13">
        <f t="shared" si="197"/>
        <v>0.48927396697574371</v>
      </c>
      <c r="I228" s="13">
        <f t="shared" ca="1" si="198"/>
        <v>16.393281436111113</v>
      </c>
      <c r="J228" s="14">
        <f t="shared" ca="1" si="199"/>
        <v>0.1168132623986143</v>
      </c>
      <c r="K228" s="14">
        <f t="shared" ca="1" si="200"/>
        <v>-0.81125904702994145</v>
      </c>
      <c r="L228" s="14">
        <f t="shared" ca="1" si="201"/>
        <v>-0.584686889379325</v>
      </c>
      <c r="M228" s="14">
        <f t="shared" ca="1" si="202"/>
        <v>4.087894932726913</v>
      </c>
      <c r="N228" s="14">
        <f t="shared" ca="1" si="203"/>
        <v>-0.80573038596412216</v>
      </c>
      <c r="O228" s="15">
        <f t="shared" ca="1" si="204"/>
        <v>1</v>
      </c>
      <c r="P228" s="13"/>
      <c r="Q228" s="13"/>
      <c r="R228" s="13"/>
      <c r="S228" s="13"/>
      <c r="T228" s="13">
        <f t="shared" ca="1" si="205"/>
        <v>0.58070229820238772</v>
      </c>
      <c r="U228" s="13"/>
      <c r="V228" s="14">
        <f t="shared" ca="1" si="206"/>
        <v>1000000</v>
      </c>
      <c r="W228" s="15">
        <f t="shared" ca="1" si="207"/>
        <v>0</v>
      </c>
      <c r="X228" s="13"/>
      <c r="Y228" s="13"/>
      <c r="Z228" s="13"/>
      <c r="AA228" s="13"/>
      <c r="AB228" s="13">
        <f t="shared" ca="1" si="208"/>
        <v>1000000</v>
      </c>
      <c r="AC228" s="13"/>
    </row>
    <row r="229" spans="1:29" x14ac:dyDescent="0.35">
      <c r="A229" s="2" t="s">
        <v>158</v>
      </c>
      <c r="B229" s="12">
        <v>7</v>
      </c>
      <c r="C229" s="12">
        <v>30</v>
      </c>
      <c r="D229" s="12">
        <v>27</v>
      </c>
      <c r="E229" s="12">
        <v>0</v>
      </c>
      <c r="F229" s="12"/>
      <c r="G229" s="13">
        <f t="shared" si="196"/>
        <v>7.5</v>
      </c>
      <c r="H229" s="13">
        <f t="shared" si="197"/>
        <v>0.47123889803846897</v>
      </c>
      <c r="I229" s="13">
        <f t="shared" ca="1" si="198"/>
        <v>16.593281436111113</v>
      </c>
      <c r="J229" s="14">
        <f t="shared" ca="1" si="199"/>
        <v>0.13098951175396797</v>
      </c>
      <c r="K229" s="14">
        <f t="shared" ca="1" si="200"/>
        <v>-0.83844618445137964</v>
      </c>
      <c r="L229" s="14">
        <f t="shared" ca="1" si="201"/>
        <v>-0.54498439957389899</v>
      </c>
      <c r="M229" s="14">
        <f t="shared" ca="1" si="202"/>
        <v>4.136018472114511</v>
      </c>
      <c r="N229" s="14">
        <f t="shared" ca="1" si="203"/>
        <v>-0.83126332816673065</v>
      </c>
      <c r="O229" s="15">
        <f t="shared" ca="1" si="204"/>
        <v>1</v>
      </c>
      <c r="P229" s="13"/>
      <c r="Q229" s="13"/>
      <c r="R229" s="13"/>
      <c r="S229" s="13"/>
      <c r="T229" s="13">
        <f t="shared" ca="1" si="205"/>
        <v>0.54031559113740202</v>
      </c>
      <c r="U229" s="13"/>
      <c r="V229" s="14">
        <f t="shared" ca="1" si="206"/>
        <v>1000000</v>
      </c>
      <c r="W229" s="15">
        <f t="shared" ca="1" si="207"/>
        <v>0</v>
      </c>
      <c r="X229" s="13"/>
      <c r="Y229" s="13"/>
      <c r="Z229" s="13"/>
      <c r="AA229" s="13"/>
      <c r="AB229" s="13">
        <f t="shared" ca="1" si="208"/>
        <v>1000000</v>
      </c>
      <c r="AC229" s="13"/>
    </row>
    <row r="230" spans="1:29" x14ac:dyDescent="0.35">
      <c r="A230" s="2" t="s">
        <v>158</v>
      </c>
      <c r="B230" s="12">
        <v>7</v>
      </c>
      <c r="C230" s="12">
        <v>10</v>
      </c>
      <c r="D230" s="12">
        <v>22</v>
      </c>
      <c r="E230" s="12">
        <v>0</v>
      </c>
      <c r="F230" s="12"/>
      <c r="G230" s="13">
        <f t="shared" si="196"/>
        <v>7.166666666666667</v>
      </c>
      <c r="H230" s="13">
        <f t="shared" si="197"/>
        <v>0.38397243543875248</v>
      </c>
      <c r="I230" s="13">
        <f t="shared" ca="1" si="198"/>
        <v>16.926614769444445</v>
      </c>
      <c r="J230" s="14">
        <f t="shared" ca="1" si="199"/>
        <v>0.11298460225591717</v>
      </c>
      <c r="K230" s="14">
        <f t="shared" ca="1" si="200"/>
        <v>-0.89653168797957239</v>
      </c>
      <c r="L230" s="14">
        <f t="shared" ca="1" si="201"/>
        <v>-0.44297960726031033</v>
      </c>
      <c r="M230" s="14">
        <f t="shared" ca="1" si="202"/>
        <v>4.2534695428696256</v>
      </c>
      <c r="N230" s="14">
        <f t="shared" ca="1" si="203"/>
        <v>-0.89081542603207786</v>
      </c>
      <c r="O230" s="15">
        <f t="shared" ca="1" si="204"/>
        <v>1</v>
      </c>
      <c r="P230" s="13"/>
      <c r="Q230" s="13"/>
      <c r="R230" s="13"/>
      <c r="S230" s="13"/>
      <c r="T230" s="13">
        <f t="shared" ca="1" si="205"/>
        <v>0.44015518118987834</v>
      </c>
      <c r="U230" s="13"/>
      <c r="V230" s="14">
        <f t="shared" ca="1" si="206"/>
        <v>1000000</v>
      </c>
      <c r="W230" s="15">
        <f t="shared" ca="1" si="207"/>
        <v>0</v>
      </c>
      <c r="X230" s="13"/>
      <c r="Y230" s="13"/>
      <c r="Z230" s="13"/>
      <c r="AA230" s="13"/>
      <c r="AB230" s="13">
        <f t="shared" ca="1" si="208"/>
        <v>1000000</v>
      </c>
      <c r="AC230" s="13"/>
    </row>
    <row r="231" spans="1:29" x14ac:dyDescent="0.35">
      <c r="A231" s="2" t="s">
        <v>158</v>
      </c>
      <c r="B231" s="12">
        <v>7</v>
      </c>
      <c r="C231" s="12">
        <v>0</v>
      </c>
      <c r="D231" s="12">
        <v>20</v>
      </c>
      <c r="E231" s="12">
        <v>0</v>
      </c>
      <c r="F231" s="12"/>
      <c r="G231" s="13">
        <f t="shared" si="196"/>
        <v>7</v>
      </c>
      <c r="H231" s="13">
        <f t="shared" si="197"/>
        <v>0.3490658503988659</v>
      </c>
      <c r="I231" s="13">
        <f t="shared" ca="1" si="198"/>
        <v>17.093281436111113</v>
      </c>
      <c r="J231" s="14">
        <f t="shared" ca="1" si="199"/>
        <v>0.11225135738398144</v>
      </c>
      <c r="K231" s="14">
        <f t="shared" ca="1" si="200"/>
        <v>-0.91912616350142073</v>
      </c>
      <c r="L231" s="14">
        <f t="shared" ca="1" si="201"/>
        <v>-0.3939633175400466</v>
      </c>
      <c r="M231" s="14">
        <f t="shared" ca="1" si="202"/>
        <v>4.3074493024054696</v>
      </c>
      <c r="N231" s="14">
        <f t="shared" ca="1" si="203"/>
        <v>-0.91334157772465352</v>
      </c>
      <c r="O231" s="15">
        <f t="shared" ca="1" si="204"/>
        <v>1</v>
      </c>
      <c r="P231" s="13"/>
      <c r="Q231" s="13"/>
      <c r="R231" s="13"/>
      <c r="S231" s="13"/>
      <c r="T231" s="13">
        <f t="shared" ca="1" si="205"/>
        <v>0.39148388142593488</v>
      </c>
      <c r="U231" s="13"/>
      <c r="V231" s="14">
        <f t="shared" ca="1" si="206"/>
        <v>1000000</v>
      </c>
      <c r="W231" s="15">
        <f t="shared" ca="1" si="207"/>
        <v>0</v>
      </c>
      <c r="X231" s="13"/>
      <c r="Y231" s="13"/>
      <c r="Z231" s="13"/>
      <c r="AA231" s="13"/>
      <c r="AB231" s="13">
        <f t="shared" ca="1" si="208"/>
        <v>1000000</v>
      </c>
      <c r="AC231" s="13"/>
    </row>
    <row r="232" spans="1:29" x14ac:dyDescent="0.35">
      <c r="A232" s="2" t="s">
        <v>158</v>
      </c>
      <c r="B232" s="12">
        <v>6</v>
      </c>
      <c r="C232" s="12">
        <v>30</v>
      </c>
      <c r="D232" s="12">
        <v>17</v>
      </c>
      <c r="E232" s="12">
        <v>0</v>
      </c>
      <c r="F232" s="12"/>
      <c r="G232" s="13">
        <f t="shared" si="196"/>
        <v>6.5</v>
      </c>
      <c r="H232" s="13">
        <f t="shared" si="197"/>
        <v>0.29670597283903605</v>
      </c>
      <c r="I232" s="13">
        <f t="shared" ca="1" si="198"/>
        <v>17.593281436111113</v>
      </c>
      <c r="J232" s="14">
        <f t="shared" ca="1" si="199"/>
        <v>0.1538018960875944</v>
      </c>
      <c r="K232" s="14">
        <f t="shared" ca="1" si="200"/>
        <v>-0.96224729821613386</v>
      </c>
      <c r="L232" s="14">
        <f t="shared" ca="1" si="201"/>
        <v>-0.27217666519330891</v>
      </c>
      <c r="M232" s="14">
        <f t="shared" ca="1" si="202"/>
        <v>4.4367346059744097</v>
      </c>
      <c r="N232" s="14">
        <f t="shared" ca="1" si="203"/>
        <v>-0.95088872423346382</v>
      </c>
      <c r="O232" s="15">
        <f t="shared" ca="1" si="204"/>
        <v>1</v>
      </c>
      <c r="P232" s="13"/>
      <c r="Q232" s="13"/>
      <c r="R232" s="13"/>
      <c r="S232" s="13"/>
      <c r="T232" s="13">
        <f t="shared" ca="1" si="205"/>
        <v>0.26896383332182905</v>
      </c>
      <c r="U232" s="13"/>
      <c r="V232" s="14">
        <f t="shared" ca="1" si="206"/>
        <v>1000000</v>
      </c>
      <c r="W232" s="15">
        <f t="shared" ca="1" si="207"/>
        <v>0</v>
      </c>
      <c r="X232" s="13"/>
      <c r="Y232" s="13"/>
      <c r="Z232" s="13"/>
      <c r="AA232" s="13"/>
      <c r="AB232" s="13">
        <f t="shared" ca="1" si="208"/>
        <v>1000000</v>
      </c>
      <c r="AC232" s="13"/>
    </row>
    <row r="233" spans="1:29" x14ac:dyDescent="0.35">
      <c r="F233" s="12"/>
    </row>
    <row r="234" spans="1:29" x14ac:dyDescent="0.35">
      <c r="A234" s="2" t="s">
        <v>159</v>
      </c>
      <c r="B234" s="12">
        <v>8</v>
      </c>
      <c r="C234" s="12">
        <v>45</v>
      </c>
      <c r="D234" s="12">
        <v>29</v>
      </c>
      <c r="E234" s="12">
        <v>0</v>
      </c>
      <c r="F234" s="12"/>
      <c r="G234" s="13">
        <f>+B234+C234/60</f>
        <v>8.75</v>
      </c>
      <c r="H234" s="13">
        <f>(D234+E234/60)*PI()/180</f>
        <v>0.50614548307835561</v>
      </c>
      <c r="I234" s="13">
        <f t="shared" ref="I234:I238" ca="1" si="209">IF($L$10-G234&lt;0,24+$L$10-G234,$L$10-G234)</f>
        <v>15.343281436111113</v>
      </c>
      <c r="J234" s="14">
        <f ca="1">ASIN(COS(H234)*COS(I234*PI()/12)*COS($D$8)+SIN($D$8)*SIN(H234))</f>
        <v>-3.9520086854432932E-3</v>
      </c>
      <c r="K234" s="14">
        <f ca="1">(COS(H234)*SIN(I234*PI()/12))/COS(J234)</f>
        <v>-0.6714647201156968</v>
      </c>
      <c r="L234" s="14">
        <f ca="1">(COS(H234)*COS(I234*PI()/12)*SIN($D$8)-COS($D$8)*SIN(H234))/COS(J234)</f>
        <v>-0.7410365238231843</v>
      </c>
      <c r="M234" s="14">
        <f ca="1">IF(L234&lt;0,-ASIN(K234)+PI(),ASIN(K234))</f>
        <v>3.8777762583382707</v>
      </c>
      <c r="N234" s="14">
        <f ca="1">IF(PRODUCT($O$234:$O$238)=0,$G$6,COS(J234)*SIN(M234))</f>
        <v>1000000</v>
      </c>
      <c r="O234" s="15">
        <f ca="1">IF(J234&lt;0,0,1)</f>
        <v>0</v>
      </c>
      <c r="P234" s="13"/>
      <c r="Q234" s="13"/>
      <c r="R234" s="13"/>
      <c r="S234" s="13"/>
      <c r="T234" s="13">
        <f ca="1">IF(PRODUCT($O$234:$O$238)=0,$G$6,+COS(J234)*COS(PI()+M234))</f>
        <v>1000000</v>
      </c>
      <c r="U234" s="13"/>
      <c r="V234" s="14">
        <f ca="1">IF(PRODUCT($W$234:$W$238)=0,$G$6,-COS(J234)*SIN(M234+$E$8))</f>
        <v>1000000</v>
      </c>
      <c r="W234" s="15">
        <f ca="1">IF(OR(J234&lt;0,COS(PI()+M234+$E$8)&lt;0),0,1)</f>
        <v>0</v>
      </c>
      <c r="X234" s="13"/>
      <c r="Y234" s="13"/>
      <c r="Z234" s="13"/>
      <c r="AA234" s="13"/>
      <c r="AB234" s="13">
        <f ca="1">IF(PRODUCT($W$234:$W$238)=0,$G$6,SIN(J234))</f>
        <v>1000000</v>
      </c>
      <c r="AC234" s="13"/>
    </row>
    <row r="235" spans="1:29" x14ac:dyDescent="0.35">
      <c r="A235" s="2" t="s">
        <v>159</v>
      </c>
      <c r="B235" s="12">
        <v>8</v>
      </c>
      <c r="C235" s="12">
        <v>35</v>
      </c>
      <c r="D235" s="12">
        <v>20</v>
      </c>
      <c r="E235" s="12">
        <v>0</v>
      </c>
      <c r="F235" s="12"/>
      <c r="G235" s="13">
        <f>+B235+C235/60</f>
        <v>8.5833333333333339</v>
      </c>
      <c r="H235" s="13">
        <f>(D235+E235/60)*PI()/180</f>
        <v>0.3490658503988659</v>
      </c>
      <c r="I235" s="13">
        <f t="shared" ca="1" si="209"/>
        <v>15.509948102777779</v>
      </c>
      <c r="J235" s="14">
        <f ca="1">ASIN(COS(H235)*COS(I235*PI()/12)*COS($D$8)+SIN($D$8)*SIN(H235))</f>
        <v>-0.11807467677545036</v>
      </c>
      <c r="K235" s="14">
        <f ca="1">(COS(H235)*SIN(I235*PI()/12))/COS(J235)</f>
        <v>-0.75223318588130117</v>
      </c>
      <c r="L235" s="14">
        <f ca="1">(COS(H235)*COS(I235*PI()/12)*SIN($D$8)-COS($D$8)*SIN(H235))/COS(J235)</f>
        <v>-0.65889698288796883</v>
      </c>
      <c r="M235" s="14">
        <f ca="1">IF(L235&lt;0,-ASIN(K235)+PI(),ASIN(K235))</f>
        <v>3.9930374862997189</v>
      </c>
      <c r="N235" s="14">
        <f ca="1">IF(PRODUCT($O$234:$O$238)=0,$G$6,COS(J235)*SIN(M235))</f>
        <v>1000000</v>
      </c>
      <c r="O235" s="15">
        <f ca="1">IF(J235&lt;0,0,1)</f>
        <v>0</v>
      </c>
      <c r="P235" s="13"/>
      <c r="Q235" s="13"/>
      <c r="R235" s="13"/>
      <c r="S235" s="13"/>
      <c r="T235" s="13">
        <f ca="1">IF(PRODUCT($O$234:$O$238)=0,$G$6,+COS(J235)*COS(PI()+M235))</f>
        <v>1000000</v>
      </c>
      <c r="U235" s="13"/>
      <c r="V235" s="14">
        <f ca="1">IF(PRODUCT($W$234:$W$238)=0,$G$6,-COS(J235)*SIN(M235+$E$8))</f>
        <v>1000000</v>
      </c>
      <c r="W235" s="15">
        <f ca="1">IF(OR(J235&lt;0,COS(PI()+M235+$E$8)&lt;0),0,1)</f>
        <v>0</v>
      </c>
      <c r="X235" s="13"/>
      <c r="Y235" s="13"/>
      <c r="Z235" s="13"/>
      <c r="AA235" s="13"/>
      <c r="AB235" s="13">
        <f ca="1">IF(PRODUCT($W$234:$W$238)=0,$G$6,SIN(J235))</f>
        <v>1000000</v>
      </c>
      <c r="AC235" s="13"/>
    </row>
    <row r="236" spans="1:29" x14ac:dyDescent="0.35">
      <c r="A236" s="2" t="s">
        <v>159</v>
      </c>
      <c r="B236" s="12">
        <v>8</v>
      </c>
      <c r="C236" s="12">
        <v>55</v>
      </c>
      <c r="D236" s="12">
        <v>12</v>
      </c>
      <c r="E236" s="12">
        <v>0</v>
      </c>
      <c r="F236" s="12"/>
      <c r="G236" s="13">
        <f>+B236+C236/60</f>
        <v>8.9166666666666661</v>
      </c>
      <c r="H236" s="13">
        <f>(D236+E236/60)*PI()/180</f>
        <v>0.20943951023931953</v>
      </c>
      <c r="I236" s="13">
        <f t="shared" ca="1" si="209"/>
        <v>15.176614769444447</v>
      </c>
      <c r="J236" s="14">
        <f ca="1">ASIN(COS(H236)*COS(I236*PI()/12)*COS($D$8)+SIN($D$8)*SIN(H236))</f>
        <v>-0.28091727741025974</v>
      </c>
      <c r="K236" s="14">
        <f ca="1">(COS(H236)*SIN(I236*PI()/12))/COS(J236)</f>
        <v>-0.75237668056502272</v>
      </c>
      <c r="L236" s="14">
        <f ca="1">(COS(H236)*COS(I236*PI()/12)*SIN($D$8)-COS($D$8)*SIN(H236))/COS(J236)</f>
        <v>-0.6587331254324148</v>
      </c>
      <c r="M236" s="14">
        <f ca="1">IF(L236&lt;0,-ASIN(K236)+PI(),ASIN(K236))</f>
        <v>3.9932552935314267</v>
      </c>
      <c r="N236" s="14">
        <f ca="1">IF(PRODUCT($O$234:$O$238)=0,$G$6,COS(J236)*SIN(M236))</f>
        <v>1000000</v>
      </c>
      <c r="O236" s="15">
        <f ca="1">IF(J236&lt;0,0,1)</f>
        <v>0</v>
      </c>
      <c r="P236" s="13"/>
      <c r="Q236" s="13"/>
      <c r="R236" s="13"/>
      <c r="S236" s="13"/>
      <c r="T236" s="13">
        <f ca="1">IF(PRODUCT($O$234:$O$238)=0,$G$6,+COS(J236)*COS(PI()+M236))</f>
        <v>1000000</v>
      </c>
      <c r="U236" s="13"/>
      <c r="V236" s="14">
        <f ca="1">IF(PRODUCT($W$234:$W$238)=0,$G$6,-COS(J236)*SIN(M236+$E$8))</f>
        <v>1000000</v>
      </c>
      <c r="W236" s="15">
        <f ca="1">IF(OR(J236&lt;0,COS(PI()+M236+$E$8)&lt;0),0,1)</f>
        <v>0</v>
      </c>
      <c r="X236" s="13"/>
      <c r="Y236" s="13"/>
      <c r="Z236" s="13"/>
      <c r="AA236" s="13"/>
      <c r="AB236" s="13">
        <f ca="1">IF(PRODUCT($W$234:$W$238)=0,$G$6,SIN(J236))</f>
        <v>1000000</v>
      </c>
      <c r="AC236" s="13"/>
    </row>
    <row r="237" spans="1:29" x14ac:dyDescent="0.35">
      <c r="A237" s="2" t="s">
        <v>159</v>
      </c>
      <c r="B237" s="12">
        <v>8</v>
      </c>
      <c r="C237" s="12">
        <v>35</v>
      </c>
      <c r="D237" s="12">
        <v>20</v>
      </c>
      <c r="E237" s="12">
        <v>0</v>
      </c>
      <c r="F237" s="12"/>
      <c r="G237" s="13">
        <f>+B237+C237/60</f>
        <v>8.5833333333333339</v>
      </c>
      <c r="H237" s="13">
        <f>(D237+E237/60)*PI()/180</f>
        <v>0.3490658503988659</v>
      </c>
      <c r="I237" s="13">
        <f t="shared" ca="1" si="209"/>
        <v>15.509948102777779</v>
      </c>
      <c r="J237" s="14">
        <f ca="1">ASIN(COS(H237)*COS(I237*PI()/12)*COS($D$8)+SIN($D$8)*SIN(H237))</f>
        <v>-0.11807467677545036</v>
      </c>
      <c r="K237" s="14">
        <f ca="1">(COS(H237)*SIN(I237*PI()/12))/COS(J237)</f>
        <v>-0.75223318588130117</v>
      </c>
      <c r="L237" s="14">
        <f ca="1">(COS(H237)*COS(I237*PI()/12)*SIN($D$8)-COS($D$8)*SIN(H237))/COS(J237)</f>
        <v>-0.65889698288796883</v>
      </c>
      <c r="M237" s="14">
        <f ca="1">IF(L237&lt;0,-ASIN(K237)+PI(),ASIN(K237))</f>
        <v>3.9930374862997189</v>
      </c>
      <c r="N237" s="14">
        <f ca="1">IF(PRODUCT($O$234:$O$238)=0,$G$6,COS(J237)*SIN(M237))</f>
        <v>1000000</v>
      </c>
      <c r="O237" s="15">
        <f ca="1">IF(J237&lt;0,0,1)</f>
        <v>0</v>
      </c>
      <c r="P237" s="13"/>
      <c r="Q237" s="13"/>
      <c r="R237" s="13"/>
      <c r="S237" s="13"/>
      <c r="T237" s="13">
        <f ca="1">IF(PRODUCT($O$234:$O$238)=0,$G$6,+COS(J237)*COS(PI()+M237))</f>
        <v>1000000</v>
      </c>
      <c r="U237" s="13"/>
      <c r="V237" s="14">
        <f ca="1">IF(PRODUCT($W$234:$W$238)=0,$G$6,-COS(J237)*SIN(M237+$E$8))</f>
        <v>1000000</v>
      </c>
      <c r="W237" s="15">
        <f ca="1">IF(OR(J237&lt;0,COS(PI()+M237+$E$8)&lt;0),0,1)</f>
        <v>0</v>
      </c>
      <c r="X237" s="13"/>
      <c r="Y237" s="13"/>
      <c r="Z237" s="13"/>
      <c r="AA237" s="13"/>
      <c r="AB237" s="13">
        <f ca="1">IF(PRODUCT($W$234:$W$238)=0,$G$6,SIN(J237))</f>
        <v>1000000</v>
      </c>
      <c r="AC237" s="13"/>
    </row>
    <row r="238" spans="1:29" x14ac:dyDescent="0.35">
      <c r="A238" s="2" t="s">
        <v>159</v>
      </c>
      <c r="B238" s="12">
        <v>8</v>
      </c>
      <c r="C238" s="12">
        <v>15</v>
      </c>
      <c r="D238" s="12">
        <v>9</v>
      </c>
      <c r="E238" s="12">
        <v>0</v>
      </c>
      <c r="F238" s="12"/>
      <c r="G238" s="13">
        <f>+B238+C238/60</f>
        <v>8.25</v>
      </c>
      <c r="H238" s="13">
        <f>(D238+E238/60)*PI()/180</f>
        <v>0.15707963267948966</v>
      </c>
      <c r="I238" s="13">
        <f t="shared" ca="1" si="209"/>
        <v>15.843281436111113</v>
      </c>
      <c r="J238" s="14">
        <f ca="1">ASIN(COS(H238)*COS(I238*PI()/12)*COS($D$8)+SIN($D$8)*SIN(H238))</f>
        <v>-0.23221245837897508</v>
      </c>
      <c r="K238" s="14">
        <f ca="1">(COS(H238)*SIN(I238*PI()/12))/COS(J238)</f>
        <v>-0.85740013362653456</v>
      </c>
      <c r="L238" s="14">
        <f ca="1">(COS(H238)*COS(I238*PI()/12)*SIN($D$8)-COS($D$8)*SIN(H238))/COS(J238)</f>
        <v>-0.51465037730210672</v>
      </c>
      <c r="M238" s="14">
        <f ca="1">IF(L238&lt;0,-ASIN(K238)+PI(),ASIN(K238))</f>
        <v>4.1717891518151262</v>
      </c>
      <c r="N238" s="14">
        <f ca="1">IF(PRODUCT($O$234:$O$238)=0,$G$6,COS(J238)*SIN(M238))</f>
        <v>1000000</v>
      </c>
      <c r="O238" s="15">
        <f ca="1">IF(J238&lt;0,0,1)</f>
        <v>0</v>
      </c>
      <c r="P238" s="13"/>
      <c r="Q238" s="13"/>
      <c r="R238" s="13"/>
      <c r="S238" s="13"/>
      <c r="T238" s="13">
        <f ca="1">IF(PRODUCT($O$234:$O$238)=0,$G$6,+COS(J238)*COS(PI()+M238))</f>
        <v>1000000</v>
      </c>
      <c r="U238" s="13"/>
      <c r="V238" s="14">
        <f ca="1">IF(PRODUCT($W$234:$W$238)=0,$G$6,-COS(J238)*SIN(M238+$E$8))</f>
        <v>1000000</v>
      </c>
      <c r="W238" s="15">
        <f ca="1">IF(OR(J238&lt;0,COS(PI()+M238+$E$8)&lt;0),0,1)</f>
        <v>0</v>
      </c>
      <c r="X238" s="13"/>
      <c r="Y238" s="13"/>
      <c r="Z238" s="13"/>
      <c r="AA238" s="13"/>
      <c r="AB238" s="13">
        <f ca="1">IF(PRODUCT($W$234:$W$238)=0,$G$6,SIN(J238))</f>
        <v>1000000</v>
      </c>
      <c r="AC238" s="13"/>
    </row>
    <row r="239" spans="1:29" x14ac:dyDescent="0.35">
      <c r="F239" s="12"/>
    </row>
    <row r="240" spans="1:29" x14ac:dyDescent="0.35">
      <c r="A240" s="2" t="s">
        <v>160</v>
      </c>
      <c r="B240" s="12">
        <v>20</v>
      </c>
      <c r="C240" s="12">
        <v>10</v>
      </c>
      <c r="D240" s="12">
        <v>-12</v>
      </c>
      <c r="E240" s="12">
        <v>0</v>
      </c>
      <c r="F240" s="12"/>
      <c r="G240" s="13">
        <f>+B240+C240/60</f>
        <v>20.166666666666668</v>
      </c>
      <c r="H240" s="13">
        <f>(D240+E240/60)*PI()/180</f>
        <v>-0.20943951023931953</v>
      </c>
      <c r="I240" s="13">
        <f t="shared" ref="I240:I243" ca="1" si="210">IF($L$10-G240&lt;0,24+$L$10-G240,$L$10-G240)</f>
        <v>3.9266147694444449</v>
      </c>
      <c r="J240" s="14">
        <f ca="1">ASIN(COS(H240)*COS(I240*PI()/12)*COS($D$8)+SIN($D$8)*SIN(H240))</f>
        <v>0.17699353105574084</v>
      </c>
      <c r="K240" s="14">
        <f ca="1">(COS(H240)*SIN(I240*PI()/12))/COS(J240)</f>
        <v>0.85084099967236648</v>
      </c>
      <c r="L240" s="14">
        <f ca="1">(COS(H240)*COS(I240*PI()/12)*SIN($D$8)-COS($D$8)*SIN(H240))/COS(J240)</f>
        <v>0.52542325155680736</v>
      </c>
      <c r="M240" s="14">
        <f ca="1">IF(L240&lt;0,-ASIN(K240)+PI(),ASIN(K240))</f>
        <v>1.0175838392363026</v>
      </c>
      <c r="N240" s="14">
        <f ca="1">IF(PRODUCT($O$240:$O$243)=0,$G$6,COS(J240)*SIN(M240))</f>
        <v>0.83754872970793359</v>
      </c>
      <c r="O240" s="15">
        <f ca="1">IF(J240&lt;0,0,1)</f>
        <v>1</v>
      </c>
      <c r="P240" s="13"/>
      <c r="Q240" s="13"/>
      <c r="R240" s="13"/>
      <c r="S240" s="13"/>
      <c r="T240" s="13">
        <f ca="1">IF(PRODUCT($O$240:$O$243)=0,$G$6,+COS(J240)*COS(PI()+M240))</f>
        <v>-0.51721482282808739</v>
      </c>
      <c r="U240" s="13"/>
      <c r="V240" s="14">
        <f ca="1">IF(PRODUCT($W$240:$W$243)=0,$G$6,-COS(J240)*SIN(M240+$E$8))</f>
        <v>0.83754872970793359</v>
      </c>
      <c r="W240" s="15">
        <f ca="1">IF(OR(J240&lt;0,COS(PI()+M240+$E$8)&lt;0),0,1)</f>
        <v>1</v>
      </c>
      <c r="X240" s="13"/>
      <c r="Y240" s="13"/>
      <c r="Z240" s="13"/>
      <c r="AA240" s="13"/>
      <c r="AB240" s="13">
        <f ca="1">IF(PRODUCT($W$240:$W$243)=0,$G$6,SIN(J240))</f>
        <v>0.17607087326283388</v>
      </c>
      <c r="AC240" s="13"/>
    </row>
    <row r="241" spans="1:29" x14ac:dyDescent="0.35">
      <c r="A241" s="2" t="s">
        <v>160</v>
      </c>
      <c r="B241" s="12">
        <v>20</v>
      </c>
      <c r="C241" s="12">
        <v>15</v>
      </c>
      <c r="D241" s="12">
        <v>-15</v>
      </c>
      <c r="E241" s="12">
        <v>0</v>
      </c>
      <c r="F241" s="12"/>
      <c r="G241" s="13">
        <f>+B241+C241/60</f>
        <v>20.25</v>
      </c>
      <c r="H241" s="13">
        <f>(D241+E241/60)*PI()/180</f>
        <v>-0.26179938779914941</v>
      </c>
      <c r="I241" s="13">
        <f t="shared" ca="1" si="210"/>
        <v>3.8432814361111127</v>
      </c>
      <c r="J241" s="14">
        <f ca="1">ASIN(COS(H241)*COS(I241*PI()/12)*COS($D$8)+SIN($D$8)*SIN(H241))</f>
        <v>0.14590797439621564</v>
      </c>
      <c r="K241" s="14">
        <f ca="1">(COS(H241)*SIN(I241*PI()/12))/COS(J241)</f>
        <v>0.82476619621169789</v>
      </c>
      <c r="L241" s="14">
        <f ca="1">(COS(H241)*COS(I241*PI()/12)*SIN($D$8)-COS($D$8)*SIN(H241))/COS(J241)</f>
        <v>0.56547389116252511</v>
      </c>
      <c r="M241" s="14">
        <f ca="1">IF(L241&lt;0,-ASIN(K241)+PI(),ASIN(K241))</f>
        <v>0.96978860994793881</v>
      </c>
      <c r="N241" s="14">
        <f ca="1">IF(PRODUCT($O$240:$O$243)=0,$G$6,COS(J241)*SIN(M241))</f>
        <v>0.81600248016919308</v>
      </c>
      <c r="O241" s="15">
        <f ca="1">IF(J241&lt;0,0,1)</f>
        <v>1</v>
      </c>
      <c r="P241" s="13"/>
      <c r="Q241" s="13"/>
      <c r="R241" s="13"/>
      <c r="S241" s="13"/>
      <c r="T241" s="13">
        <f ca="1">IF(PRODUCT($O$240:$O$243)=0,$G$6,+COS(J241)*COS(PI()+M241))</f>
        <v>-0.55946533669659182</v>
      </c>
      <c r="U241" s="13"/>
      <c r="V241" s="14">
        <f ca="1">IF(PRODUCT($W$240:$W$243)=0,$G$6,-COS(J241)*SIN(M241+$E$8))</f>
        <v>0.81600248016919297</v>
      </c>
      <c r="W241" s="15">
        <f ca="1">IF(OR(J241&lt;0,COS(PI()+M241+$E$8)&lt;0),0,1)</f>
        <v>1</v>
      </c>
      <c r="X241" s="13"/>
      <c r="Y241" s="13"/>
      <c r="Z241" s="13"/>
      <c r="AA241" s="13"/>
      <c r="AB241" s="13">
        <f ca="1">IF(PRODUCT($W$240:$W$243)=0,$G$6,SIN(J241))</f>
        <v>0.14539081605347356</v>
      </c>
      <c r="AC241" s="13"/>
    </row>
    <row r="242" spans="1:29" x14ac:dyDescent="0.35">
      <c r="A242" s="2" t="s">
        <v>160</v>
      </c>
      <c r="B242" s="12">
        <v>21</v>
      </c>
      <c r="C242" s="12">
        <v>45</v>
      </c>
      <c r="D242" s="12">
        <v>-17</v>
      </c>
      <c r="E242" s="12">
        <v>0</v>
      </c>
      <c r="F242" s="12"/>
      <c r="G242" s="13">
        <f>+B242+C242/60</f>
        <v>21.75</v>
      </c>
      <c r="H242" s="13">
        <f>(D242+E242/60)*PI()/180</f>
        <v>-0.29670597283903605</v>
      </c>
      <c r="I242" s="13">
        <f t="shared" ca="1" si="210"/>
        <v>2.3432814361111127</v>
      </c>
      <c r="J242" s="14">
        <f ca="1">ASIN(COS(H242)*COS(I242*PI()/12)*COS($D$8)+SIN($D$8)*SIN(H242))</f>
        <v>0.29904569918016649</v>
      </c>
      <c r="K242" s="14">
        <f ca="1">(COS(H242)*SIN(I242*PI()/12))/COS(J242)</f>
        <v>0.57612158555340598</v>
      </c>
      <c r="L242" s="14">
        <f ca="1">(COS(H242)*COS(I242*PI()/12)*SIN($D$8)-COS($D$8)*SIN(H242))/COS(J242)</f>
        <v>0.81736400621719907</v>
      </c>
      <c r="M242" s="14">
        <f ca="1">IF(L242&lt;0,-ASIN(K242)+PI(),ASIN(K242))</f>
        <v>0.61397568389095292</v>
      </c>
      <c r="N242" s="14">
        <f ca="1">IF(PRODUCT($O$240:$O$243)=0,$G$6,COS(J242)*SIN(M242))</f>
        <v>0.55055219724014526</v>
      </c>
      <c r="O242" s="15">
        <f ca="1">IF(J242&lt;0,0,1)</f>
        <v>1</v>
      </c>
      <c r="P242" s="13"/>
      <c r="Q242" s="13"/>
      <c r="R242" s="13"/>
      <c r="S242" s="13"/>
      <c r="T242" s="13">
        <f ca="1">IF(PRODUCT($O$240:$O$243)=0,$G$6,+COS(J242)*COS(PI()+M242))</f>
        <v>-0.78108781349622258</v>
      </c>
      <c r="U242" s="13"/>
      <c r="V242" s="14">
        <f ca="1">IF(PRODUCT($W$240:$W$243)=0,$G$6,-COS(J242)*SIN(M242+$E$8))</f>
        <v>0.55055219724014504</v>
      </c>
      <c r="W242" s="15">
        <f ca="1">IF(OR(J242&lt;0,COS(PI()+M242+$E$8)&lt;0),0,1)</f>
        <v>1</v>
      </c>
      <c r="X242" s="13"/>
      <c r="Y242" s="13"/>
      <c r="Z242" s="13"/>
      <c r="AA242" s="13"/>
      <c r="AB242" s="13">
        <f ca="1">IF(PRODUCT($W$240:$W$243)=0,$G$6,SIN(J242))</f>
        <v>0.29460839384127985</v>
      </c>
      <c r="AC242" s="13"/>
    </row>
    <row r="243" spans="1:29" x14ac:dyDescent="0.35">
      <c r="A243" s="2" t="s">
        <v>160</v>
      </c>
      <c r="B243" s="12">
        <v>21</v>
      </c>
      <c r="C243" s="12">
        <v>20</v>
      </c>
      <c r="D243" s="12">
        <v>-22</v>
      </c>
      <c r="E243" s="12">
        <v>0</v>
      </c>
      <c r="F243" s="12"/>
      <c r="G243" s="13">
        <f>+B243+C243/60</f>
        <v>21.333333333333332</v>
      </c>
      <c r="H243" s="13">
        <f>(D243+E243/60)*PI()/180</f>
        <v>-0.38397243543875248</v>
      </c>
      <c r="I243" s="13">
        <f t="shared" ca="1" si="210"/>
        <v>2.7599481027777806</v>
      </c>
      <c r="J243" s="14">
        <f ca="1">ASIN(COS(H243)*COS(I243*PI()/12)*COS($D$8)+SIN($D$8)*SIN(H243))</f>
        <v>0.17672891028381466</v>
      </c>
      <c r="K243" s="14">
        <f ca="1">(COS(H243)*SIN(I243*PI()/12))/COS(J243)</f>
        <v>0.62284971088066454</v>
      </c>
      <c r="L243" s="14">
        <f ca="1">(COS(H243)*COS(I243*PI()/12)*SIN($D$8)-COS($D$8)*SIN(H243))/COS(J243)</f>
        <v>0.78234150960809479</v>
      </c>
      <c r="M243" s="14">
        <f ca="1">IF(L243&lt;0,-ASIN(K243)+PI(),ASIN(K243))</f>
        <v>0.67237998567907042</v>
      </c>
      <c r="N243" s="14">
        <f ca="1">IF(PRODUCT($O$240:$O$243)=0,$G$6,COS(J243)*SIN(M243))</f>
        <v>0.61314823490621995</v>
      </c>
      <c r="O243" s="15">
        <f ca="1">IF(J243&lt;0,0,1)</f>
        <v>1</v>
      </c>
      <c r="P243" s="13"/>
      <c r="Q243" s="13"/>
      <c r="R243" s="13"/>
      <c r="S243" s="13"/>
      <c r="T243" s="13">
        <f ca="1">IF(PRODUCT($O$240:$O$243)=0,$G$6,+COS(J243)*COS(PI()+M243))</f>
        <v>-0.77015579734607587</v>
      </c>
      <c r="U243" s="13"/>
      <c r="V243" s="14">
        <f ca="1">IF(PRODUCT($W$240:$W$243)=0,$G$6,-COS(J243)*SIN(M243+$E$8))</f>
        <v>0.61314823490621984</v>
      </c>
      <c r="W243" s="15">
        <f ca="1">IF(OR(J243&lt;0,COS(PI()+M243+$E$8)&lt;0),0,1)</f>
        <v>1</v>
      </c>
      <c r="X243" s="13"/>
      <c r="Y243" s="13"/>
      <c r="Z243" s="13"/>
      <c r="AA243" s="13"/>
      <c r="AB243" s="13">
        <f ca="1">IF(PRODUCT($W$240:$W$243)=0,$G$6,SIN(J243))</f>
        <v>0.17581038036935542</v>
      </c>
      <c r="AC243" s="13"/>
    </row>
    <row r="244" spans="1:29" x14ac:dyDescent="0.35">
      <c r="F244" s="12"/>
    </row>
    <row r="245" spans="1:29" x14ac:dyDescent="0.35">
      <c r="A245" s="2" t="s">
        <v>161</v>
      </c>
      <c r="B245" s="12">
        <v>20</v>
      </c>
      <c r="C245" s="12">
        <v>50</v>
      </c>
      <c r="D245" s="12">
        <v>-10</v>
      </c>
      <c r="E245" s="12">
        <v>0</v>
      </c>
      <c r="F245" s="12"/>
      <c r="G245" s="13">
        <f t="shared" ref="G245:G250" si="211">+B245+C245/60</f>
        <v>20.833333333333332</v>
      </c>
      <c r="H245" s="13">
        <f t="shared" ref="H245:H250" si="212">(D245+E245/60)*PI()/180</f>
        <v>-0.17453292519943295</v>
      </c>
      <c r="I245" s="13">
        <f t="shared" ref="I245:I250" ca="1" si="213">IF($L$10-G245&lt;0,24+$L$10-G245,$L$10-G245)</f>
        <v>3.2599481027777806</v>
      </c>
      <c r="J245" s="14">
        <f t="shared" ref="J245:J250" ca="1" si="214">ASIN(COS(H245)*COS(I245*PI()/12)*COS($D$8)+SIN($D$8)*SIN(H245))</f>
        <v>0.29990451915528044</v>
      </c>
      <c r="K245" s="14">
        <f t="shared" ref="K245:K250" ca="1" si="215">(COS(H245)*SIN(I245*PI()/12))/COS(J245)</f>
        <v>0.77677799295901839</v>
      </c>
      <c r="L245" s="14">
        <f t="shared" ref="L245:L250" ca="1" si="216">(COS(H245)*COS(I245*PI()/12)*SIN($D$8)-COS($D$8)*SIN(H245))/COS(J245)</f>
        <v>0.6297745228687478</v>
      </c>
      <c r="M245" s="14">
        <f t="shared" ref="M245:M250" ca="1" si="217">IF(L245&lt;0,-ASIN(K245)+PI(),ASIN(K245))</f>
        <v>0.88953342169576632</v>
      </c>
      <c r="N245" s="14">
        <f t="shared" ref="N245:N250" ca="1" si="218">IF(PRODUCT($O$245:$O$250)=0,$G$6,COS(J245)*SIN(M245))</f>
        <v>0.74210627521179895</v>
      </c>
      <c r="O245" s="15">
        <f t="shared" ref="O245:O250" ca="1" si="219">IF(J245&lt;0,0,1)</f>
        <v>1</v>
      </c>
      <c r="P245" s="13"/>
      <c r="Q245" s="13"/>
      <c r="R245" s="13"/>
      <c r="S245" s="13"/>
      <c r="T245" s="13">
        <f t="shared" ref="T245:T250" ca="1" si="220">IF(PRODUCT($O$245:$O$250)=0,$G$6,+COS(J245)*COS(PI()+M245))</f>
        <v>-0.60166434892044063</v>
      </c>
      <c r="U245" s="13"/>
      <c r="V245" s="14">
        <f t="shared" ref="V245:V250" ca="1" si="221">IF(PRODUCT($W$245:$W$250)=0,$G$6,-COS(J245)*SIN(M245+$E$8))</f>
        <v>0.74210627521179895</v>
      </c>
      <c r="W245" s="15">
        <f t="shared" ref="W245:W250" ca="1" si="222">IF(OR(J245&lt;0,COS(PI()+M245+$E$8)&lt;0),0,1)</f>
        <v>1</v>
      </c>
      <c r="X245" s="13"/>
      <c r="Y245" s="13"/>
      <c r="Z245" s="13"/>
      <c r="AA245" s="13"/>
      <c r="AB245" s="13">
        <f t="shared" ref="AB245:AB250" ca="1" si="223">IF(PRODUCT($W$245:$W$250)=0,$G$6,SIN(J245))</f>
        <v>0.29542898897943648</v>
      </c>
      <c r="AC245" s="13"/>
    </row>
    <row r="246" spans="1:29" x14ac:dyDescent="0.35">
      <c r="A246" s="2" t="s">
        <v>161</v>
      </c>
      <c r="B246" s="12">
        <v>21</v>
      </c>
      <c r="C246" s="12">
        <v>25</v>
      </c>
      <c r="D246" s="12">
        <v>-7</v>
      </c>
      <c r="E246" s="12">
        <v>0</v>
      </c>
      <c r="F246" s="12"/>
      <c r="G246" s="13">
        <f t="shared" si="211"/>
        <v>21.416666666666668</v>
      </c>
      <c r="H246" s="13">
        <f t="shared" si="212"/>
        <v>-0.12217304763960307</v>
      </c>
      <c r="I246" s="13">
        <f t="shared" ca="1" si="213"/>
        <v>2.6766147694444449</v>
      </c>
      <c r="J246" s="14">
        <f t="shared" ca="1" si="214"/>
        <v>0.419882257238477</v>
      </c>
      <c r="K246" s="14">
        <f t="shared" ca="1" si="215"/>
        <v>0.70085262295825557</v>
      </c>
      <c r="L246" s="14">
        <f t="shared" ca="1" si="216"/>
        <v>0.71330610602498912</v>
      </c>
      <c r="M246" s="14">
        <f t="shared" ca="1" si="217"/>
        <v>0.77659210725868866</v>
      </c>
      <c r="N246" s="14">
        <f t="shared" ca="1" si="218"/>
        <v>0.63997442290050777</v>
      </c>
      <c r="O246" s="15">
        <f t="shared" ca="1" si="219"/>
        <v>1</v>
      </c>
      <c r="P246" s="13"/>
      <c r="Q246" s="13"/>
      <c r="R246" s="13"/>
      <c r="S246" s="13"/>
      <c r="T246" s="13">
        <f t="shared" ca="1" si="220"/>
        <v>-0.6513461583804917</v>
      </c>
      <c r="U246" s="13"/>
      <c r="V246" s="14">
        <f t="shared" ca="1" si="221"/>
        <v>0.63997442290050754</v>
      </c>
      <c r="W246" s="15">
        <f t="shared" ca="1" si="222"/>
        <v>1</v>
      </c>
      <c r="X246" s="13"/>
      <c r="Y246" s="13"/>
      <c r="Z246" s="13"/>
      <c r="AA246" s="13"/>
      <c r="AB246" s="13">
        <f t="shared" ca="1" si="223"/>
        <v>0.40765294062000557</v>
      </c>
      <c r="AC246" s="13"/>
    </row>
    <row r="247" spans="1:29" x14ac:dyDescent="0.35">
      <c r="A247" s="2" t="s">
        <v>161</v>
      </c>
      <c r="B247" s="12">
        <v>22</v>
      </c>
      <c r="C247" s="12">
        <v>0</v>
      </c>
      <c r="D247" s="12">
        <v>0</v>
      </c>
      <c r="E247" s="12">
        <v>0</v>
      </c>
      <c r="F247" s="12"/>
      <c r="G247" s="13">
        <f t="shared" si="211"/>
        <v>22</v>
      </c>
      <c r="H247" s="13">
        <f t="shared" si="212"/>
        <v>0</v>
      </c>
      <c r="I247" s="13">
        <f t="shared" ca="1" si="213"/>
        <v>2.0932814361111127</v>
      </c>
      <c r="J247" s="14">
        <f t="shared" ca="1" si="214"/>
        <v>0.59662752906567063</v>
      </c>
      <c r="K247" s="14">
        <f t="shared" ca="1" si="215"/>
        <v>0.62980644592470481</v>
      </c>
      <c r="L247" s="14">
        <f t="shared" ca="1" si="216"/>
        <v>0.77675211018167922</v>
      </c>
      <c r="M247" s="14">
        <f t="shared" ca="1" si="217"/>
        <v>0.68130400254022638</v>
      </c>
      <c r="N247" s="14">
        <f t="shared" ca="1" si="218"/>
        <v>0.52099803488715435</v>
      </c>
      <c r="O247" s="15">
        <f t="shared" ca="1" si="219"/>
        <v>1</v>
      </c>
      <c r="P247" s="13"/>
      <c r="Q247" s="13"/>
      <c r="R247" s="13"/>
      <c r="S247" s="13"/>
      <c r="T247" s="13">
        <f t="shared" ca="1" si="220"/>
        <v>-0.64255665469560264</v>
      </c>
      <c r="U247" s="13"/>
      <c r="V247" s="14">
        <f t="shared" ca="1" si="221"/>
        <v>0.52099803488715446</v>
      </c>
      <c r="W247" s="15">
        <f t="shared" ca="1" si="222"/>
        <v>1</v>
      </c>
      <c r="X247" s="13"/>
      <c r="Y247" s="13"/>
      <c r="Z247" s="13"/>
      <c r="AA247" s="13"/>
      <c r="AB247" s="13">
        <f t="shared" ca="1" si="223"/>
        <v>0.56185584730437699</v>
      </c>
      <c r="AC247" s="13"/>
    </row>
    <row r="248" spans="1:29" x14ac:dyDescent="0.35">
      <c r="A248" s="2" t="s">
        <v>161</v>
      </c>
      <c r="B248" s="12">
        <v>22</v>
      </c>
      <c r="C248" s="12">
        <v>20</v>
      </c>
      <c r="D248" s="12">
        <v>-3</v>
      </c>
      <c r="E248" s="12">
        <v>0</v>
      </c>
      <c r="F248" s="12"/>
      <c r="G248" s="13">
        <f t="shared" si="211"/>
        <v>22.333333333333332</v>
      </c>
      <c r="H248" s="13">
        <f t="shared" si="212"/>
        <v>-5.2359877559829883E-2</v>
      </c>
      <c r="I248" s="13">
        <f t="shared" ca="1" si="213"/>
        <v>1.7599481027777806</v>
      </c>
      <c r="J248" s="14">
        <f t="shared" ca="1" si="214"/>
        <v>0.5816474782527945</v>
      </c>
      <c r="K248" s="14">
        <f t="shared" ca="1" si="215"/>
        <v>0.53139736506286583</v>
      </c>
      <c r="L248" s="14">
        <f t="shared" ca="1" si="216"/>
        <v>0.84712268320724537</v>
      </c>
      <c r="M248" s="14">
        <f t="shared" ca="1" si="217"/>
        <v>0.56024925626576239</v>
      </c>
      <c r="N248" s="14">
        <f t="shared" ca="1" si="218"/>
        <v>0.44401366903012768</v>
      </c>
      <c r="O248" s="15">
        <f t="shared" ca="1" si="219"/>
        <v>1</v>
      </c>
      <c r="P248" s="13"/>
      <c r="Q248" s="13"/>
      <c r="R248" s="13"/>
      <c r="S248" s="13"/>
      <c r="T248" s="13">
        <f t="shared" ca="1" si="220"/>
        <v>-0.70782069204463982</v>
      </c>
      <c r="U248" s="13"/>
      <c r="V248" s="14">
        <f t="shared" ca="1" si="221"/>
        <v>0.44401366903012751</v>
      </c>
      <c r="W248" s="15">
        <f t="shared" ca="1" si="222"/>
        <v>1</v>
      </c>
      <c r="X248" s="13"/>
      <c r="Y248" s="13"/>
      <c r="Z248" s="13"/>
      <c r="AA248" s="13"/>
      <c r="AB248" s="13">
        <f t="shared" ca="1" si="223"/>
        <v>0.54940124647460675</v>
      </c>
      <c r="AC248" s="13"/>
    </row>
    <row r="249" spans="1:29" x14ac:dyDescent="0.35">
      <c r="A249" s="2" t="s">
        <v>161</v>
      </c>
      <c r="B249" s="12">
        <v>23</v>
      </c>
      <c r="C249" s="12">
        <v>10</v>
      </c>
      <c r="D249" s="12">
        <v>-10</v>
      </c>
      <c r="E249" s="12">
        <v>0</v>
      </c>
      <c r="F249" s="12"/>
      <c r="G249" s="13">
        <f t="shared" si="211"/>
        <v>23.166666666666668</v>
      </c>
      <c r="H249" s="13">
        <f t="shared" si="212"/>
        <v>-0.17453292519943295</v>
      </c>
      <c r="I249" s="13">
        <f t="shared" ca="1" si="213"/>
        <v>0.92661476944444487</v>
      </c>
      <c r="J249" s="14">
        <f t="shared" ca="1" si="214"/>
        <v>0.52192333887693498</v>
      </c>
      <c r="K249" s="14">
        <f t="shared" ca="1" si="215"/>
        <v>0.27289865729149171</v>
      </c>
      <c r="L249" s="14">
        <f t="shared" ca="1" si="216"/>
        <v>0.96204278639180119</v>
      </c>
      <c r="M249" s="14">
        <f t="shared" ca="1" si="217"/>
        <v>0.27640477277285369</v>
      </c>
      <c r="N249" s="14">
        <f t="shared" ca="1" si="218"/>
        <v>0.23656545027239442</v>
      </c>
      <c r="O249" s="15">
        <f t="shared" ca="1" si="219"/>
        <v>1</v>
      </c>
      <c r="P249" s="13"/>
      <c r="Q249" s="13"/>
      <c r="R249" s="13"/>
      <c r="S249" s="13"/>
      <c r="T249" s="13">
        <f t="shared" ca="1" si="220"/>
        <v>-0.83395824370434146</v>
      </c>
      <c r="U249" s="13"/>
      <c r="V249" s="14">
        <f t="shared" ca="1" si="221"/>
        <v>0.23656545027239423</v>
      </c>
      <c r="W249" s="15">
        <f t="shared" ca="1" si="222"/>
        <v>1</v>
      </c>
      <c r="X249" s="13"/>
      <c r="Y249" s="13"/>
      <c r="Z249" s="13"/>
      <c r="AA249" s="13"/>
      <c r="AB249" s="13">
        <f t="shared" ca="1" si="223"/>
        <v>0.49854832814381161</v>
      </c>
      <c r="AC249" s="13"/>
    </row>
    <row r="250" spans="1:29" x14ac:dyDescent="0.35">
      <c r="A250" s="2" t="s">
        <v>161</v>
      </c>
      <c r="B250" s="12">
        <v>23</v>
      </c>
      <c r="C250" s="12">
        <v>45</v>
      </c>
      <c r="D250" s="12">
        <v>-15</v>
      </c>
      <c r="E250" s="12">
        <v>0</v>
      </c>
      <c r="F250" s="12"/>
      <c r="G250" s="13">
        <f t="shared" si="211"/>
        <v>23.75</v>
      </c>
      <c r="H250" s="13">
        <f t="shared" si="212"/>
        <v>-0.26179938779914941</v>
      </c>
      <c r="I250" s="13">
        <f t="shared" ca="1" si="213"/>
        <v>0.34328143611111273</v>
      </c>
      <c r="J250" s="14">
        <f t="shared" ca="1" si="214"/>
        <v>0.45383751942750422</v>
      </c>
      <c r="K250" s="14">
        <f t="shared" ca="1" si="215"/>
        <v>9.6455891522790729E-2</v>
      </c>
      <c r="L250" s="14">
        <f t="shared" ca="1" si="216"/>
        <v>0.99533725992275779</v>
      </c>
      <c r="M250" s="14">
        <f t="shared" ca="1" si="217"/>
        <v>9.660608794126363E-2</v>
      </c>
      <c r="N250" s="14">
        <f t="shared" ca="1" si="218"/>
        <v>8.6691785813620442E-2</v>
      </c>
      <c r="O250" s="15">
        <f t="shared" ca="1" si="219"/>
        <v>1</v>
      </c>
      <c r="P250" s="13"/>
      <c r="Q250" s="13"/>
      <c r="R250" s="13"/>
      <c r="S250" s="13"/>
      <c r="T250" s="13">
        <f t="shared" ca="1" si="220"/>
        <v>-0.8945805506255825</v>
      </c>
      <c r="U250" s="13"/>
      <c r="V250" s="14">
        <f t="shared" ca="1" si="221"/>
        <v>8.6691785813620276E-2</v>
      </c>
      <c r="W250" s="15">
        <f t="shared" ca="1" si="222"/>
        <v>1</v>
      </c>
      <c r="X250" s="13"/>
      <c r="Y250" s="13"/>
      <c r="Z250" s="13"/>
      <c r="AA250" s="13"/>
      <c r="AB250" s="13">
        <f t="shared" ca="1" si="223"/>
        <v>0.43841780611064951</v>
      </c>
      <c r="AC250" s="13"/>
    </row>
    <row r="251" spans="1:29" x14ac:dyDescent="0.35">
      <c r="F251" s="12"/>
    </row>
    <row r="252" spans="1:29" x14ac:dyDescent="0.35">
      <c r="A252" s="2" t="s">
        <v>162</v>
      </c>
      <c r="B252" s="12">
        <v>18</v>
      </c>
      <c r="C252" s="12">
        <v>20</v>
      </c>
      <c r="D252" s="12">
        <v>-34</v>
      </c>
      <c r="E252" s="12">
        <v>-4</v>
      </c>
      <c r="F252" s="12"/>
      <c r="G252" s="13">
        <f t="shared" ref="G252:G259" si="224">+B252+C252/60</f>
        <v>18.333333333333332</v>
      </c>
      <c r="H252" s="13">
        <f t="shared" ref="H252:H259" si="225">(D252+E252/60)*PI()/180</f>
        <v>-0.59457549851273495</v>
      </c>
      <c r="I252" s="13">
        <f t="shared" ref="I252:I259" ca="1" si="226">IF($L$10-G252&lt;0,24+$L$10-G252,$L$10-G252)</f>
        <v>5.7599481027777806</v>
      </c>
      <c r="J252" s="14">
        <f t="shared" ref="J252:J259" ca="1" si="227">ASIN(COS(H252)*COS(I252*PI()/12)*COS($D$8)+SIN($D$8)*SIN(H252))</f>
        <v>-0.39785194288184972</v>
      </c>
      <c r="K252" s="14">
        <f t="shared" ref="K252:K259" ca="1" si="228">(COS(H252)*SIN(I252*PI()/12))/COS(J252)</f>
        <v>0.89679486168322242</v>
      </c>
      <c r="L252" s="14">
        <f t="shared" ref="L252:L259" ca="1" si="229">(COS(H252)*COS(I252*PI()/12)*SIN($D$8)-COS($D$8)*SIN(H252))/COS(J252)</f>
        <v>0.44244657989249964</v>
      </c>
      <c r="M252" s="14">
        <f t="shared" ref="M252:M259" ca="1" si="230">IF(L252&lt;0,-ASIN(K252)+PI(),ASIN(K252))</f>
        <v>1.112471345824531</v>
      </c>
      <c r="N252" s="14">
        <f t="shared" ref="N252:N259" ca="1" si="231">IF(PRODUCT($O$252:$O$259)=0,$G$6,COS(J252)*SIN(M252))</f>
        <v>1000000</v>
      </c>
      <c r="O252" s="15">
        <f t="shared" ref="O252:O259" ca="1" si="232">IF(J252&lt;0,0,1)</f>
        <v>0</v>
      </c>
      <c r="P252" s="13"/>
      <c r="Q252" s="13"/>
      <c r="R252" s="13"/>
      <c r="S252" s="13"/>
      <c r="T252" s="13">
        <f t="shared" ref="T252:T259" ca="1" si="233">IF(PRODUCT($O$252:$O$259)=0,$G$6,+COS(J252)*COS(PI()+M252))</f>
        <v>1000000</v>
      </c>
      <c r="U252" s="13"/>
      <c r="V252" s="14">
        <f t="shared" ref="V252:V259" ca="1" si="234">IF(PRODUCT($W$252:$W$259)=0,$G$6,-COS(J252)*SIN(M252+$E$8))</f>
        <v>1000000</v>
      </c>
      <c r="W252" s="15">
        <f t="shared" ref="W252:W259" ca="1" si="235">IF(OR(J252&lt;0,COS(PI()+M252+$E$8)&lt;0),0,1)</f>
        <v>0</v>
      </c>
      <c r="X252" s="13"/>
      <c r="Y252" s="13"/>
      <c r="Z252" s="13"/>
      <c r="AA252" s="13"/>
      <c r="AB252" s="13">
        <f t="shared" ref="AB252:AB259" ca="1" si="236">IF(PRODUCT($W$252:$W$259)=0,$G$6,SIN(J252))</f>
        <v>1000000</v>
      </c>
      <c r="AC252" s="13"/>
    </row>
    <row r="253" spans="1:29" x14ac:dyDescent="0.35">
      <c r="A253" s="2" t="s">
        <v>162</v>
      </c>
      <c r="B253" s="12">
        <v>18</v>
      </c>
      <c r="C253" s="12">
        <v>0</v>
      </c>
      <c r="D253" s="12">
        <v>-30</v>
      </c>
      <c r="E253" s="12">
        <v>0</v>
      </c>
      <c r="F253" s="12"/>
      <c r="G253" s="13">
        <f t="shared" si="224"/>
        <v>18</v>
      </c>
      <c r="H253" s="13">
        <f t="shared" si="225"/>
        <v>-0.52359877559829882</v>
      </c>
      <c r="I253" s="13">
        <f t="shared" ca="1" si="226"/>
        <v>6.0932814361111127</v>
      </c>
      <c r="J253" s="14">
        <f t="shared" ca="1" si="227"/>
        <v>-0.40097818538567176</v>
      </c>
      <c r="K253" s="14">
        <f t="shared" ca="1" si="228"/>
        <v>0.94035660773727647</v>
      </c>
      <c r="L253" s="14">
        <f t="shared" ca="1" si="229"/>
        <v>0.34019031480164436</v>
      </c>
      <c r="M253" s="14">
        <f t="shared" ca="1" si="230"/>
        <v>1.2236770508989443</v>
      </c>
      <c r="N253" s="14">
        <f t="shared" ca="1" si="231"/>
        <v>1000000</v>
      </c>
      <c r="O253" s="15">
        <f t="shared" ca="1" si="232"/>
        <v>0</v>
      </c>
      <c r="P253" s="13"/>
      <c r="Q253" s="13"/>
      <c r="R253" s="13"/>
      <c r="S253" s="13"/>
      <c r="T253" s="13">
        <f t="shared" ca="1" si="233"/>
        <v>1000000</v>
      </c>
      <c r="U253" s="13"/>
      <c r="V253" s="14">
        <f t="shared" ca="1" si="234"/>
        <v>1000000</v>
      </c>
      <c r="W253" s="15">
        <f t="shared" ca="1" si="235"/>
        <v>0</v>
      </c>
      <c r="X253" s="13"/>
      <c r="Y253" s="13"/>
      <c r="Z253" s="13"/>
      <c r="AA253" s="13"/>
      <c r="AB253" s="13">
        <f t="shared" ca="1" si="236"/>
        <v>1000000</v>
      </c>
      <c r="AC253" s="13"/>
    </row>
    <row r="254" spans="1:29" x14ac:dyDescent="0.35">
      <c r="A254" s="2" t="s">
        <v>162</v>
      </c>
      <c r="B254" s="12">
        <v>18</v>
      </c>
      <c r="C254" s="12">
        <v>20</v>
      </c>
      <c r="D254" s="12">
        <v>-30</v>
      </c>
      <c r="E254" s="12">
        <v>0</v>
      </c>
      <c r="F254" s="12"/>
      <c r="G254" s="13">
        <f t="shared" si="224"/>
        <v>18.333333333333332</v>
      </c>
      <c r="H254" s="13">
        <f t="shared" si="225"/>
        <v>-0.52359877559829882</v>
      </c>
      <c r="I254" s="13">
        <f t="shared" ca="1" si="226"/>
        <v>5.7599481027777806</v>
      </c>
      <c r="J254" s="14">
        <f t="shared" ca="1" si="227"/>
        <v>-0.34755151072203855</v>
      </c>
      <c r="K254" s="14">
        <f t="shared" ca="1" si="228"/>
        <v>0.91927999237039171</v>
      </c>
      <c r="L254" s="14">
        <f t="shared" ca="1" si="229"/>
        <v>0.3936042373088644</v>
      </c>
      <c r="M254" s="14">
        <f t="shared" ca="1" si="230"/>
        <v>1.1662472917924409</v>
      </c>
      <c r="N254" s="14">
        <f t="shared" ca="1" si="231"/>
        <v>1000000</v>
      </c>
      <c r="O254" s="15">
        <f t="shared" ca="1" si="232"/>
        <v>0</v>
      </c>
      <c r="P254" s="13"/>
      <c r="Q254" s="13"/>
      <c r="R254" s="13"/>
      <c r="S254" s="13"/>
      <c r="T254" s="13">
        <f t="shared" ca="1" si="233"/>
        <v>1000000</v>
      </c>
      <c r="U254" s="13"/>
      <c r="V254" s="14">
        <f t="shared" ca="1" si="234"/>
        <v>1000000</v>
      </c>
      <c r="W254" s="15">
        <f t="shared" ca="1" si="235"/>
        <v>0</v>
      </c>
      <c r="X254" s="13"/>
      <c r="Y254" s="13"/>
      <c r="Z254" s="13"/>
      <c r="AA254" s="13"/>
      <c r="AB254" s="13">
        <f t="shared" ca="1" si="236"/>
        <v>1000000</v>
      </c>
      <c r="AC254" s="13"/>
    </row>
    <row r="255" spans="1:29" x14ac:dyDescent="0.35">
      <c r="A255" s="2" t="s">
        <v>162</v>
      </c>
      <c r="B255" s="12">
        <v>18</v>
      </c>
      <c r="C255" s="12">
        <v>25</v>
      </c>
      <c r="D255" s="12">
        <v>-25</v>
      </c>
      <c r="E255" s="12">
        <v>0</v>
      </c>
      <c r="F255" s="12"/>
      <c r="G255" s="13">
        <f t="shared" si="224"/>
        <v>18.416666666666668</v>
      </c>
      <c r="H255" s="13">
        <f t="shared" si="225"/>
        <v>-0.43633231299858238</v>
      </c>
      <c r="I255" s="13">
        <f t="shared" ca="1" si="226"/>
        <v>5.6766147694444449</v>
      </c>
      <c r="J255" s="14">
        <f t="shared" ca="1" si="227"/>
        <v>-0.27100399856246044</v>
      </c>
      <c r="K255" s="14">
        <f t="shared" ca="1" si="228"/>
        <v>0.93726956220622304</v>
      </c>
      <c r="L255" s="14">
        <f t="shared" ca="1" si="229"/>
        <v>0.34860546146289062</v>
      </c>
      <c r="M255" s="14">
        <f t="shared" ca="1" si="230"/>
        <v>1.2147135091110133</v>
      </c>
      <c r="N255" s="14">
        <f t="shared" ca="1" si="231"/>
        <v>1000000</v>
      </c>
      <c r="O255" s="15">
        <f t="shared" ca="1" si="232"/>
        <v>0</v>
      </c>
      <c r="P255" s="13"/>
      <c r="Q255" s="13"/>
      <c r="R255" s="13"/>
      <c r="S255" s="13"/>
      <c r="T255" s="13">
        <f t="shared" ca="1" si="233"/>
        <v>1000000</v>
      </c>
      <c r="U255" s="13"/>
      <c r="V255" s="14">
        <f t="shared" ca="1" si="234"/>
        <v>1000000</v>
      </c>
      <c r="W255" s="15">
        <f t="shared" ca="1" si="235"/>
        <v>0</v>
      </c>
      <c r="X255" s="13"/>
      <c r="Y255" s="13"/>
      <c r="Z255" s="13"/>
      <c r="AA255" s="13"/>
      <c r="AB255" s="13">
        <f t="shared" ca="1" si="236"/>
        <v>1000000</v>
      </c>
      <c r="AC255" s="13"/>
    </row>
    <row r="256" spans="1:29" x14ac:dyDescent="0.35">
      <c r="A256" s="2" t="s">
        <v>162</v>
      </c>
      <c r="B256" s="12">
        <v>18</v>
      </c>
      <c r="C256" s="12">
        <v>52</v>
      </c>
      <c r="D256" s="12">
        <v>-26</v>
      </c>
      <c r="E256" s="12">
        <v>-4</v>
      </c>
      <c r="F256" s="12"/>
      <c r="G256" s="13">
        <f t="shared" si="224"/>
        <v>18.866666666666667</v>
      </c>
      <c r="H256" s="13">
        <f t="shared" si="225"/>
        <v>-0.4549491583531885</v>
      </c>
      <c r="I256" s="13">
        <f t="shared" ca="1" si="226"/>
        <v>5.2266147694444456</v>
      </c>
      <c r="J256" s="14">
        <f t="shared" ca="1" si="227"/>
        <v>-0.2135058397415881</v>
      </c>
      <c r="K256" s="14">
        <f t="shared" ca="1" si="228"/>
        <v>0.90037760518438514</v>
      </c>
      <c r="L256" s="14">
        <f t="shared" ca="1" si="229"/>
        <v>0.43510937485008483</v>
      </c>
      <c r="M256" s="14">
        <f t="shared" ca="1" si="230"/>
        <v>1.1206365769447901</v>
      </c>
      <c r="N256" s="14">
        <f t="shared" ca="1" si="231"/>
        <v>1000000</v>
      </c>
      <c r="O256" s="15">
        <f t="shared" ca="1" si="232"/>
        <v>0</v>
      </c>
      <c r="P256" s="13"/>
      <c r="Q256" s="13"/>
      <c r="R256" s="13"/>
      <c r="S256" s="13"/>
      <c r="T256" s="13">
        <f t="shared" ca="1" si="233"/>
        <v>1000000</v>
      </c>
      <c r="U256" s="13"/>
      <c r="V256" s="14">
        <f t="shared" ca="1" si="234"/>
        <v>1000000</v>
      </c>
      <c r="W256" s="15">
        <f t="shared" ca="1" si="235"/>
        <v>0</v>
      </c>
      <c r="X256" s="13"/>
      <c r="Y256" s="13"/>
      <c r="Z256" s="13"/>
      <c r="AA256" s="13"/>
      <c r="AB256" s="13">
        <f t="shared" ca="1" si="236"/>
        <v>1000000</v>
      </c>
      <c r="AC256" s="13"/>
    </row>
    <row r="257" spans="1:29" x14ac:dyDescent="0.35">
      <c r="A257" s="2" t="s">
        <v>162</v>
      </c>
      <c r="B257" s="12">
        <v>19</v>
      </c>
      <c r="C257" s="12">
        <v>0</v>
      </c>
      <c r="D257" s="12">
        <v>-30</v>
      </c>
      <c r="E257" s="12">
        <v>0</v>
      </c>
      <c r="F257" s="12"/>
      <c r="G257" s="13">
        <f t="shared" si="224"/>
        <v>19</v>
      </c>
      <c r="H257" s="13">
        <f t="shared" si="225"/>
        <v>-0.52359877559829882</v>
      </c>
      <c r="I257" s="13">
        <f t="shared" ca="1" si="226"/>
        <v>5.0932814361111127</v>
      </c>
      <c r="J257" s="14">
        <f t="shared" ca="1" si="227"/>
        <v>-0.24478293807895476</v>
      </c>
      <c r="K257" s="14">
        <f t="shared" ca="1" si="228"/>
        <v>0.86760345180139098</v>
      </c>
      <c r="L257" s="14">
        <f t="shared" ca="1" si="229"/>
        <v>0.49725672486383876</v>
      </c>
      <c r="M257" s="14">
        <f t="shared" ca="1" si="230"/>
        <v>1.0503623264455177</v>
      </c>
      <c r="N257" s="14">
        <f t="shared" ca="1" si="231"/>
        <v>1000000</v>
      </c>
      <c r="O257" s="15">
        <f t="shared" ca="1" si="232"/>
        <v>0</v>
      </c>
      <c r="P257" s="13"/>
      <c r="Q257" s="13"/>
      <c r="R257" s="13"/>
      <c r="S257" s="13"/>
      <c r="T257" s="13">
        <f t="shared" ca="1" si="233"/>
        <v>1000000</v>
      </c>
      <c r="U257" s="13"/>
      <c r="V257" s="14">
        <f t="shared" ca="1" si="234"/>
        <v>1000000</v>
      </c>
      <c r="W257" s="15">
        <f t="shared" ca="1" si="235"/>
        <v>0</v>
      </c>
      <c r="X257" s="13"/>
      <c r="Y257" s="13"/>
      <c r="Z257" s="13"/>
      <c r="AA257" s="13"/>
      <c r="AB257" s="13">
        <f t="shared" ca="1" si="236"/>
        <v>1000000</v>
      </c>
      <c r="AC257" s="13"/>
    </row>
    <row r="258" spans="1:29" x14ac:dyDescent="0.35">
      <c r="A258" s="2" t="s">
        <v>162</v>
      </c>
      <c r="B258" s="12">
        <v>18</v>
      </c>
      <c r="C258" s="12">
        <v>52</v>
      </c>
      <c r="D258" s="12">
        <v>-26</v>
      </c>
      <c r="E258" s="12">
        <v>-4</v>
      </c>
      <c r="F258" s="12"/>
      <c r="G258" s="13">
        <f t="shared" si="224"/>
        <v>18.866666666666667</v>
      </c>
      <c r="H258" s="13">
        <f t="shared" si="225"/>
        <v>-0.4549491583531885</v>
      </c>
      <c r="I258" s="13">
        <f t="shared" ca="1" si="226"/>
        <v>5.2266147694444456</v>
      </c>
      <c r="J258" s="14">
        <f t="shared" ca="1" si="227"/>
        <v>-0.2135058397415881</v>
      </c>
      <c r="K258" s="14">
        <f t="shared" ca="1" si="228"/>
        <v>0.90037760518438514</v>
      </c>
      <c r="L258" s="14">
        <f t="shared" ca="1" si="229"/>
        <v>0.43510937485008483</v>
      </c>
      <c r="M258" s="14">
        <f t="shared" ca="1" si="230"/>
        <v>1.1206365769447901</v>
      </c>
      <c r="N258" s="14">
        <f t="shared" ca="1" si="231"/>
        <v>1000000</v>
      </c>
      <c r="O258" s="15">
        <f t="shared" ca="1" si="232"/>
        <v>0</v>
      </c>
      <c r="P258" s="13"/>
      <c r="Q258" s="13"/>
      <c r="R258" s="13"/>
      <c r="S258" s="13"/>
      <c r="T258" s="13">
        <f t="shared" ca="1" si="233"/>
        <v>1000000</v>
      </c>
      <c r="U258" s="13"/>
      <c r="V258" s="14">
        <f t="shared" ca="1" si="234"/>
        <v>1000000</v>
      </c>
      <c r="W258" s="15">
        <f t="shared" ca="1" si="235"/>
        <v>0</v>
      </c>
      <c r="X258" s="13"/>
      <c r="Y258" s="13"/>
      <c r="Z258" s="13"/>
      <c r="AA258" s="13"/>
      <c r="AB258" s="13">
        <f t="shared" ca="1" si="236"/>
        <v>1000000</v>
      </c>
      <c r="AC258" s="13"/>
    </row>
    <row r="259" spans="1:29" x14ac:dyDescent="0.35">
      <c r="A259" s="2" t="s">
        <v>162</v>
      </c>
      <c r="B259" s="12">
        <v>18</v>
      </c>
      <c r="C259" s="12">
        <v>55</v>
      </c>
      <c r="D259" s="12">
        <v>-22</v>
      </c>
      <c r="E259" s="12">
        <v>0</v>
      </c>
      <c r="F259" s="12"/>
      <c r="G259" s="13">
        <f t="shared" si="224"/>
        <v>18.916666666666668</v>
      </c>
      <c r="H259" s="13">
        <f t="shared" si="225"/>
        <v>-0.38397243543875248</v>
      </c>
      <c r="I259" s="13">
        <f t="shared" ca="1" si="226"/>
        <v>5.1766147694444449</v>
      </c>
      <c r="J259" s="14">
        <f t="shared" ca="1" si="227"/>
        <v>-0.15204302076244874</v>
      </c>
      <c r="K259" s="14">
        <f t="shared" ca="1" si="228"/>
        <v>0.91629613363570295</v>
      </c>
      <c r="L259" s="14">
        <f t="shared" ca="1" si="229"/>
        <v>0.40050143006518968</v>
      </c>
      <c r="M259" s="14">
        <f t="shared" ca="1" si="230"/>
        <v>1.1587323103120275</v>
      </c>
      <c r="N259" s="14">
        <f t="shared" ca="1" si="231"/>
        <v>1000000</v>
      </c>
      <c r="O259" s="15">
        <f t="shared" ca="1" si="232"/>
        <v>0</v>
      </c>
      <c r="P259" s="13"/>
      <c r="Q259" s="13"/>
      <c r="R259" s="13"/>
      <c r="S259" s="13"/>
      <c r="T259" s="13">
        <f t="shared" ca="1" si="233"/>
        <v>1000000</v>
      </c>
      <c r="U259" s="13"/>
      <c r="V259" s="14">
        <f t="shared" ca="1" si="234"/>
        <v>1000000</v>
      </c>
      <c r="W259" s="15">
        <f t="shared" ca="1" si="235"/>
        <v>0</v>
      </c>
      <c r="X259" s="13"/>
      <c r="Y259" s="13"/>
      <c r="Z259" s="13"/>
      <c r="AA259" s="13"/>
      <c r="AB259" s="13">
        <f t="shared" ca="1" si="236"/>
        <v>1000000</v>
      </c>
      <c r="AC259" s="13"/>
    </row>
    <row r="260" spans="1:29" x14ac:dyDescent="0.35">
      <c r="F260" s="12"/>
    </row>
    <row r="261" spans="1:29" x14ac:dyDescent="0.35">
      <c r="A261" s="2" t="s">
        <v>163</v>
      </c>
      <c r="B261" s="12">
        <v>15</v>
      </c>
      <c r="C261" s="12">
        <v>0</v>
      </c>
      <c r="D261" s="12">
        <v>-25</v>
      </c>
      <c r="E261" s="12">
        <v>0</v>
      </c>
      <c r="F261" s="12"/>
      <c r="G261" s="13">
        <f>+B261+C261/60</f>
        <v>15</v>
      </c>
      <c r="H261" s="13">
        <f>(D261+E261/60)*PI()/180</f>
        <v>-0.43633231299858238</v>
      </c>
      <c r="I261" s="13">
        <f t="shared" ref="I261:I265" ca="1" si="237">IF($L$10-G261&lt;0,24+$L$10-G261,$L$10-G261)</f>
        <v>9.0932814361111127</v>
      </c>
      <c r="J261" s="14">
        <f ca="1">ASIN(COS(H261)*COS(I261*PI()/12)*COS($D$8)+SIN($D$8)*SIN(H261))</f>
        <v>-0.84831307716804427</v>
      </c>
      <c r="K261" s="14">
        <f ca="1">(COS(H261)*SIN(I261*PI()/12))/COS(J261)</f>
        <v>0.94520513763189151</v>
      </c>
      <c r="L261" s="14">
        <f ca="1">(COS(H261)*COS(I261*PI()/12)*SIN($D$8)-COS($D$8)*SIN(H261))/COS(J261)</f>
        <v>-0.32647702491029479</v>
      </c>
      <c r="M261" s="14">
        <f ca="1">IF(L261&lt;0,-ASIN(K261)+PI(),ASIN(K261))</f>
        <v>1.9033702841387674</v>
      </c>
      <c r="N261" s="14">
        <f ca="1">IF(PRODUCT($O$261:$O$265)=0,$G$6,COS(J261)*SIN(M261))</f>
        <v>1000000</v>
      </c>
      <c r="O261" s="15">
        <f ca="1">IF(J261&lt;0,0,1)</f>
        <v>0</v>
      </c>
      <c r="P261" s="13"/>
      <c r="Q261" s="13"/>
      <c r="R261" s="13"/>
      <c r="S261" s="13"/>
      <c r="T261" s="13">
        <f ca="1">IF(PRODUCT($O$261:$O$265)=0,$G$6,+COS(J261)*COS(PI()+M261))</f>
        <v>1000000</v>
      </c>
      <c r="U261" s="13"/>
      <c r="V261" s="14">
        <f ca="1">IF(PRODUCT($W$261:$W$265)=0,$G$6,-COS(J261)*SIN(M261+$E$8))</f>
        <v>1000000</v>
      </c>
      <c r="W261" s="15">
        <f ca="1">IF(OR(J261&lt;0,COS(PI()+M261+$E$8)&lt;0),0,1)</f>
        <v>0</v>
      </c>
      <c r="X261" s="13"/>
      <c r="Y261" s="13"/>
      <c r="Z261" s="13"/>
      <c r="AA261" s="13"/>
      <c r="AB261" s="13">
        <f ca="1">IF(PRODUCT($W$261:$W$265)=0,$G$6,SIN(J261))</f>
        <v>1000000</v>
      </c>
      <c r="AC261" s="13"/>
    </row>
    <row r="262" spans="1:29" x14ac:dyDescent="0.35">
      <c r="A262" s="2" t="s">
        <v>163</v>
      </c>
      <c r="B262" s="12">
        <v>14</v>
      </c>
      <c r="C262" s="12">
        <v>50</v>
      </c>
      <c r="D262" s="12">
        <v>-16</v>
      </c>
      <c r="E262" s="12">
        <v>0</v>
      </c>
      <c r="F262" s="12"/>
      <c r="G262" s="13">
        <f>+B262+C262/60</f>
        <v>14.833333333333334</v>
      </c>
      <c r="H262" s="13">
        <f>(D262+E262/60)*PI()/180</f>
        <v>-0.27925268031909273</v>
      </c>
      <c r="I262" s="13">
        <f t="shared" ca="1" si="237"/>
        <v>9.2599481027777788</v>
      </c>
      <c r="J262" s="14">
        <f ca="1">ASIN(COS(H262)*COS(I262*PI()/12)*COS($D$8)+SIN($D$8)*SIN(H262))</f>
        <v>-0.75366029568974102</v>
      </c>
      <c r="K262" s="14">
        <f ca="1">(COS(H262)*SIN(I262*PI()/12))/COS(J262)</f>
        <v>0.86660592563203831</v>
      </c>
      <c r="L262" s="14">
        <f ca="1">(COS(H262)*COS(I262*PI()/12)*SIN($D$8)-COS($D$8)*SIN(H262))/COS(J262)</f>
        <v>-0.49899315592444565</v>
      </c>
      <c r="M262" s="14">
        <f ca="1">IF(L262&lt;0,-ASIN(K262)+PI(),ASIN(K262))</f>
        <v>2.0932328886606739</v>
      </c>
      <c r="N262" s="14">
        <f ca="1">IF(PRODUCT($O$261:$O$265)=0,$G$6,COS(J262)*SIN(M262))</f>
        <v>1000000</v>
      </c>
      <c r="O262" s="15">
        <f ca="1">IF(J262&lt;0,0,1)</f>
        <v>0</v>
      </c>
      <c r="P262" s="13"/>
      <c r="Q262" s="13"/>
      <c r="R262" s="13"/>
      <c r="S262" s="13"/>
      <c r="T262" s="13">
        <f ca="1">IF(PRODUCT($O$261:$O$265)=0,$G$6,+COS(J262)*COS(PI()+M262))</f>
        <v>1000000</v>
      </c>
      <c r="U262" s="13"/>
      <c r="V262" s="14">
        <f ca="1">IF(PRODUCT($W$261:$W$265)=0,$G$6,-COS(J262)*SIN(M262+$E$8))</f>
        <v>1000000</v>
      </c>
      <c r="W262" s="15">
        <f ca="1">IF(OR(J262&lt;0,COS(PI()+M262+$E$8)&lt;0),0,1)</f>
        <v>0</v>
      </c>
      <c r="X262" s="13"/>
      <c r="Y262" s="13"/>
      <c r="Z262" s="13"/>
      <c r="AA262" s="13"/>
      <c r="AB262" s="13">
        <f ca="1">IF(PRODUCT($W$261:$W$265)=0,$G$6,SIN(J262))</f>
        <v>1000000</v>
      </c>
      <c r="AC262" s="13"/>
    </row>
    <row r="263" spans="1:29" x14ac:dyDescent="0.35">
      <c r="A263" s="2" t="s">
        <v>163</v>
      </c>
      <c r="B263" s="12">
        <v>15</v>
      </c>
      <c r="C263" s="12">
        <v>20</v>
      </c>
      <c r="D263" s="12">
        <v>-10</v>
      </c>
      <c r="E263" s="12">
        <v>0</v>
      </c>
      <c r="F263" s="12"/>
      <c r="G263" s="13">
        <f>+B263+C263/60</f>
        <v>15.333333333333334</v>
      </c>
      <c r="H263" s="13">
        <f>(D263+E263/60)*PI()/180</f>
        <v>-0.17453292519943295</v>
      </c>
      <c r="I263" s="13">
        <f t="shared" ca="1" si="237"/>
        <v>8.7599481027777788</v>
      </c>
      <c r="J263" s="14">
        <f ca="1">ASIN(COS(H263)*COS(I263*PI()/12)*COS($D$8)+SIN($D$8)*SIN(H263))</f>
        <v>-0.59367584049213296</v>
      </c>
      <c r="K263" s="14">
        <f ca="1">(COS(H263)*SIN(I263*PI()/12))/COS(J263)</f>
        <v>0.89122087032456554</v>
      </c>
      <c r="L263" s="14">
        <f ca="1">(COS(H263)*COS(I263*PI()/12)*SIN($D$8)-COS($D$8)*SIN(H263))/COS(J263)</f>
        <v>-0.45356957602767384</v>
      </c>
      <c r="M263" s="14">
        <f ca="1">IF(L263&lt;0,-ASIN(K263)+PI(),ASIN(K263))</f>
        <v>2.0415628679328464</v>
      </c>
      <c r="N263" s="14">
        <f ca="1">IF(PRODUCT($O$261:$O$265)=0,$G$6,COS(J263)*SIN(M263))</f>
        <v>1000000</v>
      </c>
      <c r="O263" s="15">
        <f ca="1">IF(J263&lt;0,0,1)</f>
        <v>0</v>
      </c>
      <c r="P263" s="13"/>
      <c r="Q263" s="13"/>
      <c r="R263" s="13"/>
      <c r="S263" s="13"/>
      <c r="T263" s="13">
        <f ca="1">IF(PRODUCT($O$261:$O$265)=0,$G$6,+COS(J263)*COS(PI()+M263))</f>
        <v>1000000</v>
      </c>
      <c r="U263" s="13"/>
      <c r="V263" s="14">
        <f ca="1">IF(PRODUCT($W$261:$W$265)=0,$G$6,-COS(J263)*SIN(M263+$E$8))</f>
        <v>1000000</v>
      </c>
      <c r="W263" s="15">
        <f ca="1">IF(OR(J263&lt;0,COS(PI()+M263+$E$8)&lt;0),0,1)</f>
        <v>0</v>
      </c>
      <c r="X263" s="13"/>
      <c r="Y263" s="13"/>
      <c r="Z263" s="13"/>
      <c r="AA263" s="13"/>
      <c r="AB263" s="13">
        <f ca="1">IF(PRODUCT($W$261:$W$265)=0,$G$6,SIN(J263))</f>
        <v>1000000</v>
      </c>
      <c r="AC263" s="13"/>
    </row>
    <row r="264" spans="1:29" x14ac:dyDescent="0.35">
      <c r="A264" s="2" t="s">
        <v>163</v>
      </c>
      <c r="B264" s="12">
        <v>15</v>
      </c>
      <c r="C264" s="12">
        <v>35</v>
      </c>
      <c r="D264" s="12">
        <v>-14</v>
      </c>
      <c r="E264" s="12">
        <v>0</v>
      </c>
      <c r="F264" s="12"/>
      <c r="G264" s="13">
        <f>+B264+C264/60</f>
        <v>15.583333333333334</v>
      </c>
      <c r="H264" s="13">
        <f>(D264+E264/60)*PI()/180</f>
        <v>-0.24434609527920614</v>
      </c>
      <c r="I264" s="13">
        <f t="shared" ca="1" si="237"/>
        <v>8.5099481027777788</v>
      </c>
      <c r="J264" s="14">
        <f ca="1">ASIN(COS(H264)*COS(I264*PI()/12)*COS($D$8)+SIN($D$8)*SIN(H264))</f>
        <v>-0.6092491119178356</v>
      </c>
      <c r="K264" s="14">
        <f ca="1">(COS(H264)*SIN(I264*PI()/12))/COS(J264)</f>
        <v>0.93679677958802521</v>
      </c>
      <c r="L264" s="14">
        <f ca="1">(COS(H264)*COS(I264*PI()/12)*SIN($D$8)-COS($D$8)*SIN(H264))/COS(J264)</f>
        <v>-0.34987396838505219</v>
      </c>
      <c r="M264" s="14">
        <f ca="1">IF(L264&lt;0,-ASIN(K264)+PI(),ASIN(K264))</f>
        <v>1.9282328924226459</v>
      </c>
      <c r="N264" s="14">
        <f ca="1">IF(PRODUCT($O$261:$O$265)=0,$G$6,COS(J264)*SIN(M264))</f>
        <v>1000000</v>
      </c>
      <c r="O264" s="15">
        <f ca="1">IF(J264&lt;0,0,1)</f>
        <v>0</v>
      </c>
      <c r="P264" s="13"/>
      <c r="Q264" s="13"/>
      <c r="R264" s="13"/>
      <c r="S264" s="13"/>
      <c r="T264" s="13">
        <f ca="1">IF(PRODUCT($O$261:$O$265)=0,$G$6,+COS(J264)*COS(PI()+M264))</f>
        <v>1000000</v>
      </c>
      <c r="U264" s="13"/>
      <c r="V264" s="14">
        <f ca="1">IF(PRODUCT($W$261:$W$265)=0,$G$6,-COS(J264)*SIN(M264+$E$8))</f>
        <v>1000000</v>
      </c>
      <c r="W264" s="15">
        <f ca="1">IF(OR(J264&lt;0,COS(PI()+M264+$E$8)&lt;0),0,1)</f>
        <v>0</v>
      </c>
      <c r="X264" s="13"/>
      <c r="Y264" s="13"/>
      <c r="Z264" s="13"/>
      <c r="AA264" s="13"/>
      <c r="AB264" s="13">
        <f ca="1">IF(PRODUCT($W$261:$W$265)=0,$G$6,SIN(J264))</f>
        <v>1000000</v>
      </c>
      <c r="AC264" s="13"/>
    </row>
    <row r="265" spans="1:29" x14ac:dyDescent="0.35">
      <c r="A265" s="2" t="s">
        <v>163</v>
      </c>
      <c r="B265" s="12">
        <v>14</v>
      </c>
      <c r="C265" s="12">
        <v>50</v>
      </c>
      <c r="D265" s="12">
        <v>-16</v>
      </c>
      <c r="E265" s="12">
        <v>0</v>
      </c>
      <c r="F265" s="12"/>
      <c r="G265" s="13">
        <f>+B265+C265/60</f>
        <v>14.833333333333334</v>
      </c>
      <c r="H265" s="13">
        <f>(D265+E265/60)*PI()/180</f>
        <v>-0.27925268031909273</v>
      </c>
      <c r="I265" s="13">
        <f t="shared" ca="1" si="237"/>
        <v>9.2599481027777788</v>
      </c>
      <c r="J265" s="14">
        <f ca="1">ASIN(COS(H265)*COS(I265*PI()/12)*COS($D$8)+SIN($D$8)*SIN(H265))</f>
        <v>-0.75366029568974102</v>
      </c>
      <c r="K265" s="14">
        <f ca="1">(COS(H265)*SIN(I265*PI()/12))/COS(J265)</f>
        <v>0.86660592563203831</v>
      </c>
      <c r="L265" s="14">
        <f ca="1">(COS(H265)*COS(I265*PI()/12)*SIN($D$8)-COS($D$8)*SIN(H265))/COS(J265)</f>
        <v>-0.49899315592444565</v>
      </c>
      <c r="M265" s="14">
        <f ca="1">IF(L265&lt;0,-ASIN(K265)+PI(),ASIN(K265))</f>
        <v>2.0932328886606739</v>
      </c>
      <c r="N265" s="14">
        <f ca="1">IF(PRODUCT($O$261:$O$265)=0,$G$6,COS(J265)*SIN(M265))</f>
        <v>1000000</v>
      </c>
      <c r="O265" s="15">
        <f ca="1">IF(J265&lt;0,0,1)</f>
        <v>0</v>
      </c>
      <c r="P265" s="13"/>
      <c r="Q265" s="13"/>
      <c r="R265" s="13"/>
      <c r="S265" s="13"/>
      <c r="T265" s="13">
        <f ca="1">IF(PRODUCT($O$261:$O$265)=0,$G$6,+COS(J265)*COS(PI()+M265))</f>
        <v>1000000</v>
      </c>
      <c r="U265" s="13"/>
      <c r="V265" s="14">
        <f ca="1">IF(PRODUCT($W$261:$W$265)=0,$G$6,-COS(J265)*SIN(M265+$E$8))</f>
        <v>1000000</v>
      </c>
      <c r="W265" s="15">
        <f ca="1">IF(OR(J265&lt;0,COS(PI()+M265+$E$8)&lt;0),0,1)</f>
        <v>0</v>
      </c>
      <c r="X265" s="13"/>
      <c r="Y265" s="13"/>
      <c r="Z265" s="13"/>
      <c r="AA265" s="13"/>
      <c r="AB265" s="13">
        <f ca="1">IF(PRODUCT($W$261:$W$265)=0,$G$6,SIN(J265))</f>
        <v>1000000</v>
      </c>
      <c r="AC265" s="13"/>
    </row>
    <row r="266" spans="1:29" x14ac:dyDescent="0.35">
      <c r="F266" s="12"/>
    </row>
    <row r="267" spans="1:29" x14ac:dyDescent="0.35">
      <c r="A267" s="2" t="s">
        <v>164</v>
      </c>
      <c r="B267" s="12">
        <v>2</v>
      </c>
      <c r="C267" s="12">
        <v>50</v>
      </c>
      <c r="D267" s="12">
        <v>28</v>
      </c>
      <c r="E267" s="12">
        <v>0</v>
      </c>
      <c r="F267" s="12"/>
      <c r="G267" s="13">
        <f>+B267+C267/60</f>
        <v>2.8333333333333335</v>
      </c>
      <c r="H267" s="13">
        <f>(D267+E267/60)*PI()/180</f>
        <v>0.48869219055841229</v>
      </c>
      <c r="I267" s="13">
        <f t="shared" ref="I267:I269" ca="1" si="238">IF($L$10-G267&lt;0,24+$L$10-G267,$L$10-G267)</f>
        <v>21.259948102777781</v>
      </c>
      <c r="J267" s="14">
        <f ca="1">ASIN(COS(H267)*COS(I267*PI()/12)*COS($D$8)+SIN($D$8)*SIN(H267))</f>
        <v>0.91307024410430093</v>
      </c>
      <c r="K267" s="14">
        <f ca="1">(COS(H267)*SIN(I267*PI()/12))/COS(J267)</f>
        <v>-0.94948305864447624</v>
      </c>
      <c r="L267" s="14">
        <f ca="1">(COS(H267)*COS(I267*PI()/12)*SIN($D$8)-COS($D$8)*SIN(H267))/COS(J267)</f>
        <v>0.31381829351892532</v>
      </c>
      <c r="M267" s="14">
        <f ca="1">IF(L267&lt;0,-ASIN(K267)+PI(),ASIN(K267))</f>
        <v>-1.2515845079472132</v>
      </c>
      <c r="N267" s="14">
        <f ca="1">IF(PRODUCT($O$267:$O$269)=0,$G$6,COS(J267)*SIN(M267))</f>
        <v>-0.5804369308051488</v>
      </c>
      <c r="O267" s="15">
        <f ca="1">IF(J267&lt;0,0,1)</f>
        <v>1</v>
      </c>
      <c r="P267" s="13"/>
      <c r="Q267" s="13"/>
      <c r="R267" s="13"/>
      <c r="S267" s="13"/>
      <c r="T267" s="13">
        <f ca="1">IF(PRODUCT($O$267:$O$269)=0,$G$6,+COS(J267)*COS(PI()+M267))</f>
        <v>-0.19184305129222826</v>
      </c>
      <c r="U267" s="13"/>
      <c r="V267" s="14">
        <f ca="1">IF(PRODUCT($W$267:$W$269)=0,$G$6,-COS(J267)*SIN(M267+$E$8))</f>
        <v>-0.5804369308051488</v>
      </c>
      <c r="W267" s="15">
        <f ca="1">IF(OR(J267&lt;0,COS(PI()+M267+$E$8)&lt;0),0,1)</f>
        <v>1</v>
      </c>
      <c r="X267" s="13"/>
      <c r="Y267" s="13"/>
      <c r="Z267" s="13"/>
      <c r="AA267" s="13"/>
      <c r="AB267" s="13">
        <f ca="1">IF(PRODUCT($W$267:$W$269)=0,$G$6,SIN(J267))</f>
        <v>0.79138436491276876</v>
      </c>
      <c r="AC267" s="13"/>
    </row>
    <row r="268" spans="1:29" x14ac:dyDescent="0.35">
      <c r="A268" s="2" t="s">
        <v>164</v>
      </c>
      <c r="B268" s="12">
        <v>2</v>
      </c>
      <c r="C268" s="12">
        <v>5</v>
      </c>
      <c r="D268" s="12">
        <v>23</v>
      </c>
      <c r="E268" s="12">
        <v>0</v>
      </c>
      <c r="F268" s="12"/>
      <c r="G268" s="13">
        <f>+B268+C268/60</f>
        <v>2.0833333333333335</v>
      </c>
      <c r="H268" s="13">
        <f>(D268+E268/60)*PI()/180</f>
        <v>0.40142572795869574</v>
      </c>
      <c r="I268" s="13">
        <f t="shared" ca="1" si="238"/>
        <v>22.009948102777781</v>
      </c>
      <c r="J268" s="14">
        <f ca="1">ASIN(COS(H268)*COS(I268*PI()/12)*COS($D$8)+SIN($D$8)*SIN(H268))</f>
        <v>0.96084215525776207</v>
      </c>
      <c r="K268" s="14">
        <f ca="1">(COS(H268)*SIN(I268*PI()/12))/COS(J268)</f>
        <v>-0.7998442264184229</v>
      </c>
      <c r="L268" s="14">
        <f ca="1">(COS(H268)*COS(I268*PI()/12)*SIN($D$8)-COS($D$8)*SIN(H268))/COS(J268)</f>
        <v>0.60020764195827603</v>
      </c>
      <c r="M268" s="14">
        <f ca="1">IF(L268&lt;0,-ASIN(K268)+PI(),ASIN(K268))</f>
        <v>-0.92703564028312979</v>
      </c>
      <c r="N268" s="14">
        <f ca="1">IF(PRODUCT($O$267:$O$269)=0,$G$6,COS(J268)*SIN(M268))</f>
        <v>-0.45817468526755173</v>
      </c>
      <c r="O268" s="15">
        <f ca="1">IF(J268&lt;0,0,1)</f>
        <v>1</v>
      </c>
      <c r="P268" s="13"/>
      <c r="Q268" s="13"/>
      <c r="R268" s="13"/>
      <c r="S268" s="13"/>
      <c r="T268" s="13">
        <f ca="1">IF(PRODUCT($O$267:$O$269)=0,$G$6,+COS(J268)*COS(PI()+M268))</f>
        <v>-0.34381688129552335</v>
      </c>
      <c r="U268" s="13"/>
      <c r="V268" s="14">
        <f ca="1">IF(PRODUCT($W$267:$W$269)=0,$G$6,-COS(J268)*SIN(M268+$E$8))</f>
        <v>-0.45817468526755173</v>
      </c>
      <c r="W268" s="15">
        <f ca="1">IF(OR(J268&lt;0,COS(PI()+M268+$E$8)&lt;0),0,1)</f>
        <v>1</v>
      </c>
      <c r="X268" s="13"/>
      <c r="Y268" s="13"/>
      <c r="Z268" s="13"/>
      <c r="AA268" s="13"/>
      <c r="AB268" s="13">
        <f ca="1">IF(PRODUCT($W$267:$W$269)=0,$G$6,SIN(J268))</f>
        <v>0.81967427061986031</v>
      </c>
      <c r="AC268" s="13"/>
    </row>
    <row r="269" spans="1:29" x14ac:dyDescent="0.35">
      <c r="A269" s="2" t="s">
        <v>164</v>
      </c>
      <c r="B269" s="12">
        <v>1</v>
      </c>
      <c r="C269" s="12">
        <v>50</v>
      </c>
      <c r="D269" s="12">
        <v>20</v>
      </c>
      <c r="E269" s="12">
        <v>0</v>
      </c>
      <c r="F269" s="12"/>
      <c r="G269" s="13">
        <f>+B269+C269/60</f>
        <v>1.8333333333333335</v>
      </c>
      <c r="H269" s="13">
        <f>(D269+E269/60)*PI()/180</f>
        <v>0.3490658503988659</v>
      </c>
      <c r="I269" s="13">
        <f t="shared" ca="1" si="238"/>
        <v>22.259948102777781</v>
      </c>
      <c r="J269" s="14">
        <f ca="1">ASIN(COS(H269)*COS(I269*PI()/12)*COS($D$8)+SIN($D$8)*SIN(H269))</f>
        <v>0.94919518142563053</v>
      </c>
      <c r="K269" s="14">
        <f ca="1">(COS(H269)*SIN(I269*PI()/12))/COS(J269)</f>
        <v>-0.70993027115720941</v>
      </c>
      <c r="L269" s="14">
        <f ca="1">(COS(H269)*COS(I269*PI()/12)*SIN($D$8)-COS($D$8)*SIN(H269))/COS(J269)</f>
        <v>0.7042719716804372</v>
      </c>
      <c r="M269" s="14">
        <f ca="1">IF(L269&lt;0,-ASIN(K269)+PI(),ASIN(K269))</f>
        <v>-0.78939919600237907</v>
      </c>
      <c r="N269" s="14">
        <f ca="1">IF(PRODUCT($O$267:$O$269)=0,$G$6,COS(J269)*SIN(M269))</f>
        <v>-0.41341905684420177</v>
      </c>
      <c r="O269" s="15">
        <f ca="1">IF(J269&lt;0,0,1)</f>
        <v>1</v>
      </c>
      <c r="P269" s="13"/>
      <c r="Q269" s="13"/>
      <c r="R269" s="13"/>
      <c r="S269" s="13"/>
      <c r="T269" s="13">
        <f ca="1">IF(PRODUCT($O$267:$O$269)=0,$G$6,+COS(J269)*COS(PI()+M269))</f>
        <v>-0.41012401657325226</v>
      </c>
      <c r="U269" s="13"/>
      <c r="V269" s="14">
        <f ca="1">IF(PRODUCT($W$267:$W$269)=0,$G$6,-COS(J269)*SIN(M269+$E$8))</f>
        <v>-0.41341905684420188</v>
      </c>
      <c r="W269" s="15">
        <f ca="1">IF(OR(J269&lt;0,COS(PI()+M269+$E$8)&lt;0),0,1)</f>
        <v>1</v>
      </c>
      <c r="X269" s="13"/>
      <c r="Y269" s="13"/>
      <c r="Z269" s="13"/>
      <c r="AA269" s="13"/>
      <c r="AB269" s="13">
        <f ca="1">IF(PRODUCT($W$267:$W$269)=0,$G$6,SIN(J269))</f>
        <v>0.8129470920471229</v>
      </c>
      <c r="AC269" s="13"/>
    </row>
    <row r="271" spans="1:29" x14ac:dyDescent="0.35">
      <c r="A271" s="2" t="s">
        <v>146</v>
      </c>
      <c r="B271" s="12">
        <v>0</v>
      </c>
      <c r="C271" s="12">
        <v>40</v>
      </c>
      <c r="D271" s="12">
        <v>41</v>
      </c>
      <c r="E271" s="12">
        <v>0</v>
      </c>
      <c r="F271" s="12"/>
      <c r="G271" s="13">
        <f>+B271+C271/60</f>
        <v>0.66666666666666663</v>
      </c>
      <c r="H271" s="13">
        <f>(D271+E271/60)*PI()/180</f>
        <v>0.715584993317675</v>
      </c>
      <c r="I271" s="13">
        <f t="shared" ref="I271:I272" ca="1" si="239">IF($L$10-G271&lt;0,24+$L$10-G271,$L$10-G271)</f>
        <v>23.426614769444445</v>
      </c>
      <c r="J271" s="14">
        <f ca="1">ASIN(COS(H271)*COS(I271*PI()/12)*COS($D$8)+SIN($D$8)*SIN(H271))</f>
        <v>1.3978498843350748</v>
      </c>
      <c r="K271" s="14">
        <f ca="1">(COS(H271)*SIN(I271*PI()/12))/COS(J271)</f>
        <v>-0.65587073260391959</v>
      </c>
      <c r="L271" s="14">
        <f ca="1">(COS(H271)*COS(I271*PI()/12)*SIN($D$8)-COS($D$8)*SIN(H271))/COS(J271)</f>
        <v>0.75487322254375788</v>
      </c>
      <c r="M271" s="14">
        <f ca="1">IF(L271&lt;0,-ASIN(K271)+PI(),ASIN(K271))</f>
        <v>-0.71533552520600063</v>
      </c>
      <c r="N271" s="14">
        <f ca="1">IF(J271&lt;0,$G$6,COS(J271)*SIN(M271))</f>
        <v>-0.11286589495979818</v>
      </c>
      <c r="O271" s="13"/>
      <c r="P271" s="13"/>
      <c r="Q271" s="13"/>
      <c r="R271" s="13"/>
      <c r="S271" s="13"/>
      <c r="T271" s="13"/>
      <c r="U271" s="13">
        <f ca="1">IF(J271&lt;0,$G$6,+COS(J271)*COS(PI()+M271))</f>
        <v>-0.12990279579229236</v>
      </c>
      <c r="V271" s="14">
        <f ca="1">IF(OR(J271&lt;0,COS(PI()+M271+$E$8)&lt;0),$G$6,-COS(J271)*SIN(M271+$E$8))</f>
        <v>-0.11286589495979818</v>
      </c>
      <c r="W271" s="13"/>
      <c r="X271" s="13"/>
      <c r="Y271" s="13"/>
      <c r="Z271" s="13"/>
      <c r="AA271" s="13"/>
      <c r="AB271" s="13"/>
      <c r="AC271" s="13">
        <f ca="1">IF(OR(J271&lt;0,COS(PI()+M271+$E$8)&lt;0),$G$6,SIN(J271))</f>
        <v>0.98508200338868734</v>
      </c>
    </row>
    <row r="272" spans="1:29" x14ac:dyDescent="0.35">
      <c r="A272" s="2" t="s">
        <v>165</v>
      </c>
      <c r="B272" s="12">
        <v>5</v>
      </c>
      <c r="C272" s="12">
        <v>26</v>
      </c>
      <c r="D272" s="12">
        <v>-69</v>
      </c>
      <c r="E272" s="12">
        <v>0</v>
      </c>
      <c r="F272" s="12"/>
      <c r="G272" s="13">
        <f>+B272+C272/60</f>
        <v>5.4333333333333336</v>
      </c>
      <c r="H272" s="13">
        <f>(D272+E272/60)*PI()/180</f>
        <v>-1.2042771838760873</v>
      </c>
      <c r="I272" s="13">
        <f t="shared" ca="1" si="239"/>
        <v>18.659948102777779</v>
      </c>
      <c r="J272" s="14">
        <f ca="1">ASIN(COS(H272)*COS(I272*PI()/12)*COS($D$8)+SIN($D$8)*SIN(H272))</f>
        <v>-0.72380857607704607</v>
      </c>
      <c r="K272" s="14">
        <f ca="1">(COS(H272)*SIN(I272*PI()/12))/COS(J272)</f>
        <v>-0.47115660635855255</v>
      </c>
      <c r="L272" s="14">
        <f ca="1">(COS(H272)*COS(I272*PI()/12)*SIN($D$8)-COS($D$8)*SIN(H272))/COS(J272)</f>
        <v>0.88204957473188073</v>
      </c>
      <c r="M272" s="14">
        <f ca="1">IF(L272&lt;0,-ASIN(K272)+PI(),ASIN(K272))</f>
        <v>-0.49060159085848887</v>
      </c>
      <c r="N272" s="14">
        <f ca="1">IF(J272&lt;0,$G$6,COS(J272)*SIN(M272))</f>
        <v>1000000</v>
      </c>
      <c r="O272" s="13"/>
      <c r="P272" s="13"/>
      <c r="Q272" s="13"/>
      <c r="R272" s="13"/>
      <c r="S272" s="13"/>
      <c r="T272" s="13"/>
      <c r="U272" s="13">
        <f ca="1">IF(J272&lt;0,$G$6,+COS(J272)*COS(PI()+M272))</f>
        <v>1000000</v>
      </c>
      <c r="V272" s="14">
        <f ca="1">IF(OR(J272&lt;0,COS(PI()+M272+$E$8)&lt;0),$G$6,-COS(J272)*SIN(M272+$E$8))</f>
        <v>1000000</v>
      </c>
      <c r="W272" s="13"/>
      <c r="X272" s="13"/>
      <c r="Y272" s="13"/>
      <c r="Z272" s="13"/>
      <c r="AA272" s="13"/>
      <c r="AB272" s="13"/>
      <c r="AC272" s="13">
        <f ca="1">IF(OR(J272&lt;0,COS(PI()+M272+$E$8)&lt;0),$G$6,SIN(J272))</f>
        <v>1000000</v>
      </c>
    </row>
    <row r="273" spans="1:44" x14ac:dyDescent="0.35">
      <c r="B273" s="12"/>
      <c r="C273" s="12"/>
      <c r="D273" s="12"/>
      <c r="E273" s="12"/>
      <c r="F273" s="12"/>
      <c r="G273" s="13"/>
      <c r="H273" s="13"/>
      <c r="I273" s="13"/>
      <c r="J273" s="14"/>
      <c r="K273" s="14"/>
      <c r="L273" s="14"/>
      <c r="M273" s="14"/>
      <c r="N273" s="14"/>
      <c r="O273" s="13"/>
      <c r="P273" s="13"/>
      <c r="Q273" s="13"/>
      <c r="R273" s="13"/>
      <c r="S273" s="13"/>
      <c r="T273" s="13"/>
      <c r="U273" s="13"/>
      <c r="X273" s="14"/>
      <c r="Y273" s="13"/>
      <c r="Z273" s="13"/>
      <c r="AA273" s="13"/>
      <c r="AB273" s="13"/>
      <c r="AC273" s="13"/>
      <c r="AD273" s="13"/>
      <c r="AE273" s="13"/>
    </row>
    <row r="274" spans="1:44" x14ac:dyDescent="0.35">
      <c r="A274" s="1" t="s">
        <v>166</v>
      </c>
      <c r="B274" s="1"/>
      <c r="C274" s="1"/>
      <c r="D274" s="12"/>
      <c r="E274" s="20" t="s">
        <v>222</v>
      </c>
      <c r="F274" s="36">
        <v>36526</v>
      </c>
      <c r="G274" s="2" t="s">
        <v>223</v>
      </c>
      <c r="H274" s="12" t="s">
        <v>220</v>
      </c>
      <c r="I274" s="7">
        <f>18+42/60+54/3600</f>
        <v>18.715</v>
      </c>
      <c r="J274" s="14"/>
      <c r="K274" s="1"/>
      <c r="L274" s="43" t="s">
        <v>250</v>
      </c>
      <c r="M274" s="44">
        <f>23+26/60</f>
        <v>23.433333333333334</v>
      </c>
      <c r="N274" s="14"/>
      <c r="O274" s="13"/>
      <c r="P274" s="13"/>
      <c r="Q274" s="13"/>
      <c r="R274" s="13"/>
      <c r="S274" s="13"/>
      <c r="T274" s="13"/>
      <c r="U274" s="13"/>
      <c r="X274" s="14"/>
      <c r="Y274" s="13"/>
      <c r="Z274" s="13"/>
      <c r="AA274" s="13"/>
      <c r="AB274" s="13"/>
      <c r="AC274" s="13"/>
      <c r="AD274" s="13"/>
      <c r="AE274" s="13"/>
    </row>
    <row r="276" spans="1:44" x14ac:dyDescent="0.35">
      <c r="A276" s="11" t="s">
        <v>56</v>
      </c>
      <c r="B276" s="3" t="s">
        <v>167</v>
      </c>
      <c r="C276" s="3" t="s">
        <v>168</v>
      </c>
      <c r="D276" s="3" t="s">
        <v>169</v>
      </c>
      <c r="E276" s="3" t="s">
        <v>170</v>
      </c>
      <c r="F276" s="3" t="s">
        <v>171</v>
      </c>
      <c r="G276" s="3" t="s">
        <v>172</v>
      </c>
      <c r="H276" s="3" t="s">
        <v>173</v>
      </c>
      <c r="I276" s="3" t="s">
        <v>62</v>
      </c>
      <c r="J276" s="3" t="s">
        <v>63</v>
      </c>
      <c r="K276" s="3" t="s">
        <v>31</v>
      </c>
      <c r="L276" s="3" t="s">
        <v>32</v>
      </c>
      <c r="M276" s="3" t="s">
        <v>64</v>
      </c>
      <c r="N276" s="3" t="s">
        <v>65</v>
      </c>
      <c r="O276" s="3" t="s">
        <v>33</v>
      </c>
      <c r="P276" s="3" t="s">
        <v>79</v>
      </c>
      <c r="Q276" s="3" t="s">
        <v>80</v>
      </c>
      <c r="R276" s="3" t="s">
        <v>174</v>
      </c>
      <c r="S276" s="3" t="s">
        <v>175</v>
      </c>
      <c r="T276" s="3" t="s">
        <v>74</v>
      </c>
      <c r="U276" s="3" t="s">
        <v>177</v>
      </c>
      <c r="W276" s="46" t="s">
        <v>176</v>
      </c>
      <c r="X276" s="46"/>
      <c r="Y276" s="46"/>
      <c r="Z276" s="46"/>
      <c r="AA276" s="46"/>
      <c r="AB276" s="46"/>
      <c r="AC276" s="3" t="s">
        <v>178</v>
      </c>
      <c r="AD276" s="3" t="s">
        <v>179</v>
      </c>
      <c r="AE276" s="3" t="s">
        <v>180</v>
      </c>
      <c r="AF276" s="3" t="s">
        <v>181</v>
      </c>
      <c r="AG276" s="3" t="s">
        <v>182</v>
      </c>
      <c r="AH276" s="3" t="s">
        <v>183</v>
      </c>
      <c r="AI276" s="3" t="s">
        <v>184</v>
      </c>
      <c r="AJ276" s="3" t="s">
        <v>185</v>
      </c>
      <c r="AK276" s="3" t="s">
        <v>186</v>
      </c>
      <c r="AL276" s="3" t="s">
        <v>187</v>
      </c>
      <c r="AM276" s="3" t="s">
        <v>188</v>
      </c>
      <c r="AN276" s="3" t="s">
        <v>189</v>
      </c>
      <c r="AO276" s="3" t="s">
        <v>190</v>
      </c>
      <c r="AP276" s="3" t="s">
        <v>191</v>
      </c>
      <c r="AQ276" s="3" t="s">
        <v>192</v>
      </c>
      <c r="AR276" s="3" t="s">
        <v>193</v>
      </c>
    </row>
    <row r="277" spans="1:44" x14ac:dyDescent="0.35">
      <c r="A277" s="2" t="s">
        <v>194</v>
      </c>
      <c r="B277" s="17"/>
      <c r="C277" s="17"/>
      <c r="D277" s="17"/>
      <c r="E277" s="17"/>
      <c r="F277" s="18"/>
      <c r="G277" s="17"/>
      <c r="H277" s="17"/>
      <c r="I277" s="19">
        <f ca="1">MOD((PI()+G280)*12/PI(),24)</f>
        <v>0.2228513791208897</v>
      </c>
      <c r="J277" s="13">
        <f ca="1">ASIN(SIN(I277*PI()/12)*SIN($M$274*PI()/180))</f>
        <v>2.3190608183545992E-2</v>
      </c>
      <c r="K277" s="13">
        <f t="shared" ref="K277:K279" ca="1" si="240">IF($L$10-I277&lt;0,24+$L$10-I277,$L$10-I277)</f>
        <v>23.870430056990223</v>
      </c>
      <c r="L277" s="14">
        <f ca="1">ASIN(COS(J277)*COS(K277*PI()/12)*COS($D$8)+SIN($D$8)*SIN(J277))</f>
        <v>0.74117116818203377</v>
      </c>
      <c r="M277" s="14">
        <f ca="1">(COS(J277)*SIN(K277*PI()/12))/COS(L277)</f>
        <v>-4.5962725576432613E-2</v>
      </c>
      <c r="N277" s="14">
        <f ca="1">(COS(J277)*COS(K277*PI()/12)*SIN($D$8)-COS($D$8)*SIN(J277))/COS(L277)</f>
        <v>0.99894315546861112</v>
      </c>
      <c r="O277" s="14">
        <f ca="1">IF(N277&lt;0,-ASIN(M277)+PI(),ASIN(M277))</f>
        <v>-4.5978924242819304E-2</v>
      </c>
      <c r="P277" s="13">
        <f t="shared" ref="P277:P279" ca="1" si="241">IF(L277&lt;0,$G$6,COS(L277)*SIN(O277))</f>
        <v>-3.3905707468567921E-2</v>
      </c>
      <c r="Q277" s="13">
        <f ca="1">IF(L277&lt;0,$G$6,+COS(L277)*COS(PI()+O277))</f>
        <v>-0.73689873658000959</v>
      </c>
      <c r="R277" s="14">
        <v>0</v>
      </c>
      <c r="S277" s="14">
        <v>0</v>
      </c>
      <c r="T277" s="14">
        <f ca="1">IF(OR(L277&lt;0,COS(PI()-(O277+$E$8))&lt;0),$G$6,COS(L277)*SIN(-O277-$E$8))</f>
        <v>-3.3905707468568129E-2</v>
      </c>
      <c r="U277" s="13">
        <f ca="1">IF(OR(L277&lt;0,COS(PI()-(O277+$E$8))&lt;0),$G$6,SIN(L277))</f>
        <v>0.67515231987148017</v>
      </c>
      <c r="AC277" s="8">
        <f t="shared" ref="AC277:AC317" si="242">IF($F$6=0,$AL15*1/8,$AL15*$B$278*$F$6)</f>
        <v>7.7419800000000011E-2</v>
      </c>
      <c r="AD277" s="8">
        <f t="shared" ref="AD277:AD317" si="243">IF($F$6=0,$AM15*1/8,$AM15*$B$278*$F$6)</f>
        <v>0</v>
      </c>
      <c r="AE277" s="8">
        <f t="shared" ref="AE277:AE317" si="244">IF($F$6=0,$AL15*2/8,$AL15*$B$279*$F$6)</f>
        <v>0.1446664</v>
      </c>
      <c r="AF277" s="8">
        <f t="shared" ref="AF277:AF317" si="245">IF($F$6=0,$AM15*2/8,$AM15*$B$279*$F$6)</f>
        <v>0</v>
      </c>
      <c r="AG277" s="8">
        <f t="shared" ref="AG277:AG317" si="246">IF($F$6=0,$AL15*3/8,$AL15*$B$280*$F$6)</f>
        <v>0.2</v>
      </c>
      <c r="AH277" s="8">
        <f t="shared" ref="AH277:AH317" si="247">IF($F$6=0,$AM15*3/8,$AM15*$B$280*$F$6)</f>
        <v>0</v>
      </c>
      <c r="AI277" s="8">
        <f t="shared" ref="AI277:AI317" si="248">IF($F$6=0,$AL15*4/8,$AL15*$B$281*$F$6)</f>
        <v>0.30473820000000001</v>
      </c>
      <c r="AJ277" s="8">
        <f t="shared" ref="AJ277:AJ317" si="249">IF($F$6=0,$AM15*4/8,$AM15*$B$281*$F$6)</f>
        <v>0</v>
      </c>
      <c r="AK277" s="8">
        <f t="shared" ref="AK277:AK317" si="250">IF($F$6=0,$AL15*5/8,$AL15*$B$282*$F$6)</f>
        <v>1.0405606000000001</v>
      </c>
      <c r="AL277" s="8">
        <f t="shared" ref="AL277:AL317" si="251">IF($F$6=0,$AM15*5/8,$AM15*$B$282*$F$6)</f>
        <v>0</v>
      </c>
      <c r="AM277" s="8">
        <f t="shared" ref="AM277:AM317" si="252">IF($F$6=0,$AL15*6/8,$AL15*$B$283*$F$6)</f>
        <v>1.9077680000000001</v>
      </c>
      <c r="AN277" s="8">
        <f t="shared" ref="AN277:AN317" si="253">IF($F$6=0,$AM15*6/8,$AM15*$B$283*$F$6)</f>
        <v>0</v>
      </c>
      <c r="AO277" s="8">
        <f t="shared" ref="AO277:AO317" si="254">IF($F$6=0,$AL15*7/8,$AL15*$B$284*$F$6)</f>
        <v>3.8363800000000001</v>
      </c>
      <c r="AP277" s="8">
        <f t="shared" ref="AP277:AP317" si="255">IF($F$6=0,$AM15*7/8,$AM15*$B$284*$F$6)</f>
        <v>0</v>
      </c>
      <c r="AQ277" s="8">
        <f t="shared" ref="AQ277:AQ317" si="256">IF($F$6=0,$AL15*8/8,$AL15*$B$285*$F$6)</f>
        <v>6.0115600000000002</v>
      </c>
      <c r="AR277" s="8">
        <f t="shared" ref="AR277:AR317" si="257">IF($F$6=0,$AM15*8/8,$AM15*$B$285*$F$6)</f>
        <v>0</v>
      </c>
    </row>
    <row r="278" spans="1:44" x14ac:dyDescent="0.35">
      <c r="A278" s="2" t="s">
        <v>195</v>
      </c>
      <c r="B278" s="8">
        <v>0.38709900000000003</v>
      </c>
      <c r="C278" s="8">
        <v>57.910010400000004</v>
      </c>
      <c r="D278" s="8">
        <v>87.968000000000004</v>
      </c>
      <c r="E278" s="5">
        <v>4880</v>
      </c>
      <c r="F278" s="8">
        <v>253.49999999998988</v>
      </c>
      <c r="G278" s="13">
        <f t="shared" ref="G278:G285" ca="1" si="258">MOD(F278+(($A$10-$F$274)/D278-INT(($A$10-$F$274)/D278))*360,360)*PI()/180</f>
        <v>3.851402076867728</v>
      </c>
      <c r="H278" s="14">
        <f ca="1">IF(($B$280/B278)&gt;(COS(G278-$G$280)),ATAN(SIN(G278-$G$280)/(($B$280/B278)-COS(G278-$G$280))),ATAN(SIN(G278-$G$280)/(($B$280/B278)-COS(G278-$G$280)))+PI())</f>
        <v>0.32693205798827757</v>
      </c>
      <c r="I278" s="19">
        <f ca="1">MOD($I$277-H278*12/PI(),24)</f>
        <v>22.974062905103917</v>
      </c>
      <c r="J278" s="13">
        <f ca="1">ASIN(SIN(I278*PI()/12)*SIN($M$274*PI()/180))</f>
        <v>-0.10573047163905175</v>
      </c>
      <c r="K278" s="13">
        <f t="shared" ca="1" si="240"/>
        <v>1.1192185310071956</v>
      </c>
      <c r="L278" s="14">
        <f ca="1">ASIN(COS(J278)*COS(K278*PI()/12)*COS($D$8)+SIN($D$8)*SIN(J278))</f>
        <v>0.57905275912318999</v>
      </c>
      <c r="M278" s="14">
        <f ca="1">(COS(J278)*SIN(K278*PI()/12))/COS(L278)</f>
        <v>0.34316533732456245</v>
      </c>
      <c r="N278" s="14">
        <f ca="1">(COS(J278)*COS(K278*PI()/12)*SIN($D$8)-COS($D$8)*SIN(J278))/COS(L278)</f>
        <v>0.93927501364558785</v>
      </c>
      <c r="O278" s="14">
        <f ca="1">IF(N278&lt;0,-ASIN(M278)+PI(),ASIN(M278))</f>
        <v>0.35028481110484944</v>
      </c>
      <c r="P278" s="13">
        <f t="shared" ca="1" si="241"/>
        <v>0.28722299940285101</v>
      </c>
      <c r="Q278" s="13">
        <f ca="1">IF(L278&lt;0,$G$6,+COS(L278)*COS(PI()+O278))</f>
        <v>-0.78615570204948459</v>
      </c>
      <c r="R278" s="14">
        <f ca="1">IF($F$6=0,COS(G278)*1/8,COS(G278)*B278*$F$6)</f>
        <v>-5.8721841124374945E-2</v>
      </c>
      <c r="S278" s="14">
        <f ca="1">IF($F$6=0,SIN(G278)*1/8,SIN(G278)*B278*$F$6)</f>
        <v>-5.0453650086031136E-2</v>
      </c>
      <c r="T278" s="14">
        <f ca="1">IF(OR(L278&lt;0,COS(PI()-(O278+$E$8))&lt;0),$G$6,COS(L278)*SIN(-O278-$E$8))</f>
        <v>0.28722299940285084</v>
      </c>
      <c r="U278" s="13">
        <f ca="1">IF(OR(L278&lt;0,COS(PI()-(O278+$E$8))&lt;0),$G$6,SIN(L278))</f>
        <v>0.54723135943503087</v>
      </c>
      <c r="AC278" s="8">
        <f t="shared" si="242"/>
        <v>7.6466633791207453E-2</v>
      </c>
      <c r="AD278" s="8">
        <f t="shared" si="243"/>
        <v>1.2111124996521666E-2</v>
      </c>
      <c r="AE278" s="8">
        <f t="shared" si="244"/>
        <v>0.14288531655587244</v>
      </c>
      <c r="AF278" s="8">
        <f t="shared" si="245"/>
        <v>2.2630810893296056E-2</v>
      </c>
      <c r="AG278" s="8">
        <f t="shared" si="246"/>
        <v>0.19753766811902757</v>
      </c>
      <c r="AH278" s="8">
        <f t="shared" si="247"/>
        <v>3.1286893008046178E-2</v>
      </c>
      <c r="AI278" s="8">
        <f t="shared" si="248"/>
        <v>0.30098636707394921</v>
      </c>
      <c r="AJ278" s="8">
        <f t="shared" si="249"/>
        <v>4.7671557294322882E-2</v>
      </c>
      <c r="AK278" s="8">
        <f t="shared" si="250"/>
        <v>1.027749572302681</v>
      </c>
      <c r="AL278" s="8">
        <f t="shared" si="251"/>
        <v>0.16277954080294166</v>
      </c>
      <c r="AM278" s="8">
        <f t="shared" si="252"/>
        <v>1.884280210160505</v>
      </c>
      <c r="AN278" s="8">
        <f t="shared" si="253"/>
        <v>0.2984406665008712</v>
      </c>
      <c r="AO278" s="8">
        <f t="shared" si="254"/>
        <v>3.7891477960923745</v>
      </c>
      <c r="AP278" s="8">
        <f t="shared" si="255"/>
        <v>0.60014205299104084</v>
      </c>
      <c r="AQ278" s="8">
        <f t="shared" si="256"/>
        <v>5.9375477207881069</v>
      </c>
      <c r="AR278" s="8">
        <f t="shared" si="257"/>
        <v>0.94041517265725028</v>
      </c>
    </row>
    <row r="279" spans="1:44" x14ac:dyDescent="0.35">
      <c r="A279" s="2" t="s">
        <v>196</v>
      </c>
      <c r="B279" s="8">
        <v>0.72333199999999997</v>
      </c>
      <c r="C279" s="8">
        <v>108.2104672</v>
      </c>
      <c r="D279" s="8">
        <v>224.7</v>
      </c>
      <c r="E279" s="5">
        <v>12100</v>
      </c>
      <c r="F279" s="8">
        <v>181.49999999999397</v>
      </c>
      <c r="G279" s="13">
        <f t="shared" ca="1" si="258"/>
        <v>0.88573711879243167</v>
      </c>
      <c r="H279" s="14">
        <f ca="1">IF(($B$280/B279)&gt;(COS(G279-$G$280)),ATAN(SIN(G279-$G$280)/(($B$280/B279)-COS(G279-$G$280))),ATAN(SIN(G279-$G$280)/(($B$280/B279)-COS(G279-$G$280)))+PI())</f>
        <v>-0.34333012458007051</v>
      </c>
      <c r="I279" s="19">
        <f ca="1">MOD($I$277-H279*12/PI(),24)</f>
        <v>1.5342758536634766</v>
      </c>
      <c r="J279" s="13">
        <f ca="1">ASIN(SIN(I279*PI()/12)*SIN($M$274*PI()/180))</f>
        <v>0.15611026901249794</v>
      </c>
      <c r="K279" s="13">
        <f t="shared" ca="1" si="240"/>
        <v>22.559005582447636</v>
      </c>
      <c r="L279" s="14">
        <f ca="1">ASIN(COS(J279)*COS(K279*PI()/12)*COS($D$8)+SIN($D$8)*SIN(J279))</f>
        <v>0.80605971090395279</v>
      </c>
      <c r="M279" s="14">
        <f ca="1">(COS(J279)*SIN(K279*PI()/12))/COS(L279)</f>
        <v>-0.52558485091816964</v>
      </c>
      <c r="N279" s="14">
        <f ca="1">(COS(J279)*COS(K279*PI()/12)*SIN($D$8)-COS($D$8)*SIN(J279))/COS(L279)</f>
        <v>0.85074118537033661</v>
      </c>
      <c r="O279" s="14">
        <f ca="1">IF(N279&lt;0,-ASIN(M279)+PI(),ASIN(M279))</f>
        <v>-0.55340242767702852</v>
      </c>
      <c r="P279" s="13">
        <f t="shared" ca="1" si="241"/>
        <v>-0.36388708105826967</v>
      </c>
      <c r="Q279" s="13">
        <f ca="1">IF(L279&lt;0,$G$6,+COS(L279)*COS(PI()+O279))</f>
        <v>-0.58900808525903037</v>
      </c>
      <c r="R279" s="14">
        <f ca="1">IF($F$6=0,COS(G279)*2/8,COS(G279)*B279*$F$6)</f>
        <v>9.1533160008344175E-2</v>
      </c>
      <c r="S279" s="14">
        <f ca="1">IF($F$6=0,SIN(G279)*2/8,SIN(G279)*B279*$F$6)</f>
        <v>0.11202699633502125</v>
      </c>
      <c r="T279" s="14">
        <f ca="1">IF(OR(L279&lt;0,COS(PI()-(O279+$E$8))&lt;0),$G$6,COS(L279)*SIN(-O279-$E$8))</f>
        <v>-0.36388708105826978</v>
      </c>
      <c r="U279" s="13">
        <f ca="1">IF(OR(L279&lt;0,COS(PI()-(O279+$E$8))&lt;0),$G$6,SIN(L279))</f>
        <v>0.72156473565327661</v>
      </c>
      <c r="AC279" s="8">
        <f t="shared" si="242"/>
        <v>7.3630605280267533E-2</v>
      </c>
      <c r="AD279" s="8">
        <f t="shared" si="243"/>
        <v>2.3924033901109556E-2</v>
      </c>
      <c r="AE279" s="8">
        <f t="shared" si="244"/>
        <v>0.1375859224089612</v>
      </c>
      <c r="AF279" s="8">
        <f t="shared" si="245"/>
        <v>4.4704376115043888E-2</v>
      </c>
      <c r="AG279" s="8">
        <f t="shared" si="246"/>
        <v>0.19021130325903071</v>
      </c>
      <c r="AH279" s="8">
        <f t="shared" si="247"/>
        <v>6.1803398874989479E-2</v>
      </c>
      <c r="AI279" s="8">
        <f t="shared" si="248"/>
        <v>0.28982325087405575</v>
      </c>
      <c r="AJ279" s="8">
        <f t="shared" si="249"/>
        <v>9.4169282635231596E-2</v>
      </c>
      <c r="AK279" s="8">
        <f t="shared" si="250"/>
        <v>0.98963193922999482</v>
      </c>
      <c r="AL279" s="8">
        <f t="shared" si="251"/>
        <v>0.32155090907699191</v>
      </c>
      <c r="AM279" s="8">
        <f t="shared" si="252"/>
        <v>1.8143951879793727</v>
      </c>
      <c r="AN279" s="8">
        <f t="shared" si="253"/>
        <v>0.58953273332470468</v>
      </c>
      <c r="AO279" s="8">
        <f t="shared" si="254"/>
        <v>3.6486141979844007</v>
      </c>
      <c r="AP279" s="8">
        <f t="shared" si="255"/>
        <v>1.1855066168801607</v>
      </c>
      <c r="AQ279" s="8">
        <f t="shared" si="256"/>
        <v>5.7173333110992939</v>
      </c>
      <c r="AR279" s="8">
        <f t="shared" si="257"/>
        <v>1.8576742027046589</v>
      </c>
    </row>
    <row r="280" spans="1:44" x14ac:dyDescent="0.35">
      <c r="A280" s="2" t="s">
        <v>197</v>
      </c>
      <c r="B280" s="8">
        <v>1</v>
      </c>
      <c r="C280" s="8">
        <v>149.6</v>
      </c>
      <c r="D280" s="8">
        <f>365+6/24+9/(24*60)+10/(24*3600)</f>
        <v>365.25636574074076</v>
      </c>
      <c r="E280" s="5">
        <v>12756</v>
      </c>
      <c r="F280" s="8">
        <v>100.72499999999997</v>
      </c>
      <c r="G280" s="13">
        <f t="shared" ca="1" si="258"/>
        <v>3.1999350082138385</v>
      </c>
      <c r="H280" s="17"/>
      <c r="I280" s="17"/>
      <c r="J280" s="17"/>
      <c r="K280" s="17"/>
      <c r="L280" s="17"/>
      <c r="M280" s="17"/>
      <c r="N280" s="17"/>
      <c r="O280" s="17"/>
      <c r="P280" s="17"/>
      <c r="Q280" s="17"/>
      <c r="R280" s="14">
        <f ca="1">IF($F$6=0,COS(G280)*3/8,COS(G280)*B280*$F$6)</f>
        <v>-0.19965971350524656</v>
      </c>
      <c r="S280" s="14">
        <f ca="1">IF($F$6=0,SIN(G280)*3/8,SIN(G280)*B280*$F$6)</f>
        <v>-1.166185246874935E-2</v>
      </c>
      <c r="T280" s="17"/>
      <c r="U280" s="17"/>
      <c r="AC280" s="8">
        <f t="shared" si="242"/>
        <v>6.8981546901358617E-2</v>
      </c>
      <c r="AD280" s="8">
        <f t="shared" si="243"/>
        <v>3.5147853691735766E-2</v>
      </c>
      <c r="AE280" s="8">
        <f t="shared" si="244"/>
        <v>0.1288987062308441</v>
      </c>
      <c r="AF280" s="8">
        <f t="shared" si="245"/>
        <v>6.5677171231521156E-2</v>
      </c>
      <c r="AG280" s="8">
        <f t="shared" si="246"/>
        <v>0.1782013048376736</v>
      </c>
      <c r="AH280" s="8">
        <f t="shared" si="247"/>
        <v>9.0798099947909355E-2</v>
      </c>
      <c r="AI280" s="8">
        <f t="shared" si="248"/>
        <v>0.27152372436941968</v>
      </c>
      <c r="AJ280" s="8">
        <f t="shared" si="249"/>
        <v>0.13834824770772994</v>
      </c>
      <c r="AK280" s="8">
        <f t="shared" si="250"/>
        <v>0.92714628341336258</v>
      </c>
      <c r="AL280" s="8">
        <f t="shared" si="251"/>
        <v>0.47240462680328266</v>
      </c>
      <c r="AM280" s="8">
        <f t="shared" si="252"/>
        <v>1.6998337346377945</v>
      </c>
      <c r="AN280" s="8">
        <f t="shared" si="253"/>
        <v>0.86610854770711565</v>
      </c>
      <c r="AO280" s="8">
        <f t="shared" si="254"/>
        <v>3.4182396092657705</v>
      </c>
      <c r="AP280" s="8">
        <f t="shared" si="255"/>
        <v>1.7416800733908024</v>
      </c>
      <c r="AQ280" s="8">
        <f t="shared" si="256"/>
        <v>5.3563391805498251</v>
      </c>
      <c r="AR280" s="8">
        <f t="shared" si="257"/>
        <v>2.7291911286142696</v>
      </c>
    </row>
    <row r="281" spans="1:44" x14ac:dyDescent="0.35">
      <c r="A281" s="2" t="s">
        <v>198</v>
      </c>
      <c r="B281" s="8">
        <v>1.5236909999999999</v>
      </c>
      <c r="C281" s="8">
        <v>227.94417359999997</v>
      </c>
      <c r="D281" s="8">
        <v>687</v>
      </c>
      <c r="E281" s="5">
        <v>6794</v>
      </c>
      <c r="F281" s="8">
        <v>2.3000000000000007</v>
      </c>
      <c r="G281" s="13">
        <f t="shared" ca="1" si="258"/>
        <v>5.9802639806069431</v>
      </c>
      <c r="H281" s="14">
        <f ca="1">IF(($B$280/B281)&gt;(COS(G281-$G$280)),ATAN(SIN(G281-$G$280)/(($B$280/B281)-COS(G281-$G$280))),ATAN(SIN(G281-$G$280)/(($B$280/B281)-COS(G281-$G$280)))+PI())</f>
        <v>0.21850967407917932</v>
      </c>
      <c r="I281" s="13">
        <f ca="1">MOD($I$277-H281*12/PI(),24)</f>
        <v>23.38820590528648</v>
      </c>
      <c r="J281" s="13">
        <f ca="1">ASIN(SIN(I281*PI()/12)*SIN($M$274*PI()/180))</f>
        <v>-6.346623056522778E-2</v>
      </c>
      <c r="K281" s="13">
        <f t="shared" ref="K281:K285" ca="1" si="259">IF($L$10-I281&lt;0,24+$L$10-I281,$L$10-I281)</f>
        <v>0.70507553082463303</v>
      </c>
      <c r="L281" s="14">
        <f ca="1">ASIN(COS(J281)*COS(K281*PI()/12)*COS($D$8)+SIN($D$8)*SIN(J281))</f>
        <v>0.64102993368048922</v>
      </c>
      <c r="M281" s="14">
        <f ca="1">(COS(J281)*SIN(K281*PI()/12))/COS(L281)</f>
        <v>0.22854257028438441</v>
      </c>
      <c r="N281" s="14">
        <f ca="1">(COS(J281)*COS(K281*PI()/12)*SIN($D$8)-COS($D$8)*SIN(J281))/COS(L281)</f>
        <v>0.97353392009102946</v>
      </c>
      <c r="O281" s="14">
        <f ca="1">IF(N281&lt;0,-ASIN(M281)+PI(),ASIN(M281))</f>
        <v>0.23058036836678283</v>
      </c>
      <c r="P281" s="13">
        <f ca="1">IF(L281&lt;0,$G$6,COS(L281)*SIN(O281))</f>
        <v>0.18317235885309055</v>
      </c>
      <c r="Q281" s="13">
        <f ca="1">IF(L281&lt;0,$G$6,+COS(L281)*COS(PI()+O281))</f>
        <v>-0.78026822024743103</v>
      </c>
      <c r="R281" s="14">
        <f ca="1">IF($F$6=0,COS(G281)*4/8,COS(G281)*B281*$F$6)</f>
        <v>0.29086319635264596</v>
      </c>
      <c r="S281" s="14">
        <f ca="1">IF($F$6=0,SIN(G281)*4/8,SIN(G281)*B281*$F$6)</f>
        <v>-9.0906388921582953E-2</v>
      </c>
      <c r="T281" s="14">
        <f ca="1">IF(OR(L281&lt;0,COS(PI()-(O281+$E$8))&lt;0),$G$6,COS(L281)*SIN(-O281-$E$8))</f>
        <v>0.1831723588530903</v>
      </c>
      <c r="U281" s="13">
        <f ca="1">IF(OR(L281&lt;0,COS(PI()-(O281+$E$8))&lt;0),$G$6,SIN(L281))</f>
        <v>0.59802122991086293</v>
      </c>
      <c r="AC281" s="8">
        <f t="shared" si="242"/>
        <v>6.2633933901109565E-2</v>
      </c>
      <c r="AD281" s="8">
        <f t="shared" si="243"/>
        <v>4.5506216675432816E-2</v>
      </c>
      <c r="AE281" s="8">
        <f t="shared" si="244"/>
        <v>0.1170375761150439</v>
      </c>
      <c r="AF281" s="8">
        <f t="shared" si="245"/>
        <v>8.5032776422243828E-2</v>
      </c>
      <c r="AG281" s="8">
        <f t="shared" si="246"/>
        <v>0.16180339887498951</v>
      </c>
      <c r="AH281" s="8">
        <f t="shared" si="247"/>
        <v>0.11755705045849463</v>
      </c>
      <c r="AI281" s="8">
        <f t="shared" si="248"/>
        <v>0.24653838263523162</v>
      </c>
      <c r="AJ281" s="8">
        <f t="shared" si="249"/>
        <v>0.17912061977015414</v>
      </c>
      <c r="AK281" s="8">
        <f t="shared" si="250"/>
        <v>0.84183120907699205</v>
      </c>
      <c r="AL281" s="8">
        <f t="shared" si="251"/>
        <v>0.6116261747966073</v>
      </c>
      <c r="AM281" s="8">
        <f t="shared" si="252"/>
        <v>1.5434167333247049</v>
      </c>
      <c r="AN281" s="8">
        <f t="shared" si="253"/>
        <v>1.121357895195507</v>
      </c>
      <c r="AO281" s="8">
        <f t="shared" si="254"/>
        <v>3.103696616880161</v>
      </c>
      <c r="AP281" s="8">
        <f t="shared" si="255"/>
        <v>2.2549675861897982</v>
      </c>
      <c r="AQ281" s="8">
        <f t="shared" si="256"/>
        <v>4.8634542027046592</v>
      </c>
      <c r="AR281" s="8">
        <f t="shared" si="257"/>
        <v>3.5335063112713403</v>
      </c>
    </row>
    <row r="282" spans="1:44" x14ac:dyDescent="0.35">
      <c r="A282" s="2" t="s">
        <v>199</v>
      </c>
      <c r="B282" s="8">
        <v>5.2028030000000003</v>
      </c>
      <c r="C282" s="8">
        <v>778.33932879999998</v>
      </c>
      <c r="D282" s="8">
        <v>4331.25</v>
      </c>
      <c r="E282" s="5">
        <v>143200</v>
      </c>
      <c r="F282" s="8">
        <v>33.400000000000205</v>
      </c>
      <c r="G282" s="13">
        <f t="shared" ca="1" si="258"/>
        <v>1.9146337449756727</v>
      </c>
      <c r="H282" s="14">
        <f ca="1">IF(($B$280/B282)&gt;(COS(G282-$G$280)),ATAN(SIN(G282-$G$280)/(($B$280/B282)-COS(G282-$G$280))),ATAN(SIN(G282-$G$280)/(($B$280/B282)-COS(G282-$G$280)))+PI())</f>
        <v>4.6194564629877934</v>
      </c>
      <c r="I282" s="13">
        <f ca="1">MOD($I$277-H282*12/PI(),24)</f>
        <v>6.5778274475454417</v>
      </c>
      <c r="J282" s="13">
        <f ca="1">ASIN(SIN(I282*PI()/12)*SIN($M$274*PI()/180))</f>
        <v>0.40404423032304754</v>
      </c>
      <c r="K282" s="13">
        <f t="shared" ca="1" si="259"/>
        <v>17.515453988565671</v>
      </c>
      <c r="L282" s="14">
        <f ca="1">ASIN(COS(J282)*COS(K282*PI()/12)*COS($D$8)+SIN($D$8)*SIN(J282))</f>
        <v>0.22118179614043396</v>
      </c>
      <c r="M282" s="14">
        <f ca="1">(COS(J282)*SIN(K282*PI()/12))/COS(L282)</f>
        <v>-0.93486477274439617</v>
      </c>
      <c r="N282" s="14">
        <f ca="1">(COS(J282)*COS(K282*PI()/12)*SIN($D$8)-COS($D$8)*SIN(J282))/COS(L282)</f>
        <v>-0.35500402347236631</v>
      </c>
      <c r="O282" s="14">
        <f ca="1">IF(N282&lt;0,-ASIN(M282)+PI(),ASIN(M282))</f>
        <v>4.3494706093158655</v>
      </c>
      <c r="P282" s="13">
        <f ca="1">IF(L282&lt;0,$G$6,COS(L282)*SIN(O282))</f>
        <v>-0.9120904057851662</v>
      </c>
      <c r="Q282" s="13">
        <f ca="1">IF(L282&lt;0,$G$6,+COS(L282)*COS(PI()+O282))</f>
        <v>0.3463557225220294</v>
      </c>
      <c r="R282" s="14">
        <f ca="1">IF($F$6=0,COS(G282)*5/8,COS(G282)*B282*$F$6)</f>
        <v>-0.35077544618862216</v>
      </c>
      <c r="S282" s="14">
        <f ca="1">IF($F$6=0,SIN(G282)*5/8,SIN(G282)*B282*$F$6)</f>
        <v>0.97965450472272786</v>
      </c>
      <c r="T282" s="14">
        <f ca="1">IF(OR(L282&lt;0,COS(PI()-(O282+$E$8))&lt;0),$G$6,COS(L282)*SIN(-O282-$E$8))</f>
        <v>1000000</v>
      </c>
      <c r="U282" s="13">
        <f ca="1">IF(OR(L282&lt;0,COS(PI()-(O282+$E$8))&lt;0),$G$6,SIN(L282))</f>
        <v>1000000</v>
      </c>
      <c r="AC282" s="8">
        <f t="shared" si="242"/>
        <v>5.4744065578106287E-2</v>
      </c>
      <c r="AD282" s="8">
        <f t="shared" si="243"/>
        <v>5.4744065578106273E-2</v>
      </c>
      <c r="AE282" s="8">
        <f t="shared" si="244"/>
        <v>0.10229459244984557</v>
      </c>
      <c r="AF282" s="8">
        <f t="shared" si="245"/>
        <v>0.10229459244984557</v>
      </c>
      <c r="AG282" s="8">
        <f t="shared" si="246"/>
        <v>0.14142135623730953</v>
      </c>
      <c r="AH282" s="8">
        <f t="shared" si="247"/>
        <v>0.1414213562373095</v>
      </c>
      <c r="AI282" s="8">
        <f t="shared" si="248"/>
        <v>0.21548244770658234</v>
      </c>
      <c r="AJ282" s="8">
        <f t="shared" si="249"/>
        <v>0.21548244770658234</v>
      </c>
      <c r="AK282" s="8">
        <f t="shared" si="250"/>
        <v>0.73578745649554278</v>
      </c>
      <c r="AL282" s="8">
        <f t="shared" si="251"/>
        <v>0.73578745649554256</v>
      </c>
      <c r="AM282" s="8">
        <f t="shared" si="252"/>
        <v>1.3489956897306976</v>
      </c>
      <c r="AN282" s="8">
        <f t="shared" si="253"/>
        <v>1.3489956897306974</v>
      </c>
      <c r="AO282" s="8">
        <f t="shared" si="254"/>
        <v>2.7127303132084473</v>
      </c>
      <c r="AP282" s="8">
        <f t="shared" si="255"/>
        <v>2.7127303132084468</v>
      </c>
      <c r="AQ282" s="8">
        <f t="shared" si="256"/>
        <v>4.2508148415098024</v>
      </c>
      <c r="AR282" s="8">
        <f t="shared" si="257"/>
        <v>4.2508148415098015</v>
      </c>
    </row>
    <row r="283" spans="1:44" x14ac:dyDescent="0.35">
      <c r="A283" s="2" t="s">
        <v>200</v>
      </c>
      <c r="B283" s="8">
        <v>9.5388400000000004</v>
      </c>
      <c r="C283" s="8">
        <v>1427.010464</v>
      </c>
      <c r="D283" s="8">
        <v>10756.65</v>
      </c>
      <c r="E283" s="5">
        <v>120000</v>
      </c>
      <c r="F283" s="8">
        <v>50.000000000000441</v>
      </c>
      <c r="G283" s="13">
        <f t="shared" ca="1" si="258"/>
        <v>0.18564461057543749</v>
      </c>
      <c r="H283" s="14">
        <f ca="1">IF(($B$280/B283)&gt;(COS(G283-$G$280)),ATAN(SIN(G283-$G$280)/(($B$280/B283)-COS(G283-$G$280))),ATAN(SIN(G283-$G$280)/(($B$280/B283)-COS(G283-$G$280)))+PI())</f>
        <v>-0.11524684038252953</v>
      </c>
      <c r="I283" s="13">
        <f ca="1">MOD($I$277-H283*12/PI(),24)</f>
        <v>0.66306188286334322</v>
      </c>
      <c r="J283" s="13">
        <f ca="1">ASIN(SIN(I283*PI()/12)*SIN($M$274*PI()/180))</f>
        <v>6.8741203115277205E-2</v>
      </c>
      <c r="K283" s="13">
        <f t="shared" ca="1" si="259"/>
        <v>23.43021955324777</v>
      </c>
      <c r="L283" s="14">
        <f ca="1">ASIN(COS(J283)*COS(K283*PI()/12)*COS($D$8)+SIN($D$8)*SIN(J283))</f>
        <v>0.77695564532671801</v>
      </c>
      <c r="M283" s="14">
        <f ca="1">(COS(J283)*SIN(K283*PI()/12))/COS(L283)</f>
        <v>-0.20792978986952756</v>
      </c>
      <c r="N283" s="14">
        <f ca="1">(COS(J283)*COS(K283*PI()/12)*SIN($D$8)-COS($D$8)*SIN(J283))/COS(L283)</f>
        <v>0.97814375348657912</v>
      </c>
      <c r="O283" s="14">
        <f ca="1">IF(N283&lt;0,-ASIN(M283)+PI(),ASIN(M283))</f>
        <v>-0.20945801367105907</v>
      </c>
      <c r="P283" s="13">
        <f t="shared" ref="P283:P285" ca="1" si="260">IF(L283&lt;0,$G$6,COS(L283)*SIN(O283))</f>
        <v>-0.14826460121280127</v>
      </c>
      <c r="Q283" s="13">
        <f ca="1">IF(L283&lt;0,$G$6,+COS(L283)*COS(PI()+O283))</f>
        <v>-0.69746664790302748</v>
      </c>
      <c r="R283" s="14">
        <f ca="1">IF($F$6=0,COS(G283)*6/8,COS(G283)*B283*$F$6)</f>
        <v>1.8749877239553894</v>
      </c>
      <c r="S283" s="14">
        <f ca="1">IF($F$6=0,SIN(G283)*6/8,SIN(G283)*B283*$F$6)</f>
        <v>0.35213602036796754</v>
      </c>
      <c r="T283" s="14">
        <f ca="1">IF(OR(L283&lt;0,COS(PI()-(O283+$E$8))&lt;0),$G$6,COS(L283)*SIN(-O283-$E$8))</f>
        <v>-0.14826460121280136</v>
      </c>
      <c r="U283" s="13">
        <f ca="1">IF(OR(L283&lt;0,COS(PI()-(O283+$E$8))&lt;0),$G$6,SIN(L283))</f>
        <v>0.70111189056392653</v>
      </c>
      <c r="AC283" s="8">
        <f t="shared" si="242"/>
        <v>4.5506216675432816E-2</v>
      </c>
      <c r="AD283" s="8">
        <f t="shared" si="243"/>
        <v>6.2633933901109565E-2</v>
      </c>
      <c r="AE283" s="8">
        <f t="shared" si="244"/>
        <v>8.5032776422243828E-2</v>
      </c>
      <c r="AF283" s="8">
        <f t="shared" si="245"/>
        <v>0.1170375761150439</v>
      </c>
      <c r="AG283" s="8">
        <f t="shared" si="246"/>
        <v>0.11755705045849463</v>
      </c>
      <c r="AH283" s="8">
        <f t="shared" si="247"/>
        <v>0.16180339887498951</v>
      </c>
      <c r="AI283" s="8">
        <f t="shared" si="248"/>
        <v>0.17912061977015414</v>
      </c>
      <c r="AJ283" s="8">
        <f t="shared" si="249"/>
        <v>0.24653838263523162</v>
      </c>
      <c r="AK283" s="8">
        <f t="shared" si="250"/>
        <v>0.6116261747966073</v>
      </c>
      <c r="AL283" s="8">
        <f t="shared" si="251"/>
        <v>0.84183120907699205</v>
      </c>
      <c r="AM283" s="8">
        <f t="shared" si="252"/>
        <v>1.121357895195507</v>
      </c>
      <c r="AN283" s="8">
        <f t="shared" si="253"/>
        <v>1.5434167333247049</v>
      </c>
      <c r="AO283" s="8">
        <f t="shared" si="254"/>
        <v>2.2549675861897982</v>
      </c>
      <c r="AP283" s="8">
        <f t="shared" si="255"/>
        <v>3.103696616880161</v>
      </c>
      <c r="AQ283" s="8">
        <f t="shared" si="256"/>
        <v>3.5335063112713403</v>
      </c>
      <c r="AR283" s="8">
        <f t="shared" si="257"/>
        <v>4.8634542027046592</v>
      </c>
    </row>
    <row r="284" spans="1:44" x14ac:dyDescent="0.35">
      <c r="A284" s="2" t="s">
        <v>201</v>
      </c>
      <c r="B284" s="8">
        <v>19.181899999999999</v>
      </c>
      <c r="C284" s="8">
        <v>2869.6122399999999</v>
      </c>
      <c r="D284" s="8">
        <v>30688.9</v>
      </c>
      <c r="E284" s="5">
        <v>51800</v>
      </c>
      <c r="F284" s="8">
        <v>312.60000000000258</v>
      </c>
      <c r="G284" s="13">
        <f t="shared" ca="1" si="258"/>
        <v>1.1342046163838986</v>
      </c>
      <c r="H284" s="14">
        <f ca="1">IF(($B$280/B284)&gt;(COS(G284-$G$280)),ATAN(SIN(G284-$G$280)/(($B$280/B284)-COS(G284-$G$280))),ATAN(SIN(G284-$G$280)/(($B$280/B284)-COS(G284-$G$280)))+PI())</f>
        <v>-1.0311240770853349</v>
      </c>
      <c r="I284" s="13">
        <f ca="1">MOD($I$277-H284*12/PI(),24)</f>
        <v>4.1614552305416801</v>
      </c>
      <c r="J284" s="13">
        <f ca="1">ASIN(SIN(I284*PI()/12)*SIN($M$274*PI()/180))</f>
        <v>0.36023820549155006</v>
      </c>
      <c r="K284" s="13">
        <f t="shared" ca="1" si="259"/>
        <v>19.931826205569433</v>
      </c>
      <c r="L284" s="14">
        <f ca="1">ASIN(COS(J284)*COS(K284*PI()/12)*COS($D$8)+SIN($D$8)*SIN(J284))</f>
        <v>0.59896680799572222</v>
      </c>
      <c r="M284" s="14">
        <f ca="1">(COS(J284)*SIN(K284*PI()/12))/COS(L284)</f>
        <v>-0.99121072984622871</v>
      </c>
      <c r="N284" s="14">
        <f ca="1">(COS(J284)*COS(K284*PI()/12)*SIN($D$8)-COS($D$8)*SIN(J284))/COS(L284)</f>
        <v>0.13229243756808923</v>
      </c>
      <c r="O284" s="14">
        <f ca="1">IF(N284&lt;0,-ASIN(M284)+PI(),ASIN(M284))</f>
        <v>-1.4381149367816632</v>
      </c>
      <c r="P284" s="13">
        <f t="shared" ca="1" si="260"/>
        <v>-0.81865933704312677</v>
      </c>
      <c r="Q284" s="13">
        <f ca="1">IF(L284&lt;0,$G$6,+COS(L284)*COS(PI()+O284))</f>
        <v>-0.10926277932051041</v>
      </c>
      <c r="R284" s="14">
        <f ca="1">IF($F$6=0,COS(G284)*7/8,COS(G284)*B284*$F$6)</f>
        <v>1.6222261019358031</v>
      </c>
      <c r="S284" s="14">
        <f ca="1">IF($F$6=0,SIN(G284)*7/8,SIN(G284)*B284*$F$6)</f>
        <v>3.4765203837455303</v>
      </c>
      <c r="T284" s="14">
        <f ca="1">IF(OR(L284&lt;0,COS(PI()-(O284+$E$8))&lt;0),$G$6,COS(L284)*SIN(-O284-$E$8))</f>
        <v>-0.81865933704312677</v>
      </c>
      <c r="U284" s="13">
        <f ca="1">IF(OR(L284&lt;0,COS(PI()-(O284+$E$8))&lt;0),$G$6,SIN(L284))</f>
        <v>0.5637894420147167</v>
      </c>
      <c r="AC284" s="8">
        <f t="shared" si="242"/>
        <v>3.5147853691735773E-2</v>
      </c>
      <c r="AD284" s="8">
        <f t="shared" si="243"/>
        <v>6.8981546901358604E-2</v>
      </c>
      <c r="AE284" s="8">
        <f t="shared" si="244"/>
        <v>6.567717123152117E-2</v>
      </c>
      <c r="AF284" s="8">
        <f t="shared" si="245"/>
        <v>0.1288987062308441</v>
      </c>
      <c r="AG284" s="8">
        <f t="shared" si="246"/>
        <v>9.0798099947909369E-2</v>
      </c>
      <c r="AH284" s="8">
        <f t="shared" si="247"/>
        <v>0.17820130483767357</v>
      </c>
      <c r="AI284" s="8">
        <f t="shared" si="248"/>
        <v>0.13834824770772997</v>
      </c>
      <c r="AJ284" s="8">
        <f t="shared" si="249"/>
        <v>0.27152372436941968</v>
      </c>
      <c r="AK284" s="8">
        <f t="shared" si="250"/>
        <v>0.47240462680328266</v>
      </c>
      <c r="AL284" s="8">
        <f t="shared" si="251"/>
        <v>0.92714628341336258</v>
      </c>
      <c r="AM284" s="8">
        <f t="shared" si="252"/>
        <v>0.86610854770711576</v>
      </c>
      <c r="AN284" s="8">
        <f t="shared" si="253"/>
        <v>1.6998337346377941</v>
      </c>
      <c r="AO284" s="8">
        <f t="shared" si="254"/>
        <v>1.7416800733908027</v>
      </c>
      <c r="AP284" s="8">
        <f t="shared" si="255"/>
        <v>3.4182396092657705</v>
      </c>
      <c r="AQ284" s="8">
        <f t="shared" si="256"/>
        <v>2.72919112861427</v>
      </c>
      <c r="AR284" s="8">
        <f t="shared" si="257"/>
        <v>5.3563391805498242</v>
      </c>
    </row>
    <row r="285" spans="1:44" x14ac:dyDescent="0.35">
      <c r="A285" s="2" t="s">
        <v>202</v>
      </c>
      <c r="B285" s="8">
        <v>30.0578</v>
      </c>
      <c r="C285" s="8">
        <v>4496.6468800000002</v>
      </c>
      <c r="D285" s="8">
        <v>60190.596510416668</v>
      </c>
      <c r="E285" s="5">
        <v>49500</v>
      </c>
      <c r="F285" s="8">
        <v>307.20000000000135</v>
      </c>
      <c r="G285" s="13">
        <f t="shared" ca="1" si="258"/>
        <v>7.8555784814192509E-2</v>
      </c>
      <c r="H285" s="14">
        <f ca="1">IF(($B$280/B285)&gt;(COS(G285-$G$280)),ATAN(SIN(G285-$G$280)/(($B$280/B285)-COS(G285-$G$280))),ATAN(SIN(G285-$G$280)/(($B$280/B285)-COS(G285-$G$280)))+PI())</f>
        <v>-1.9562637673128977E-2</v>
      </c>
      <c r="I285" s="13">
        <f ca="1">MOD($I$277-H285*12/PI(),24)</f>
        <v>0.29757515077515073</v>
      </c>
      <c r="J285" s="13">
        <f ca="1">ASIN(SIN(I285*PI()/12)*SIN($M$274*PI()/180))</f>
        <v>3.095500798047237E-2</v>
      </c>
      <c r="K285" s="13">
        <f t="shared" ca="1" si="259"/>
        <v>23.79570628533596</v>
      </c>
      <c r="L285" s="14">
        <f ca="1">ASIN(COS(J285)*COS(K285*PI()/12)*COS($D$8)+SIN($D$8)*SIN(J285))</f>
        <v>0.74816451700443654</v>
      </c>
      <c r="M285" s="14">
        <f ca="1">(COS(J285)*SIN(K285*PI()/12))/COS(L285)</f>
        <v>-7.2902220594345812E-2</v>
      </c>
      <c r="N285" s="14">
        <f ca="1">(COS(J285)*COS(K285*PI()/12)*SIN($D$8)-COS($D$8)*SIN(J285))/COS(L285)</f>
        <v>0.99733909290291678</v>
      </c>
      <c r="O285" s="14">
        <f ca="1">IF(N285&lt;0,-ASIN(M285)+PI(),ASIN(M285))</f>
        <v>-7.2966951508824943E-2</v>
      </c>
      <c r="P285" s="13">
        <f t="shared" ca="1" si="260"/>
        <v>-5.34328640381787E-2</v>
      </c>
      <c r="Q285" s="13">
        <f ca="1">IF(L285&lt;0,$G$6,+COS(L285)*COS(PI()+O285))</f>
        <v>-0.73098849001555899</v>
      </c>
      <c r="R285" s="14">
        <f ca="1">IF($F$6=0,COS(G285)*8/8,COS(G285)*B285*$F$6)</f>
        <v>5.9930208342970426</v>
      </c>
      <c r="S285" s="14">
        <f ca="1">IF($F$6=0,SIN(G285)*8/8,SIN(G285)*B285*$F$6)</f>
        <v>0.4717572609738836</v>
      </c>
      <c r="T285" s="14">
        <f ca="1">IF(OR(L285&lt;0,COS(PI()-(O285+$E$8))&lt;0),$G$6,COS(L285)*SIN(-O285-$E$8))</f>
        <v>-5.3432864038178936E-2</v>
      </c>
      <c r="U285" s="13">
        <f ca="1">IF(OR(L285&lt;0,COS(PI()-(O285+$E$8))&lt;0),$G$6,SIN(L285))</f>
        <v>0.68029461008114012</v>
      </c>
      <c r="AC285" s="8">
        <f t="shared" si="242"/>
        <v>2.3924033901109559E-2</v>
      </c>
      <c r="AD285" s="8">
        <f t="shared" si="243"/>
        <v>7.3630605280267533E-2</v>
      </c>
      <c r="AE285" s="8">
        <f t="shared" si="244"/>
        <v>4.4704376115043902E-2</v>
      </c>
      <c r="AF285" s="8">
        <f t="shared" si="245"/>
        <v>0.1375859224089612</v>
      </c>
      <c r="AG285" s="8">
        <f t="shared" si="246"/>
        <v>6.1803398874989493E-2</v>
      </c>
      <c r="AH285" s="8">
        <f t="shared" si="247"/>
        <v>0.19021130325903071</v>
      </c>
      <c r="AI285" s="8">
        <f t="shared" si="248"/>
        <v>9.416928263523161E-2</v>
      </c>
      <c r="AJ285" s="8">
        <f t="shared" si="249"/>
        <v>0.28982325087405575</v>
      </c>
      <c r="AK285" s="8">
        <f t="shared" si="250"/>
        <v>0.32155090907699196</v>
      </c>
      <c r="AL285" s="8">
        <f t="shared" si="251"/>
        <v>0.98963193922999482</v>
      </c>
      <c r="AM285" s="8">
        <f t="shared" si="252"/>
        <v>0.58953273332470479</v>
      </c>
      <c r="AN285" s="8">
        <f t="shared" si="253"/>
        <v>1.8143951879793727</v>
      </c>
      <c r="AO285" s="8">
        <f t="shared" si="254"/>
        <v>1.1855066168801609</v>
      </c>
      <c r="AP285" s="8">
        <f t="shared" si="255"/>
        <v>3.6486141979844007</v>
      </c>
      <c r="AQ285" s="8">
        <f t="shared" si="256"/>
        <v>1.8576742027046593</v>
      </c>
      <c r="AR285" s="8">
        <f t="shared" si="257"/>
        <v>5.7173333110992939</v>
      </c>
    </row>
    <row r="286" spans="1:44" x14ac:dyDescent="0.35">
      <c r="B286" s="13"/>
      <c r="C286" s="13"/>
      <c r="D286" s="13"/>
      <c r="E286" s="10"/>
      <c r="F286" s="10"/>
      <c r="G286" s="13"/>
      <c r="H286" s="14"/>
      <c r="I286" s="13"/>
      <c r="J286" s="13"/>
      <c r="K286" s="13"/>
      <c r="L286" s="14"/>
      <c r="M286" s="14"/>
      <c r="N286" s="14"/>
      <c r="O286" s="14"/>
      <c r="P286" s="13"/>
      <c r="Q286" s="13"/>
      <c r="R286" s="14"/>
      <c r="S286" s="14"/>
      <c r="AC286" s="8">
        <f t="shared" si="242"/>
        <v>1.2111124996521672E-2</v>
      </c>
      <c r="AD286" s="8">
        <f t="shared" si="243"/>
        <v>7.6466633791207453E-2</v>
      </c>
      <c r="AE286" s="8">
        <f t="shared" si="244"/>
        <v>2.2630810893296063E-2</v>
      </c>
      <c r="AF286" s="8">
        <f t="shared" si="245"/>
        <v>0.14288531655587244</v>
      </c>
      <c r="AG286" s="8">
        <f t="shared" si="246"/>
        <v>3.1286893008046185E-2</v>
      </c>
      <c r="AH286" s="8">
        <f t="shared" si="247"/>
        <v>0.19753766811902757</v>
      </c>
      <c r="AI286" s="8">
        <f t="shared" si="248"/>
        <v>4.7671557294322903E-2</v>
      </c>
      <c r="AJ286" s="8">
        <f t="shared" si="249"/>
        <v>0.30098636707394921</v>
      </c>
      <c r="AK286" s="8">
        <f t="shared" si="250"/>
        <v>0.16277954080294174</v>
      </c>
      <c r="AL286" s="8">
        <f t="shared" si="251"/>
        <v>1.027749572302681</v>
      </c>
      <c r="AM286" s="8">
        <f t="shared" si="252"/>
        <v>0.29844066650087131</v>
      </c>
      <c r="AN286" s="8">
        <f t="shared" si="253"/>
        <v>1.884280210160505</v>
      </c>
      <c r="AO286" s="8">
        <f t="shared" si="254"/>
        <v>0.60014205299104117</v>
      </c>
      <c r="AP286" s="8">
        <f t="shared" si="255"/>
        <v>3.7891477960923745</v>
      </c>
      <c r="AQ286" s="8">
        <f t="shared" si="256"/>
        <v>0.94041517265725061</v>
      </c>
      <c r="AR286" s="8">
        <f t="shared" si="257"/>
        <v>5.9375477207881069</v>
      </c>
    </row>
    <row r="287" spans="1:44" x14ac:dyDescent="0.35">
      <c r="A287" s="1" t="s">
        <v>203</v>
      </c>
      <c r="B287" s="1"/>
      <c r="C287" s="1"/>
      <c r="E287" s="3" t="s">
        <v>228</v>
      </c>
      <c r="F287" s="40">
        <v>36526.5</v>
      </c>
      <c r="G287" s="12" t="s">
        <v>229</v>
      </c>
      <c r="H287" s="3" t="s">
        <v>169</v>
      </c>
      <c r="I287" s="3" t="s">
        <v>230</v>
      </c>
      <c r="J287" s="3" t="s">
        <v>231</v>
      </c>
      <c r="K287" s="3" t="s">
        <v>232</v>
      </c>
      <c r="L287" s="3" t="s">
        <v>233</v>
      </c>
      <c r="M287" s="3" t="s">
        <v>168</v>
      </c>
      <c r="N287" s="3" t="s">
        <v>234</v>
      </c>
      <c r="AC287" s="8">
        <f t="shared" si="242"/>
        <v>4.7425374174667191E-18</v>
      </c>
      <c r="AD287" s="8">
        <f t="shared" si="243"/>
        <v>7.7419800000000011E-2</v>
      </c>
      <c r="AE287" s="8">
        <f t="shared" si="244"/>
        <v>8.8618908218596187E-18</v>
      </c>
      <c r="AF287" s="8">
        <f t="shared" si="245"/>
        <v>0.1446664</v>
      </c>
      <c r="AG287" s="8">
        <f t="shared" si="246"/>
        <v>1.22514845490862E-17</v>
      </c>
      <c r="AH287" s="8">
        <f t="shared" si="247"/>
        <v>0.2</v>
      </c>
      <c r="AI287" s="8">
        <f t="shared" si="248"/>
        <v>1.8667476744081702E-17</v>
      </c>
      <c r="AJ287" s="8">
        <f t="shared" si="249"/>
        <v>0.30473820000000001</v>
      </c>
      <c r="AK287" s="8">
        <f t="shared" si="250"/>
        <v>6.3742060566439342E-17</v>
      </c>
      <c r="AL287" s="8">
        <f t="shared" si="251"/>
        <v>1.0405606000000001</v>
      </c>
      <c r="AM287" s="8">
        <f t="shared" si="252"/>
        <v>1.1686495087620542E-16</v>
      </c>
      <c r="AN287" s="8">
        <f t="shared" si="253"/>
        <v>1.9077680000000001</v>
      </c>
      <c r="AO287" s="8">
        <f t="shared" si="254"/>
        <v>2.350067514721166E-16</v>
      </c>
      <c r="AP287" s="8">
        <f t="shared" si="255"/>
        <v>3.8363800000000001</v>
      </c>
      <c r="AQ287" s="8">
        <f t="shared" si="256"/>
        <v>3.6825267227952317E-16</v>
      </c>
      <c r="AR287" s="8">
        <f t="shared" si="257"/>
        <v>6.0115600000000002</v>
      </c>
    </row>
    <row r="288" spans="1:44" x14ac:dyDescent="0.35">
      <c r="B288" s="21"/>
      <c r="C288" s="20"/>
      <c r="D288" s="38"/>
      <c r="H288" s="12">
        <v>27.321660000000001</v>
      </c>
      <c r="I288" s="12">
        <v>5.1449999999999996</v>
      </c>
      <c r="J288" s="19">
        <v>124.99552787306416</v>
      </c>
      <c r="K288" s="19">
        <f>-360/18.613/D280</f>
        <v>-5.2952726896804143E-2</v>
      </c>
      <c r="L288" s="19">
        <v>43.052587851997352</v>
      </c>
      <c r="M288" s="13">
        <f>0.384402</f>
        <v>0.38440200000000002</v>
      </c>
      <c r="N288" s="19">
        <v>3.8821951074120182</v>
      </c>
      <c r="AC288" s="8">
        <f t="shared" si="242"/>
        <v>-1.2111124996521663E-2</v>
      </c>
      <c r="AD288" s="8">
        <f t="shared" si="243"/>
        <v>7.6466633791207453E-2</v>
      </c>
      <c r="AE288" s="8">
        <f t="shared" si="244"/>
        <v>-2.2630810893296049E-2</v>
      </c>
      <c r="AF288" s="8">
        <f t="shared" si="245"/>
        <v>0.14288531655587244</v>
      </c>
      <c r="AG288" s="8">
        <f t="shared" si="246"/>
        <v>-3.1286893008046164E-2</v>
      </c>
      <c r="AH288" s="8">
        <f t="shared" si="247"/>
        <v>0.19753766811902757</v>
      </c>
      <c r="AI288" s="8">
        <f t="shared" si="248"/>
        <v>-4.7671557294322868E-2</v>
      </c>
      <c r="AJ288" s="8">
        <f t="shared" si="249"/>
        <v>0.30098636707394921</v>
      </c>
      <c r="AK288" s="8">
        <f t="shared" si="250"/>
        <v>-0.16277954080294163</v>
      </c>
      <c r="AL288" s="8">
        <f t="shared" si="251"/>
        <v>1.027749572302681</v>
      </c>
      <c r="AM288" s="8">
        <f t="shared" si="252"/>
        <v>-0.29844066650087109</v>
      </c>
      <c r="AN288" s="8">
        <f t="shared" si="253"/>
        <v>1.884280210160505</v>
      </c>
      <c r="AO288" s="8">
        <f t="shared" si="254"/>
        <v>-0.60014205299104073</v>
      </c>
      <c r="AP288" s="8">
        <f t="shared" si="255"/>
        <v>3.7891477960923745</v>
      </c>
      <c r="AQ288" s="8">
        <f t="shared" si="256"/>
        <v>-0.94041517265724994</v>
      </c>
      <c r="AR288" s="8">
        <f t="shared" si="257"/>
        <v>5.9375477207881069</v>
      </c>
    </row>
    <row r="289" spans="1:44" x14ac:dyDescent="0.35">
      <c r="A289" s="3" t="s">
        <v>235</v>
      </c>
      <c r="B289" s="3" t="s">
        <v>236</v>
      </c>
      <c r="C289" s="3" t="s">
        <v>237</v>
      </c>
      <c r="D289" s="3" t="s">
        <v>238</v>
      </c>
      <c r="E289" s="3" t="s">
        <v>239</v>
      </c>
      <c r="F289" s="3" t="s">
        <v>240</v>
      </c>
      <c r="G289" s="3" t="s">
        <v>241</v>
      </c>
      <c r="H289" s="3" t="s">
        <v>242</v>
      </c>
      <c r="I289" s="3" t="s">
        <v>243</v>
      </c>
      <c r="J289" s="3" t="s">
        <v>244</v>
      </c>
      <c r="K289" s="3" t="s">
        <v>245</v>
      </c>
      <c r="L289" s="3" t="s">
        <v>62</v>
      </c>
      <c r="M289" s="3" t="s">
        <v>63</v>
      </c>
      <c r="N289" s="3" t="s">
        <v>246</v>
      </c>
      <c r="O289" s="3" t="s">
        <v>247</v>
      </c>
      <c r="P289" s="3" t="s">
        <v>31</v>
      </c>
      <c r="Q289" s="3" t="s">
        <v>32</v>
      </c>
      <c r="R289" s="3" t="s">
        <v>64</v>
      </c>
      <c r="S289" s="3" t="s">
        <v>65</v>
      </c>
      <c r="T289" s="3" t="s">
        <v>33</v>
      </c>
      <c r="U289" s="3" t="s">
        <v>79</v>
      </c>
      <c r="V289" s="3" t="s">
        <v>80</v>
      </c>
      <c r="W289" s="3" t="s">
        <v>248</v>
      </c>
      <c r="X289" s="3" t="s">
        <v>249</v>
      </c>
      <c r="Y289" s="3" t="s">
        <v>174</v>
      </c>
      <c r="Z289" s="3" t="s">
        <v>175</v>
      </c>
      <c r="AA289" s="3" t="s">
        <v>74</v>
      </c>
      <c r="AB289" s="3" t="s">
        <v>177</v>
      </c>
      <c r="AC289" s="8">
        <f t="shared" si="242"/>
        <v>-2.3924033901109552E-2</v>
      </c>
      <c r="AD289" s="8">
        <f t="shared" si="243"/>
        <v>7.3630605280267533E-2</v>
      </c>
      <c r="AE289" s="8">
        <f t="shared" si="244"/>
        <v>-4.4704376115043881E-2</v>
      </c>
      <c r="AF289" s="8">
        <f t="shared" si="245"/>
        <v>0.13758592240896123</v>
      </c>
      <c r="AG289" s="8">
        <f t="shared" si="246"/>
        <v>-6.1803398874989472E-2</v>
      </c>
      <c r="AH289" s="8">
        <f t="shared" si="247"/>
        <v>0.19021130325903074</v>
      </c>
      <c r="AI289" s="8">
        <f t="shared" si="248"/>
        <v>-9.4169282635231583E-2</v>
      </c>
      <c r="AJ289" s="8">
        <f t="shared" si="249"/>
        <v>0.2898232508740558</v>
      </c>
      <c r="AK289" s="8">
        <f t="shared" si="250"/>
        <v>-0.32155090907699191</v>
      </c>
      <c r="AL289" s="8">
        <f t="shared" si="251"/>
        <v>0.98963193922999493</v>
      </c>
      <c r="AM289" s="8">
        <f t="shared" si="252"/>
        <v>-0.58953273332470457</v>
      </c>
      <c r="AN289" s="8">
        <f t="shared" si="253"/>
        <v>1.8143951879793729</v>
      </c>
      <c r="AO289" s="8">
        <f t="shared" si="254"/>
        <v>-1.1855066168801605</v>
      </c>
      <c r="AP289" s="8">
        <f t="shared" si="255"/>
        <v>3.6486141979844016</v>
      </c>
      <c r="AQ289" s="8">
        <f t="shared" si="256"/>
        <v>-1.8576742027046587</v>
      </c>
      <c r="AR289" s="8">
        <f t="shared" si="257"/>
        <v>5.7173333110992948</v>
      </c>
    </row>
    <row r="290" spans="1:44" ht="14.25" x14ac:dyDescent="0.45">
      <c r="A290" s="13">
        <f ca="1">A10-F287</f>
        <v>9579.9895833333358</v>
      </c>
      <c r="B290" s="19">
        <f ca="1">MOD(A290*$K$288+$J$288,360)</f>
        <v>337.70895579258547</v>
      </c>
      <c r="C290" s="19">
        <f ca="1">A290*360/$H$288-B290+$L$288</f>
        <v>125934.72537533566</v>
      </c>
      <c r="D290" s="41">
        <f ca="1">COS(C290*PI()/180)</f>
        <v>0.41826939577547639</v>
      </c>
      <c r="E290" s="41">
        <f ca="1">SIN(C290*PI()/180)</f>
        <v>-0.90832302214444494</v>
      </c>
      <c r="F290" s="42">
        <f ca="1">COS(B290*PI()/180)*D290-SIN(B290*PI()/180)*E290*COS(-$I$288*PI()/180)</f>
        <v>4.3862473396864554E-2</v>
      </c>
      <c r="G290" s="42">
        <f ca="1">SIN(B290*PI()/180)*D290+COS(B290*PI()/180)*E290*COS(-$I$288*PI()/180)</f>
        <v>-0.99571136400281968</v>
      </c>
      <c r="H290" s="42">
        <f ca="1">E290*SIN(-$I$288*PI()/180)</f>
        <v>8.1455282352672534E-2</v>
      </c>
      <c r="I290" s="41">
        <f ca="1">F290</f>
        <v>4.3862473396864554E-2</v>
      </c>
      <c r="J290" s="41">
        <f ca="1">G290*COS(-$M$274*PI()/180)-H290*SIN(-$M$274*PI()/180)</f>
        <v>-0.88119521579706217</v>
      </c>
      <c r="K290" s="42">
        <f ca="1">G290*SIN(-$M$274*PI()/180)+H290*COS(-$M$274*PI()/180)</f>
        <v>0.47071336828677202</v>
      </c>
      <c r="L290" s="42">
        <f ca="1">(ATAN2(I290,J290)+PI())*12/PI()</f>
        <v>6.1899739561360523</v>
      </c>
      <c r="M290" s="42">
        <f ca="1">ASIN(K290/(I290^2+J290^2+K290^2)^0.5)</f>
        <v>0.49009914900953044</v>
      </c>
      <c r="N290" s="42">
        <f ca="1">MOD((ATAN2(F290,G290)+PI())*180/PI(),360)</f>
        <v>92.522328242009095</v>
      </c>
      <c r="O290" s="42">
        <f ca="1">ASIN(H290/(F290^2+G290^2+H290^2)^0.5)*180/PI()</f>
        <v>4.6722203121383785</v>
      </c>
      <c r="P290" s="13">
        <f ca="1">IF($L$10-L290&lt;0,24+$L$10-L290,$L$10-L290)</f>
        <v>17.903307479975062</v>
      </c>
      <c r="Q290" s="14">
        <f ca="1">ASIN(COS(M290)*COS(P290*PI()/12)*COS($D$8)+SIN($D$8)*SIN(M290))</f>
        <v>0.3465469889243506</v>
      </c>
      <c r="R290" s="14">
        <f ca="1">(COS(M290)*SIN(P290*PI()/12))/COS(Q290)</f>
        <v>-0.93775179757073646</v>
      </c>
      <c r="S290" s="14">
        <f ca="1">(COS(M290)*COS(P290*PI()/12)*SIN($D$8)-COS($D$8)*SIN(M290))/COS(Q290)</f>
        <v>-0.34730615622653799</v>
      </c>
      <c r="T290" s="14">
        <f ca="1">IF(S290&lt;0,-ASIN(R290)+PI(),ASIN(R290))</f>
        <v>4.357692072276298</v>
      </c>
      <c r="U290" s="13">
        <f ca="1">IF(Q290&lt;0,$G$6,COS(Q290)*SIN(T290))</f>
        <v>-0.88200352245082281</v>
      </c>
      <c r="V290" s="13">
        <f ca="1">IF(Q290&lt;0,$G$6,+COS(Q290)*COS(PI()+T290))</f>
        <v>0.32665920124515241</v>
      </c>
      <c r="W290" s="13">
        <f ca="1">MOD(N288+2*PI()*A290/H288,2*PI())</f>
        <v>1.6024764643671219</v>
      </c>
      <c r="X290" s="13">
        <f ca="1">MOD((G280+PI()-W290)*180/PI(),360)</f>
        <v>271.52763250953103</v>
      </c>
      <c r="Y290" s="14">
        <f>IF($F$6=0,R280+COS(W290)/16,$G$6)</f>
        <v>1000000</v>
      </c>
      <c r="Z290" s="14">
        <f>IF($F$6=0,S280+SIN(W290)/16,$G$6)</f>
        <v>1000000</v>
      </c>
      <c r="AA290" s="14">
        <f ca="1">IF(OR(Q290&lt;0,COS(PI()-(T290+$E$8))&lt;0),$G$6,COS(Q290)*SIN(-T290-$E$8))</f>
        <v>1000000</v>
      </c>
      <c r="AB290" s="13">
        <f ca="1">IF(OR(Q290&lt;0,COS(PI()-(T290+$E$8))&lt;0),$G$6,SIN(Q290))</f>
        <v>1000000</v>
      </c>
      <c r="AC290" s="8">
        <f t="shared" si="242"/>
        <v>-3.5147853691735759E-2</v>
      </c>
      <c r="AD290" s="8">
        <f t="shared" si="243"/>
        <v>6.8981546901358617E-2</v>
      </c>
      <c r="AE290" s="8">
        <f t="shared" si="244"/>
        <v>-6.5677171231521156E-2</v>
      </c>
      <c r="AF290" s="8">
        <f t="shared" si="245"/>
        <v>0.1288987062308441</v>
      </c>
      <c r="AG290" s="8">
        <f t="shared" si="246"/>
        <v>-9.0798099947909341E-2</v>
      </c>
      <c r="AH290" s="8">
        <f t="shared" si="247"/>
        <v>0.1782013048376736</v>
      </c>
      <c r="AI290" s="8">
        <f t="shared" si="248"/>
        <v>-0.13834824770772991</v>
      </c>
      <c r="AJ290" s="8">
        <f t="shared" si="249"/>
        <v>0.27152372436941968</v>
      </c>
      <c r="AK290" s="8">
        <f t="shared" si="250"/>
        <v>-0.4724046268032826</v>
      </c>
      <c r="AL290" s="8">
        <f t="shared" si="251"/>
        <v>0.92714628341336258</v>
      </c>
      <c r="AM290" s="8">
        <f t="shared" si="252"/>
        <v>-0.86610854770711565</v>
      </c>
      <c r="AN290" s="8">
        <f t="shared" si="253"/>
        <v>1.6998337346377945</v>
      </c>
      <c r="AO290" s="8">
        <f t="shared" si="254"/>
        <v>-1.741680073390802</v>
      </c>
      <c r="AP290" s="8">
        <f t="shared" si="255"/>
        <v>3.4182396092657705</v>
      </c>
      <c r="AQ290" s="8">
        <f t="shared" si="256"/>
        <v>-2.7291911286142696</v>
      </c>
      <c r="AR290" s="8">
        <f t="shared" si="257"/>
        <v>5.3563391805498251</v>
      </c>
    </row>
    <row r="291" spans="1:44" x14ac:dyDescent="0.35">
      <c r="A291" s="2" t="s">
        <v>204</v>
      </c>
      <c r="B291" s="14">
        <f ca="1">MOD(W290-G280,2*PI())</f>
        <v>4.6857267633328696</v>
      </c>
      <c r="C291" s="14">
        <f ca="1">IF(OR(ABS(B291)&lt;H291,ABS(B291-2*PI())&lt;H291),0,IF(ABS(B291-PI())&lt;H291,PI(),B291))</f>
        <v>4.6857267633328696</v>
      </c>
      <c r="D291" s="12" t="str">
        <f ca="1">IF(C291=0,"PL",IF(C291&lt;PI(),"DQ",IF(C291=PI(),"NL","PQ")))</f>
        <v>PQ</v>
      </c>
      <c r="E291" s="37" t="s">
        <v>205</v>
      </c>
      <c r="H291" s="20">
        <v>0.2</v>
      </c>
      <c r="I291" s="2" t="s">
        <v>206</v>
      </c>
      <c r="AC291" s="8">
        <f t="shared" si="242"/>
        <v>-4.5506216675432809E-2</v>
      </c>
      <c r="AD291" s="8">
        <f t="shared" si="243"/>
        <v>6.2633933901109565E-2</v>
      </c>
      <c r="AE291" s="8">
        <f t="shared" si="244"/>
        <v>-8.5032776422243828E-2</v>
      </c>
      <c r="AF291" s="8">
        <f t="shared" si="245"/>
        <v>0.1170375761150439</v>
      </c>
      <c r="AG291" s="8">
        <f t="shared" si="246"/>
        <v>-0.11755705045849461</v>
      </c>
      <c r="AH291" s="8">
        <f t="shared" si="247"/>
        <v>0.16180339887498951</v>
      </c>
      <c r="AI291" s="8">
        <f t="shared" si="248"/>
        <v>-0.17912061977015412</v>
      </c>
      <c r="AJ291" s="8">
        <f t="shared" si="249"/>
        <v>0.24653838263523162</v>
      </c>
      <c r="AK291" s="8">
        <f t="shared" si="250"/>
        <v>-0.61162617479660719</v>
      </c>
      <c r="AL291" s="8">
        <f t="shared" si="251"/>
        <v>0.84183120907699205</v>
      </c>
      <c r="AM291" s="8">
        <f t="shared" si="252"/>
        <v>-1.1213578951955068</v>
      </c>
      <c r="AN291" s="8">
        <f t="shared" si="253"/>
        <v>1.5434167333247049</v>
      </c>
      <c r="AO291" s="8">
        <f t="shared" si="254"/>
        <v>-2.2549675861897973</v>
      </c>
      <c r="AP291" s="8">
        <f t="shared" si="255"/>
        <v>3.103696616880161</v>
      </c>
      <c r="AQ291" s="8">
        <f t="shared" si="256"/>
        <v>-3.5335063112713394</v>
      </c>
      <c r="AR291" s="8">
        <f t="shared" si="257"/>
        <v>4.8634542027046592</v>
      </c>
    </row>
    <row r="292" spans="1:44" ht="14.25" x14ac:dyDescent="0.45">
      <c r="A292" s="2" t="s">
        <v>207</v>
      </c>
      <c r="B292" s="21">
        <f ca="1">MOD(((C291+PI())/(2*PI())),1)*D292</f>
        <v>7.1790957212713584</v>
      </c>
      <c r="C292" s="20" t="s">
        <v>208</v>
      </c>
      <c r="D292" s="41">
        <f>29+12/60+44/3600</f>
        <v>29.21222222222222</v>
      </c>
      <c r="AC292" s="8">
        <f t="shared" si="242"/>
        <v>-5.4744065578106273E-2</v>
      </c>
      <c r="AD292" s="8">
        <f t="shared" si="243"/>
        <v>5.4744065578106287E-2</v>
      </c>
      <c r="AE292" s="8">
        <f t="shared" si="244"/>
        <v>-0.10229459244984557</v>
      </c>
      <c r="AF292" s="8">
        <f t="shared" si="245"/>
        <v>0.10229459244984557</v>
      </c>
      <c r="AG292" s="8">
        <f t="shared" si="246"/>
        <v>-0.1414213562373095</v>
      </c>
      <c r="AH292" s="8">
        <f t="shared" si="247"/>
        <v>0.14142135623730953</v>
      </c>
      <c r="AI292" s="8">
        <f t="shared" si="248"/>
        <v>-0.21548244770658234</v>
      </c>
      <c r="AJ292" s="8">
        <f t="shared" si="249"/>
        <v>0.21548244770658234</v>
      </c>
      <c r="AK292" s="8">
        <f t="shared" si="250"/>
        <v>-0.73578745649554256</v>
      </c>
      <c r="AL292" s="8">
        <f t="shared" si="251"/>
        <v>0.73578745649554278</v>
      </c>
      <c r="AM292" s="8">
        <f t="shared" si="252"/>
        <v>-1.3489956897306974</v>
      </c>
      <c r="AN292" s="8">
        <f t="shared" si="253"/>
        <v>1.3489956897306976</v>
      </c>
      <c r="AO292" s="8">
        <f t="shared" si="254"/>
        <v>-2.7127303132084468</v>
      </c>
      <c r="AP292" s="8">
        <f t="shared" si="255"/>
        <v>2.7127303132084473</v>
      </c>
      <c r="AQ292" s="8">
        <f t="shared" si="256"/>
        <v>-4.2508148415098015</v>
      </c>
      <c r="AR292" s="8">
        <f t="shared" si="257"/>
        <v>4.2508148415098024</v>
      </c>
    </row>
    <row r="293" spans="1:44" x14ac:dyDescent="0.35">
      <c r="AC293" s="8">
        <f t="shared" si="242"/>
        <v>-6.2633933901109551E-2</v>
      </c>
      <c r="AD293" s="8">
        <f t="shared" si="243"/>
        <v>4.550621667543283E-2</v>
      </c>
      <c r="AE293" s="8">
        <f t="shared" si="244"/>
        <v>-0.1170375761150439</v>
      </c>
      <c r="AF293" s="8">
        <f t="shared" si="245"/>
        <v>8.5032776422243855E-2</v>
      </c>
      <c r="AG293" s="8">
        <f t="shared" si="246"/>
        <v>-0.16180339887498948</v>
      </c>
      <c r="AH293" s="8">
        <f t="shared" si="247"/>
        <v>0.11755705045849466</v>
      </c>
      <c r="AI293" s="8">
        <f t="shared" si="248"/>
        <v>-0.24653838263523156</v>
      </c>
      <c r="AJ293" s="8">
        <f t="shared" si="249"/>
        <v>0.17912061977015417</v>
      </c>
      <c r="AK293" s="8">
        <f t="shared" si="250"/>
        <v>-0.84183120907699183</v>
      </c>
      <c r="AL293" s="8">
        <f t="shared" si="251"/>
        <v>0.61162617479660741</v>
      </c>
      <c r="AM293" s="8">
        <f t="shared" si="252"/>
        <v>-1.5434167333247046</v>
      </c>
      <c r="AN293" s="8">
        <f t="shared" si="253"/>
        <v>1.1213578951955072</v>
      </c>
      <c r="AO293" s="8">
        <f t="shared" si="254"/>
        <v>-3.1036966168801605</v>
      </c>
      <c r="AP293" s="8">
        <f t="shared" si="255"/>
        <v>2.2549675861897986</v>
      </c>
      <c r="AQ293" s="8">
        <f t="shared" si="256"/>
        <v>-4.8634542027046592</v>
      </c>
      <c r="AR293" s="8">
        <f t="shared" si="257"/>
        <v>3.5335063112713407</v>
      </c>
    </row>
    <row r="294" spans="1:44" x14ac:dyDescent="0.35">
      <c r="AC294" s="8">
        <f t="shared" si="242"/>
        <v>-6.8981546901358604E-2</v>
      </c>
      <c r="AD294" s="8">
        <f t="shared" si="243"/>
        <v>3.5147853691735773E-2</v>
      </c>
      <c r="AE294" s="8">
        <f t="shared" si="244"/>
        <v>-0.1288987062308441</v>
      </c>
      <c r="AF294" s="8">
        <f t="shared" si="245"/>
        <v>6.5677171231521184E-2</v>
      </c>
      <c r="AG294" s="8">
        <f t="shared" si="246"/>
        <v>-0.17820130483767357</v>
      </c>
      <c r="AH294" s="8">
        <f t="shared" si="247"/>
        <v>9.0798099947909383E-2</v>
      </c>
      <c r="AI294" s="8">
        <f t="shared" si="248"/>
        <v>-0.27152372436941968</v>
      </c>
      <c r="AJ294" s="8">
        <f t="shared" si="249"/>
        <v>0.13834824770772999</v>
      </c>
      <c r="AK294" s="8">
        <f t="shared" si="250"/>
        <v>-0.92714628341336258</v>
      </c>
      <c r="AL294" s="8">
        <f t="shared" si="251"/>
        <v>0.47240462680328277</v>
      </c>
      <c r="AM294" s="8">
        <f t="shared" si="252"/>
        <v>-1.6998337346377941</v>
      </c>
      <c r="AN294" s="8">
        <f t="shared" si="253"/>
        <v>0.86610854770711598</v>
      </c>
      <c r="AO294" s="8">
        <f t="shared" si="254"/>
        <v>-3.4182396092657705</v>
      </c>
      <c r="AP294" s="8">
        <f t="shared" si="255"/>
        <v>1.7416800733908027</v>
      </c>
      <c r="AQ294" s="8">
        <f t="shared" si="256"/>
        <v>-5.3563391805498242</v>
      </c>
      <c r="AR294" s="8">
        <f t="shared" si="257"/>
        <v>2.7291911286142705</v>
      </c>
    </row>
    <row r="295" spans="1:44" x14ac:dyDescent="0.35">
      <c r="A295" s="1" t="s">
        <v>209</v>
      </c>
      <c r="B295" s="1"/>
      <c r="C295" s="1"/>
      <c r="AC295" s="8">
        <f t="shared" si="242"/>
        <v>-7.3630605280267533E-2</v>
      </c>
      <c r="AD295" s="8">
        <f t="shared" si="243"/>
        <v>2.3924033901109563E-2</v>
      </c>
      <c r="AE295" s="8">
        <f t="shared" si="244"/>
        <v>-0.1375859224089612</v>
      </c>
      <c r="AF295" s="8">
        <f t="shared" si="245"/>
        <v>4.4704376115043909E-2</v>
      </c>
      <c r="AG295" s="8">
        <f t="shared" si="246"/>
        <v>-0.19021130325903071</v>
      </c>
      <c r="AH295" s="8">
        <f t="shared" si="247"/>
        <v>6.1803398874989507E-2</v>
      </c>
      <c r="AI295" s="8">
        <f t="shared" si="248"/>
        <v>-0.28982325087405575</v>
      </c>
      <c r="AJ295" s="8">
        <f t="shared" si="249"/>
        <v>9.4169282635231624E-2</v>
      </c>
      <c r="AK295" s="8">
        <f t="shared" si="250"/>
        <v>-0.98963193922999482</v>
      </c>
      <c r="AL295" s="8">
        <f t="shared" si="251"/>
        <v>0.32155090907699208</v>
      </c>
      <c r="AM295" s="8">
        <f t="shared" si="252"/>
        <v>-1.8143951879793727</v>
      </c>
      <c r="AN295" s="8">
        <f t="shared" si="253"/>
        <v>0.58953273332470491</v>
      </c>
      <c r="AO295" s="8">
        <f t="shared" si="254"/>
        <v>-3.6486141979844007</v>
      </c>
      <c r="AP295" s="8">
        <f t="shared" si="255"/>
        <v>1.1855066168801611</v>
      </c>
      <c r="AQ295" s="8">
        <f t="shared" si="256"/>
        <v>-5.7173333110992939</v>
      </c>
      <c r="AR295" s="8">
        <f t="shared" si="257"/>
        <v>1.8576742027046595</v>
      </c>
    </row>
    <row r="296" spans="1:44" x14ac:dyDescent="0.35">
      <c r="A296" s="6" t="str">
        <f ca="1">"Carte du ciel le "&amp;B10&amp;" "&amp;C10&amp;" "&amp;D10&amp;" à "&amp;E10&amp;" h "&amp;F10&amp;" m TU"</f>
        <v>Carte du ciel le 25 3 2026 à 11 h 45 m TU</v>
      </c>
      <c r="AC296" s="8">
        <f t="shared" si="242"/>
        <v>-7.6466633791207439E-2</v>
      </c>
      <c r="AD296" s="8">
        <f t="shared" si="243"/>
        <v>1.2111124996521677E-2</v>
      </c>
      <c r="AE296" s="8">
        <f t="shared" si="244"/>
        <v>-0.14288531655587242</v>
      </c>
      <c r="AF296" s="8">
        <f t="shared" si="245"/>
        <v>2.263081089329607E-2</v>
      </c>
      <c r="AG296" s="8">
        <f t="shared" si="246"/>
        <v>-0.19753766811902754</v>
      </c>
      <c r="AH296" s="8">
        <f t="shared" si="247"/>
        <v>3.1286893008046199E-2</v>
      </c>
      <c r="AI296" s="8">
        <f t="shared" si="248"/>
        <v>-0.30098636707394921</v>
      </c>
      <c r="AJ296" s="8">
        <f t="shared" si="249"/>
        <v>4.7671557294322917E-2</v>
      </c>
      <c r="AK296" s="8">
        <f t="shared" si="250"/>
        <v>-1.0277495723026808</v>
      </c>
      <c r="AL296" s="8">
        <f t="shared" si="251"/>
        <v>0.1627795408029418</v>
      </c>
      <c r="AM296" s="8">
        <f t="shared" si="252"/>
        <v>-1.8842802101605045</v>
      </c>
      <c r="AN296" s="8">
        <f t="shared" si="253"/>
        <v>0.29844066650087137</v>
      </c>
      <c r="AO296" s="8">
        <f t="shared" si="254"/>
        <v>-3.7891477960923741</v>
      </c>
      <c r="AP296" s="8">
        <f t="shared" si="255"/>
        <v>0.60014205299104129</v>
      </c>
      <c r="AQ296" s="8">
        <f t="shared" si="256"/>
        <v>-5.937547720788106</v>
      </c>
      <c r="AR296" s="8">
        <f t="shared" si="257"/>
        <v>0.94041517265725094</v>
      </c>
    </row>
    <row r="297" spans="1:44" x14ac:dyDescent="0.35">
      <c r="A297" s="6" t="str">
        <f ca="1">"Positions héliocentriques le "&amp;B10&amp;" "&amp;C10&amp;" "&amp;D10</f>
        <v>Positions héliocentriques le 25 3 2026</v>
      </c>
      <c r="AC297" s="8">
        <f t="shared" si="242"/>
        <v>-7.7419800000000011E-2</v>
      </c>
      <c r="AD297" s="8">
        <f t="shared" si="243"/>
        <v>9.4850748349334382E-18</v>
      </c>
      <c r="AE297" s="8">
        <f t="shared" si="244"/>
        <v>-0.1446664</v>
      </c>
      <c r="AF297" s="8">
        <f t="shared" si="245"/>
        <v>1.7723781643719237E-17</v>
      </c>
      <c r="AG297" s="8">
        <f t="shared" si="246"/>
        <v>-0.2</v>
      </c>
      <c r="AH297" s="8">
        <f t="shared" si="247"/>
        <v>2.45029690981724E-17</v>
      </c>
      <c r="AI297" s="8">
        <f t="shared" si="248"/>
        <v>-0.30473820000000001</v>
      </c>
      <c r="AJ297" s="8">
        <f t="shared" si="249"/>
        <v>3.7334953488163405E-17</v>
      </c>
      <c r="AK297" s="8">
        <f t="shared" si="250"/>
        <v>-1.0405606000000001</v>
      </c>
      <c r="AL297" s="8">
        <f t="shared" si="251"/>
        <v>1.2748412113287868E-16</v>
      </c>
      <c r="AM297" s="8">
        <f t="shared" si="252"/>
        <v>-1.9077680000000001</v>
      </c>
      <c r="AN297" s="8">
        <f t="shared" si="253"/>
        <v>2.3372990175241084E-16</v>
      </c>
      <c r="AO297" s="8">
        <f t="shared" si="254"/>
        <v>-3.8363800000000001</v>
      </c>
      <c r="AP297" s="8">
        <f t="shared" si="255"/>
        <v>4.7001350294423319E-16</v>
      </c>
      <c r="AQ297" s="8">
        <f t="shared" si="256"/>
        <v>-6.0115600000000002</v>
      </c>
      <c r="AR297" s="8">
        <f t="shared" si="257"/>
        <v>7.3650534455904634E-16</v>
      </c>
    </row>
    <row r="298" spans="1:44" x14ac:dyDescent="0.35">
      <c r="A298" s="6" t="str">
        <f ca="1">"Ciel visible le "&amp;B10&amp;" "&amp;C10&amp;" "&amp;D10&amp;" à "&amp;E10&amp;" h "&amp;F10&amp;" m TU"</f>
        <v>Ciel visible le 25 3 2026 à 11 h 45 m TU</v>
      </c>
      <c r="P298" s="13"/>
      <c r="Q298" s="14"/>
      <c r="R298" s="14"/>
      <c r="AC298" s="8">
        <f t="shared" si="242"/>
        <v>-7.6466633791207453E-2</v>
      </c>
      <c r="AD298" s="8">
        <f t="shared" si="243"/>
        <v>-1.2111124996521658E-2</v>
      </c>
      <c r="AE298" s="8">
        <f t="shared" si="244"/>
        <v>-0.14288531655587244</v>
      </c>
      <c r="AF298" s="8">
        <f t="shared" si="245"/>
        <v>-2.2630810893296036E-2</v>
      </c>
      <c r="AG298" s="8">
        <f t="shared" si="246"/>
        <v>-0.19753766811902757</v>
      </c>
      <c r="AH298" s="8">
        <f t="shared" si="247"/>
        <v>-3.128689300804615E-2</v>
      </c>
      <c r="AI298" s="8">
        <f t="shared" si="248"/>
        <v>-0.30098636707394921</v>
      </c>
      <c r="AJ298" s="8">
        <f t="shared" si="249"/>
        <v>-4.767155729432284E-2</v>
      </c>
      <c r="AK298" s="8">
        <f t="shared" si="250"/>
        <v>-1.027749572302681</v>
      </c>
      <c r="AL298" s="8">
        <f t="shared" si="251"/>
        <v>-0.16277954080294155</v>
      </c>
      <c r="AM298" s="8">
        <f t="shared" si="252"/>
        <v>-1.884280210160505</v>
      </c>
      <c r="AN298" s="8">
        <f t="shared" si="253"/>
        <v>-0.29844066650087092</v>
      </c>
      <c r="AO298" s="8">
        <f t="shared" si="254"/>
        <v>-3.7891477960923745</v>
      </c>
      <c r="AP298" s="8">
        <f t="shared" si="255"/>
        <v>-0.6001420529910404</v>
      </c>
      <c r="AQ298" s="8">
        <f t="shared" si="256"/>
        <v>-5.9375477207881069</v>
      </c>
      <c r="AR298" s="8">
        <f t="shared" si="257"/>
        <v>-0.94041517265724961</v>
      </c>
    </row>
    <row r="299" spans="1:44" x14ac:dyDescent="0.35">
      <c r="A299" s="2" t="str">
        <f>+"Longitude "&amp;C6&amp;" h "&amp;C7&amp;" min "</f>
        <v xml:space="preserve">Longitude 2 h 25 min </v>
      </c>
      <c r="P299" s="13"/>
      <c r="Q299" s="14"/>
      <c r="R299" s="14"/>
      <c r="AC299" s="8">
        <f t="shared" si="242"/>
        <v>-7.3630605280267533E-2</v>
      </c>
      <c r="AD299" s="8">
        <f t="shared" si="243"/>
        <v>-2.3924033901109545E-2</v>
      </c>
      <c r="AE299" s="8">
        <f t="shared" si="244"/>
        <v>-0.13758592240896123</v>
      </c>
      <c r="AF299" s="8">
        <f t="shared" si="245"/>
        <v>-4.4704376115043874E-2</v>
      </c>
      <c r="AG299" s="8">
        <f t="shared" si="246"/>
        <v>-0.19021130325903074</v>
      </c>
      <c r="AH299" s="8">
        <f t="shared" si="247"/>
        <v>-6.1803398874989458E-2</v>
      </c>
      <c r="AI299" s="8">
        <f t="shared" si="248"/>
        <v>-0.2898232508740558</v>
      </c>
      <c r="AJ299" s="8">
        <f t="shared" si="249"/>
        <v>-9.4169282635231555E-2</v>
      </c>
      <c r="AK299" s="8">
        <f t="shared" si="250"/>
        <v>-0.98963193922999493</v>
      </c>
      <c r="AL299" s="8">
        <f t="shared" si="251"/>
        <v>-0.3215509090769918</v>
      </c>
      <c r="AM299" s="8">
        <f t="shared" si="252"/>
        <v>-1.8143951879793729</v>
      </c>
      <c r="AN299" s="8">
        <f t="shared" si="253"/>
        <v>-0.58953273332470446</v>
      </c>
      <c r="AO299" s="8">
        <f t="shared" si="254"/>
        <v>-3.6486141979844016</v>
      </c>
      <c r="AP299" s="8">
        <f t="shared" si="255"/>
        <v>-1.1855066168801602</v>
      </c>
      <c r="AQ299" s="8">
        <f t="shared" si="256"/>
        <v>-5.7173333110992948</v>
      </c>
      <c r="AR299" s="8">
        <f t="shared" si="257"/>
        <v>-1.8576742027046582</v>
      </c>
    </row>
    <row r="300" spans="1:44" x14ac:dyDescent="0.35">
      <c r="A300" s="2" t="str">
        <f>+"Latitude "&amp;D6&amp;" ° "&amp;D7&amp;" ' "</f>
        <v xml:space="preserve">Latitude 48 ° 50 ' </v>
      </c>
      <c r="P300" s="13"/>
      <c r="Q300" s="14"/>
      <c r="R300" s="14"/>
      <c r="AC300" s="8">
        <f t="shared" si="242"/>
        <v>-6.8981546901358617E-2</v>
      </c>
      <c r="AD300" s="8">
        <f t="shared" si="243"/>
        <v>-3.5147853691735759E-2</v>
      </c>
      <c r="AE300" s="8">
        <f t="shared" si="244"/>
        <v>-0.1288987062308441</v>
      </c>
      <c r="AF300" s="8">
        <f t="shared" si="245"/>
        <v>-6.5677171231521156E-2</v>
      </c>
      <c r="AG300" s="8">
        <f t="shared" si="246"/>
        <v>-0.1782013048376736</v>
      </c>
      <c r="AH300" s="8">
        <f t="shared" si="247"/>
        <v>-9.0798099947909341E-2</v>
      </c>
      <c r="AI300" s="8">
        <f t="shared" si="248"/>
        <v>-0.27152372436941968</v>
      </c>
      <c r="AJ300" s="8">
        <f t="shared" si="249"/>
        <v>-0.13834824770772991</v>
      </c>
      <c r="AK300" s="8">
        <f t="shared" si="250"/>
        <v>-0.92714628341336258</v>
      </c>
      <c r="AL300" s="8">
        <f t="shared" si="251"/>
        <v>-0.4724046268032826</v>
      </c>
      <c r="AM300" s="8">
        <f t="shared" si="252"/>
        <v>-1.6998337346377945</v>
      </c>
      <c r="AN300" s="8">
        <f t="shared" si="253"/>
        <v>-0.86610854770711565</v>
      </c>
      <c r="AO300" s="8">
        <f t="shared" si="254"/>
        <v>-3.4182396092657705</v>
      </c>
      <c r="AP300" s="8">
        <f t="shared" si="255"/>
        <v>-1.741680073390802</v>
      </c>
      <c r="AQ300" s="8">
        <f t="shared" si="256"/>
        <v>-5.3563391805498251</v>
      </c>
      <c r="AR300" s="8">
        <f t="shared" si="257"/>
        <v>-2.7291911286142696</v>
      </c>
    </row>
    <row r="301" spans="1:44" x14ac:dyDescent="0.35">
      <c r="A301" s="2" t="str">
        <f>IF(F6=0,"Echelles non respectées","Zoom = "&amp;F6)</f>
        <v>Zoom = 0,2</v>
      </c>
      <c r="AC301" s="8">
        <f t="shared" si="242"/>
        <v>-6.2633933901109579E-2</v>
      </c>
      <c r="AD301" s="8">
        <f t="shared" si="243"/>
        <v>-4.5506216675432809E-2</v>
      </c>
      <c r="AE301" s="8">
        <f t="shared" si="244"/>
        <v>-0.11703757611504391</v>
      </c>
      <c r="AF301" s="8">
        <f t="shared" si="245"/>
        <v>-8.5032776422243828E-2</v>
      </c>
      <c r="AG301" s="8">
        <f t="shared" si="246"/>
        <v>-0.16180339887498951</v>
      </c>
      <c r="AH301" s="8">
        <f t="shared" si="247"/>
        <v>-0.11755705045849461</v>
      </c>
      <c r="AI301" s="8">
        <f t="shared" si="248"/>
        <v>-0.24653838263523165</v>
      </c>
      <c r="AJ301" s="8">
        <f t="shared" si="249"/>
        <v>-0.17912061977015412</v>
      </c>
      <c r="AK301" s="8">
        <f t="shared" si="250"/>
        <v>-0.84183120907699216</v>
      </c>
      <c r="AL301" s="8">
        <f t="shared" si="251"/>
        <v>-0.61162617479660719</v>
      </c>
      <c r="AM301" s="8">
        <f t="shared" si="252"/>
        <v>-1.5434167333247051</v>
      </c>
      <c r="AN301" s="8">
        <f t="shared" si="253"/>
        <v>-1.1213578951955068</v>
      </c>
      <c r="AO301" s="8">
        <f t="shared" si="254"/>
        <v>-3.1036966168801614</v>
      </c>
      <c r="AP301" s="8">
        <f t="shared" si="255"/>
        <v>-2.2549675861897973</v>
      </c>
      <c r="AQ301" s="8">
        <f t="shared" si="256"/>
        <v>-4.8634542027046601</v>
      </c>
      <c r="AR301" s="8">
        <f t="shared" si="257"/>
        <v>-3.5335063112713394</v>
      </c>
    </row>
    <row r="302" spans="1:44" x14ac:dyDescent="0.35">
      <c r="A302" s="2" t="str">
        <f ca="1">"Lune "&amp;D291</f>
        <v>Lune PQ</v>
      </c>
      <c r="AC302" s="8">
        <f t="shared" si="242"/>
        <v>-5.4744065578106293E-2</v>
      </c>
      <c r="AD302" s="8">
        <f t="shared" si="243"/>
        <v>-5.4744065578106273E-2</v>
      </c>
      <c r="AE302" s="8">
        <f t="shared" si="244"/>
        <v>-0.10229459244984558</v>
      </c>
      <c r="AF302" s="8">
        <f t="shared" si="245"/>
        <v>-0.10229459244984557</v>
      </c>
      <c r="AG302" s="8">
        <f t="shared" si="246"/>
        <v>-0.14142135623730953</v>
      </c>
      <c r="AH302" s="8">
        <f t="shared" si="247"/>
        <v>-0.1414213562373095</v>
      </c>
      <c r="AI302" s="8">
        <f t="shared" si="248"/>
        <v>-0.2154824477065824</v>
      </c>
      <c r="AJ302" s="8">
        <f t="shared" si="249"/>
        <v>-0.21548244770658234</v>
      </c>
      <c r="AK302" s="8">
        <f t="shared" si="250"/>
        <v>-0.73578745649554289</v>
      </c>
      <c r="AL302" s="8">
        <f t="shared" si="251"/>
        <v>-0.73578745649554256</v>
      </c>
      <c r="AM302" s="8">
        <f t="shared" si="252"/>
        <v>-1.3489956897306978</v>
      </c>
      <c r="AN302" s="8">
        <f t="shared" si="253"/>
        <v>-1.3489956897306974</v>
      </c>
      <c r="AO302" s="8">
        <f t="shared" si="254"/>
        <v>-2.7127303132084482</v>
      </c>
      <c r="AP302" s="8">
        <f t="shared" si="255"/>
        <v>-2.7127303132084468</v>
      </c>
      <c r="AQ302" s="8">
        <f t="shared" si="256"/>
        <v>-4.2508148415098033</v>
      </c>
      <c r="AR302" s="8">
        <f t="shared" si="257"/>
        <v>-4.2508148415098015</v>
      </c>
    </row>
    <row r="303" spans="1:44" ht="14.25" x14ac:dyDescent="0.45">
      <c r="A303"/>
      <c r="B303"/>
      <c r="C303"/>
      <c r="D303"/>
      <c r="AC303" s="8">
        <f t="shared" si="242"/>
        <v>-4.550621667543283E-2</v>
      </c>
      <c r="AD303" s="8">
        <f t="shared" si="243"/>
        <v>-6.2633933901109551E-2</v>
      </c>
      <c r="AE303" s="8">
        <f t="shared" si="244"/>
        <v>-8.5032776422243855E-2</v>
      </c>
      <c r="AF303" s="8">
        <f t="shared" si="245"/>
        <v>-0.1170375761150439</v>
      </c>
      <c r="AG303" s="8">
        <f t="shared" si="246"/>
        <v>-0.11755705045849466</v>
      </c>
      <c r="AH303" s="8">
        <f t="shared" si="247"/>
        <v>-0.16180339887498948</v>
      </c>
      <c r="AI303" s="8">
        <f t="shared" si="248"/>
        <v>-0.17912061977015417</v>
      </c>
      <c r="AJ303" s="8">
        <f t="shared" si="249"/>
        <v>-0.24653838263523156</v>
      </c>
      <c r="AK303" s="8">
        <f t="shared" si="250"/>
        <v>-0.61162617479660741</v>
      </c>
      <c r="AL303" s="8">
        <f t="shared" si="251"/>
        <v>-0.84183120907699183</v>
      </c>
      <c r="AM303" s="8">
        <f t="shared" si="252"/>
        <v>-1.1213578951955072</v>
      </c>
      <c r="AN303" s="8">
        <f t="shared" si="253"/>
        <v>-1.5434167333247046</v>
      </c>
      <c r="AO303" s="8">
        <f t="shared" si="254"/>
        <v>-2.2549675861897986</v>
      </c>
      <c r="AP303" s="8">
        <f t="shared" si="255"/>
        <v>-3.1036966168801605</v>
      </c>
      <c r="AQ303" s="8">
        <f t="shared" si="256"/>
        <v>-3.5335063112713407</v>
      </c>
      <c r="AR303" s="8">
        <f t="shared" si="257"/>
        <v>-4.8634542027046592</v>
      </c>
    </row>
    <row r="304" spans="1:44" x14ac:dyDescent="0.35">
      <c r="AC304" s="8">
        <f t="shared" si="242"/>
        <v>-3.514785369173578E-2</v>
      </c>
      <c r="AD304" s="8">
        <f t="shared" si="243"/>
        <v>-6.8981546901358604E-2</v>
      </c>
      <c r="AE304" s="8">
        <f t="shared" si="244"/>
        <v>-6.5677171231521198E-2</v>
      </c>
      <c r="AF304" s="8">
        <f t="shared" si="245"/>
        <v>-0.1288987062308441</v>
      </c>
      <c r="AG304" s="8">
        <f t="shared" si="246"/>
        <v>-9.0798099947909383E-2</v>
      </c>
      <c r="AH304" s="8">
        <f t="shared" si="247"/>
        <v>-0.17820130483767357</v>
      </c>
      <c r="AI304" s="8">
        <f t="shared" si="248"/>
        <v>-0.13834824770772999</v>
      </c>
      <c r="AJ304" s="8">
        <f t="shared" si="249"/>
        <v>-0.27152372436941968</v>
      </c>
      <c r="AK304" s="8">
        <f t="shared" si="250"/>
        <v>-0.47240462680328288</v>
      </c>
      <c r="AL304" s="8">
        <f t="shared" si="251"/>
        <v>-0.92714628341336258</v>
      </c>
      <c r="AM304" s="8">
        <f t="shared" si="252"/>
        <v>-0.86610854770711598</v>
      </c>
      <c r="AN304" s="8">
        <f t="shared" si="253"/>
        <v>-1.6998337346377941</v>
      </c>
      <c r="AO304" s="8">
        <f t="shared" si="254"/>
        <v>-1.7416800733908031</v>
      </c>
      <c r="AP304" s="8">
        <f t="shared" si="255"/>
        <v>-3.4182396092657705</v>
      </c>
      <c r="AQ304" s="8">
        <f t="shared" si="256"/>
        <v>-2.7291911286142709</v>
      </c>
      <c r="AR304" s="8">
        <f t="shared" si="257"/>
        <v>-5.3563391805498242</v>
      </c>
    </row>
    <row r="305" spans="1:44" x14ac:dyDescent="0.35">
      <c r="A305" s="1" t="s">
        <v>210</v>
      </c>
      <c r="B305" s="1"/>
      <c r="C305" s="1"/>
      <c r="AC305" s="8">
        <f t="shared" si="242"/>
        <v>-2.392403390110957E-2</v>
      </c>
      <c r="AD305" s="8">
        <f t="shared" si="243"/>
        <v>-7.3630605280267533E-2</v>
      </c>
      <c r="AE305" s="8">
        <f t="shared" si="244"/>
        <v>-4.4704376115043916E-2</v>
      </c>
      <c r="AF305" s="8">
        <f t="shared" si="245"/>
        <v>-0.1375859224089612</v>
      </c>
      <c r="AG305" s="8">
        <f t="shared" si="246"/>
        <v>-6.1803398874989514E-2</v>
      </c>
      <c r="AH305" s="8">
        <f t="shared" si="247"/>
        <v>-0.19021130325903071</v>
      </c>
      <c r="AI305" s="8">
        <f t="shared" si="248"/>
        <v>-9.4169282635231652E-2</v>
      </c>
      <c r="AJ305" s="8">
        <f t="shared" si="249"/>
        <v>-0.28982325087405575</v>
      </c>
      <c r="AK305" s="8">
        <f t="shared" si="250"/>
        <v>-0.32155090907699213</v>
      </c>
      <c r="AL305" s="8">
        <f t="shared" si="251"/>
        <v>-0.98963193922999482</v>
      </c>
      <c r="AM305" s="8">
        <f t="shared" si="252"/>
        <v>-0.58953273332470502</v>
      </c>
      <c r="AN305" s="8">
        <f t="shared" si="253"/>
        <v>-1.8143951879793727</v>
      </c>
      <c r="AO305" s="8">
        <f t="shared" si="254"/>
        <v>-1.1855066168801613</v>
      </c>
      <c r="AP305" s="8">
        <f t="shared" si="255"/>
        <v>-3.6486141979844007</v>
      </c>
      <c r="AQ305" s="8">
        <f t="shared" si="256"/>
        <v>-1.85767420270466</v>
      </c>
      <c r="AR305" s="8">
        <f t="shared" si="257"/>
        <v>-5.7173333110992939</v>
      </c>
    </row>
    <row r="306" spans="1:44" x14ac:dyDescent="0.35">
      <c r="AC306" s="8">
        <f t="shared" si="242"/>
        <v>-1.211112499652168E-2</v>
      </c>
      <c r="AD306" s="8">
        <f t="shared" si="243"/>
        <v>-7.6466633791207439E-2</v>
      </c>
      <c r="AE306" s="8">
        <f t="shared" si="244"/>
        <v>-2.2630810893296077E-2</v>
      </c>
      <c r="AF306" s="8">
        <f t="shared" si="245"/>
        <v>-0.14288531655587242</v>
      </c>
      <c r="AG306" s="8">
        <f t="shared" si="246"/>
        <v>-3.1286893008046206E-2</v>
      </c>
      <c r="AH306" s="8">
        <f t="shared" si="247"/>
        <v>-0.19753766811902754</v>
      </c>
      <c r="AI306" s="8">
        <f t="shared" si="248"/>
        <v>-4.767155729432293E-2</v>
      </c>
      <c r="AJ306" s="8">
        <f t="shared" si="249"/>
        <v>-0.30098636707394921</v>
      </c>
      <c r="AK306" s="8">
        <f t="shared" si="250"/>
        <v>-0.16277954080294185</v>
      </c>
      <c r="AL306" s="8">
        <f t="shared" si="251"/>
        <v>-1.0277495723026808</v>
      </c>
      <c r="AM306" s="8">
        <f t="shared" si="252"/>
        <v>-0.29844066650087153</v>
      </c>
      <c r="AN306" s="8">
        <f t="shared" si="253"/>
        <v>-1.8842802101605045</v>
      </c>
      <c r="AO306" s="8">
        <f t="shared" si="254"/>
        <v>-0.60014205299104151</v>
      </c>
      <c r="AP306" s="8">
        <f t="shared" si="255"/>
        <v>-3.7891477960923741</v>
      </c>
      <c r="AQ306" s="8">
        <f t="shared" si="256"/>
        <v>-0.94041517265725139</v>
      </c>
      <c r="AR306" s="8">
        <f t="shared" si="257"/>
        <v>-5.937547720788106</v>
      </c>
    </row>
    <row r="307" spans="1:44" x14ac:dyDescent="0.35">
      <c r="A307" s="3" t="s">
        <v>57</v>
      </c>
      <c r="B307" s="3" t="s">
        <v>58</v>
      </c>
      <c r="C307" s="3" t="s">
        <v>59</v>
      </c>
      <c r="D307" s="3" t="s">
        <v>60</v>
      </c>
      <c r="E307" s="3" t="s">
        <v>62</v>
      </c>
      <c r="F307" s="3" t="s">
        <v>63</v>
      </c>
      <c r="G307" s="3" t="s">
        <v>31</v>
      </c>
      <c r="H307" s="3" t="s">
        <v>211</v>
      </c>
      <c r="I307" s="3" t="s">
        <v>212</v>
      </c>
      <c r="J307" s="3" t="s">
        <v>32</v>
      </c>
      <c r="K307" s="3" t="s">
        <v>213</v>
      </c>
      <c r="L307" s="3" t="s">
        <v>214</v>
      </c>
      <c r="M307" s="3" t="s">
        <v>64</v>
      </c>
      <c r="N307" s="3" t="s">
        <v>65</v>
      </c>
      <c r="O307" s="3" t="s">
        <v>33</v>
      </c>
      <c r="P307" s="3" t="s">
        <v>215</v>
      </c>
      <c r="Q307" s="3" t="s">
        <v>216</v>
      </c>
      <c r="AC307" s="8">
        <f t="shared" si="242"/>
        <v>-1.422761225240016E-17</v>
      </c>
      <c r="AD307" s="8">
        <f t="shared" si="243"/>
        <v>-7.7419800000000011E-2</v>
      </c>
      <c r="AE307" s="8">
        <f t="shared" si="244"/>
        <v>-2.6585672465578859E-17</v>
      </c>
      <c r="AF307" s="8">
        <f t="shared" si="245"/>
        <v>-0.1446664</v>
      </c>
      <c r="AG307" s="8">
        <f t="shared" si="246"/>
        <v>-3.67544536472586E-17</v>
      </c>
      <c r="AH307" s="8">
        <f t="shared" si="247"/>
        <v>-0.2</v>
      </c>
      <c r="AI307" s="8">
        <f t="shared" si="248"/>
        <v>-5.6002430232245104E-17</v>
      </c>
      <c r="AJ307" s="8">
        <f t="shared" si="249"/>
        <v>-0.30473820000000001</v>
      </c>
      <c r="AK307" s="8">
        <f t="shared" si="250"/>
        <v>-1.9122618169931799E-16</v>
      </c>
      <c r="AL307" s="8">
        <f t="shared" si="251"/>
        <v>-1.0405606000000001</v>
      </c>
      <c r="AM307" s="8">
        <f t="shared" si="252"/>
        <v>-3.5059485262861623E-16</v>
      </c>
      <c r="AN307" s="8">
        <f t="shared" si="253"/>
        <v>-1.9077680000000001</v>
      </c>
      <c r="AO307" s="8">
        <f t="shared" si="254"/>
        <v>-7.0502025441634974E-16</v>
      </c>
      <c r="AP307" s="8">
        <f t="shared" si="255"/>
        <v>-3.8363800000000001</v>
      </c>
      <c r="AQ307" s="8">
        <f t="shared" si="256"/>
        <v>-1.1047580168385695E-15</v>
      </c>
      <c r="AR307" s="8">
        <f t="shared" si="257"/>
        <v>-6.0115600000000002</v>
      </c>
    </row>
    <row r="308" spans="1:44" x14ac:dyDescent="0.35">
      <c r="A308" s="12">
        <f>Commentaires!J5</f>
        <v>18</v>
      </c>
      <c r="B308" s="12">
        <f>Commentaires!K5</f>
        <v>35</v>
      </c>
      <c r="C308" s="12">
        <f>Commentaires!L5</f>
        <v>38</v>
      </c>
      <c r="D308" s="12">
        <f>Commentaires!M5</f>
        <v>7</v>
      </c>
      <c r="E308" s="13">
        <f>+A308+B308/60</f>
        <v>18.583333333333332</v>
      </c>
      <c r="F308" s="13">
        <f>(C308+D308/60)*PI()/180</f>
        <v>0.66526133321850522</v>
      </c>
      <c r="G308" s="14">
        <f ca="1">IF($L$10-E308&lt;0,24+$L$10-E308,$L$10-E308)</f>
        <v>5.5099481027777806</v>
      </c>
      <c r="H308" s="10">
        <f ca="1">INT(G308)</f>
        <v>5</v>
      </c>
      <c r="I308" s="10">
        <f ca="1">(G308-H308)*60</f>
        <v>30.596886166666835</v>
      </c>
      <c r="J308" s="14">
        <f ca="1">ASIN(COS(F308)*COS(G308*PI()/12)*COS($D$8)+SIN($D$8)*SIN(F308))</f>
        <v>0.55970414457832962</v>
      </c>
      <c r="K308" s="10">
        <f ca="1">INT(J308*180/PI())</f>
        <v>32</v>
      </c>
      <c r="L308" s="10">
        <f ca="1">(J308*180/PI()-K308)*60</f>
        <v>4.1211156190995268</v>
      </c>
      <c r="M308" s="14">
        <f ca="1">(COS(F308)*SIN(G308*PI()/12))/COS(J308)</f>
        <v>0.92079094259741834</v>
      </c>
      <c r="N308" s="14">
        <f ca="1">(COS(F308)*COS(G308*PI()/12)*SIN($D$8)-COS($D$8)*SIN(F308))/COS(J308)</f>
        <v>-0.39005645749116619</v>
      </c>
      <c r="O308" s="14">
        <f ca="1">IF(N308&lt;0,-ASIN(M308)+PI(),ASIN(M308))</f>
        <v>1.9714892328252938</v>
      </c>
      <c r="P308" s="10">
        <f ca="1">INT(O308*180/PI())</f>
        <v>112</v>
      </c>
      <c r="Q308" s="10">
        <f ca="1">(O308*180/PI()-P308)*60</f>
        <v>57.48074378243075</v>
      </c>
      <c r="AC308" s="8">
        <f t="shared" si="242"/>
        <v>1.2111124996521653E-2</v>
      </c>
      <c r="AD308" s="8">
        <f t="shared" si="243"/>
        <v>-7.6466633791207453E-2</v>
      </c>
      <c r="AE308" s="8">
        <f t="shared" si="244"/>
        <v>2.2630810893296029E-2</v>
      </c>
      <c r="AF308" s="8">
        <f t="shared" si="245"/>
        <v>-0.14288531655587244</v>
      </c>
      <c r="AG308" s="8">
        <f t="shared" si="246"/>
        <v>3.1286893008046136E-2</v>
      </c>
      <c r="AH308" s="8">
        <f t="shared" si="247"/>
        <v>-0.19753766811902757</v>
      </c>
      <c r="AI308" s="8">
        <f t="shared" si="248"/>
        <v>4.7671557294322819E-2</v>
      </c>
      <c r="AJ308" s="8">
        <f t="shared" si="249"/>
        <v>-0.30098636707394921</v>
      </c>
      <c r="AK308" s="8">
        <f t="shared" si="250"/>
        <v>0.16277954080294146</v>
      </c>
      <c r="AL308" s="8">
        <f t="shared" si="251"/>
        <v>-1.027749572302681</v>
      </c>
      <c r="AM308" s="8">
        <f t="shared" si="252"/>
        <v>0.29844066650087081</v>
      </c>
      <c r="AN308" s="8">
        <f t="shared" si="253"/>
        <v>-1.884280210160505</v>
      </c>
      <c r="AO308" s="8">
        <f t="shared" si="254"/>
        <v>0.60014205299104018</v>
      </c>
      <c r="AP308" s="8">
        <f t="shared" si="255"/>
        <v>-3.7891477960923745</v>
      </c>
      <c r="AQ308" s="8">
        <f t="shared" si="256"/>
        <v>0.94041517265724917</v>
      </c>
      <c r="AR308" s="8">
        <f t="shared" si="257"/>
        <v>-5.9375477207881069</v>
      </c>
    </row>
    <row r="309" spans="1:44" x14ac:dyDescent="0.35">
      <c r="AC309" s="8">
        <f t="shared" si="242"/>
        <v>2.3924033901109542E-2</v>
      </c>
      <c r="AD309" s="8">
        <f t="shared" si="243"/>
        <v>-7.3630605280267533E-2</v>
      </c>
      <c r="AE309" s="8">
        <f t="shared" si="244"/>
        <v>4.4704376115043867E-2</v>
      </c>
      <c r="AF309" s="8">
        <f t="shared" si="245"/>
        <v>-0.13758592240896123</v>
      </c>
      <c r="AG309" s="8">
        <f t="shared" si="246"/>
        <v>6.1803398874989451E-2</v>
      </c>
      <c r="AH309" s="8">
        <f t="shared" si="247"/>
        <v>-0.19021130325903074</v>
      </c>
      <c r="AI309" s="8">
        <f t="shared" si="248"/>
        <v>9.4169282635231541E-2</v>
      </c>
      <c r="AJ309" s="8">
        <f t="shared" si="249"/>
        <v>-0.2898232508740558</v>
      </c>
      <c r="AK309" s="8">
        <f t="shared" si="250"/>
        <v>0.32155090907699174</v>
      </c>
      <c r="AL309" s="8">
        <f t="shared" si="251"/>
        <v>-0.98963193922999493</v>
      </c>
      <c r="AM309" s="8">
        <f t="shared" si="252"/>
        <v>0.58953273332470435</v>
      </c>
      <c r="AN309" s="8">
        <f t="shared" si="253"/>
        <v>-1.8143951879793729</v>
      </c>
      <c r="AO309" s="8">
        <f t="shared" si="254"/>
        <v>1.18550661688016</v>
      </c>
      <c r="AP309" s="8">
        <f t="shared" si="255"/>
        <v>-3.6486141979844016</v>
      </c>
      <c r="AQ309" s="8">
        <f t="shared" si="256"/>
        <v>1.8576742027046578</v>
      </c>
      <c r="AR309" s="8">
        <f t="shared" si="257"/>
        <v>-5.7173333110992948</v>
      </c>
    </row>
    <row r="310" spans="1:44" x14ac:dyDescent="0.35">
      <c r="AC310" s="8">
        <f t="shared" si="242"/>
        <v>3.5147853691735752E-2</v>
      </c>
      <c r="AD310" s="8">
        <f t="shared" si="243"/>
        <v>-6.8981546901358617E-2</v>
      </c>
      <c r="AE310" s="8">
        <f t="shared" si="244"/>
        <v>6.5677171231521156E-2</v>
      </c>
      <c r="AF310" s="8">
        <f t="shared" si="245"/>
        <v>-0.1288987062308441</v>
      </c>
      <c r="AG310" s="8">
        <f t="shared" si="246"/>
        <v>9.0798099947909328E-2</v>
      </c>
      <c r="AH310" s="8">
        <f t="shared" si="247"/>
        <v>-0.1782013048376736</v>
      </c>
      <c r="AI310" s="8">
        <f t="shared" si="248"/>
        <v>0.13834824770772991</v>
      </c>
      <c r="AJ310" s="8">
        <f t="shared" si="249"/>
        <v>-0.27152372436941968</v>
      </c>
      <c r="AK310" s="8">
        <f t="shared" si="250"/>
        <v>0.47240462680328249</v>
      </c>
      <c r="AL310" s="8">
        <f t="shared" si="251"/>
        <v>-0.92714628341336258</v>
      </c>
      <c r="AM310" s="8">
        <f t="shared" si="252"/>
        <v>0.86610854770711543</v>
      </c>
      <c r="AN310" s="8">
        <f t="shared" si="253"/>
        <v>-1.6998337346377945</v>
      </c>
      <c r="AO310" s="8">
        <f t="shared" si="254"/>
        <v>1.741680073390802</v>
      </c>
      <c r="AP310" s="8">
        <f t="shared" si="255"/>
        <v>-3.4182396092657705</v>
      </c>
      <c r="AQ310" s="8">
        <f t="shared" si="256"/>
        <v>2.7291911286142692</v>
      </c>
      <c r="AR310" s="8">
        <f t="shared" si="257"/>
        <v>-5.3563391805498251</v>
      </c>
    </row>
    <row r="311" spans="1:44" x14ac:dyDescent="0.35">
      <c r="AC311" s="8">
        <f t="shared" si="242"/>
        <v>4.5506216675432802E-2</v>
      </c>
      <c r="AD311" s="8">
        <f t="shared" si="243"/>
        <v>-6.2633933901109579E-2</v>
      </c>
      <c r="AE311" s="8">
        <f t="shared" si="244"/>
        <v>8.5032776422243814E-2</v>
      </c>
      <c r="AF311" s="8">
        <f t="shared" si="245"/>
        <v>-0.11703757611504391</v>
      </c>
      <c r="AG311" s="8">
        <f t="shared" si="246"/>
        <v>0.11755705045849459</v>
      </c>
      <c r="AH311" s="8">
        <f t="shared" si="247"/>
        <v>-0.16180339887498951</v>
      </c>
      <c r="AI311" s="8">
        <f t="shared" si="248"/>
        <v>0.17912061977015406</v>
      </c>
      <c r="AJ311" s="8">
        <f t="shared" si="249"/>
        <v>-0.24653838263523165</v>
      </c>
      <c r="AK311" s="8">
        <f t="shared" si="250"/>
        <v>0.61162617479660708</v>
      </c>
      <c r="AL311" s="8">
        <f t="shared" si="251"/>
        <v>-0.84183120907699216</v>
      </c>
      <c r="AM311" s="8">
        <f t="shared" si="252"/>
        <v>1.1213578951955065</v>
      </c>
      <c r="AN311" s="8">
        <f t="shared" si="253"/>
        <v>-1.5434167333247051</v>
      </c>
      <c r="AO311" s="8">
        <f t="shared" si="254"/>
        <v>2.2549675861897973</v>
      </c>
      <c r="AP311" s="8">
        <f t="shared" si="255"/>
        <v>-3.1036966168801614</v>
      </c>
      <c r="AQ311" s="8">
        <f t="shared" si="256"/>
        <v>3.5335063112713385</v>
      </c>
      <c r="AR311" s="8">
        <f t="shared" si="257"/>
        <v>-4.8634542027046601</v>
      </c>
    </row>
    <row r="312" spans="1:44" x14ac:dyDescent="0.35">
      <c r="AC312" s="8">
        <f t="shared" si="242"/>
        <v>5.4744065578106266E-2</v>
      </c>
      <c r="AD312" s="8">
        <f t="shared" si="243"/>
        <v>-5.4744065578106293E-2</v>
      </c>
      <c r="AE312" s="8">
        <f t="shared" si="244"/>
        <v>0.10229459244984554</v>
      </c>
      <c r="AF312" s="8">
        <f t="shared" si="245"/>
        <v>-0.10229459244984558</v>
      </c>
      <c r="AG312" s="8">
        <f t="shared" si="246"/>
        <v>0.14142135623730948</v>
      </c>
      <c r="AH312" s="8">
        <f t="shared" si="247"/>
        <v>-0.14142135623730953</v>
      </c>
      <c r="AI312" s="8">
        <f t="shared" si="248"/>
        <v>0.21548244770658231</v>
      </c>
      <c r="AJ312" s="8">
        <f t="shared" si="249"/>
        <v>-0.2154824477065824</v>
      </c>
      <c r="AK312" s="8">
        <f t="shared" si="250"/>
        <v>0.73578745649554245</v>
      </c>
      <c r="AL312" s="8">
        <f t="shared" si="251"/>
        <v>-0.73578745649554289</v>
      </c>
      <c r="AM312" s="8">
        <f t="shared" si="252"/>
        <v>1.3489956897306972</v>
      </c>
      <c r="AN312" s="8">
        <f t="shared" si="253"/>
        <v>-1.3489956897306978</v>
      </c>
      <c r="AO312" s="8">
        <f t="shared" si="254"/>
        <v>2.7127303132084464</v>
      </c>
      <c r="AP312" s="8">
        <f t="shared" si="255"/>
        <v>-2.7127303132084482</v>
      </c>
      <c r="AQ312" s="8">
        <f t="shared" si="256"/>
        <v>4.2508148415098006</v>
      </c>
      <c r="AR312" s="8">
        <f t="shared" si="257"/>
        <v>-4.2508148415098033</v>
      </c>
    </row>
    <row r="313" spans="1:44" x14ac:dyDescent="0.35">
      <c r="AC313" s="8">
        <f t="shared" si="242"/>
        <v>6.2633933901109551E-2</v>
      </c>
      <c r="AD313" s="8">
        <f t="shared" si="243"/>
        <v>-4.5506216675432837E-2</v>
      </c>
      <c r="AE313" s="8">
        <f t="shared" si="244"/>
        <v>0.1170375761150439</v>
      </c>
      <c r="AF313" s="8">
        <f t="shared" si="245"/>
        <v>-8.5032776422243869E-2</v>
      </c>
      <c r="AG313" s="8">
        <f t="shared" si="246"/>
        <v>0.16180339887498948</v>
      </c>
      <c r="AH313" s="8">
        <f t="shared" si="247"/>
        <v>-0.11755705045849468</v>
      </c>
      <c r="AI313" s="8">
        <f t="shared" si="248"/>
        <v>0.24653838263523156</v>
      </c>
      <c r="AJ313" s="8">
        <f t="shared" si="249"/>
        <v>-0.1791206197701542</v>
      </c>
      <c r="AK313" s="8">
        <f t="shared" si="250"/>
        <v>0.84183120907699183</v>
      </c>
      <c r="AL313" s="8">
        <f t="shared" si="251"/>
        <v>-0.61162617479660752</v>
      </c>
      <c r="AM313" s="8">
        <f t="shared" si="252"/>
        <v>1.5434167333247046</v>
      </c>
      <c r="AN313" s="8">
        <f t="shared" si="253"/>
        <v>-1.1213578951955074</v>
      </c>
      <c r="AO313" s="8">
        <f t="shared" si="254"/>
        <v>3.1036966168801605</v>
      </c>
      <c r="AP313" s="8">
        <f t="shared" si="255"/>
        <v>-2.2549675861897991</v>
      </c>
      <c r="AQ313" s="8">
        <f t="shared" si="256"/>
        <v>4.8634542027046592</v>
      </c>
      <c r="AR313" s="8">
        <f t="shared" si="257"/>
        <v>-3.5335063112713416</v>
      </c>
    </row>
    <row r="314" spans="1:44" ht="14.25" x14ac:dyDescent="0.45">
      <c r="A314"/>
      <c r="B314"/>
      <c r="C314"/>
      <c r="D314"/>
      <c r="E314"/>
      <c r="F314"/>
      <c r="G314"/>
      <c r="H314"/>
      <c r="I314"/>
      <c r="J314"/>
      <c r="K314"/>
      <c r="L314"/>
      <c r="M314"/>
      <c r="N314"/>
      <c r="O314"/>
      <c r="P314"/>
      <c r="Q314"/>
      <c r="R314"/>
      <c r="S314"/>
      <c r="AC314" s="8">
        <f t="shared" si="242"/>
        <v>6.8981546901358604E-2</v>
      </c>
      <c r="AD314" s="8">
        <f t="shared" si="243"/>
        <v>-3.514785369173578E-2</v>
      </c>
      <c r="AE314" s="8">
        <f t="shared" si="244"/>
        <v>0.1288987062308441</v>
      </c>
      <c r="AF314" s="8">
        <f t="shared" si="245"/>
        <v>-6.5677171231521198E-2</v>
      </c>
      <c r="AG314" s="8">
        <f t="shared" si="246"/>
        <v>0.17820130483767357</v>
      </c>
      <c r="AH314" s="8">
        <f t="shared" si="247"/>
        <v>-9.0798099947909397E-2</v>
      </c>
      <c r="AI314" s="8">
        <f t="shared" si="248"/>
        <v>0.27152372436941968</v>
      </c>
      <c r="AJ314" s="8">
        <f t="shared" si="249"/>
        <v>-0.13834824770772999</v>
      </c>
      <c r="AK314" s="8">
        <f t="shared" si="250"/>
        <v>0.92714628341336258</v>
      </c>
      <c r="AL314" s="8">
        <f t="shared" si="251"/>
        <v>-0.47240462680328288</v>
      </c>
      <c r="AM314" s="8">
        <f t="shared" si="252"/>
        <v>1.6998337346377941</v>
      </c>
      <c r="AN314" s="8">
        <f t="shared" si="253"/>
        <v>-0.86610854770711621</v>
      </c>
      <c r="AO314" s="8">
        <f t="shared" si="254"/>
        <v>3.4182396092657705</v>
      </c>
      <c r="AP314" s="8">
        <f t="shared" si="255"/>
        <v>-1.7416800733908031</v>
      </c>
      <c r="AQ314" s="8">
        <f t="shared" si="256"/>
        <v>5.3563391805498242</v>
      </c>
      <c r="AR314" s="8">
        <f t="shared" si="257"/>
        <v>-2.7291911286142714</v>
      </c>
    </row>
    <row r="315" spans="1:44" ht="14.25" x14ac:dyDescent="0.45">
      <c r="A315"/>
      <c r="B315"/>
      <c r="C315"/>
      <c r="D315"/>
      <c r="E315"/>
      <c r="F315"/>
      <c r="G315"/>
      <c r="H315"/>
      <c r="I315"/>
      <c r="J315"/>
      <c r="K315"/>
      <c r="L315"/>
      <c r="M315"/>
      <c r="N315"/>
      <c r="O315"/>
      <c r="P315"/>
      <c r="Q315"/>
      <c r="R315"/>
      <c r="S315"/>
      <c r="AC315" s="8">
        <f t="shared" si="242"/>
        <v>7.3630605280267533E-2</v>
      </c>
      <c r="AD315" s="8">
        <f t="shared" si="243"/>
        <v>-2.3924033901109573E-2</v>
      </c>
      <c r="AE315" s="8">
        <f t="shared" si="244"/>
        <v>0.1375859224089612</v>
      </c>
      <c r="AF315" s="8">
        <f t="shared" si="245"/>
        <v>-4.4704376115043923E-2</v>
      </c>
      <c r="AG315" s="8">
        <f t="shared" si="246"/>
        <v>0.19021130325903071</v>
      </c>
      <c r="AH315" s="8">
        <f t="shared" si="247"/>
        <v>-6.1803398874989528E-2</v>
      </c>
      <c r="AI315" s="8">
        <f t="shared" si="248"/>
        <v>0.28982325087405575</v>
      </c>
      <c r="AJ315" s="8">
        <f t="shared" si="249"/>
        <v>-9.4169282635231666E-2</v>
      </c>
      <c r="AK315" s="8">
        <f t="shared" si="250"/>
        <v>0.98963193922999482</v>
      </c>
      <c r="AL315" s="8">
        <f t="shared" si="251"/>
        <v>-0.32155090907699213</v>
      </c>
      <c r="AM315" s="8">
        <f t="shared" si="252"/>
        <v>1.8143951879793727</v>
      </c>
      <c r="AN315" s="8">
        <f t="shared" si="253"/>
        <v>-0.58953273332470513</v>
      </c>
      <c r="AO315" s="8">
        <f t="shared" si="254"/>
        <v>3.6486141979844007</v>
      </c>
      <c r="AP315" s="8">
        <f t="shared" si="255"/>
        <v>-1.1855066168801616</v>
      </c>
      <c r="AQ315" s="8">
        <f t="shared" si="256"/>
        <v>5.7173333110992939</v>
      </c>
      <c r="AR315" s="8">
        <f t="shared" si="257"/>
        <v>-1.8576742027046604</v>
      </c>
    </row>
    <row r="316" spans="1:44" ht="14.25" x14ac:dyDescent="0.45">
      <c r="A316"/>
      <c r="B316"/>
      <c r="C316"/>
      <c r="D316"/>
      <c r="E316"/>
      <c r="F316"/>
      <c r="G316"/>
      <c r="H316"/>
      <c r="I316"/>
      <c r="J316"/>
      <c r="K316"/>
      <c r="L316"/>
      <c r="M316"/>
      <c r="N316"/>
      <c r="O316"/>
      <c r="P316"/>
      <c r="Q316"/>
      <c r="R316"/>
      <c r="S316"/>
      <c r="AC316" s="8">
        <f t="shared" si="242"/>
        <v>7.6466633791207439E-2</v>
      </c>
      <c r="AD316" s="8">
        <f t="shared" si="243"/>
        <v>-1.2111124996521686E-2</v>
      </c>
      <c r="AE316" s="8">
        <f t="shared" si="244"/>
        <v>0.14288531655587242</v>
      </c>
      <c r="AF316" s="8">
        <f t="shared" si="245"/>
        <v>-2.2630810893296091E-2</v>
      </c>
      <c r="AG316" s="8">
        <f t="shared" si="246"/>
        <v>0.19753766811902754</v>
      </c>
      <c r="AH316" s="8">
        <f t="shared" si="247"/>
        <v>-3.1286893008046227E-2</v>
      </c>
      <c r="AI316" s="8">
        <f t="shared" si="248"/>
        <v>0.30098636707394921</v>
      </c>
      <c r="AJ316" s="8">
        <f t="shared" si="249"/>
        <v>-4.7671557294322958E-2</v>
      </c>
      <c r="AK316" s="8">
        <f t="shared" si="250"/>
        <v>1.0277495723026808</v>
      </c>
      <c r="AL316" s="8">
        <f t="shared" si="251"/>
        <v>-0.16277954080294194</v>
      </c>
      <c r="AM316" s="8">
        <f t="shared" si="252"/>
        <v>1.8842802101605045</v>
      </c>
      <c r="AN316" s="8">
        <f t="shared" si="253"/>
        <v>-0.29844066650087164</v>
      </c>
      <c r="AO316" s="8">
        <f t="shared" si="254"/>
        <v>3.7891477960923741</v>
      </c>
      <c r="AP316" s="8">
        <f t="shared" si="255"/>
        <v>-0.60014205299104184</v>
      </c>
      <c r="AQ316" s="8">
        <f t="shared" si="256"/>
        <v>5.937547720788106</v>
      </c>
      <c r="AR316" s="8">
        <f t="shared" si="257"/>
        <v>-0.94041517265725183</v>
      </c>
    </row>
    <row r="317" spans="1:44" ht="14.25" x14ac:dyDescent="0.45">
      <c r="A317"/>
      <c r="B317"/>
      <c r="C317"/>
      <c r="D317"/>
      <c r="E317"/>
      <c r="F317"/>
      <c r="G317"/>
      <c r="H317"/>
      <c r="I317"/>
      <c r="J317"/>
      <c r="K317"/>
      <c r="L317"/>
      <c r="M317"/>
      <c r="N317"/>
      <c r="O317"/>
      <c r="P317"/>
      <c r="Q317"/>
      <c r="R317"/>
      <c r="S317"/>
      <c r="AC317" s="8">
        <f t="shared" si="242"/>
        <v>7.7419800000000011E-2</v>
      </c>
      <c r="AD317" s="8">
        <f t="shared" si="243"/>
        <v>-1.8970149669866876E-17</v>
      </c>
      <c r="AE317" s="8">
        <f t="shared" si="244"/>
        <v>0.1446664</v>
      </c>
      <c r="AF317" s="8">
        <f t="shared" si="245"/>
        <v>-3.5447563287438475E-17</v>
      </c>
      <c r="AG317" s="8">
        <f t="shared" si="246"/>
        <v>0.2</v>
      </c>
      <c r="AH317" s="8">
        <f t="shared" si="247"/>
        <v>-4.90059381963448E-17</v>
      </c>
      <c r="AI317" s="8">
        <f t="shared" si="248"/>
        <v>0.30473820000000001</v>
      </c>
      <c r="AJ317" s="8">
        <f t="shared" si="249"/>
        <v>-7.466990697632681E-17</v>
      </c>
      <c r="AK317" s="8">
        <f t="shared" si="250"/>
        <v>1.0405606000000001</v>
      </c>
      <c r="AL317" s="8">
        <f t="shared" si="251"/>
        <v>-2.5496824226575737E-16</v>
      </c>
      <c r="AM317" s="8">
        <f t="shared" si="252"/>
        <v>1.9077680000000001</v>
      </c>
      <c r="AN317" s="8">
        <f t="shared" si="253"/>
        <v>-4.6745980350482168E-16</v>
      </c>
      <c r="AO317" s="8">
        <f t="shared" si="254"/>
        <v>3.8363800000000001</v>
      </c>
      <c r="AP317" s="8">
        <f t="shared" si="255"/>
        <v>-9.4002700588846639E-16</v>
      </c>
      <c r="AQ317" s="8">
        <f t="shared" si="256"/>
        <v>6.0115600000000002</v>
      </c>
      <c r="AR317" s="8">
        <f t="shared" si="257"/>
        <v>-1.4730106891180927E-15</v>
      </c>
    </row>
    <row r="318" spans="1:44" ht="14.25" x14ac:dyDescent="0.45">
      <c r="A318"/>
      <c r="B318"/>
      <c r="C318"/>
      <c r="D318"/>
      <c r="E318"/>
      <c r="F318"/>
      <c r="G318"/>
      <c r="H318"/>
      <c r="I318"/>
      <c r="J318"/>
      <c r="K318"/>
      <c r="L318"/>
      <c r="M318"/>
      <c r="N318"/>
      <c r="O318"/>
      <c r="P318"/>
      <c r="Q318"/>
      <c r="R318"/>
      <c r="S318"/>
    </row>
    <row r="319" spans="1:44" ht="14.25" x14ac:dyDescent="0.45">
      <c r="A319"/>
      <c r="B319"/>
      <c r="C319"/>
      <c r="D319"/>
      <c r="E319"/>
      <c r="F319"/>
      <c r="G319"/>
      <c r="H319"/>
      <c r="I319"/>
      <c r="J319"/>
      <c r="K319"/>
      <c r="L319"/>
      <c r="M319"/>
      <c r="N319"/>
      <c r="O319"/>
      <c r="P319"/>
      <c r="Q319"/>
      <c r="R319"/>
      <c r="S319"/>
    </row>
    <row r="320" spans="1:44" ht="14.25" x14ac:dyDescent="0.45">
      <c r="A320"/>
      <c r="B320"/>
      <c r="C320"/>
      <c r="D320"/>
      <c r="E320"/>
      <c r="F320"/>
      <c r="G320"/>
      <c r="H320"/>
      <c r="I320"/>
      <c r="J320"/>
      <c r="K320"/>
      <c r="L320"/>
      <c r="M320"/>
      <c r="N320"/>
      <c r="O320"/>
      <c r="P320"/>
      <c r="Q320"/>
      <c r="R320"/>
      <c r="S320"/>
    </row>
    <row r="321" spans="1:19" ht="14.25" x14ac:dyDescent="0.45">
      <c r="A321"/>
      <c r="B321"/>
      <c r="C321"/>
      <c r="D321"/>
      <c r="E321"/>
      <c r="F321"/>
      <c r="G321"/>
      <c r="H321"/>
      <c r="I321"/>
      <c r="J321"/>
      <c r="K321"/>
      <c r="L321"/>
      <c r="M321"/>
      <c r="N321"/>
      <c r="O321"/>
      <c r="P321"/>
      <c r="Q321"/>
      <c r="R321"/>
      <c r="S321"/>
    </row>
    <row r="322" spans="1:19" ht="14.25" x14ac:dyDescent="0.45">
      <c r="A322"/>
      <c r="B322"/>
      <c r="C322"/>
      <c r="D322"/>
      <c r="E322"/>
      <c r="F322"/>
      <c r="G322"/>
      <c r="H322"/>
      <c r="I322"/>
      <c r="J322"/>
      <c r="K322"/>
      <c r="L322"/>
      <c r="M322"/>
      <c r="N322"/>
      <c r="O322"/>
      <c r="P322"/>
      <c r="Q322"/>
      <c r="R322"/>
      <c r="S322"/>
    </row>
    <row r="323" spans="1:19" ht="14.25" x14ac:dyDescent="0.45">
      <c r="A323"/>
      <c r="B323"/>
      <c r="C323"/>
      <c r="D323"/>
      <c r="E323"/>
      <c r="F323"/>
      <c r="G323"/>
      <c r="H323"/>
      <c r="I323"/>
      <c r="J323"/>
      <c r="K323"/>
      <c r="L323"/>
      <c r="M323"/>
      <c r="N323"/>
      <c r="O323"/>
      <c r="P323"/>
      <c r="Q323"/>
      <c r="R323"/>
      <c r="S323"/>
    </row>
  </sheetData>
  <mergeCells count="2">
    <mergeCell ref="I5:L5"/>
    <mergeCell ref="W276:AB276"/>
  </mergeCells>
  <pageMargins left="0.7" right="0.7" top="0.75" bottom="0.75" header="0.3" footer="0.3"/>
  <pageSetup paperSize="9" orientation="portrait" r:id="rId1"/>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5"/>
  <dimension ref="B2:M28"/>
  <sheetViews>
    <sheetView showGridLines="0" showRowColHeaders="0" zoomScale="90" zoomScaleNormal="90" workbookViewId="0">
      <selection activeCell="J5" sqref="J5"/>
    </sheetView>
  </sheetViews>
  <sheetFormatPr baseColWidth="10" defaultColWidth="11.3984375" defaultRowHeight="14.25" x14ac:dyDescent="0.45"/>
  <cols>
    <col min="1" max="1" width="6" customWidth="1"/>
    <col min="2" max="5" width="14.1328125" customWidth="1"/>
    <col min="6" max="6" width="14.1328125" bestFit="1" customWidth="1"/>
    <col min="9" max="9" width="20" customWidth="1"/>
  </cols>
  <sheetData>
    <row r="2" spans="2:13" x14ac:dyDescent="0.45">
      <c r="B2" s="49" t="s">
        <v>24</v>
      </c>
      <c r="C2" s="49"/>
      <c r="D2" s="49"/>
      <c r="E2" s="49"/>
      <c r="F2" s="49"/>
      <c r="J2" s="46" t="s">
        <v>25</v>
      </c>
      <c r="K2" s="46"/>
      <c r="L2" s="46"/>
      <c r="M2" s="46"/>
    </row>
    <row r="4" spans="2:13" x14ac:dyDescent="0.45">
      <c r="B4" s="3" t="str">
        <f>Calculs!A5</f>
        <v>Date</v>
      </c>
      <c r="C4" s="3" t="str">
        <f>Calculs!B5&amp;" *"</f>
        <v>Heure *</v>
      </c>
      <c r="D4" s="3" t="str">
        <f>Calculs!C5</f>
        <v>Longitude</v>
      </c>
      <c r="E4" s="3" t="str">
        <f>Calculs!D5</f>
        <v>Latitude</v>
      </c>
      <c r="F4" s="3" t="s">
        <v>26</v>
      </c>
      <c r="J4" s="50" t="s">
        <v>27</v>
      </c>
      <c r="K4" s="50"/>
      <c r="L4" s="50" t="s">
        <v>28</v>
      </c>
      <c r="M4" s="50"/>
    </row>
    <row r="5" spans="2:13" x14ac:dyDescent="0.45">
      <c r="B5" s="16">
        <f ca="1">Calculs!A10</f>
        <v>46106.489583333336</v>
      </c>
      <c r="C5" s="29">
        <f ca="1">B5</f>
        <v>46106.489583333336</v>
      </c>
      <c r="D5" s="23" t="str">
        <f>Calculs!C6&amp;"° "&amp;Calculs!C7&amp;" min"</f>
        <v>2° 25 min</v>
      </c>
      <c r="E5" s="23" t="str">
        <f>Calculs!D6&amp;"° "&amp;Calculs!D7&amp;" min"</f>
        <v>48° 50 min</v>
      </c>
      <c r="F5" s="25">
        <f ca="1">Calculs!L10/24</f>
        <v>3.886726504629697E-3</v>
      </c>
      <c r="J5" s="32">
        <v>18</v>
      </c>
      <c r="K5" s="28">
        <v>35</v>
      </c>
      <c r="L5" s="27">
        <v>38</v>
      </c>
      <c r="M5" s="28">
        <v>7</v>
      </c>
    </row>
    <row r="6" spans="2:13" x14ac:dyDescent="0.45">
      <c r="B6" s="16"/>
      <c r="C6" s="22"/>
      <c r="D6" s="23"/>
      <c r="E6" s="23"/>
      <c r="F6" s="25"/>
      <c r="M6" s="2"/>
    </row>
    <row r="7" spans="2:13" x14ac:dyDescent="0.45">
      <c r="B7" s="31" t="str">
        <f>Calculs!A277</f>
        <v>Soleil</v>
      </c>
      <c r="C7" s="3" t="s">
        <v>27</v>
      </c>
      <c r="D7" s="3" t="s">
        <v>28</v>
      </c>
      <c r="E7" s="3" t="s">
        <v>29</v>
      </c>
      <c r="F7" s="3" t="s">
        <v>30</v>
      </c>
      <c r="J7" s="3" t="s">
        <v>31</v>
      </c>
      <c r="K7" s="3" t="s">
        <v>32</v>
      </c>
      <c r="L7" s="3" t="s">
        <v>217</v>
      </c>
    </row>
    <row r="8" spans="2:13" x14ac:dyDescent="0.45">
      <c r="C8" s="23" t="str">
        <f ca="1">INT(Calculs!I277)&amp;" h "&amp;ROUND((Calculs!I277-INT(Calculs!I277))*60,0)&amp;" min"</f>
        <v>0 h 13 min</v>
      </c>
      <c r="D8" s="23" t="str">
        <f ca="1">INT(Calculs!J277*180/PI())&amp;"° "&amp;ROUND((Calculs!J277*180/PI()-INT(Calculs!J277*180/PI()))*60,0)&amp;" min"</f>
        <v>1° 20 min</v>
      </c>
      <c r="E8" s="23" t="str">
        <f ca="1">INT(Calculs!L277*180/PI())&amp;"° "&amp;ROUND((Calculs!L277*180/PI()-INT(Calculs!L277*180/PI()))*60,0)&amp;" min"</f>
        <v>42° 28 min</v>
      </c>
      <c r="F8" s="23" t="str">
        <f ca="1">INT(Calculs!O277*180/PI())&amp;"° "&amp;ROUND((Calculs!O277*180/PI()-INT(Calculs!O277*180/PI()))*60,0)&amp;" min"</f>
        <v>-3° 22 min</v>
      </c>
      <c r="J8" s="23" t="str">
        <f ca="1">Calculs!H308&amp;" h "&amp;ROUND(Calculs!I308,0)&amp;" min"</f>
        <v>5 h 31 min</v>
      </c>
      <c r="K8" s="23" t="str">
        <f ca="1">Calculs!K308&amp;"° "&amp;ROUND(Calculs!L308,0)&amp;" min"</f>
        <v>32° 4 min</v>
      </c>
      <c r="L8" s="23" t="str">
        <f ca="1">Calculs!P308&amp;"° "&amp;ROUND(Calculs!Q308,0)&amp;" min"</f>
        <v>112° 57 min</v>
      </c>
    </row>
    <row r="10" spans="2:13" x14ac:dyDescent="0.45">
      <c r="B10" s="31" t="str">
        <f>Calculs!A287</f>
        <v>Lune</v>
      </c>
      <c r="C10" s="3" t="s">
        <v>34</v>
      </c>
      <c r="D10" s="3" t="s">
        <v>35</v>
      </c>
      <c r="J10" s="39" t="s">
        <v>218</v>
      </c>
    </row>
    <row r="11" spans="2:13" x14ac:dyDescent="0.45">
      <c r="C11" s="23" t="str">
        <f ca="1">Calculs!D291</f>
        <v>PQ</v>
      </c>
      <c r="D11" s="26">
        <f ca="1">Calculs!B292</f>
        <v>7.1790957212713584</v>
      </c>
    </row>
    <row r="12" spans="2:13" x14ac:dyDescent="0.45">
      <c r="C12" s="23"/>
      <c r="D12" s="26"/>
    </row>
    <row r="13" spans="2:13" x14ac:dyDescent="0.45">
      <c r="B13" s="39" t="s">
        <v>226</v>
      </c>
      <c r="C13" s="23"/>
      <c r="D13" s="26"/>
    </row>
    <row r="14" spans="2:13" x14ac:dyDescent="0.45">
      <c r="C14" s="23"/>
      <c r="D14" s="26"/>
    </row>
    <row r="15" spans="2:13" x14ac:dyDescent="0.45">
      <c r="C15" s="23"/>
      <c r="D15" s="26"/>
    </row>
    <row r="16" spans="2:13" x14ac:dyDescent="0.45">
      <c r="B16" s="24" t="s">
        <v>36</v>
      </c>
    </row>
    <row r="17" spans="2:8" ht="72" customHeight="1" x14ac:dyDescent="0.45">
      <c r="B17" s="48" t="s">
        <v>37</v>
      </c>
      <c r="C17" s="48"/>
      <c r="D17" s="48"/>
      <c r="E17" s="48"/>
      <c r="F17" s="48"/>
      <c r="G17" s="48"/>
      <c r="H17" s="48"/>
    </row>
    <row r="18" spans="2:8" x14ac:dyDescent="0.45">
      <c r="B18" s="30"/>
      <c r="C18" s="30"/>
      <c r="D18" s="30"/>
      <c r="E18" s="30"/>
      <c r="F18" s="30"/>
    </row>
    <row r="19" spans="2:8" x14ac:dyDescent="0.45">
      <c r="B19" s="30"/>
      <c r="C19" s="30"/>
      <c r="D19" s="30"/>
      <c r="E19" s="30"/>
      <c r="F19" s="30"/>
    </row>
    <row r="20" spans="2:8" x14ac:dyDescent="0.45">
      <c r="B20" s="30"/>
      <c r="C20" s="30"/>
      <c r="D20" s="30"/>
      <c r="E20" s="30"/>
      <c r="F20" s="30"/>
    </row>
    <row r="21" spans="2:8" x14ac:dyDescent="0.45">
      <c r="B21" s="30"/>
      <c r="C21" s="30"/>
      <c r="D21" s="30"/>
      <c r="E21" s="30"/>
      <c r="F21" s="30"/>
    </row>
    <row r="22" spans="2:8" x14ac:dyDescent="0.45">
      <c r="B22" s="24" t="s">
        <v>38</v>
      </c>
    </row>
    <row r="23" spans="2:8" ht="49.5" customHeight="1" x14ac:dyDescent="0.45">
      <c r="B23" s="48" t="s">
        <v>227</v>
      </c>
      <c r="C23" s="48"/>
      <c r="D23" s="48"/>
      <c r="E23" s="48"/>
      <c r="F23" s="48"/>
      <c r="G23" s="48"/>
      <c r="H23" s="48"/>
    </row>
    <row r="24" spans="2:8" x14ac:dyDescent="0.45">
      <c r="B24" s="48"/>
      <c r="C24" s="48"/>
      <c r="D24" s="48"/>
      <c r="E24" s="48"/>
      <c r="F24" s="48"/>
      <c r="G24" s="48"/>
      <c r="H24" s="48"/>
    </row>
    <row r="26" spans="2:8" x14ac:dyDescent="0.45">
      <c r="B26" s="24" t="s">
        <v>39</v>
      </c>
    </row>
    <row r="27" spans="2:8" x14ac:dyDescent="0.45">
      <c r="B27" t="s">
        <v>224</v>
      </c>
    </row>
    <row r="28" spans="2:8" x14ac:dyDescent="0.45">
      <c r="B28" t="s">
        <v>40</v>
      </c>
      <c r="C28" s="33" t="s">
        <v>225</v>
      </c>
    </row>
  </sheetData>
  <sheetProtection sheet="1" objects="1" scenarios="1"/>
  <mergeCells count="6">
    <mergeCell ref="B23:H24"/>
    <mergeCell ref="B2:F2"/>
    <mergeCell ref="B17:H17"/>
    <mergeCell ref="J4:K4"/>
    <mergeCell ref="L4:M4"/>
    <mergeCell ref="J2:M2"/>
  </mergeCells>
  <hyperlinks>
    <hyperlink ref="C28" r:id="rId1" xr:uid="{CFAC96E7-1418-4855-834E-848804C9A6EE}"/>
  </hyperlinks>
  <pageMargins left="0.7" right="0.7" top="0.75" bottom="0.75" header="0.3" footer="0.3"/>
  <pageSetup paperSize="9" orientation="portrait" r:id="rId2"/>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Carte du ciel</vt:lpstr>
      <vt:lpstr>Ciel visible</vt:lpstr>
      <vt:lpstr>Positions héliocentriques</vt:lpstr>
      <vt:lpstr>Calculs</vt:lpstr>
      <vt:lpstr>Commentaires</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Didier PAUGAM</dc:creator>
  <cp:keywords/>
  <dc:description/>
  <cp:lastModifiedBy>Didier PAUGAM</cp:lastModifiedBy>
  <cp:revision/>
  <dcterms:created xsi:type="dcterms:W3CDTF">2023-05-07T11:59:58Z</dcterms:created>
  <dcterms:modified xsi:type="dcterms:W3CDTF">2026-03-25T10:45:14Z</dcterms:modified>
  <cp:category/>
  <cp:contentStatus/>
</cp:coreProperties>
</file>