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regory\Documents\"/>
    </mc:Choice>
  </mc:AlternateContent>
  <bookViews>
    <workbookView xWindow="0" yWindow="0" windowWidth="10800" windowHeight="7020" tabRatio="634" firstSheet="2" activeTab="3"/>
  </bookViews>
  <sheets>
    <sheet name="Matrice" sheetId="20" r:id="rId1"/>
    <sheet name="CRA Récapitulatif" sheetId="17" r:id="rId2"/>
    <sheet name="CRA Mensuel" sheetId="39" r:id="rId3"/>
    <sheet name="CA &amp; TVA facturé" sheetId="64" r:id="rId4"/>
    <sheet name="CA &amp; TVA Encaissés" sheetId="22" r:id="rId5"/>
    <sheet name="Revenu &amp; Provisions" sheetId="48" r:id="rId6"/>
    <sheet name="Facture Mensuelle" sheetId="50" r:id="rId7"/>
    <sheet name="Avoir" sheetId="63" r:id="rId8"/>
  </sheets>
  <externalReferences>
    <externalReference r:id="rId9"/>
  </externalReferences>
  <definedNames>
    <definedName name="_xlnm._FilterDatabase" localSheetId="4" hidden="1">'CA &amp; TVA Encaissés'!$B$9:$C$13</definedName>
    <definedName name="_xlnm._FilterDatabase" localSheetId="3" hidden="1">'CA &amp; TVA facturé'!$B$9:$C$14</definedName>
    <definedName name="annee" localSheetId="7">#REF!</definedName>
    <definedName name="annee" localSheetId="3">#REF!</definedName>
    <definedName name="annee">#REF!</definedName>
    <definedName name="AnneeCourante" localSheetId="7">#REF!</definedName>
    <definedName name="AnneeCourante" localSheetId="3">#REF!</definedName>
    <definedName name="AnneeCourante">#REF!</definedName>
    <definedName name="DateDebut" localSheetId="7">#REF!</definedName>
    <definedName name="DateDebut" localSheetId="3">#REF!</definedName>
    <definedName name="DateDebut">#REF!</definedName>
    <definedName name="DateEnreg" localSheetId="7">#REF!</definedName>
    <definedName name="DateEnreg" localSheetId="3">#REF!</definedName>
    <definedName name="DateEnreg">#REF!</definedName>
    <definedName name="DateFin" localSheetId="7">#REF!</definedName>
    <definedName name="DateFin" localSheetId="3">#REF!</definedName>
    <definedName name="DateFin">#REF!</definedName>
    <definedName name="dimanche" localSheetId="7">#REF!</definedName>
    <definedName name="dimanche" localSheetId="3">#REF!</definedName>
    <definedName name="dimanche">#REF!</definedName>
    <definedName name="dimanche_15" localSheetId="7">#REF!</definedName>
    <definedName name="dimanche_15" localSheetId="3">#REF!</definedName>
    <definedName name="dimanche_15">#REF!</definedName>
    <definedName name="dimanche_15_1" localSheetId="7">#REF!</definedName>
    <definedName name="dimanche_15_1" localSheetId="3">#REF!</definedName>
    <definedName name="dimanche_15_1">#REF!</definedName>
    <definedName name="EssOptions" localSheetId="4">"A1110000000120101000001100020_0000"</definedName>
    <definedName name="EssOptions" localSheetId="3">"A1110000000120101000001100020_0000"</definedName>
    <definedName name="EssOptions" localSheetId="5">"A1110000000120101000001100020_0000"</definedName>
    <definedName name="jeudi" localSheetId="7">#REF!</definedName>
    <definedName name="jeudi" localSheetId="3">#REF!</definedName>
    <definedName name="jeudi">#REF!</definedName>
    <definedName name="jeudi_15" localSheetId="7">#REF!</definedName>
    <definedName name="jeudi_15" localSheetId="3">#REF!</definedName>
    <definedName name="jeudi_15">#REF!</definedName>
    <definedName name="jeudi_15_1" localSheetId="7">#REF!</definedName>
    <definedName name="jeudi_15_1" localSheetId="3">#REF!</definedName>
    <definedName name="jeudi_15_1">#REF!</definedName>
    <definedName name="Jfr">[1]Data!$C$3:$C$12</definedName>
    <definedName name="lundi" localSheetId="7">#REF!</definedName>
    <definedName name="lundi" localSheetId="3">#REF!</definedName>
    <definedName name="lundi">#REF!</definedName>
    <definedName name="lundi_15" localSheetId="7">#REF!</definedName>
    <definedName name="lundi_15" localSheetId="3">#REF!</definedName>
    <definedName name="lundi_15">#REF!</definedName>
    <definedName name="lundi_15_1" localSheetId="7">#REF!</definedName>
    <definedName name="lundi_15_1" localSheetId="3">#REF!</definedName>
    <definedName name="lundi_15_1">#REF!</definedName>
    <definedName name="lundi1" localSheetId="7">#REF!</definedName>
    <definedName name="lundi1" localSheetId="3">#REF!</definedName>
    <definedName name="lundi1">#REF!</definedName>
    <definedName name="mardi" localSheetId="7">#REF!</definedName>
    <definedName name="mardi" localSheetId="3">#REF!</definedName>
    <definedName name="mardi">#REF!</definedName>
    <definedName name="mardi_15" localSheetId="7">#REF!</definedName>
    <definedName name="mardi_15" localSheetId="3">#REF!</definedName>
    <definedName name="mardi_15">#REF!</definedName>
    <definedName name="mardi_15_1" localSheetId="7">#REF!</definedName>
    <definedName name="mardi_15_1" localSheetId="3">#REF!</definedName>
    <definedName name="mardi_15_1">#REF!</definedName>
    <definedName name="mercredi" localSheetId="7">#REF!</definedName>
    <definedName name="mercredi" localSheetId="3">#REF!</definedName>
    <definedName name="mercredi">#REF!</definedName>
    <definedName name="mercredi_15" localSheetId="7">#REF!</definedName>
    <definedName name="mercredi_15" localSheetId="3">#REF!</definedName>
    <definedName name="mercredi_15">#REF!</definedName>
    <definedName name="mercredi_15_1" localSheetId="7">#REF!</definedName>
    <definedName name="mercredi_15_1" localSheetId="3">#REF!</definedName>
    <definedName name="mercredi_15_1">#REF!</definedName>
    <definedName name="MotifVide" localSheetId="7">#REF!</definedName>
    <definedName name="MotifVide" localSheetId="3">#REF!</definedName>
    <definedName name="MotifVide">#REF!</definedName>
    <definedName name="régime_15j" localSheetId="7">#REF!</definedName>
    <definedName name="régime_15j" localSheetId="3">#REF!</definedName>
    <definedName name="régime_15j">#REF!</definedName>
    <definedName name="samedi" localSheetId="7">#REF!</definedName>
    <definedName name="samedi" localSheetId="3">#REF!</definedName>
    <definedName name="samedi">#REF!</definedName>
    <definedName name="samedi_15" localSheetId="7">#REF!</definedName>
    <definedName name="samedi_15" localSheetId="3">#REF!</definedName>
    <definedName name="samedi_15">#REF!</definedName>
    <definedName name="samedi_15_1" localSheetId="7">#REF!</definedName>
    <definedName name="samedi_15_1" localSheetId="3">#REF!</definedName>
    <definedName name="samedi_15_1">#REF!</definedName>
    <definedName name="Selection_Mois_CRA" localSheetId="2">#REF!</definedName>
    <definedName name="Selection_Mois_CRA" localSheetId="1">#REF!</definedName>
    <definedName name="sp" localSheetId="7">#REF!</definedName>
    <definedName name="sp" localSheetId="3">#REF!</definedName>
    <definedName name="sp">#REF!</definedName>
    <definedName name="StatutSamedi" localSheetId="7">#REF!</definedName>
    <definedName name="StatutSamedi" localSheetId="3">#REF!</definedName>
    <definedName name="StatutSamedi">#REF!</definedName>
    <definedName name="une_minute" localSheetId="7">#REF!</definedName>
    <definedName name="une_minute" localSheetId="3">#REF!</definedName>
    <definedName name="une_minute">#REF!</definedName>
    <definedName name="vendredi" localSheetId="7">#REF!</definedName>
    <definedName name="vendredi" localSheetId="3">#REF!</definedName>
    <definedName name="vendredi">#REF!</definedName>
    <definedName name="vendredi_15" localSheetId="7">#REF!</definedName>
    <definedName name="vendredi_15" localSheetId="3">#REF!</definedName>
    <definedName name="vendredi_15">#REF!</definedName>
    <definedName name="vendredi_15_1" localSheetId="7">#REF!</definedName>
    <definedName name="vendredi_15_1" localSheetId="3">#REF!</definedName>
    <definedName name="vendredi_15_1">#REF!</definedName>
    <definedName name="_xlnm.Print_Area" localSheetId="7">Avoir!$A$1:$H$69</definedName>
    <definedName name="_xlnm.Print_Area" localSheetId="4">'CA &amp; TVA Encaissés'!$B$2:$O$13</definedName>
    <definedName name="_xlnm.Print_Area" localSheetId="3">'CA &amp; TVA facturé'!$B$2:$O$14</definedName>
    <definedName name="_xlnm.Print_Area" localSheetId="2">'CRA Mensuel'!$A$1:$AL$21</definedName>
    <definedName name="_xlnm.Print_Area" localSheetId="1">'CRA Récapitulatif'!$A$2:$AM$23</definedName>
    <definedName name="_xlnm.Print_Area" localSheetId="6">'Facture Mensuelle'!$A$1:$H$68</definedName>
    <definedName name="_xlnm.Print_Area" localSheetId="5">'Revenu &amp; Provisions'!$A$2:$X$20</definedName>
  </definedNames>
  <calcPr calcId="152511"/>
</workbook>
</file>

<file path=xl/calcChain.xml><?xml version="1.0" encoding="utf-8"?>
<calcChain xmlns="http://schemas.openxmlformats.org/spreadsheetml/2006/main">
  <c r="J11" i="22" l="1"/>
  <c r="J14" i="22" s="1"/>
  <c r="K11" i="22"/>
  <c r="K14" i="22" s="1"/>
  <c r="K17" i="22" s="1"/>
  <c r="C36" i="50"/>
  <c r="D52" i="50"/>
  <c r="D51" i="50"/>
  <c r="D50" i="50"/>
  <c r="A62" i="50"/>
  <c r="B39" i="50"/>
  <c r="C3" i="64"/>
  <c r="B23" i="20"/>
  <c r="G28" i="20"/>
  <c r="G29" i="20"/>
  <c r="B31" i="20"/>
  <c r="B19" i="20"/>
  <c r="L31" i="20"/>
  <c r="D31" i="20"/>
  <c r="E31" i="20"/>
  <c r="G31" i="20"/>
  <c r="H31" i="20"/>
  <c r="I31" i="20"/>
  <c r="J31" i="20"/>
  <c r="K31" i="20"/>
  <c r="B12" i="48"/>
  <c r="B18" i="48" s="1"/>
  <c r="B19" i="48" s="1"/>
  <c r="D19" i="48" s="1"/>
  <c r="B4" i="48"/>
  <c r="D12" i="48"/>
  <c r="F12" i="48"/>
  <c r="F18" i="48"/>
  <c r="B15" i="20"/>
  <c r="F14" i="22"/>
  <c r="B12" i="20"/>
  <c r="E14" i="22"/>
  <c r="D14" i="22"/>
  <c r="AL10" i="17"/>
  <c r="D10" i="17"/>
  <c r="B11" i="20"/>
  <c r="C10" i="17"/>
  <c r="E10" i="17"/>
  <c r="C11" i="17"/>
  <c r="AL11" i="17"/>
  <c r="D11" i="17"/>
  <c r="E11" i="17"/>
  <c r="C12" i="17"/>
  <c r="AL12" i="17"/>
  <c r="D12" i="17"/>
  <c r="E12" i="17"/>
  <c r="C13" i="17"/>
  <c r="AL13" i="17"/>
  <c r="D13" i="17"/>
  <c r="E13" i="17"/>
  <c r="C14" i="17"/>
  <c r="AL14" i="17"/>
  <c r="D14" i="17"/>
  <c r="E14" i="17"/>
  <c r="C15" i="17"/>
  <c r="AL15" i="17"/>
  <c r="D15" i="17"/>
  <c r="E15" i="17"/>
  <c r="C16" i="17"/>
  <c r="AL16" i="17"/>
  <c r="D16" i="17"/>
  <c r="E16" i="17"/>
  <c r="C17" i="17"/>
  <c r="W8" i="39"/>
  <c r="W9" i="39"/>
  <c r="T8" i="39"/>
  <c r="T9" i="39"/>
  <c r="H8" i="39"/>
  <c r="I8" i="39"/>
  <c r="I9" i="39"/>
  <c r="J8" i="39"/>
  <c r="J9" i="39"/>
  <c r="G8" i="39"/>
  <c r="G9" i="39"/>
  <c r="H9" i="39"/>
  <c r="K8" i="39"/>
  <c r="K9" i="39"/>
  <c r="L8" i="39"/>
  <c r="L9" i="39"/>
  <c r="M8" i="39"/>
  <c r="M9" i="39"/>
  <c r="N8" i="39"/>
  <c r="N9" i="39"/>
  <c r="O8" i="39"/>
  <c r="O9" i="39"/>
  <c r="P8" i="39"/>
  <c r="P9" i="39"/>
  <c r="Q8" i="39"/>
  <c r="Q9" i="39"/>
  <c r="R8" i="39"/>
  <c r="R9" i="39"/>
  <c r="S8" i="39"/>
  <c r="S9" i="39"/>
  <c r="U8" i="39"/>
  <c r="U9" i="39"/>
  <c r="V8" i="39"/>
  <c r="V9" i="39"/>
  <c r="X8" i="39"/>
  <c r="X9" i="39"/>
  <c r="Y8" i="39"/>
  <c r="Y9" i="39"/>
  <c r="Z8" i="39"/>
  <c r="Z9" i="39"/>
  <c r="AA8" i="39"/>
  <c r="AA9" i="39"/>
  <c r="AB8" i="39"/>
  <c r="AB9" i="39"/>
  <c r="AC8" i="39"/>
  <c r="AC9" i="39"/>
  <c r="AD8" i="39"/>
  <c r="AD9" i="39"/>
  <c r="AE8" i="39"/>
  <c r="AE9" i="39"/>
  <c r="AF8" i="39"/>
  <c r="AF9" i="39"/>
  <c r="AG8" i="39"/>
  <c r="AG9" i="39"/>
  <c r="AH8" i="39"/>
  <c r="AH9" i="39"/>
  <c r="AI8" i="39"/>
  <c r="AI9" i="39"/>
  <c r="AJ8" i="39"/>
  <c r="AJ9" i="39"/>
  <c r="AK8" i="39"/>
  <c r="AK9" i="39"/>
  <c r="A67" i="63"/>
  <c r="D8" i="64"/>
  <c r="D8" i="22"/>
  <c r="D12" i="22"/>
  <c r="D5" i="64"/>
  <c r="C5" i="64"/>
  <c r="B5" i="64"/>
  <c r="D4" i="64"/>
  <c r="C4" i="64"/>
  <c r="B4" i="64"/>
  <c r="D3" i="64"/>
  <c r="D2" i="64"/>
  <c r="C2" i="64"/>
  <c r="D1" i="64"/>
  <c r="B1" i="64"/>
  <c r="C36" i="63"/>
  <c r="D42" i="63"/>
  <c r="A20" i="63"/>
  <c r="A19" i="63"/>
  <c r="F15" i="63"/>
  <c r="F14" i="63"/>
  <c r="F13" i="63"/>
  <c r="F12" i="63"/>
  <c r="B2" i="17"/>
  <c r="A67" i="50"/>
  <c r="B42" i="50"/>
  <c r="A20" i="50"/>
  <c r="A19" i="50"/>
  <c r="F15" i="50"/>
  <c r="F14" i="50"/>
  <c r="F13" i="50"/>
  <c r="F12" i="50"/>
  <c r="B6" i="50"/>
  <c r="A6" i="5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8" i="48"/>
  <c r="B5" i="48"/>
  <c r="A5" i="48"/>
  <c r="B7" i="48"/>
  <c r="A4" i="48"/>
  <c r="B6" i="48"/>
  <c r="B3" i="48"/>
  <c r="B2" i="48"/>
  <c r="A1" i="48"/>
  <c r="B5" i="22"/>
  <c r="B4" i="22"/>
  <c r="D2" i="22"/>
  <c r="D3" i="22"/>
  <c r="D4" i="22"/>
  <c r="D5" i="22"/>
  <c r="D1" i="22"/>
  <c r="M28" i="20"/>
  <c r="M29" i="20"/>
  <c r="L28" i="20"/>
  <c r="K28" i="20"/>
  <c r="J28" i="20"/>
  <c r="J29" i="20"/>
  <c r="B18" i="17"/>
  <c r="I28" i="20"/>
  <c r="H28" i="20"/>
  <c r="F28" i="20"/>
  <c r="F29" i="20"/>
  <c r="B14" i="17"/>
  <c r="E28" i="20"/>
  <c r="D28" i="20"/>
  <c r="D29" i="20"/>
  <c r="C28" i="20"/>
  <c r="C29" i="20"/>
  <c r="B28" i="20"/>
  <c r="B29" i="20"/>
  <c r="C27" i="20"/>
  <c r="D27" i="20"/>
  <c r="E27" i="20"/>
  <c r="F27" i="20"/>
  <c r="G27" i="20"/>
  <c r="H27" i="20"/>
  <c r="I27" i="20"/>
  <c r="J27" i="20"/>
  <c r="K27" i="20"/>
  <c r="L27" i="20"/>
  <c r="M27" i="20"/>
  <c r="AL20" i="17"/>
  <c r="D20" i="17"/>
  <c r="AL18" i="17"/>
  <c r="D18" i="17"/>
  <c r="B5" i="39"/>
  <c r="B3" i="39"/>
  <c r="B2" i="39"/>
  <c r="G9" i="17"/>
  <c r="H9" i="17"/>
  <c r="I9" i="17"/>
  <c r="J9" i="17"/>
  <c r="K9" i="17"/>
  <c r="L9" i="17"/>
  <c r="M9" i="17"/>
  <c r="N9" i="17"/>
  <c r="O9" i="17"/>
  <c r="P9" i="17"/>
  <c r="Q9" i="17"/>
  <c r="R9" i="17"/>
  <c r="S9" i="17"/>
  <c r="T9" i="17"/>
  <c r="U9" i="17"/>
  <c r="V9" i="17"/>
  <c r="W9" i="17"/>
  <c r="X9" i="17"/>
  <c r="Y9" i="17"/>
  <c r="Z9" i="17"/>
  <c r="AA9" i="17"/>
  <c r="AB9" i="17"/>
  <c r="AC9" i="17"/>
  <c r="AD9" i="17"/>
  <c r="AE9" i="17"/>
  <c r="AF9" i="17"/>
  <c r="AG9" i="17"/>
  <c r="AH9" i="17"/>
  <c r="AI9" i="17"/>
  <c r="AJ9" i="17"/>
  <c r="AK9" i="17"/>
  <c r="B6" i="17"/>
  <c r="B4" i="17"/>
  <c r="C2" i="22"/>
  <c r="C5" i="22"/>
  <c r="C4" i="22"/>
  <c r="C3" i="22"/>
  <c r="A13" i="20"/>
  <c r="B1" i="22"/>
  <c r="B27" i="20"/>
  <c r="B9" i="48"/>
  <c r="I29" i="20"/>
  <c r="B17" i="17"/>
  <c r="K29" i="20"/>
  <c r="B19" i="17"/>
  <c r="E29" i="20"/>
  <c r="B13" i="17"/>
  <c r="AL17" i="17"/>
  <c r="D17" i="17"/>
  <c r="AL19" i="17"/>
  <c r="D19" i="17"/>
  <c r="AL21" i="17"/>
  <c r="D21" i="17"/>
  <c r="H29" i="20"/>
  <c r="B16" i="17"/>
  <c r="D17" i="22"/>
  <c r="D18" i="22"/>
  <c r="E17" i="22"/>
  <c r="E18" i="22" s="1"/>
  <c r="D15" i="22"/>
  <c r="E18" i="48"/>
  <c r="E12" i="22"/>
  <c r="F12" i="22" s="1"/>
  <c r="F17" i="22"/>
  <c r="D18" i="48"/>
  <c r="D21" i="48"/>
  <c r="D22" i="48" s="1"/>
  <c r="D25" i="48"/>
  <c r="B10" i="17"/>
  <c r="D9" i="39"/>
  <c r="AL22" i="17"/>
  <c r="B15" i="17"/>
  <c r="B11" i="17"/>
  <c r="B21" i="17"/>
  <c r="B12" i="17"/>
  <c r="G18" i="48"/>
  <c r="F21" i="48"/>
  <c r="F25" i="48" s="1"/>
  <c r="L29" i="20"/>
  <c r="C31" i="20"/>
  <c r="F31" i="20"/>
  <c r="L32" i="20"/>
  <c r="N10" i="64"/>
  <c r="C18" i="48"/>
  <c r="B21" i="48"/>
  <c r="B13" i="48"/>
  <c r="D13" i="48" s="1"/>
  <c r="F13" i="48" s="1"/>
  <c r="C32" i="20"/>
  <c r="E10" i="64"/>
  <c r="D32" i="20"/>
  <c r="F10" i="64"/>
  <c r="K32" i="20"/>
  <c r="M10" i="64"/>
  <c r="E32" i="20"/>
  <c r="G10" i="64"/>
  <c r="J32" i="20"/>
  <c r="L10" i="64"/>
  <c r="H32" i="20"/>
  <c r="J10" i="64"/>
  <c r="B32" i="20"/>
  <c r="D10" i="64"/>
  <c r="B20" i="17"/>
  <c r="M32" i="20"/>
  <c r="O10" i="64"/>
  <c r="F32" i="20"/>
  <c r="H10" i="64"/>
  <c r="I32" i="20"/>
  <c r="K10" i="64"/>
  <c r="G32" i="20"/>
  <c r="I10" i="64"/>
  <c r="E17" i="17"/>
  <c r="C9" i="39"/>
  <c r="B22" i="48"/>
  <c r="B25" i="48"/>
  <c r="B26" i="48" s="1"/>
  <c r="B23" i="48"/>
  <c r="E9" i="39"/>
  <c r="C18" i="17"/>
  <c r="E18" i="17"/>
  <c r="C19" i="17"/>
  <c r="E19" i="17"/>
  <c r="C20" i="17"/>
  <c r="E20" i="17"/>
  <c r="C21" i="17"/>
  <c r="E21" i="17"/>
  <c r="N12" i="48"/>
  <c r="O18" i="48" s="1"/>
  <c r="P12" i="48"/>
  <c r="P18" i="48" s="1"/>
  <c r="G11" i="64"/>
  <c r="I11" i="64"/>
  <c r="M11" i="64"/>
  <c r="N11" i="64"/>
  <c r="D11" i="64"/>
  <c r="L11" i="64"/>
  <c r="O11" i="64"/>
  <c r="H11" i="64"/>
  <c r="F11" i="64"/>
  <c r="E11" i="64"/>
  <c r="K11" i="64"/>
  <c r="J11" i="64"/>
  <c r="D26" i="48" l="1"/>
  <c r="E15" i="22"/>
  <c r="F15" i="22" s="1"/>
  <c r="F22" i="48"/>
  <c r="F18" i="22"/>
  <c r="F19" i="48"/>
  <c r="F26" i="48"/>
  <c r="D23" i="48"/>
  <c r="F23" i="48" s="1"/>
  <c r="Q18" i="48"/>
  <c r="P21" i="48" s="1"/>
  <c r="P22" i="48" s="1"/>
  <c r="N18" i="48"/>
  <c r="J17" i="22"/>
  <c r="N21" i="48"/>
  <c r="AL9" i="39"/>
  <c r="D13" i="64"/>
  <c r="H13" i="64"/>
  <c r="I11" i="22" s="1"/>
  <c r="P25" i="48" l="1"/>
  <c r="N25" i="48"/>
  <c r="N22" i="48"/>
  <c r="I14" i="22"/>
  <c r="I17" i="22" s="1"/>
  <c r="L12" i="48"/>
  <c r="G16" i="64"/>
  <c r="G19" i="64" s="1"/>
  <c r="O11" i="22"/>
  <c r="M16" i="64"/>
  <c r="M19" i="64" s="1"/>
  <c r="F39" i="63"/>
  <c r="F41" i="63" s="1"/>
  <c r="N16" i="64"/>
  <c r="N19" i="64"/>
  <c r="O16" i="64"/>
  <c r="D14" i="64"/>
  <c r="E14" i="64" s="1"/>
  <c r="F14" i="64" s="1"/>
  <c r="G14" i="64" s="1"/>
  <c r="H14" i="64" s="1"/>
  <c r="I14" i="64" s="1"/>
  <c r="J14" i="64" s="1"/>
  <c r="K14" i="64" s="1"/>
  <c r="L14" i="64" s="1"/>
  <c r="M14" i="64" s="1"/>
  <c r="N14" i="64" s="1"/>
  <c r="O14" i="64" s="1"/>
  <c r="D16" i="64"/>
  <c r="D17" i="64" s="1"/>
  <c r="M11" i="22"/>
  <c r="F39" i="50"/>
  <c r="F41" i="50" s="1"/>
  <c r="K16" i="64"/>
  <c r="I16" i="64"/>
  <c r="H11" i="22"/>
  <c r="F16" i="64"/>
  <c r="E16" i="64"/>
  <c r="E19" i="64" s="1"/>
  <c r="G11" i="22"/>
  <c r="H16" i="64"/>
  <c r="J16" i="64"/>
  <c r="J19" i="64" s="1"/>
  <c r="L11" i="22"/>
  <c r="L16" i="64"/>
  <c r="L19" i="64" s="1"/>
  <c r="N11" i="22"/>
  <c r="L18" i="48" l="1"/>
  <c r="M18" i="48" s="1"/>
  <c r="F42" i="50"/>
  <c r="F44" i="50" s="1"/>
  <c r="N14" i="22"/>
  <c r="N17" i="22" s="1"/>
  <c r="V12" i="48"/>
  <c r="H19" i="64"/>
  <c r="J12" i="48"/>
  <c r="H14" i="22"/>
  <c r="O14" i="22"/>
  <c r="O17" i="22" s="1"/>
  <c r="X12" i="48"/>
  <c r="F42" i="63"/>
  <c r="F44" i="63" s="1"/>
  <c r="L14" i="22"/>
  <c r="L17" i="22" s="1"/>
  <c r="R12" i="48"/>
  <c r="E17" i="64"/>
  <c r="F17" i="64" s="1"/>
  <c r="G17" i="64" s="1"/>
  <c r="H17" i="64" s="1"/>
  <c r="I17" i="64" s="1"/>
  <c r="J17" i="64" s="1"/>
  <c r="K17" i="64" s="1"/>
  <c r="L17" i="64" s="1"/>
  <c r="M17" i="64" s="1"/>
  <c r="N17" i="64" s="1"/>
  <c r="O17" i="64" s="1"/>
  <c r="M14" i="22"/>
  <c r="M17" i="22" s="1"/>
  <c r="T12" i="48"/>
  <c r="G14" i="22"/>
  <c r="G15" i="22" s="1"/>
  <c r="G12" i="22"/>
  <c r="H12" i="22" s="1"/>
  <c r="I12" i="22" s="1"/>
  <c r="J12" i="22" s="1"/>
  <c r="K12" i="22" s="1"/>
  <c r="L12" i="22" s="1"/>
  <c r="M12" i="22" s="1"/>
  <c r="N12" i="22" s="1"/>
  <c r="O12" i="22" s="1"/>
  <c r="H12" i="48"/>
  <c r="F19" i="64"/>
  <c r="I19" i="64"/>
  <c r="K19" i="64"/>
  <c r="D19" i="64"/>
  <c r="D20" i="64" s="1"/>
  <c r="E20" i="64" s="1"/>
  <c r="O19" i="64"/>
  <c r="F20" i="64" l="1"/>
  <c r="G20" i="64" s="1"/>
  <c r="H20" i="64" s="1"/>
  <c r="I20" i="64" s="1"/>
  <c r="J20" i="64" s="1"/>
  <c r="K20" i="64" s="1"/>
  <c r="L20" i="64" s="1"/>
  <c r="M20" i="64" s="1"/>
  <c r="N20" i="64" s="1"/>
  <c r="O20" i="64" s="1"/>
  <c r="L21" i="48"/>
  <c r="L25" i="48" s="1"/>
  <c r="G17" i="22"/>
  <c r="G18" i="22" s="1"/>
  <c r="H15" i="22"/>
  <c r="I15" i="22" s="1"/>
  <c r="J15" i="22" s="1"/>
  <c r="K15" i="22" s="1"/>
  <c r="L15" i="22" s="1"/>
  <c r="M15" i="22" s="1"/>
  <c r="N15" i="22" s="1"/>
  <c r="O15" i="22" s="1"/>
  <c r="T18" i="48"/>
  <c r="U18" i="48"/>
  <c r="T21" i="48" s="1"/>
  <c r="R18" i="48"/>
  <c r="S18" i="48" s="1"/>
  <c r="K18" i="48"/>
  <c r="J21" i="48" s="1"/>
  <c r="J18" i="48"/>
  <c r="V18" i="48"/>
  <c r="W18" i="48"/>
  <c r="V21" i="48" s="1"/>
  <c r="H13" i="48"/>
  <c r="J13" i="48" s="1"/>
  <c r="L13" i="48" s="1"/>
  <c r="N13" i="48" s="1"/>
  <c r="P13" i="48" s="1"/>
  <c r="R13" i="48" s="1"/>
  <c r="T13" i="48" s="1"/>
  <c r="V13" i="48" s="1"/>
  <c r="X13" i="48" s="1"/>
  <c r="H18" i="48"/>
  <c r="I18" i="48" s="1"/>
  <c r="H19" i="48" s="1"/>
  <c r="Y18" i="48"/>
  <c r="X18" i="48"/>
  <c r="H17" i="22"/>
  <c r="L22" i="48" l="1"/>
  <c r="H18" i="22"/>
  <c r="I18" i="22" s="1"/>
  <c r="J18" i="22" s="1"/>
  <c r="K18" i="22" s="1"/>
  <c r="L18" i="22" s="1"/>
  <c r="M18" i="22" s="1"/>
  <c r="N18" i="22" s="1"/>
  <c r="O18" i="22" s="1"/>
  <c r="R21" i="48"/>
  <c r="R25" i="48" s="1"/>
  <c r="T25" i="48"/>
  <c r="T22" i="48"/>
  <c r="H21" i="48"/>
  <c r="J22" i="48"/>
  <c r="J25" i="48"/>
  <c r="V25" i="48"/>
  <c r="V22" i="48"/>
  <c r="R22" i="48"/>
  <c r="X21" i="48"/>
  <c r="J19" i="48"/>
  <c r="L19" i="48" s="1"/>
  <c r="N19" i="48" s="1"/>
  <c r="P19" i="48" s="1"/>
  <c r="R19" i="48" s="1"/>
  <c r="T19" i="48" s="1"/>
  <c r="V19" i="48" s="1"/>
  <c r="X19" i="48" s="1"/>
  <c r="X22" i="48" l="1"/>
  <c r="X25" i="48"/>
  <c r="H22" i="48"/>
  <c r="H23" i="48"/>
  <c r="J23" i="48" s="1"/>
  <c r="L23" i="48" s="1"/>
  <c r="N23" i="48" s="1"/>
  <c r="P23" i="48" s="1"/>
  <c r="R23" i="48" s="1"/>
  <c r="T23" i="48" s="1"/>
  <c r="V23" i="48" s="1"/>
  <c r="X23" i="48" s="1"/>
  <c r="H25" i="48"/>
  <c r="H26" i="48" s="1"/>
  <c r="J26" i="48" s="1"/>
  <c r="L26" i="48" s="1"/>
  <c r="N26" i="48" s="1"/>
  <c r="P26" i="48" s="1"/>
  <c r="R26" i="48" s="1"/>
  <c r="T26" i="48" s="1"/>
  <c r="V26" i="48" s="1"/>
  <c r="X26" i="48" l="1"/>
</calcChain>
</file>

<file path=xl/comments1.xml><?xml version="1.0" encoding="utf-8"?>
<comments xmlns="http://schemas.openxmlformats.org/spreadsheetml/2006/main">
  <authors>
    <author>Gregory Schmitz</author>
  </authors>
  <commentList>
    <comment ref="B16" authorId="0" shapeId="0">
      <text>
        <r>
          <rPr>
            <b/>
            <sz val="9"/>
            <color indexed="81"/>
            <rFont val="Tahoma"/>
            <family val="2"/>
          </rPr>
          <t>Gregory Schmitz:</t>
        </r>
        <r>
          <rPr>
            <sz val="9"/>
            <color indexed="81"/>
            <rFont val="Tahoma"/>
            <family val="2"/>
          </rPr>
          <t xml:space="preserve">
Taux de Provisions pour charges théorique : ce que je mets de côté chaque mois en prévision du paiement des charges</t>
        </r>
      </text>
    </comment>
  </commentList>
</comments>
</file>

<file path=xl/comments2.xml><?xml version="1.0" encoding="utf-8"?>
<comments xmlns="http://schemas.openxmlformats.org/spreadsheetml/2006/main">
  <authors>
    <author>Grégory Schmitz</author>
  </authors>
  <commentList>
    <comment ref="D9" authorId="0" shapeId="0">
      <text>
        <r>
          <rPr>
            <b/>
            <sz val="9"/>
            <color indexed="81"/>
            <rFont val="Tahoma"/>
            <family val="2"/>
          </rPr>
          <t>Grégory Schmitz:</t>
        </r>
        <r>
          <rPr>
            <sz val="9"/>
            <color indexed="81"/>
            <rFont val="Tahoma"/>
            <family val="2"/>
          </rPr>
          <t xml:space="preserve">
Mois de facturation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Grégory Schmitz:</t>
        </r>
        <r>
          <rPr>
            <sz val="9"/>
            <color indexed="81"/>
            <rFont val="Tahoma"/>
            <family val="2"/>
          </rPr>
          <t xml:space="preserve">
Montant facturé sur le mois</t>
        </r>
      </text>
    </comment>
  </commentList>
</comments>
</file>

<file path=xl/comments3.xml><?xml version="1.0" encoding="utf-8"?>
<comments xmlns="http://schemas.openxmlformats.org/spreadsheetml/2006/main">
  <authors>
    <author>Grégory Schmitz</author>
  </authors>
  <commentList>
    <comment ref="D9" authorId="0" shapeId="0">
      <text>
        <r>
          <rPr>
            <b/>
            <sz val="9"/>
            <color indexed="81"/>
            <rFont val="Tahoma"/>
            <family val="2"/>
          </rPr>
          <t>Grégory Schmitz:</t>
        </r>
        <r>
          <rPr>
            <sz val="9"/>
            <color indexed="81"/>
            <rFont val="Tahoma"/>
            <family val="2"/>
          </rPr>
          <t xml:space="preserve">
Mois d'encaissement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Grégory Schmitz:</t>
        </r>
        <r>
          <rPr>
            <sz val="9"/>
            <color indexed="81"/>
            <rFont val="Tahoma"/>
            <family val="2"/>
          </rPr>
          <t xml:space="preserve">
Sélection du mois de facturation correspondant au montant encaissé</t>
        </r>
      </text>
    </comment>
  </commentList>
</comments>
</file>

<file path=xl/comments4.xml><?xml version="1.0" encoding="utf-8"?>
<comments xmlns="http://schemas.openxmlformats.org/spreadsheetml/2006/main">
  <authors>
    <author>Gregory Schmitz</author>
    <author>Grégory Schmitz</author>
  </authors>
  <commentList>
    <comment ref="A16" authorId="0" shapeId="0">
      <text>
        <r>
          <rPr>
            <b/>
            <sz val="9"/>
            <color indexed="81"/>
            <rFont val="Tahoma"/>
            <charset val="1"/>
          </rPr>
          <t>Gregory Schmitz:</t>
        </r>
        <r>
          <rPr>
            <sz val="9"/>
            <color indexed="81"/>
            <rFont val="Tahoma"/>
            <charset val="1"/>
          </rPr>
          <t xml:space="preserve">
Ceci est le taux de Provisions pour Charges que j'applique. Si il n'y a rien, c'est qu'il est de 50%, taux par defaut</t>
        </r>
      </text>
    </comment>
    <comment ref="B18" authorId="1" shapeId="0">
      <text>
        <r>
          <rPr>
            <b/>
            <sz val="9"/>
            <color indexed="81"/>
            <rFont val="Tahoma"/>
            <family val="2"/>
          </rPr>
          <t>Grégory Schmitz:</t>
        </r>
        <r>
          <rPr>
            <sz val="9"/>
            <color indexed="81"/>
            <rFont val="Tahoma"/>
            <family val="2"/>
          </rPr>
          <t xml:space="preserve">
Montant pour une PPC théorique de 50%</t>
        </r>
      </text>
    </comment>
    <comment ref="C18" authorId="1" shapeId="0">
      <text>
        <r>
          <rPr>
            <b/>
            <sz val="9"/>
            <color indexed="81"/>
            <rFont val="Tahoma"/>
            <family val="2"/>
          </rPr>
          <t>Grégory Schmitz:</t>
        </r>
        <r>
          <rPr>
            <sz val="9"/>
            <color indexed="81"/>
            <rFont val="Tahoma"/>
            <family val="2"/>
          </rPr>
          <t xml:space="preserve">
montant de la PPC réellement appliquée correspondant au taux sélectionné du dessus</t>
        </r>
      </text>
    </comment>
    <comment ref="B19" authorId="1" shapeId="0">
      <text>
        <r>
          <rPr>
            <b/>
            <sz val="9"/>
            <color indexed="81"/>
            <rFont val="Tahoma"/>
            <family val="2"/>
          </rPr>
          <t>Grégory Schmitz:</t>
        </r>
        <r>
          <rPr>
            <sz val="9"/>
            <color indexed="81"/>
            <rFont val="Tahoma"/>
            <family val="2"/>
          </rPr>
          <t xml:space="preserve">
Montant de PPC cumulées manquantes (rouge) ou en surplus (vert) par rapport à ce que je devrais avoir si j'appliquerai avec un taux de PPC de 40%</t>
        </r>
      </text>
    </comment>
    <comment ref="A21" authorId="0" shapeId="0">
      <text>
        <r>
          <rPr>
            <b/>
            <sz val="9"/>
            <color indexed="81"/>
            <rFont val="Tahoma"/>
            <charset val="1"/>
          </rPr>
          <t>Gregory Schmitz:</t>
        </r>
        <r>
          <rPr>
            <sz val="9"/>
            <color indexed="81"/>
            <rFont val="Tahoma"/>
            <charset val="1"/>
          </rPr>
          <t xml:space="preserve">
Revenu attribué du mois une fois les PPC déduites</t>
        </r>
      </text>
    </comment>
    <comment ref="A22" authorId="0" shapeId="0">
      <text>
        <r>
          <rPr>
            <b/>
            <sz val="9"/>
            <color indexed="81"/>
            <rFont val="Tahoma"/>
            <charset val="1"/>
          </rPr>
          <t>Gregory Schmitz:</t>
        </r>
        <r>
          <rPr>
            <sz val="9"/>
            <color indexed="81"/>
            <rFont val="Tahoma"/>
            <charset val="1"/>
          </rPr>
          <t xml:space="preserve">
Contrôle de cohérence = Revenu Net + PPC Réelle - CA encaissé HT. Doit être = " - "</t>
        </r>
      </text>
    </comment>
  </commentList>
</comments>
</file>

<file path=xl/sharedStrings.xml><?xml version="1.0" encoding="utf-8"?>
<sst xmlns="http://schemas.openxmlformats.org/spreadsheetml/2006/main" count="217" uniqueCount="115">
  <si>
    <t>1ère séléction</t>
  </si>
  <si>
    <t>Porteur</t>
  </si>
  <si>
    <t>A l'attention de :</t>
  </si>
  <si>
    <t>Adresse</t>
  </si>
  <si>
    <t>CP/Ville</t>
  </si>
  <si>
    <t>N° de contrat</t>
  </si>
  <si>
    <t>Mission</t>
  </si>
  <si>
    <t>Fin de Mission</t>
  </si>
  <si>
    <t>Reliquat jour de contrat N-1</t>
  </si>
  <si>
    <t>Nombre de jour du contrat</t>
  </si>
  <si>
    <t>Total</t>
  </si>
  <si>
    <t>Différentiel de PPC N-1</t>
  </si>
  <si>
    <t>TJM personnel</t>
  </si>
  <si>
    <t>Taux de facturation</t>
  </si>
  <si>
    <t>Tx provisions pour charges</t>
  </si>
  <si>
    <t>TVA</t>
  </si>
  <si>
    <t>Année</t>
  </si>
  <si>
    <t>Pâques</t>
  </si>
  <si>
    <t>N° de siren</t>
  </si>
  <si>
    <t>N° de SIRET</t>
  </si>
  <si>
    <t>N° TVA Intra</t>
  </si>
  <si>
    <t>Mois courant</t>
  </si>
  <si>
    <t>Simul Mois courant</t>
  </si>
  <si>
    <t>Mois</t>
  </si>
  <si>
    <t>Nb jour</t>
  </si>
  <si>
    <t>Jours fériés</t>
  </si>
  <si>
    <t>Jour de l'an</t>
  </si>
  <si>
    <t>Lundi de Pâques</t>
  </si>
  <si>
    <t>Fête du Travail</t>
  </si>
  <si>
    <t>39/45</t>
  </si>
  <si>
    <t>Ascension </t>
  </si>
  <si>
    <t>14 Juillet</t>
  </si>
  <si>
    <t>Assomption </t>
  </si>
  <si>
    <t>Toussaint </t>
  </si>
  <si>
    <t>14/18</t>
  </si>
  <si>
    <t>Noël</t>
  </si>
  <si>
    <t>Lundi de Pentecôte</t>
  </si>
  <si>
    <t>Dates fériées</t>
  </si>
  <si>
    <t>Nb jour ouvrés</t>
  </si>
  <si>
    <t>Tx de prov</t>
  </si>
  <si>
    <t>Paiement efféctué</t>
  </si>
  <si>
    <t>Oui</t>
  </si>
  <si>
    <t>Non</t>
  </si>
  <si>
    <t>Nb jours</t>
  </si>
  <si>
    <t>Année :</t>
  </si>
  <si>
    <t>Mission :</t>
  </si>
  <si>
    <t>Contrat :</t>
  </si>
  <si>
    <t>Prestation de :</t>
  </si>
  <si>
    <t>Fin de mission :</t>
  </si>
  <si>
    <t>RAF Début de mois</t>
  </si>
  <si>
    <t>Total du mois</t>
  </si>
  <si>
    <t>RAF fin de mois</t>
  </si>
  <si>
    <t>TOTAL</t>
  </si>
  <si>
    <t>Période :</t>
  </si>
  <si>
    <r>
      <rPr>
        <b/>
        <sz val="12"/>
        <rFont val="Arial"/>
        <family val="2"/>
      </rPr>
      <t>Mission</t>
    </r>
    <r>
      <rPr>
        <sz val="12"/>
        <rFont val="Arial"/>
        <family val="2"/>
      </rPr>
      <t xml:space="preserve"> :</t>
    </r>
  </si>
  <si>
    <r>
      <rPr>
        <b/>
        <sz val="12"/>
        <rFont val="Arial"/>
        <family val="2"/>
      </rPr>
      <t>Contrat</t>
    </r>
    <r>
      <rPr>
        <sz val="12"/>
        <rFont val="Arial"/>
        <family val="2"/>
      </rPr>
      <t xml:space="preserve"> :</t>
    </r>
  </si>
  <si>
    <r>
      <rPr>
        <b/>
        <sz val="12"/>
        <rFont val="Arial"/>
        <family val="2"/>
      </rPr>
      <t>Prestation de</t>
    </r>
    <r>
      <rPr>
        <sz val="12"/>
        <rFont val="Arial"/>
        <family val="2"/>
      </rPr>
      <t xml:space="preserve"> :</t>
    </r>
  </si>
  <si>
    <r>
      <rPr>
        <b/>
        <sz val="12"/>
        <rFont val="Arial"/>
        <family val="2"/>
      </rPr>
      <t>Fin de mission</t>
    </r>
    <r>
      <rPr>
        <sz val="12"/>
        <rFont val="Arial"/>
        <family val="2"/>
      </rPr>
      <t xml:space="preserve"> :</t>
    </r>
  </si>
  <si>
    <t>BON POUR PRESTATION CONFORME</t>
  </si>
  <si>
    <t xml:space="preserve">Responsable Client </t>
  </si>
  <si>
    <t xml:space="preserve">Signature </t>
  </si>
  <si>
    <t>CA HT 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</si>
  <si>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</si>
  <si>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</si>
  <si>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</si>
  <si>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</si>
  <si>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</si>
  <si>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</si>
  <si>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</si>
  <si>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</si>
  <si>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</si>
  <si>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</si>
  <si>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</si>
  <si>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</si>
  <si>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jours ouvrés</t>
  </si>
  <si>
    <t>Nb jours travaillés</t>
  </si>
  <si>
    <t>(A)</t>
  </si>
  <si>
    <t>CA facturé HT</t>
  </si>
  <si>
    <t>CA facturé HT cumulé</t>
  </si>
  <si>
    <t>TVA facturée</t>
  </si>
  <si>
    <t>TVA facturée cumulée</t>
  </si>
  <si>
    <t>TTC</t>
  </si>
  <si>
    <t>TTC Cumulée</t>
  </si>
  <si>
    <t>TTC cumulé</t>
  </si>
  <si>
    <t>Mois d'encaissement</t>
  </si>
  <si>
    <t>Non paiement</t>
  </si>
  <si>
    <t>Mois de facturation</t>
  </si>
  <si>
    <t>CA encaissé HT</t>
  </si>
  <si>
    <t>CA encaissé HT cumulé</t>
  </si>
  <si>
    <t>TVA encaissée</t>
  </si>
  <si>
    <t>TVA encaissée cumulée</t>
  </si>
  <si>
    <t>CA encaissé TTC</t>
  </si>
  <si>
    <t>CA encaissé TTC cumulé</t>
  </si>
  <si>
    <t xml:space="preserve">Mois d'encaissement </t>
  </si>
  <si>
    <t xml:space="preserve">Mois de facturation </t>
  </si>
  <si>
    <t xml:space="preserve">CA encaissé HT </t>
  </si>
  <si>
    <t xml:space="preserve">CA encaissé HT cumulé </t>
  </si>
  <si>
    <t xml:space="preserve">Taux de PPC </t>
  </si>
  <si>
    <t>Théorique</t>
  </si>
  <si>
    <t>Réél</t>
  </si>
  <si>
    <t xml:space="preserve">PPC mensuelle </t>
  </si>
  <si>
    <t xml:space="preserve">PPC cumulée </t>
  </si>
  <si>
    <t xml:space="preserve">Revenu Net </t>
  </si>
  <si>
    <t xml:space="preserve">Contrôle </t>
  </si>
  <si>
    <t xml:space="preserve">Revenu Net Cumulé </t>
  </si>
  <si>
    <t xml:space="preserve">Equivalent Brut Salarié </t>
  </si>
  <si>
    <t xml:space="preserve">Equivalent Brut Salarié Cumulé </t>
  </si>
  <si>
    <t>Paris, le</t>
  </si>
  <si>
    <t>Montant HT total</t>
  </si>
  <si>
    <t>Montant TTC</t>
  </si>
  <si>
    <t>Sans escompte ni règlement anticipé.</t>
  </si>
  <si>
    <t>En cas de retard de paiement, un intérêt de retard de 0,50% par mois sera appliqué au montant HT de la facture.</t>
  </si>
  <si>
    <t>Membre d'une association agréée. Le règlement des honoraires par chèques est accepté</t>
  </si>
  <si>
    <t>Sur facture N° 4-09-2012 :</t>
  </si>
  <si>
    <r>
      <t>En votre aimable règlement au 10/04/2013</t>
    </r>
    <r>
      <rPr>
        <i/>
        <sz val="8"/>
        <rFont val="Verdana"/>
        <family val="2"/>
      </rPr>
      <t xml:space="preserve"> (ou à réception)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</si>
</sst>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3" formatCode="_-* #,##0.00\ _€_-;\-* #,##0.00\ _€_-;_-* &quot;-&quot;??\ _€_-;_-@_-"/>
    <numFmt numFmtId="164" formatCode="_(* #,##0_);_(* \(#,##0\);_(* &quot;-&quot;_);_(@_)"/>
    <numFmt numFmtId="165" formatCode="_(* #,##0.00_);_(* \(#,##0.00\);_(* &quot;-&quot;??_);_(@_)"/>
    <numFmt numFmtId="166" formatCode="yyyy"/>
    <numFmt numFmtId="167" formatCode="mmmm\ yyyy"/>
    <numFmt numFmtId="168" formatCode="mmm\ yyyy"/>
    <numFmt numFmtId="169" formatCode="0.0"/>
    <numFmt numFmtId="170" formatCode="0.0%"/>
    <numFmt numFmtId="171" formatCode="#,##0\ _€"/>
    <numFmt numFmtId="172" formatCode="[$-40C]d\ mmmm\ yyyy;@"/>
    <numFmt numFmtId="173" formatCode="#,##0.00\ &quot;€&quot;"/>
    <numFmt numFmtId="174" formatCode="mmmm"/>
    <numFmt numFmtId="175" formatCode="d"/>
    <numFmt numFmtId="176" formatCode="00"/>
    <numFmt numFmtId="177" formatCode="m"/>
    <numFmt numFmtId="178" formatCode="0.0000"/>
    <numFmt numFmtId="179" formatCode="dd\ mmmm\ yyyy"/>
    <numFmt numFmtId="180" formatCode="_-* #,##0\ _€_-;\-* #,##0\ _€_-;_-* &quot;-&quot;??\ _€_-;_-@_-"/>
    <numFmt numFmtId="181" formatCode="_(* #,##0_);_(* \(#,##0\);_(* &quot;-&quot;??_);_(@_)"/>
  </numFmts>
  <fonts count="20" x14ac:knownFonts="1">
    <font>
      <sz val="10"/>
      <name val="Arial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8"/>
      <name val="Verdana"/>
      <family val="2"/>
    </font>
    <font>
      <i/>
      <sz val="8"/>
      <name val="Verdana"/>
      <family val="2"/>
    </font>
    <font>
      <b/>
      <u/>
      <sz val="10"/>
      <name val="Verdana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0"/>
      <color rgb="FF0070C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9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theme="0"/>
      <name val="Verdana"/>
      <family val="2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4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indexed="64"/>
      </right>
      <top style="thin">
        <color indexed="9"/>
      </top>
      <bottom/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/>
      <bottom style="medium">
        <color indexed="64"/>
      </bottom>
      <diagonal/>
    </border>
    <border>
      <left/>
      <right style="thin">
        <color indexed="9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165" fontId="15" fillId="0" borderId="0" applyFont="0" applyFill="0" applyBorder="0" applyAlignment="0" applyProtection="0"/>
  </cellStyleXfs>
  <cellXfs count="270">
    <xf numFmtId="0" fontId="0" fillId="0" borderId="0" xfId="0"/>
    <xf numFmtId="0" fontId="1" fillId="3" borderId="1" xfId="1" applyFill="1" applyBorder="1"/>
    <xf numFmtId="0" fontId="1" fillId="0" borderId="1" xfId="1" applyBorder="1"/>
    <xf numFmtId="9" fontId="1" fillId="3" borderId="1" xfId="1" applyNumberFormat="1" applyFill="1" applyBorder="1"/>
    <xf numFmtId="0" fontId="1" fillId="0" borderId="2" xfId="1" applyBorder="1"/>
    <xf numFmtId="170" fontId="1" fillId="3" borderId="3" xfId="1" applyNumberFormat="1" applyFill="1" applyBorder="1"/>
    <xf numFmtId="0" fontId="1" fillId="0" borderId="4" xfId="1" applyBorder="1"/>
    <xf numFmtId="9" fontId="1" fillId="0" borderId="3" xfId="1" applyNumberFormat="1" applyBorder="1"/>
    <xf numFmtId="0" fontId="1" fillId="0" borderId="3" xfId="1" applyBorder="1"/>
    <xf numFmtId="0" fontId="1" fillId="4" borderId="0" xfId="1" applyFill="1" applyBorder="1" applyAlignment="1">
      <alignment horizontal="left"/>
    </xf>
    <xf numFmtId="1" fontId="1" fillId="4" borderId="0" xfId="1" applyNumberFormat="1" applyFill="1" applyBorder="1" applyAlignment="1">
      <alignment horizontal="center"/>
    </xf>
    <xf numFmtId="0" fontId="1" fillId="0" borderId="6" xfId="1" applyBorder="1"/>
    <xf numFmtId="0" fontId="1" fillId="4" borderId="1" xfId="1" applyFill="1" applyBorder="1"/>
    <xf numFmtId="0" fontId="1" fillId="0" borderId="1" xfId="1" applyFont="1" applyBorder="1"/>
    <xf numFmtId="0" fontId="1" fillId="4" borderId="0" xfId="1" applyFill="1" applyBorder="1"/>
    <xf numFmtId="0" fontId="1" fillId="4" borderId="0" xfId="1" applyFill="1"/>
    <xf numFmtId="171" fontId="1" fillId="0" borderId="4" xfId="1" applyNumberFormat="1" applyBorder="1"/>
    <xf numFmtId="0" fontId="1" fillId="3" borderId="9" xfId="1" applyFont="1" applyFill="1" applyBorder="1" applyAlignment="1"/>
    <xf numFmtId="172" fontId="2" fillId="4" borderId="0" xfId="1" applyNumberFormat="1" applyFont="1" applyFill="1" applyAlignment="1">
      <alignment horizontal="left" vertical="center"/>
    </xf>
    <xf numFmtId="0" fontId="2" fillId="4" borderId="0" xfId="1" applyFont="1" applyFill="1" applyAlignment="1">
      <alignment horizontal="left"/>
    </xf>
    <xf numFmtId="173" fontId="3" fillId="4" borderId="10" xfId="1" applyNumberFormat="1" applyFont="1" applyFill="1" applyBorder="1" applyAlignment="1">
      <alignment horizontal="left" vertical="center"/>
    </xf>
    <xf numFmtId="2" fontId="2" fillId="4" borderId="0" xfId="1" applyNumberFormat="1" applyFont="1" applyFill="1" applyAlignment="1">
      <alignment horizontal="left" vertical="center"/>
    </xf>
    <xf numFmtId="173" fontId="3" fillId="4" borderId="0" xfId="1" applyNumberFormat="1" applyFont="1" applyFill="1" applyAlignment="1">
      <alignment horizontal="left" vertical="center"/>
    </xf>
    <xf numFmtId="0" fontId="4" fillId="4" borderId="0" xfId="1" applyFont="1" applyFill="1" applyAlignment="1">
      <alignment horizontal="left" vertical="center"/>
    </xf>
    <xf numFmtId="0" fontId="3" fillId="4" borderId="0" xfId="1" applyFont="1" applyFill="1" applyAlignment="1">
      <alignment horizontal="left" vertical="center"/>
    </xf>
    <xf numFmtId="169" fontId="1" fillId="0" borderId="4" xfId="1" applyNumberFormat="1" applyBorder="1"/>
    <xf numFmtId="0" fontId="7" fillId="4" borderId="0" xfId="1" applyFont="1" applyFill="1" applyAlignment="1">
      <alignment horizontal="left" vertical="center"/>
    </xf>
    <xf numFmtId="0" fontId="7" fillId="4" borderId="0" xfId="1" applyFont="1" applyFill="1"/>
    <xf numFmtId="167" fontId="7" fillId="4" borderId="0" xfId="1" applyNumberFormat="1" applyFont="1" applyFill="1" applyAlignment="1">
      <alignment horizontal="left" vertical="center"/>
    </xf>
    <xf numFmtId="168" fontId="8" fillId="4" borderId="0" xfId="1" applyNumberFormat="1" applyFont="1" applyFill="1" applyAlignment="1">
      <alignment horizontal="left" vertical="center"/>
    </xf>
    <xf numFmtId="168" fontId="8" fillId="4" borderId="0" xfId="1" applyNumberFormat="1" applyFont="1" applyFill="1" applyBorder="1" applyAlignment="1">
      <alignment horizontal="left" vertical="center"/>
    </xf>
    <xf numFmtId="0" fontId="7" fillId="4" borderId="0" xfId="1" applyFont="1" applyFill="1" applyBorder="1"/>
    <xf numFmtId="0" fontId="9" fillId="5" borderId="8" xfId="1" applyFont="1" applyFill="1" applyBorder="1" applyAlignment="1">
      <alignment horizontal="center"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11" xfId="1" applyFont="1" applyFill="1" applyBorder="1" applyAlignment="1"/>
    <xf numFmtId="0" fontId="7" fillId="4" borderId="0" xfId="1" applyFont="1" applyFill="1" applyBorder="1" applyAlignment="1"/>
    <xf numFmtId="0" fontId="7" fillId="4" borderId="30" xfId="1" applyFont="1" applyFill="1" applyBorder="1"/>
    <xf numFmtId="0" fontId="7" fillId="4" borderId="0" xfId="1" applyFont="1" applyFill="1" applyBorder="1" applyAlignment="1">
      <alignment horizontal="center"/>
    </xf>
    <xf numFmtId="0" fontId="7" fillId="4" borderId="15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left" vertical="center"/>
    </xf>
    <xf numFmtId="168" fontId="7" fillId="6" borderId="8" xfId="1" applyNumberFormat="1" applyFont="1" applyFill="1" applyBorder="1" applyAlignment="1">
      <alignment horizontal="center" vertical="top" wrapText="1"/>
    </xf>
    <xf numFmtId="167" fontId="8" fillId="4" borderId="17" xfId="1" applyNumberFormat="1" applyFont="1" applyFill="1" applyBorder="1" applyAlignment="1">
      <alignment horizontal="left" vertical="center"/>
    </xf>
    <xf numFmtId="0" fontId="1" fillId="3" borderId="9" xfId="1" quotePrefix="1" applyFont="1" applyFill="1" applyBorder="1" applyAlignment="1"/>
    <xf numFmtId="0" fontId="1" fillId="3" borderId="4" xfId="1" quotePrefix="1" applyFont="1" applyFill="1" applyBorder="1" applyAlignment="1"/>
    <xf numFmtId="0" fontId="1" fillId="0" borderId="1" xfId="1" quotePrefix="1" applyBorder="1"/>
    <xf numFmtId="166" fontId="1" fillId="0" borderId="1" xfId="1" quotePrefix="1" applyNumberFormat="1" applyBorder="1"/>
    <xf numFmtId="0" fontId="1" fillId="2" borderId="31" xfId="1" applyFill="1" applyBorder="1"/>
    <xf numFmtId="1" fontId="1" fillId="0" borderId="1" xfId="1" applyNumberFormat="1" applyBorder="1"/>
    <xf numFmtId="0" fontId="7" fillId="4" borderId="0" xfId="1" applyFont="1" applyFill="1" applyAlignment="1">
      <alignment horizontal="right" vertical="center"/>
    </xf>
    <xf numFmtId="0" fontId="7" fillId="4" borderId="0" xfId="1" applyFont="1" applyFill="1" applyAlignment="1">
      <alignment horizontal="right"/>
    </xf>
    <xf numFmtId="49" fontId="7" fillId="4" borderId="0" xfId="1" applyNumberFormat="1" applyFont="1" applyFill="1" applyAlignment="1">
      <alignment horizontal="left" vertical="center"/>
    </xf>
    <xf numFmtId="0" fontId="7" fillId="4" borderId="7" xfId="1" applyFont="1" applyFill="1" applyBorder="1" applyAlignment="1">
      <alignment horizontal="right" vertical="center"/>
    </xf>
    <xf numFmtId="0" fontId="8" fillId="4" borderId="0" xfId="1" applyFont="1" applyFill="1" applyAlignment="1">
      <alignment horizontal="right" vertical="center"/>
    </xf>
    <xf numFmtId="0" fontId="8" fillId="4" borderId="0" xfId="1" applyFont="1" applyFill="1" applyAlignment="1">
      <alignment horizontal="right"/>
    </xf>
    <xf numFmtId="168" fontId="7" fillId="7" borderId="8" xfId="1" applyNumberFormat="1" applyFont="1" applyFill="1" applyBorder="1" applyAlignment="1">
      <alignment horizontal="center" vertical="top" wrapText="1"/>
    </xf>
    <xf numFmtId="176" fontId="7" fillId="8" borderId="8" xfId="0" applyNumberFormat="1" applyFont="1" applyFill="1" applyBorder="1" applyAlignment="1">
      <alignment horizontal="center" vertical="center" shrinkToFit="1"/>
    </xf>
    <xf numFmtId="0" fontId="9" fillId="9" borderId="8" xfId="1" applyFont="1" applyFill="1" applyBorder="1" applyAlignment="1">
      <alignment horizontal="center" vertical="center"/>
    </xf>
    <xf numFmtId="49" fontId="2" fillId="4" borderId="0" xfId="1" applyNumberFormat="1" applyFont="1" applyFill="1" applyAlignment="1">
      <alignment horizontal="left" vertical="top"/>
    </xf>
    <xf numFmtId="0" fontId="6" fillId="4" borderId="0" xfId="1" applyFont="1" applyFill="1" applyAlignment="1">
      <alignment horizontal="left" vertical="center"/>
    </xf>
    <xf numFmtId="174" fontId="7" fillId="10" borderId="17" xfId="1" applyNumberFormat="1" applyFont="1" applyFill="1" applyBorder="1" applyAlignment="1">
      <alignment horizontal="left" vertical="center"/>
    </xf>
    <xf numFmtId="0" fontId="1" fillId="0" borderId="18" xfId="1" applyNumberFormat="1" applyBorder="1" applyAlignment="1">
      <alignment horizontal="center"/>
    </xf>
    <xf numFmtId="0" fontId="0" fillId="4" borderId="0" xfId="0" applyFill="1"/>
    <xf numFmtId="166" fontId="1" fillId="4" borderId="0" xfId="0" applyNumberFormat="1" applyFont="1" applyFill="1" applyAlignment="1">
      <alignment horizontal="left" vertical="top" wrapText="1"/>
    </xf>
    <xf numFmtId="0" fontId="1" fillId="4" borderId="0" xfId="0" applyFont="1" applyFill="1" applyAlignment="1">
      <alignment horizontal="left" vertical="top" wrapText="1"/>
    </xf>
    <xf numFmtId="174" fontId="0" fillId="4" borderId="0" xfId="0" applyNumberFormat="1" applyFill="1"/>
    <xf numFmtId="14" fontId="1" fillId="11" borderId="0" xfId="1" applyNumberFormat="1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49" fontId="1" fillId="11" borderId="0" xfId="0" applyNumberFormat="1" applyFont="1" applyFill="1" applyAlignment="1">
      <alignment horizontal="center" vertical="center"/>
    </xf>
    <xf numFmtId="0" fontId="0" fillId="11" borderId="0" xfId="0" applyFill="1"/>
    <xf numFmtId="14" fontId="1" fillId="11" borderId="0" xfId="0" applyNumberFormat="1" applyFont="1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14" fontId="10" fillId="11" borderId="0" xfId="0" applyNumberFormat="1" applyFont="1" applyFill="1" applyAlignment="1">
      <alignment horizontal="center" vertical="center"/>
    </xf>
    <xf numFmtId="174" fontId="1" fillId="14" borderId="18" xfId="1" applyNumberFormat="1" applyFill="1" applyBorder="1" applyAlignment="1">
      <alignment horizontal="center" vertical="center"/>
    </xf>
    <xf numFmtId="0" fontId="1" fillId="13" borderId="0" xfId="1" applyNumberFormat="1" applyFill="1" applyAlignment="1">
      <alignment horizontal="center" vertical="center"/>
    </xf>
    <xf numFmtId="177" fontId="0" fillId="13" borderId="0" xfId="0" applyNumberFormat="1" applyFill="1" applyAlignment="1">
      <alignment horizontal="center"/>
    </xf>
    <xf numFmtId="0" fontId="1" fillId="11" borderId="0" xfId="1" applyNumberFormat="1" applyFill="1" applyAlignment="1">
      <alignment horizontal="center" vertical="center"/>
    </xf>
    <xf numFmtId="175" fontId="1" fillId="13" borderId="8" xfId="1" applyNumberFormat="1" applyFill="1" applyBorder="1" applyAlignment="1">
      <alignment horizontal="center" vertical="center"/>
    </xf>
    <xf numFmtId="0" fontId="7" fillId="15" borderId="8" xfId="1" applyFont="1" applyFill="1" applyBorder="1" applyAlignment="1">
      <alignment horizontal="center" vertical="center"/>
    </xf>
    <xf numFmtId="0" fontId="1" fillId="0" borderId="5" xfId="1" applyBorder="1" applyAlignment="1">
      <alignment horizontal="right"/>
    </xf>
    <xf numFmtId="0" fontId="1" fillId="0" borderId="5" xfId="1" applyBorder="1" applyAlignment="1">
      <alignment horizontal="right" vertical="center"/>
    </xf>
    <xf numFmtId="0" fontId="1" fillId="0" borderId="20" xfId="1" applyBorder="1"/>
    <xf numFmtId="14" fontId="2" fillId="4" borderId="0" xfId="1" applyNumberFormat="1" applyFont="1" applyFill="1" applyAlignment="1">
      <alignment horizontal="right" vertical="center"/>
    </xf>
    <xf numFmtId="0" fontId="1" fillId="4" borderId="4" xfId="1" applyFill="1" applyBorder="1"/>
    <xf numFmtId="0" fontId="1" fillId="4" borderId="9" xfId="1" applyFill="1" applyBorder="1"/>
    <xf numFmtId="0" fontId="1" fillId="4" borderId="3" xfId="1" applyFill="1" applyBorder="1"/>
    <xf numFmtId="0" fontId="1" fillId="4" borderId="5" xfId="1" applyFill="1" applyBorder="1"/>
    <xf numFmtId="0" fontId="1" fillId="4" borderId="0" xfId="1" applyFill="1" applyBorder="1" applyAlignment="1">
      <alignment horizontal="center" vertical="center"/>
    </xf>
    <xf numFmtId="0" fontId="1" fillId="0" borderId="13" xfId="1" applyBorder="1"/>
    <xf numFmtId="9" fontId="11" fillId="0" borderId="1" xfId="1" applyNumberFormat="1" applyFont="1" applyBorder="1"/>
    <xf numFmtId="0" fontId="2" fillId="4" borderId="0" xfId="1" applyFont="1" applyFill="1" applyAlignment="1">
      <alignment horizontal="left" vertical="center"/>
    </xf>
    <xf numFmtId="0" fontId="1" fillId="4" borderId="8" xfId="0" applyFont="1" applyFill="1" applyBorder="1"/>
    <xf numFmtId="170" fontId="0" fillId="4" borderId="8" xfId="0" applyNumberFormat="1" applyFill="1" applyBorder="1"/>
    <xf numFmtId="0" fontId="0" fillId="4" borderId="8" xfId="0" applyFill="1" applyBorder="1"/>
    <xf numFmtId="178" fontId="0" fillId="4" borderId="8" xfId="0" applyNumberFormat="1" applyFill="1" applyBorder="1"/>
    <xf numFmtId="0" fontId="0" fillId="4" borderId="0" xfId="0" applyFill="1" applyBorder="1"/>
    <xf numFmtId="175" fontId="7" fillId="4" borderId="8" xfId="1" applyNumberFormat="1" applyFont="1" applyFill="1" applyBorder="1" applyAlignment="1">
      <alignment horizontal="center" vertical="center"/>
    </xf>
    <xf numFmtId="175" fontId="7" fillId="4" borderId="0" xfId="1" applyNumberFormat="1" applyFont="1" applyFill="1"/>
    <xf numFmtId="0" fontId="11" fillId="4" borderId="8" xfId="0" applyFont="1" applyFill="1" applyBorder="1"/>
    <xf numFmtId="0" fontId="2" fillId="4" borderId="0" xfId="1" applyFont="1" applyFill="1" applyAlignment="1">
      <alignment horizontal="left" vertical="center"/>
    </xf>
    <xf numFmtId="0" fontId="1" fillId="0" borderId="21" xfId="1" applyBorder="1" applyAlignment="1">
      <alignment horizontal="right"/>
    </xf>
    <xf numFmtId="0" fontId="1" fillId="0" borderId="1" xfId="1" applyBorder="1" applyAlignment="1">
      <alignment horizontal="right"/>
    </xf>
    <xf numFmtId="9" fontId="1" fillId="4" borderId="17" xfId="0" applyNumberFormat="1" applyFont="1" applyFill="1" applyBorder="1"/>
    <xf numFmtId="169" fontId="9" fillId="5" borderId="8" xfId="1" applyNumberFormat="1" applyFont="1" applyFill="1" applyBorder="1" applyAlignment="1">
      <alignment horizontal="center" vertical="center"/>
    </xf>
    <xf numFmtId="0" fontId="7" fillId="23" borderId="8" xfId="1" applyFont="1" applyFill="1" applyBorder="1" applyAlignment="1">
      <alignment horizontal="center" vertical="center"/>
    </xf>
    <xf numFmtId="169" fontId="9" fillId="22" borderId="8" xfId="1" applyNumberFormat="1" applyFont="1" applyFill="1" applyBorder="1" applyAlignment="1">
      <alignment horizontal="center" vertical="center"/>
    </xf>
    <xf numFmtId="169" fontId="9" fillId="9" borderId="8" xfId="1" applyNumberFormat="1" applyFont="1" applyFill="1" applyBorder="1" applyAlignment="1">
      <alignment horizontal="center" vertical="center"/>
    </xf>
    <xf numFmtId="2" fontId="7" fillId="4" borderId="8" xfId="1" applyNumberFormat="1" applyFont="1" applyFill="1" applyBorder="1" applyAlignment="1">
      <alignment horizontal="center" vertical="center"/>
    </xf>
    <xf numFmtId="0" fontId="1" fillId="2" borderId="0" xfId="1" applyFill="1" applyBorder="1"/>
    <xf numFmtId="175" fontId="1" fillId="11" borderId="0" xfId="1" applyNumberFormat="1" applyFont="1" applyFill="1" applyAlignment="1">
      <alignment horizontal="center" vertical="center"/>
    </xf>
    <xf numFmtId="0" fontId="1" fillId="4" borderId="0" xfId="0" applyFont="1" applyFill="1"/>
    <xf numFmtId="171" fontId="1" fillId="4" borderId="8" xfId="1" applyNumberFormat="1" applyFont="1" applyFill="1" applyBorder="1" applyAlignment="1">
      <alignment horizontal="right" vertical="center"/>
    </xf>
    <xf numFmtId="179" fontId="2" fillId="4" borderId="0" xfId="1" applyNumberFormat="1" applyFont="1" applyFill="1" applyAlignment="1">
      <alignment horizontal="left" vertical="center"/>
    </xf>
    <xf numFmtId="9" fontId="1" fillId="11" borderId="8" xfId="1" applyNumberFormat="1" applyFill="1" applyBorder="1" applyAlignment="1">
      <alignment horizontal="center" vertical="center"/>
    </xf>
    <xf numFmtId="14" fontId="2" fillId="4" borderId="0" xfId="1" applyNumberFormat="1" applyFont="1" applyFill="1" applyAlignment="1">
      <alignment horizontal="left" vertical="center"/>
    </xf>
    <xf numFmtId="0" fontId="11" fillId="21" borderId="22" xfId="1" applyFont="1" applyFill="1" applyBorder="1" applyAlignment="1">
      <alignment vertical="center"/>
    </xf>
    <xf numFmtId="0" fontId="11" fillId="21" borderId="27" xfId="1" applyFont="1" applyFill="1" applyBorder="1" applyAlignment="1">
      <alignment vertical="center"/>
    </xf>
    <xf numFmtId="0" fontId="11" fillId="21" borderId="27" xfId="1" quotePrefix="1" applyFont="1" applyFill="1" applyBorder="1" applyAlignment="1">
      <alignment vertical="center"/>
    </xf>
    <xf numFmtId="49" fontId="11" fillId="21" borderId="27" xfId="1" applyNumberFormat="1" applyFont="1" applyFill="1" applyBorder="1" applyAlignment="1">
      <alignment vertical="center"/>
    </xf>
    <xf numFmtId="0" fontId="11" fillId="21" borderId="27" xfId="1" applyNumberFormat="1" applyFont="1" applyFill="1" applyBorder="1" applyAlignment="1">
      <alignment horizontal="left" vertical="center"/>
    </xf>
    <xf numFmtId="1" fontId="11" fillId="21" borderId="27" xfId="1" applyNumberFormat="1" applyFont="1" applyFill="1" applyBorder="1" applyAlignment="1">
      <alignment horizontal="left" vertical="center"/>
    </xf>
    <xf numFmtId="169" fontId="1" fillId="8" borderId="27" xfId="1" quotePrefix="1" applyNumberFormat="1" applyFont="1" applyFill="1" applyBorder="1" applyAlignment="1">
      <alignment horizontal="left" vertical="center"/>
    </xf>
    <xf numFmtId="169" fontId="11" fillId="21" borderId="27" xfId="1" applyNumberFormat="1" applyFont="1" applyFill="1" applyBorder="1" applyAlignment="1">
      <alignment horizontal="left" vertical="center"/>
    </xf>
    <xf numFmtId="0" fontId="1" fillId="8" borderId="27" xfId="1" quotePrefix="1" applyFont="1" applyFill="1" applyBorder="1" applyAlignment="1">
      <alignment horizontal="left" vertical="center"/>
    </xf>
    <xf numFmtId="0" fontId="11" fillId="21" borderId="27" xfId="1" quotePrefix="1" applyFont="1" applyFill="1" applyBorder="1" applyAlignment="1">
      <alignment horizontal="left" vertical="center"/>
    </xf>
    <xf numFmtId="9" fontId="1" fillId="8" borderId="27" xfId="1" quotePrefix="1" applyNumberFormat="1" applyFont="1" applyFill="1" applyBorder="1" applyAlignment="1">
      <alignment horizontal="left" vertical="center"/>
    </xf>
    <xf numFmtId="10" fontId="11" fillId="21" borderId="27" xfId="1" quotePrefix="1" applyNumberFormat="1" applyFont="1" applyFill="1" applyBorder="1" applyAlignment="1">
      <alignment horizontal="left" vertical="center"/>
    </xf>
    <xf numFmtId="14" fontId="1" fillId="8" borderId="27" xfId="1" applyNumberFormat="1" applyFont="1" applyFill="1" applyBorder="1" applyAlignment="1">
      <alignment horizontal="left" vertical="center"/>
    </xf>
    <xf numFmtId="49" fontId="1" fillId="8" borderId="27" xfId="1" applyNumberFormat="1" applyFont="1" applyFill="1" applyBorder="1" applyAlignment="1">
      <alignment horizontal="left" vertical="center"/>
    </xf>
    <xf numFmtId="0" fontId="1" fillId="12" borderId="35" xfId="1" quotePrefix="1" applyFont="1" applyFill="1" applyBorder="1" applyAlignment="1">
      <alignment horizontal="left" vertical="center"/>
    </xf>
    <xf numFmtId="0" fontId="1" fillId="12" borderId="36" xfId="1" applyFont="1" applyFill="1" applyBorder="1" applyAlignment="1">
      <alignment horizontal="left" vertical="center"/>
    </xf>
    <xf numFmtId="0" fontId="1" fillId="12" borderId="36" xfId="1" quotePrefix="1" applyFont="1" applyFill="1" applyBorder="1" applyAlignment="1">
      <alignment horizontal="left" vertical="center"/>
    </xf>
    <xf numFmtId="4" fontId="1" fillId="0" borderId="1" xfId="1" applyNumberFormat="1" applyBorder="1"/>
    <xf numFmtId="165" fontId="1" fillId="0" borderId="8" xfId="2" applyFont="1" applyBorder="1" applyAlignment="1">
      <alignment horizontal="right" vertical="center"/>
    </xf>
    <xf numFmtId="180" fontId="1" fillId="0" borderId="12" xfId="2" applyNumberFormat="1" applyFont="1" applyBorder="1" applyAlignment="1">
      <alignment horizontal="center" vertical="center"/>
    </xf>
    <xf numFmtId="180" fontId="1" fillId="17" borderId="19" xfId="2" applyNumberFormat="1" applyFont="1" applyFill="1" applyBorder="1" applyAlignment="1">
      <alignment horizontal="center" vertical="center"/>
    </xf>
    <xf numFmtId="180" fontId="1" fillId="0" borderId="8" xfId="2" applyNumberFormat="1" applyFont="1" applyBorder="1" applyAlignment="1">
      <alignment horizontal="center" vertical="center"/>
    </xf>
    <xf numFmtId="165" fontId="1" fillId="0" borderId="6" xfId="2" applyNumberFormat="1" applyFont="1" applyBorder="1" applyAlignment="1">
      <alignment horizontal="center"/>
    </xf>
    <xf numFmtId="165" fontId="1" fillId="0" borderId="8" xfId="2" applyNumberFormat="1" applyFont="1" applyBorder="1" applyAlignment="1">
      <alignment horizontal="center" vertical="center"/>
    </xf>
    <xf numFmtId="165" fontId="1" fillId="18" borderId="19" xfId="2" applyNumberFormat="1" applyFont="1" applyFill="1" applyBorder="1" applyAlignment="1">
      <alignment horizontal="center" vertical="center"/>
    </xf>
    <xf numFmtId="165" fontId="1" fillId="0" borderId="8" xfId="2" applyFont="1" applyBorder="1" applyAlignment="1">
      <alignment horizontal="center" vertical="center"/>
    </xf>
    <xf numFmtId="165" fontId="1" fillId="18" borderId="19" xfId="2" applyFont="1" applyFill="1" applyBorder="1" applyAlignment="1">
      <alignment horizontal="center" vertical="center"/>
    </xf>
    <xf numFmtId="165" fontId="1" fillId="12" borderId="19" xfId="2" applyFont="1" applyFill="1" applyBorder="1" applyAlignment="1">
      <alignment horizontal="right" vertical="center"/>
    </xf>
    <xf numFmtId="0" fontId="1" fillId="0" borderId="9" xfId="1" applyBorder="1"/>
    <xf numFmtId="164" fontId="1" fillId="0" borderId="1" xfId="1" applyNumberFormat="1" applyBorder="1"/>
    <xf numFmtId="49" fontId="1" fillId="0" borderId="9" xfId="1" applyNumberFormat="1" applyBorder="1" applyAlignment="1">
      <alignment horizontal="right" vertical="center"/>
    </xf>
    <xf numFmtId="0" fontId="1" fillId="0" borderId="40" xfId="1" applyBorder="1" applyAlignment="1">
      <alignment horizontal="right" vertical="center"/>
    </xf>
    <xf numFmtId="0" fontId="16" fillId="0" borderId="4" xfId="1" applyFont="1" applyBorder="1"/>
    <xf numFmtId="0" fontId="1" fillId="0" borderId="1" xfId="1" applyBorder="1" applyAlignment="1">
      <alignment horizontal="right" vertical="center"/>
    </xf>
    <xf numFmtId="14" fontId="7" fillId="4" borderId="0" xfId="1" applyNumberFormat="1" applyFont="1" applyFill="1"/>
    <xf numFmtId="0" fontId="1" fillId="4" borderId="0" xfId="1" applyFont="1" applyFill="1"/>
    <xf numFmtId="0" fontId="7" fillId="23" borderId="7" xfId="1" applyFont="1" applyFill="1" applyBorder="1" applyAlignment="1">
      <alignment horizontal="center" vertical="center"/>
    </xf>
    <xf numFmtId="0" fontId="7" fillId="23" borderId="22" xfId="1" applyFont="1" applyFill="1" applyBorder="1" applyAlignment="1">
      <alignment horizontal="center" vertical="center"/>
    </xf>
    <xf numFmtId="0" fontId="7" fillId="23" borderId="18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0" fontId="7" fillId="4" borderId="17" xfId="1" applyFont="1" applyFill="1" applyBorder="1" applyAlignment="1">
      <alignment horizontal="center" vertical="center"/>
    </xf>
    <xf numFmtId="0" fontId="7" fillId="4" borderId="18" xfId="1" applyFont="1" applyFill="1" applyBorder="1" applyAlignment="1">
      <alignment horizontal="center" vertical="center"/>
    </xf>
    <xf numFmtId="0" fontId="7" fillId="24" borderId="8" xfId="1" applyFont="1" applyFill="1" applyBorder="1" applyAlignment="1">
      <alignment horizontal="center" vertical="center"/>
    </xf>
    <xf numFmtId="0" fontId="1" fillId="0" borderId="9" xfId="1" applyBorder="1" applyAlignment="1">
      <alignment horizontal="right" vertical="center"/>
    </xf>
    <xf numFmtId="0" fontId="1" fillId="0" borderId="14" xfId="1" applyBorder="1" applyAlignment="1">
      <alignment horizontal="right"/>
    </xf>
    <xf numFmtId="0" fontId="1" fillId="0" borderId="31" xfId="1" applyFill="1" applyBorder="1"/>
    <xf numFmtId="0" fontId="1" fillId="25" borderId="51" xfId="1" applyFill="1" applyBorder="1" applyAlignment="1">
      <alignment horizontal="right"/>
    </xf>
    <xf numFmtId="0" fontId="1" fillId="0" borderId="30" xfId="1" applyFill="1" applyBorder="1" applyAlignment="1">
      <alignment horizontal="right"/>
    </xf>
    <xf numFmtId="0" fontId="1" fillId="16" borderId="51" xfId="1" applyFill="1" applyBorder="1" applyAlignment="1">
      <alignment horizontal="right"/>
    </xf>
    <xf numFmtId="0" fontId="1" fillId="16" borderId="55" xfId="1" applyFill="1" applyBorder="1" applyAlignment="1">
      <alignment horizontal="right"/>
    </xf>
    <xf numFmtId="9" fontId="1" fillId="0" borderId="5" xfId="1" applyNumberFormat="1" applyBorder="1" applyAlignment="1">
      <alignment vertical="center"/>
    </xf>
    <xf numFmtId="0" fontId="11" fillId="21" borderId="51" xfId="1" applyFont="1" applyFill="1" applyBorder="1" applyAlignment="1">
      <alignment horizontal="right"/>
    </xf>
    <xf numFmtId="1" fontId="1" fillId="8" borderId="18" xfId="1" applyNumberFormat="1" applyFont="1" applyFill="1" applyBorder="1" applyAlignment="1">
      <alignment horizontal="left" vertical="center"/>
    </xf>
    <xf numFmtId="0" fontId="2" fillId="4" borderId="0" xfId="1" applyFont="1" applyFill="1" applyAlignment="1">
      <alignment horizontal="center" vertical="center"/>
    </xf>
    <xf numFmtId="0" fontId="7" fillId="4" borderId="37" xfId="1" applyFont="1" applyFill="1" applyBorder="1"/>
    <xf numFmtId="0" fontId="7" fillId="4" borderId="11" xfId="1" applyFont="1" applyFill="1" applyBorder="1"/>
    <xf numFmtId="0" fontId="7" fillId="4" borderId="12" xfId="1" applyFont="1" applyFill="1" applyBorder="1"/>
    <xf numFmtId="0" fontId="7" fillId="4" borderId="14" xfId="1" applyFont="1" applyFill="1" applyBorder="1"/>
    <xf numFmtId="0" fontId="7" fillId="4" borderId="46" xfId="1" applyFont="1" applyFill="1" applyBorder="1"/>
    <xf numFmtId="0" fontId="7" fillId="4" borderId="15" xfId="1" applyFont="1" applyFill="1" applyBorder="1"/>
    <xf numFmtId="0" fontId="7" fillId="4" borderId="16" xfId="1" applyFont="1" applyFill="1" applyBorder="1"/>
    <xf numFmtId="174" fontId="1" fillId="8" borderId="27" xfId="1" applyNumberFormat="1" applyFont="1" applyFill="1" applyBorder="1" applyAlignment="1">
      <alignment horizontal="left" vertical="center"/>
    </xf>
    <xf numFmtId="181" fontId="1" fillId="0" borderId="8" xfId="2" applyNumberFormat="1" applyFont="1" applyBorder="1" applyAlignment="1">
      <alignment horizontal="center" vertical="center"/>
    </xf>
    <xf numFmtId="0" fontId="2" fillId="4" borderId="0" xfId="1" applyNumberFormat="1" applyFont="1" applyFill="1" applyAlignment="1">
      <alignment horizontal="left" vertical="center"/>
    </xf>
    <xf numFmtId="165" fontId="1" fillId="26" borderId="19" xfId="2" applyNumberFormat="1" applyFont="1" applyFill="1" applyBorder="1" applyAlignment="1">
      <alignment horizontal="center" vertical="center"/>
    </xf>
    <xf numFmtId="0" fontId="19" fillId="4" borderId="0" xfId="1" applyFont="1" applyFill="1" applyAlignment="1">
      <alignment horizontal="left" vertical="center"/>
    </xf>
    <xf numFmtId="14" fontId="19" fillId="4" borderId="0" xfId="1" applyNumberFormat="1" applyFont="1" applyFill="1" applyAlignment="1">
      <alignment horizontal="left" vertical="center"/>
    </xf>
    <xf numFmtId="0" fontId="1" fillId="0" borderId="1" xfId="1" applyBorder="1" applyAlignment="1">
      <alignment horizontal="center" vertical="center"/>
    </xf>
    <xf numFmtId="171" fontId="1" fillId="0" borderId="8" xfId="1" applyNumberFormat="1" applyFont="1" applyFill="1" applyBorder="1" applyAlignment="1">
      <alignment horizontal="right" vertical="center"/>
    </xf>
    <xf numFmtId="43" fontId="1" fillId="0" borderId="1" xfId="1" applyNumberFormat="1" applyBorder="1"/>
    <xf numFmtId="0" fontId="0" fillId="4" borderId="8" xfId="0" applyFill="1" applyBorder="1" applyAlignment="1">
      <alignment horizontal="center" vertical="center"/>
    </xf>
    <xf numFmtId="0" fontId="8" fillId="4" borderId="0" xfId="1" applyFont="1" applyFill="1" applyAlignment="1">
      <alignment horizontal="left" vertical="center"/>
    </xf>
    <xf numFmtId="0" fontId="1" fillId="0" borderId="9" xfId="1" applyBorder="1" applyAlignment="1">
      <alignment horizontal="right"/>
    </xf>
    <xf numFmtId="0" fontId="2" fillId="4" borderId="0" xfId="1" applyFont="1" applyFill="1" applyAlignment="1">
      <alignment horizontal="left" vertical="top"/>
    </xf>
    <xf numFmtId="0" fontId="2" fillId="4" borderId="0" xfId="1" applyFont="1" applyFill="1" applyAlignment="1">
      <alignment horizontal="left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8" fillId="4" borderId="0" xfId="1" applyFont="1" applyFill="1" applyAlignment="1">
      <alignment horizontal="left" vertical="center"/>
    </xf>
    <xf numFmtId="0" fontId="7" fillId="7" borderId="22" xfId="1" applyFont="1" applyFill="1" applyBorder="1" applyAlignment="1">
      <alignment horizontal="center" vertical="center"/>
    </xf>
    <xf numFmtId="0" fontId="7" fillId="7" borderId="27" xfId="1" applyFont="1" applyFill="1" applyBorder="1" applyAlignment="1">
      <alignment horizontal="center" vertical="center"/>
    </xf>
    <xf numFmtId="0" fontId="7" fillId="7" borderId="18" xfId="1" applyFont="1" applyFill="1" applyBorder="1" applyAlignment="1">
      <alignment horizontal="center" vertical="center"/>
    </xf>
    <xf numFmtId="0" fontId="7" fillId="4" borderId="24" xfId="1" applyFont="1" applyFill="1" applyBorder="1" applyAlignment="1">
      <alignment horizontal="right" vertical="center"/>
    </xf>
    <xf numFmtId="0" fontId="7" fillId="4" borderId="12" xfId="1" applyFont="1" applyFill="1" applyBorder="1" applyAlignment="1">
      <alignment horizontal="right" vertical="center"/>
    </xf>
    <xf numFmtId="0" fontId="7" fillId="4" borderId="28" xfId="1" applyFont="1" applyFill="1" applyBorder="1" applyAlignment="1">
      <alignment horizontal="right" vertical="center"/>
    </xf>
    <xf numFmtId="0" fontId="7" fillId="4" borderId="14" xfId="1" applyFont="1" applyFill="1" applyBorder="1" applyAlignment="1">
      <alignment horizontal="right" vertical="center"/>
    </xf>
    <xf numFmtId="0" fontId="7" fillId="4" borderId="29" xfId="1" applyFont="1" applyFill="1" applyBorder="1" applyAlignment="1">
      <alignment horizontal="right" vertical="center"/>
    </xf>
    <xf numFmtId="0" fontId="7" fillId="4" borderId="16" xfId="1" applyFont="1" applyFill="1" applyBorder="1" applyAlignment="1">
      <alignment horizontal="right" vertical="center"/>
    </xf>
    <xf numFmtId="0" fontId="7" fillId="11" borderId="7" xfId="1" applyFont="1" applyFill="1" applyBorder="1" applyAlignment="1">
      <alignment horizontal="right" vertical="center"/>
    </xf>
    <xf numFmtId="0" fontId="7" fillId="11" borderId="17" xfId="1" applyFont="1" applyFill="1" applyBorder="1" applyAlignment="1">
      <alignment horizontal="right" vertical="center"/>
    </xf>
    <xf numFmtId="0" fontId="7" fillId="11" borderId="7" xfId="1" applyFont="1" applyFill="1" applyBorder="1" applyAlignment="1">
      <alignment horizontal="center" vertical="center"/>
    </xf>
    <xf numFmtId="0" fontId="7" fillId="11" borderId="23" xfId="1" applyFont="1" applyFill="1" applyBorder="1" applyAlignment="1">
      <alignment horizontal="center" vertical="center"/>
    </xf>
    <xf numFmtId="0" fontId="7" fillId="11" borderId="17" xfId="1" applyFont="1" applyFill="1" applyBorder="1" applyAlignment="1">
      <alignment horizontal="center" vertical="center"/>
    </xf>
    <xf numFmtId="0" fontId="7" fillId="20" borderId="7" xfId="1" applyFont="1" applyFill="1" applyBorder="1" applyAlignment="1">
      <alignment horizontal="center" vertical="center"/>
    </xf>
    <xf numFmtId="0" fontId="7" fillId="20" borderId="23" xfId="1" applyFont="1" applyFill="1" applyBorder="1" applyAlignment="1">
      <alignment horizontal="center" vertical="center"/>
    </xf>
    <xf numFmtId="0" fontId="7" fillId="20" borderId="17" xfId="1" applyFont="1" applyFill="1" applyBorder="1" applyAlignment="1">
      <alignment horizontal="center" vertical="center"/>
    </xf>
    <xf numFmtId="0" fontId="1" fillId="0" borderId="25" xfId="1" applyBorder="1" applyAlignment="1">
      <alignment horizontal="right" vertical="center"/>
    </xf>
    <xf numFmtId="0" fontId="1" fillId="0" borderId="26" xfId="1" applyBorder="1" applyAlignment="1">
      <alignment horizontal="right" vertical="center"/>
    </xf>
    <xf numFmtId="0" fontId="1" fillId="26" borderId="32" xfId="1" applyFill="1" applyBorder="1" applyAlignment="1">
      <alignment horizontal="right" vertical="center"/>
    </xf>
    <xf numFmtId="0" fontId="1" fillId="26" borderId="33" xfId="1" applyFill="1" applyBorder="1" applyAlignment="1">
      <alignment horizontal="right" vertical="center"/>
    </xf>
    <xf numFmtId="0" fontId="1" fillId="18" borderId="32" xfId="1" applyFill="1" applyBorder="1" applyAlignment="1">
      <alignment horizontal="right" vertical="center"/>
    </xf>
    <xf numFmtId="0" fontId="1" fillId="18" borderId="33" xfId="1" applyFill="1" applyBorder="1" applyAlignment="1">
      <alignment horizontal="right" vertical="center"/>
    </xf>
    <xf numFmtId="1" fontId="12" fillId="19" borderId="7" xfId="1" applyNumberFormat="1" applyFont="1" applyFill="1" applyBorder="1" applyAlignment="1">
      <alignment horizontal="center" vertical="center" wrapText="1"/>
    </xf>
    <xf numFmtId="1" fontId="12" fillId="19" borderId="23" xfId="1" applyNumberFormat="1" applyFont="1" applyFill="1" applyBorder="1" applyAlignment="1">
      <alignment horizontal="center" vertical="center" wrapText="1"/>
    </xf>
    <xf numFmtId="1" fontId="12" fillId="19" borderId="17" xfId="1" applyNumberFormat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right"/>
    </xf>
    <xf numFmtId="0" fontId="1" fillId="0" borderId="24" xfId="1" applyBorder="1" applyAlignment="1">
      <alignment horizontal="right" vertical="center"/>
    </xf>
    <xf numFmtId="0" fontId="1" fillId="0" borderId="12" xfId="1" applyBorder="1" applyAlignment="1">
      <alignment horizontal="right" vertical="center"/>
    </xf>
    <xf numFmtId="0" fontId="1" fillId="17" borderId="19" xfId="1" applyFill="1" applyBorder="1" applyAlignment="1">
      <alignment horizontal="right" vertical="center"/>
    </xf>
    <xf numFmtId="0" fontId="1" fillId="12" borderId="32" xfId="1" applyFill="1" applyBorder="1" applyAlignment="1">
      <alignment horizontal="right" vertical="center"/>
    </xf>
    <xf numFmtId="0" fontId="1" fillId="12" borderId="33" xfId="1" applyFill="1" applyBorder="1" applyAlignment="1">
      <alignment horizontal="right" vertical="center"/>
    </xf>
    <xf numFmtId="0" fontId="1" fillId="17" borderId="32" xfId="1" applyFill="1" applyBorder="1" applyAlignment="1">
      <alignment horizontal="right" vertical="center"/>
    </xf>
    <xf numFmtId="0" fontId="1" fillId="17" borderId="33" xfId="1" applyFill="1" applyBorder="1" applyAlignment="1">
      <alignment horizontal="right" vertical="center"/>
    </xf>
    <xf numFmtId="0" fontId="1" fillId="0" borderId="3" xfId="1" applyBorder="1" applyAlignment="1">
      <alignment horizontal="right" vertical="center"/>
    </xf>
    <xf numFmtId="0" fontId="1" fillId="0" borderId="41" xfId="1" applyBorder="1" applyAlignment="1">
      <alignment horizontal="right" vertical="center"/>
    </xf>
    <xf numFmtId="0" fontId="1" fillId="0" borderId="9" xfId="1" applyBorder="1" applyAlignment="1">
      <alignment horizontal="right"/>
    </xf>
    <xf numFmtId="0" fontId="1" fillId="0" borderId="4" xfId="1" applyBorder="1" applyAlignment="1">
      <alignment horizontal="right"/>
    </xf>
    <xf numFmtId="181" fontId="1" fillId="0" borderId="42" xfId="2" applyNumberFormat="1" applyFont="1" applyBorder="1" applyAlignment="1">
      <alignment horizontal="center"/>
    </xf>
    <xf numFmtId="181" fontId="1" fillId="0" borderId="43" xfId="2" applyNumberFormat="1" applyFont="1" applyBorder="1" applyAlignment="1">
      <alignment horizontal="center"/>
    </xf>
    <xf numFmtId="181" fontId="1" fillId="0" borderId="7" xfId="2" applyNumberFormat="1" applyFont="1" applyFill="1" applyBorder="1" applyAlignment="1">
      <alignment horizontal="center" vertical="center"/>
    </xf>
    <xf numFmtId="181" fontId="1" fillId="0" borderId="17" xfId="2" applyNumberFormat="1" applyFont="1" applyFill="1" applyBorder="1" applyAlignment="1">
      <alignment horizontal="center" vertical="center"/>
    </xf>
    <xf numFmtId="9" fontId="1" fillId="4" borderId="29" xfId="1" applyNumberFormat="1" applyFill="1" applyBorder="1" applyAlignment="1">
      <alignment horizontal="center" vertical="center"/>
    </xf>
    <xf numFmtId="9" fontId="1" fillId="4" borderId="16" xfId="1" applyNumberFormat="1" applyFill="1" applyBorder="1" applyAlignment="1">
      <alignment horizontal="center" vertical="center"/>
    </xf>
    <xf numFmtId="181" fontId="1" fillId="0" borderId="19" xfId="2" applyNumberFormat="1" applyFont="1" applyBorder="1" applyAlignment="1">
      <alignment horizontal="center"/>
    </xf>
    <xf numFmtId="181" fontId="1" fillId="16" borderId="34" xfId="2" applyNumberFormat="1" applyFont="1" applyFill="1" applyBorder="1" applyAlignment="1">
      <alignment horizontal="center"/>
    </xf>
    <xf numFmtId="181" fontId="1" fillId="25" borderId="34" xfId="2" applyNumberFormat="1" applyFont="1" applyFill="1" applyBorder="1" applyAlignment="1">
      <alignment horizontal="center"/>
    </xf>
    <xf numFmtId="181" fontId="1" fillId="25" borderId="52" xfId="2" applyNumberFormat="1" applyFont="1" applyFill="1" applyBorder="1" applyAlignment="1">
      <alignment horizontal="center"/>
    </xf>
    <xf numFmtId="181" fontId="1" fillId="25" borderId="50" xfId="2" applyNumberFormat="1" applyFont="1" applyFill="1" applyBorder="1" applyAlignment="1">
      <alignment horizontal="center"/>
    </xf>
    <xf numFmtId="181" fontId="1" fillId="25" borderId="49" xfId="2" applyNumberFormat="1" applyFont="1" applyFill="1" applyBorder="1" applyAlignment="1">
      <alignment horizontal="center"/>
    </xf>
    <xf numFmtId="2" fontId="1" fillId="0" borderId="7" xfId="1" applyNumberFormat="1" applyFill="1" applyBorder="1" applyAlignment="1">
      <alignment horizontal="center" vertical="center"/>
    </xf>
    <xf numFmtId="2" fontId="1" fillId="0" borderId="17" xfId="1" applyNumberFormat="1" applyFill="1" applyBorder="1" applyAlignment="1">
      <alignment horizontal="center" vertical="center"/>
    </xf>
    <xf numFmtId="181" fontId="1" fillId="0" borderId="53" xfId="2" applyNumberFormat="1" applyFont="1" applyBorder="1" applyAlignment="1">
      <alignment horizontal="center"/>
    </xf>
    <xf numFmtId="181" fontId="1" fillId="0" borderId="54" xfId="2" applyNumberFormat="1" applyFont="1" applyBorder="1" applyAlignment="1">
      <alignment horizontal="center"/>
    </xf>
    <xf numFmtId="181" fontId="1" fillId="16" borderId="50" xfId="2" applyNumberFormat="1" applyFont="1" applyFill="1" applyBorder="1" applyAlignment="1">
      <alignment horizontal="center"/>
    </xf>
    <xf numFmtId="181" fontId="1" fillId="0" borderId="47" xfId="2" applyNumberFormat="1" applyFont="1" applyFill="1" applyBorder="1" applyAlignment="1">
      <alignment horizontal="center" vertical="center"/>
    </xf>
    <xf numFmtId="181" fontId="1" fillId="0" borderId="48" xfId="2" applyNumberFormat="1" applyFont="1" applyFill="1" applyBorder="1" applyAlignment="1">
      <alignment horizontal="center" vertical="center"/>
    </xf>
    <xf numFmtId="181" fontId="1" fillId="0" borderId="38" xfId="2" applyNumberFormat="1" applyFont="1" applyFill="1" applyBorder="1" applyAlignment="1">
      <alignment horizontal="center" vertical="center"/>
    </xf>
    <xf numFmtId="181" fontId="1" fillId="0" borderId="39" xfId="2" applyNumberFormat="1" applyFont="1" applyFill="1" applyBorder="1" applyAlignment="1">
      <alignment horizontal="center" vertical="center"/>
    </xf>
    <xf numFmtId="1" fontId="12" fillId="19" borderId="7" xfId="1" applyNumberFormat="1" applyFont="1" applyFill="1" applyBorder="1" applyAlignment="1">
      <alignment horizontal="center" wrapText="1"/>
    </xf>
    <xf numFmtId="1" fontId="12" fillId="19" borderId="23" xfId="1" applyNumberFormat="1" applyFont="1" applyFill="1" applyBorder="1" applyAlignment="1">
      <alignment horizontal="center" wrapText="1"/>
    </xf>
    <xf numFmtId="1" fontId="12" fillId="19" borderId="17" xfId="1" applyNumberFormat="1" applyFont="1" applyFill="1" applyBorder="1" applyAlignment="1">
      <alignment horizontal="center" wrapText="1"/>
    </xf>
    <xf numFmtId="174" fontId="1" fillId="14" borderId="7" xfId="1" applyNumberFormat="1" applyFill="1" applyBorder="1" applyAlignment="1">
      <alignment horizontal="center" vertical="center"/>
    </xf>
    <xf numFmtId="174" fontId="1" fillId="14" borderId="17" xfId="1" applyNumberFormat="1" applyFill="1" applyBorder="1" applyAlignment="1">
      <alignment horizontal="center" vertical="center"/>
    </xf>
    <xf numFmtId="181" fontId="1" fillId="0" borderId="33" xfId="2" applyNumberFormat="1" applyFont="1" applyBorder="1" applyAlignment="1">
      <alignment horizontal="center"/>
    </xf>
    <xf numFmtId="174" fontId="1" fillId="0" borderId="44" xfId="1" applyNumberFormat="1" applyFill="1" applyBorder="1" applyAlignment="1">
      <alignment horizontal="center" vertical="center"/>
    </xf>
    <xf numFmtId="174" fontId="1" fillId="0" borderId="37" xfId="1" applyNumberFormat="1" applyFill="1" applyBorder="1" applyAlignment="1">
      <alignment horizontal="center" vertical="center"/>
    </xf>
    <xf numFmtId="174" fontId="1" fillId="0" borderId="45" xfId="1" applyNumberFormat="1" applyFill="1" applyBorder="1" applyAlignment="1">
      <alignment horizontal="center" vertical="center"/>
    </xf>
    <xf numFmtId="174" fontId="1" fillId="0" borderId="46" xfId="1" applyNumberForma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top"/>
    </xf>
    <xf numFmtId="0" fontId="3" fillId="4" borderId="0" xfId="1" applyFont="1" applyFill="1" applyAlignment="1">
      <alignment horizontal="left" vertical="top"/>
    </xf>
    <xf numFmtId="0" fontId="2" fillId="4" borderId="0" xfId="1" applyFont="1" applyFill="1" applyAlignment="1">
      <alignment horizontal="left" vertical="top"/>
    </xf>
    <xf numFmtId="0" fontId="2" fillId="4" borderId="0" xfId="1" applyFont="1" applyFill="1" applyAlignment="1">
      <alignment horizontal="left" vertical="center"/>
    </xf>
  </cellXfs>
  <cellStyles count="3">
    <cellStyle name="Milliers" xfId="2" builtinId="3"/>
    <cellStyle name="Normal" xfId="0" builtinId="0"/>
    <cellStyle name="Normal 2" xfId="1"/>
  </cellStyles>
  <dxfs count="150"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vertical/>
        <horizontal/>
      </border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vertical/>
        <horizontal/>
      </border>
    </dxf>
    <dxf>
      <fill>
        <patternFill>
          <bgColor rgb="FFF82CE0"/>
        </patternFill>
      </fill>
    </dxf>
    <dxf>
      <fill>
        <patternFill>
          <bgColor rgb="FFF82CE0"/>
        </patternFill>
      </fill>
    </dxf>
    <dxf>
      <fill>
        <patternFill>
          <bgColor rgb="FFF82CE0"/>
        </patternFill>
      </fill>
    </dxf>
    <dxf>
      <fill>
        <patternFill>
          <bgColor rgb="FFF82CE0"/>
        </patternFill>
      </fill>
    </dxf>
    <dxf>
      <fill>
        <patternFill>
          <bgColor rgb="FFF82CE0"/>
        </patternFill>
      </fill>
    </dxf>
    <dxf>
      <fill>
        <patternFill>
          <bgColor rgb="FFF82CE0"/>
        </patternFill>
      </fill>
    </dxf>
    <dxf>
      <fill>
        <patternFill>
          <bgColor rgb="FFF82CE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border>
        <left style="thin">
          <color auto="1"/>
        </left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 style="thin">
          <color auto="1"/>
        </left>
        <right/>
        <top/>
        <bottom/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lightDown">
          <bgColor rgb="FFFFFF00"/>
        </patternFill>
      </fill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418DA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FFFF66"/>
      <color rgb="FFF418DA"/>
      <color rgb="FFFF7171"/>
      <color rgb="FFF82C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5af03e1ae8e8c92/Documents/01%20-%20CRA/Indicateurs_ED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"/>
      <sheetName val="Menu"/>
      <sheetName val="Calcul"/>
      <sheetName val="Volumetrie"/>
      <sheetName val="Tableaux"/>
      <sheetName val="Extract Diu"/>
      <sheetName val="Extract Arch+dri"/>
      <sheetName val="Extract Dim"/>
      <sheetName val="Extract OS400"/>
      <sheetName val="DRI closes"/>
      <sheetName val="Data"/>
      <sheetName val="Historic"/>
      <sheetName val="Tab_Resp"/>
      <sheetName val="Tab_F-O"/>
      <sheetName val="Parms"/>
      <sheetName val="Calend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>
            <v>38718</v>
          </cell>
        </row>
        <row r="4">
          <cell r="C4">
            <v>38824</v>
          </cell>
        </row>
        <row r="5">
          <cell r="C5">
            <v>38838</v>
          </cell>
        </row>
        <row r="6">
          <cell r="C6">
            <v>38845</v>
          </cell>
        </row>
        <row r="7">
          <cell r="C7">
            <v>38862</v>
          </cell>
        </row>
        <row r="8">
          <cell r="C8">
            <v>38872</v>
          </cell>
        </row>
        <row r="9">
          <cell r="C9">
            <v>38912</v>
          </cell>
        </row>
        <row r="10">
          <cell r="C10">
            <v>38944</v>
          </cell>
        </row>
        <row r="11">
          <cell r="C11">
            <v>39022</v>
          </cell>
        </row>
        <row r="12">
          <cell r="C12">
            <v>39032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5.bin"/><Relationship Id="rId1" Type="http://schemas.openxmlformats.org/officeDocument/2006/relationships/externalLinkPath" Target="/Documents%20and%20Settings/x2011425/Local%20Settings/Temporary%20Internet%20Files/Content.IE5/Q43CFWUG/Facturation%20-%20CRA%20-%202014_V5%5b1%5d.xlsx" TargetMode="External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1" tint="0.249977111117893"/>
  </sheetPr>
  <dimension ref="A1:M51"/>
  <sheetViews>
    <sheetView topLeftCell="A19" zoomScale="85" zoomScaleNormal="85" workbookViewId="0">
      <selection activeCell="C20" sqref="C20"/>
    </sheetView>
  </sheetViews>
  <sheetFormatPr baseColWidth="10" defaultColWidth="11.453125" defaultRowHeight="12.5" x14ac:dyDescent="0.25"/>
  <cols>
    <col min="1" max="1" width="24.453125" style="61" bestFit="1" customWidth="1"/>
    <col min="2" max="2" width="33.453125" style="61" bestFit="1" customWidth="1"/>
    <col min="3" max="3" width="14.81640625" style="61" bestFit="1" customWidth="1"/>
    <col min="4" max="4" width="13.1796875" style="61" bestFit="1" customWidth="1"/>
    <col min="5" max="7" width="10.453125" style="61" bestFit="1" customWidth="1"/>
    <col min="8" max="8" width="11.453125" style="61" bestFit="1" customWidth="1"/>
    <col min="9" max="11" width="10.453125" style="61" bestFit="1" customWidth="1"/>
    <col min="12" max="12" width="17.1796875" style="61" bestFit="1" customWidth="1"/>
    <col min="13" max="13" width="5.1796875" style="61" bestFit="1" customWidth="1"/>
    <col min="14" max="15" width="10.1796875" style="61" bestFit="1" customWidth="1"/>
    <col min="16" max="16384" width="11.453125" style="61"/>
  </cols>
  <sheetData>
    <row r="1" spans="1:7" x14ac:dyDescent="0.25">
      <c r="B1" s="184" t="s">
        <v>0</v>
      </c>
    </row>
    <row r="2" spans="1:7" x14ac:dyDescent="0.25">
      <c r="A2" s="128" t="s">
        <v>1</v>
      </c>
      <c r="B2" s="114"/>
      <c r="C2" s="94"/>
      <c r="D2" s="94"/>
      <c r="F2" s="94"/>
      <c r="G2" s="94"/>
    </row>
    <row r="3" spans="1:7" x14ac:dyDescent="0.25">
      <c r="A3" s="129" t="s">
        <v>2</v>
      </c>
      <c r="B3" s="115"/>
      <c r="C3" s="94"/>
      <c r="D3" s="94"/>
      <c r="F3" s="94"/>
      <c r="G3" s="94"/>
    </row>
    <row r="4" spans="1:7" x14ac:dyDescent="0.25">
      <c r="A4" s="129" t="s">
        <v>3</v>
      </c>
      <c r="B4" s="115"/>
      <c r="C4" s="94"/>
      <c r="D4" s="94"/>
      <c r="F4" s="94"/>
      <c r="G4" s="94"/>
    </row>
    <row r="5" spans="1:7" x14ac:dyDescent="0.25">
      <c r="A5" s="129" t="s">
        <v>4</v>
      </c>
      <c r="B5" s="115"/>
      <c r="C5" s="94"/>
      <c r="D5" s="94"/>
      <c r="F5" s="94"/>
      <c r="G5" s="94"/>
    </row>
    <row r="6" spans="1:7" x14ac:dyDescent="0.25">
      <c r="A6" s="130" t="s">
        <v>5</v>
      </c>
      <c r="B6" s="116"/>
      <c r="C6" s="94"/>
      <c r="D6" s="94"/>
      <c r="F6" s="94"/>
      <c r="G6" s="94"/>
    </row>
    <row r="7" spans="1:7" x14ac:dyDescent="0.25">
      <c r="A7" s="130" t="s">
        <v>6</v>
      </c>
      <c r="B7" s="116"/>
      <c r="C7" s="94"/>
      <c r="D7" s="94"/>
      <c r="F7" s="94"/>
      <c r="G7" s="94"/>
    </row>
    <row r="8" spans="1:7" x14ac:dyDescent="0.25">
      <c r="A8" s="129" t="s">
        <v>7</v>
      </c>
      <c r="B8" s="117"/>
      <c r="C8" s="94"/>
      <c r="D8" s="94"/>
      <c r="F8" s="94"/>
      <c r="G8" s="94"/>
    </row>
    <row r="9" spans="1:7" x14ac:dyDescent="0.25">
      <c r="A9" s="129" t="s">
        <v>8</v>
      </c>
      <c r="B9" s="118">
        <v>0</v>
      </c>
      <c r="C9" s="94"/>
      <c r="D9" s="94"/>
      <c r="F9" s="94"/>
      <c r="G9" s="94"/>
    </row>
    <row r="10" spans="1:7" x14ac:dyDescent="0.25">
      <c r="A10" s="129" t="s">
        <v>9</v>
      </c>
      <c r="B10" s="119">
        <v>251</v>
      </c>
      <c r="C10" s="94"/>
      <c r="D10" s="94"/>
      <c r="F10" s="94"/>
      <c r="G10" s="94"/>
    </row>
    <row r="11" spans="1:7" x14ac:dyDescent="0.25">
      <c r="A11" s="129" t="s">
        <v>10</v>
      </c>
      <c r="B11" s="120">
        <f>B9+B10</f>
        <v>251</v>
      </c>
      <c r="C11" s="94"/>
      <c r="D11" s="94"/>
      <c r="F11" s="94"/>
      <c r="G11" s="94"/>
    </row>
    <row r="12" spans="1:7" x14ac:dyDescent="0.25">
      <c r="A12" s="129" t="s">
        <v>11</v>
      </c>
      <c r="B12" s="121">
        <f>-3864</f>
        <v>-3864</v>
      </c>
      <c r="C12" s="94"/>
      <c r="D12" s="94"/>
      <c r="F12" s="94"/>
      <c r="G12" s="94"/>
    </row>
    <row r="13" spans="1:7" x14ac:dyDescent="0.25">
      <c r="A13" s="129" t="str">
        <f>"TJM "&amp;B2</f>
        <v xml:space="preserve">TJM </v>
      </c>
      <c r="B13" s="122">
        <v>565</v>
      </c>
      <c r="C13" s="94"/>
      <c r="D13" s="94"/>
      <c r="F13" s="94"/>
      <c r="G13" s="94"/>
    </row>
    <row r="14" spans="1:7" x14ac:dyDescent="0.25">
      <c r="A14" s="130" t="s">
        <v>12</v>
      </c>
      <c r="B14" s="123">
        <v>480</v>
      </c>
      <c r="C14" s="94"/>
      <c r="D14" s="94"/>
      <c r="F14" s="94"/>
      <c r="G14" s="94"/>
    </row>
    <row r="15" spans="1:7" x14ac:dyDescent="0.25">
      <c r="A15" s="130" t="s">
        <v>13</v>
      </c>
      <c r="B15" s="124">
        <f>B14/B13</f>
        <v>0.84955752212389379</v>
      </c>
      <c r="C15" s="94"/>
      <c r="D15" s="94"/>
      <c r="F15" s="94"/>
      <c r="G15" s="94"/>
    </row>
    <row r="16" spans="1:7" x14ac:dyDescent="0.25">
      <c r="A16" s="130" t="s">
        <v>14</v>
      </c>
      <c r="B16" s="124">
        <v>0.5</v>
      </c>
      <c r="C16" s="94"/>
      <c r="D16" s="94"/>
      <c r="F16" s="94"/>
      <c r="G16" s="94"/>
    </row>
    <row r="17" spans="1:13" x14ac:dyDescent="0.25">
      <c r="A17" s="130" t="s">
        <v>15</v>
      </c>
      <c r="B17" s="125">
        <v>0.2</v>
      </c>
      <c r="C17" s="94"/>
      <c r="D17" s="94"/>
      <c r="F17" s="94"/>
      <c r="G17" s="94"/>
    </row>
    <row r="18" spans="1:13" x14ac:dyDescent="0.25">
      <c r="A18" s="130" t="s">
        <v>16</v>
      </c>
      <c r="B18" s="123">
        <v>2014</v>
      </c>
      <c r="C18" s="94"/>
      <c r="D18" s="94"/>
      <c r="F18" s="94"/>
      <c r="G18" s="94"/>
    </row>
    <row r="19" spans="1:13" x14ac:dyDescent="0.25">
      <c r="A19" s="129" t="s">
        <v>17</v>
      </c>
      <c r="B19" s="126">
        <f>FLOOR(DAY(MINUTE(B18/38)/2+56)&amp;"/5/"&amp;B18,7)-34</f>
        <v>41749</v>
      </c>
      <c r="C19" s="94"/>
      <c r="D19" s="94"/>
    </row>
    <row r="20" spans="1:13" x14ac:dyDescent="0.25">
      <c r="A20" s="130" t="s">
        <v>18</v>
      </c>
      <c r="B20" s="127"/>
      <c r="C20" s="94"/>
      <c r="D20" s="94"/>
    </row>
    <row r="21" spans="1:13" x14ac:dyDescent="0.25">
      <c r="A21" s="130" t="s">
        <v>19</v>
      </c>
      <c r="B21" s="127"/>
      <c r="C21" s="94"/>
      <c r="D21" s="94"/>
    </row>
    <row r="22" spans="1:13" x14ac:dyDescent="0.25">
      <c r="A22" s="130" t="s">
        <v>20</v>
      </c>
      <c r="B22" s="127"/>
      <c r="C22" s="94"/>
      <c r="D22" s="94"/>
    </row>
    <row r="23" spans="1:13" x14ac:dyDescent="0.25">
      <c r="A23" s="130" t="s">
        <v>21</v>
      </c>
      <c r="B23" s="175">
        <f ca="1">TODAY()+B24</f>
        <v>41902</v>
      </c>
      <c r="C23" s="94"/>
      <c r="D23" s="94"/>
    </row>
    <row r="24" spans="1:13" x14ac:dyDescent="0.25">
      <c r="A24" s="130" t="s">
        <v>22</v>
      </c>
      <c r="B24" s="166">
        <v>0</v>
      </c>
      <c r="C24" s="94"/>
      <c r="D24" s="94"/>
    </row>
    <row r="27" spans="1:13" x14ac:dyDescent="0.25">
      <c r="A27" s="46" t="s">
        <v>16</v>
      </c>
      <c r="B27" s="73">
        <f t="shared" ref="B27:M27" si="0">$B18</f>
        <v>2014</v>
      </c>
      <c r="C27" s="73">
        <f t="shared" si="0"/>
        <v>2014</v>
      </c>
      <c r="D27" s="73">
        <f t="shared" si="0"/>
        <v>2014</v>
      </c>
      <c r="E27" s="73">
        <f t="shared" si="0"/>
        <v>2014</v>
      </c>
      <c r="F27" s="73">
        <f t="shared" si="0"/>
        <v>2014</v>
      </c>
      <c r="G27" s="73">
        <f t="shared" si="0"/>
        <v>2014</v>
      </c>
      <c r="H27" s="73">
        <f t="shared" si="0"/>
        <v>2014</v>
      </c>
      <c r="I27" s="73">
        <f t="shared" si="0"/>
        <v>2014</v>
      </c>
      <c r="J27" s="73">
        <f t="shared" si="0"/>
        <v>2014</v>
      </c>
      <c r="K27" s="73">
        <f t="shared" si="0"/>
        <v>2014</v>
      </c>
      <c r="L27" s="73">
        <f t="shared" si="0"/>
        <v>2014</v>
      </c>
      <c r="M27" s="73">
        <f t="shared" si="0"/>
        <v>2014</v>
      </c>
    </row>
    <row r="28" spans="1:13" x14ac:dyDescent="0.25">
      <c r="A28" s="46" t="s">
        <v>23</v>
      </c>
      <c r="B28" s="74">
        <f>DATE($B$18,1,1)</f>
        <v>41640</v>
      </c>
      <c r="C28" s="74">
        <f>DATE($B$18,2,1)</f>
        <v>41671</v>
      </c>
      <c r="D28" s="74">
        <f>DATE($B$18,3,1)</f>
        <v>41699</v>
      </c>
      <c r="E28" s="74">
        <f>DATE($B$18,4,1)</f>
        <v>41730</v>
      </c>
      <c r="F28" s="74">
        <f>DATE($B$18,5,1)</f>
        <v>41760</v>
      </c>
      <c r="G28" s="74">
        <f>DATE($B$18,6,1)</f>
        <v>41791</v>
      </c>
      <c r="H28" s="74">
        <f>DATE($B$18,7,1)</f>
        <v>41821</v>
      </c>
      <c r="I28" s="74">
        <f>DATE($B$18,8,1)</f>
        <v>41852</v>
      </c>
      <c r="J28" s="74">
        <f>DATE($B$18,9,1)</f>
        <v>41883</v>
      </c>
      <c r="K28" s="74">
        <f>DATE($B$18,10,1)</f>
        <v>41913</v>
      </c>
      <c r="L28" s="74">
        <f>DATE($B$18,11,1)</f>
        <v>41944</v>
      </c>
      <c r="M28" s="74">
        <f>DATE($B$18,12,1)</f>
        <v>41974</v>
      </c>
    </row>
    <row r="29" spans="1:13" x14ac:dyDescent="0.25">
      <c r="A29" s="46" t="s">
        <v>24</v>
      </c>
      <c r="B29" s="75">
        <f>EOMONTH(B28,0)-(EOMONTH(B28,-1))</f>
        <v>31</v>
      </c>
      <c r="C29" s="75">
        <f t="shared" ref="C29:M29" si="1">DAY(DATE($B18,MONTH(C28)+1,1)-1)</f>
        <v>28</v>
      </c>
      <c r="D29" s="75">
        <f t="shared" si="1"/>
        <v>31</v>
      </c>
      <c r="E29" s="75">
        <f t="shared" si="1"/>
        <v>30</v>
      </c>
      <c r="F29" s="75">
        <f t="shared" si="1"/>
        <v>31</v>
      </c>
      <c r="G29" s="75">
        <f t="shared" si="1"/>
        <v>30</v>
      </c>
      <c r="H29" s="75">
        <f t="shared" si="1"/>
        <v>31</v>
      </c>
      <c r="I29" s="75">
        <f t="shared" si="1"/>
        <v>31</v>
      </c>
      <c r="J29" s="75">
        <f t="shared" si="1"/>
        <v>30</v>
      </c>
      <c r="K29" s="75">
        <f t="shared" si="1"/>
        <v>31</v>
      </c>
      <c r="L29" s="75">
        <f t="shared" si="1"/>
        <v>30</v>
      </c>
      <c r="M29" s="75">
        <f t="shared" si="1"/>
        <v>31</v>
      </c>
    </row>
    <row r="30" spans="1:13" x14ac:dyDescent="0.25">
      <c r="A30" s="46" t="s">
        <v>25</v>
      </c>
      <c r="B30" s="65" t="s">
        <v>26</v>
      </c>
      <c r="C30" s="65" t="s">
        <v>27</v>
      </c>
      <c r="D30" s="66" t="s">
        <v>28</v>
      </c>
      <c r="E30" s="66" t="s">
        <v>29</v>
      </c>
      <c r="F30" s="66" t="s">
        <v>30</v>
      </c>
      <c r="G30" s="67" t="s">
        <v>31</v>
      </c>
      <c r="H30" s="66" t="s">
        <v>32</v>
      </c>
      <c r="I30" s="66" t="s">
        <v>33</v>
      </c>
      <c r="J30" s="66" t="s">
        <v>34</v>
      </c>
      <c r="K30" s="66" t="s">
        <v>35</v>
      </c>
      <c r="L30" s="70" t="s">
        <v>36</v>
      </c>
      <c r="M30" s="68"/>
    </row>
    <row r="31" spans="1:13" x14ac:dyDescent="0.25">
      <c r="A31" s="46" t="s">
        <v>37</v>
      </c>
      <c r="B31" s="65">
        <f>DATE(B18,1,1)</f>
        <v>41640</v>
      </c>
      <c r="C31" s="65">
        <f>B19+1</f>
        <v>41750</v>
      </c>
      <c r="D31" s="65">
        <f>DATE(B18,5,1)</f>
        <v>41760</v>
      </c>
      <c r="E31" s="65">
        <f>DATE(B18,5,8)</f>
        <v>41767</v>
      </c>
      <c r="F31" s="69">
        <f>B19+39</f>
        <v>41788</v>
      </c>
      <c r="G31" s="69">
        <f>DATE(B18,7,14)</f>
        <v>41834</v>
      </c>
      <c r="H31" s="69">
        <f>DATE(B18,8,15)</f>
        <v>41866</v>
      </c>
      <c r="I31" s="69">
        <f>DATE(B18,11,1)</f>
        <v>41944</v>
      </c>
      <c r="J31" s="69">
        <f>DATE(B18,11,11)</f>
        <v>41954</v>
      </c>
      <c r="K31" s="69">
        <f>DATE(B18,12,25)</f>
        <v>41998</v>
      </c>
      <c r="L31" s="71">
        <f>B19+50</f>
        <v>41799</v>
      </c>
      <c r="M31" s="68"/>
    </row>
    <row r="32" spans="1:13" x14ac:dyDescent="0.25">
      <c r="A32" s="107" t="s">
        <v>38</v>
      </c>
      <c r="B32" s="108">
        <f>NETWORKDAYS(DATE($B$18,MONTH(B$28),1),DATE($B$18,MONTH(B$28),B$29),$B31:$M31)</f>
        <v>22</v>
      </c>
      <c r="C32" s="108">
        <f t="shared" ref="C32:M32" si="2">NETWORKDAYS(DATE($B$18,MONTH(C$28),1),DATE($B$18,MONTH(C$28),C$29),$B31:$M31)</f>
        <v>20</v>
      </c>
      <c r="D32" s="108">
        <f t="shared" si="2"/>
        <v>21</v>
      </c>
      <c r="E32" s="108">
        <f t="shared" si="2"/>
        <v>21</v>
      </c>
      <c r="F32" s="108">
        <f t="shared" si="2"/>
        <v>19</v>
      </c>
      <c r="G32" s="108">
        <f>NETWORKDAYS(DATE($B$18,MONTH(G$28),1),DATE($B$18,MONTH(G$28),G$29),$B31:$M31)+1</f>
        <v>21</v>
      </c>
      <c r="H32" s="108">
        <f t="shared" si="2"/>
        <v>22</v>
      </c>
      <c r="I32" s="108">
        <f t="shared" si="2"/>
        <v>20</v>
      </c>
      <c r="J32" s="108">
        <f t="shared" si="2"/>
        <v>22</v>
      </c>
      <c r="K32" s="108">
        <f t="shared" si="2"/>
        <v>23</v>
      </c>
      <c r="L32" s="108">
        <f t="shared" si="2"/>
        <v>19</v>
      </c>
      <c r="M32" s="108">
        <f t="shared" si="2"/>
        <v>22</v>
      </c>
    </row>
    <row r="34" spans="1:13" x14ac:dyDescent="0.25">
      <c r="A34" s="190" t="s">
        <v>16</v>
      </c>
      <c r="B34" s="90">
        <f>YEAR(DATE(2012,1,1))</f>
        <v>2012</v>
      </c>
      <c r="D34" s="189" t="s">
        <v>39</v>
      </c>
      <c r="E34" s="101">
        <v>0</v>
      </c>
      <c r="G34" s="189" t="s">
        <v>15</v>
      </c>
      <c r="H34" s="91">
        <v>0.19600000000000001</v>
      </c>
      <c r="I34" s="93">
        <v>0.16389999999999999</v>
      </c>
      <c r="L34" s="192" t="s">
        <v>40</v>
      </c>
      <c r="M34" s="92"/>
    </row>
    <row r="35" spans="1:13" x14ac:dyDescent="0.25">
      <c r="A35" s="191"/>
      <c r="B35" s="90">
        <f>YEAR(DATE(B34+1,1,1))</f>
        <v>2013</v>
      </c>
      <c r="D35" s="189"/>
      <c r="E35" s="101">
        <v>0.05</v>
      </c>
      <c r="G35" s="189"/>
      <c r="H35" s="91">
        <v>7.0000000000000007E-2</v>
      </c>
      <c r="I35" s="92">
        <v>6.54E-2</v>
      </c>
      <c r="L35" s="192"/>
      <c r="M35" s="92" t="s">
        <v>41</v>
      </c>
    </row>
    <row r="36" spans="1:13" x14ac:dyDescent="0.25">
      <c r="A36" s="191"/>
      <c r="B36" s="90">
        <f t="shared" ref="B36:B49" si="3">YEAR(DATE(B35+1,1,1))</f>
        <v>2014</v>
      </c>
      <c r="D36" s="189"/>
      <c r="E36" s="101">
        <v>0.1</v>
      </c>
      <c r="G36" s="189"/>
      <c r="H36" s="91">
        <v>5.5E-2</v>
      </c>
      <c r="I36" s="93">
        <v>5.2200000000000003E-2</v>
      </c>
      <c r="L36" s="192"/>
      <c r="M36" s="92" t="s">
        <v>42</v>
      </c>
    </row>
    <row r="37" spans="1:13" x14ac:dyDescent="0.25">
      <c r="A37" s="191"/>
      <c r="B37" s="90">
        <f t="shared" si="3"/>
        <v>2015</v>
      </c>
      <c r="D37" s="189"/>
      <c r="E37" s="101">
        <v>0.15</v>
      </c>
    </row>
    <row r="38" spans="1:13" ht="12.65" customHeight="1" x14ac:dyDescent="0.25">
      <c r="A38" s="191"/>
      <c r="B38" s="90">
        <f t="shared" si="3"/>
        <v>2016</v>
      </c>
      <c r="D38" s="189"/>
      <c r="E38" s="101">
        <v>0.2</v>
      </c>
      <c r="F38" s="62"/>
      <c r="H38" s="193" t="s">
        <v>43</v>
      </c>
      <c r="I38" s="92">
        <v>-120</v>
      </c>
    </row>
    <row r="39" spans="1:13" ht="12.65" customHeight="1" x14ac:dyDescent="0.25">
      <c r="A39" s="191"/>
      <c r="B39" s="90">
        <f t="shared" si="3"/>
        <v>2017</v>
      </c>
      <c r="D39" s="189"/>
      <c r="E39" s="101">
        <v>0.25</v>
      </c>
      <c r="F39" s="63"/>
      <c r="G39" s="64"/>
      <c r="H39" s="194"/>
      <c r="I39" s="92">
        <v>-90</v>
      </c>
    </row>
    <row r="40" spans="1:13" ht="12.65" customHeight="1" x14ac:dyDescent="0.25">
      <c r="A40" s="191"/>
      <c r="B40" s="90">
        <f t="shared" si="3"/>
        <v>2018</v>
      </c>
      <c r="D40" s="189"/>
      <c r="E40" s="101">
        <v>0.3</v>
      </c>
      <c r="H40" s="194"/>
      <c r="I40" s="92">
        <v>-60</v>
      </c>
    </row>
    <row r="41" spans="1:13" ht="12.65" customHeight="1" x14ac:dyDescent="0.25">
      <c r="A41" s="191"/>
      <c r="B41" s="90">
        <f t="shared" si="3"/>
        <v>2019</v>
      </c>
      <c r="D41" s="189"/>
      <c r="E41" s="101">
        <v>0.35</v>
      </c>
      <c r="H41" s="194"/>
      <c r="I41" s="92">
        <v>-30</v>
      </c>
    </row>
    <row r="42" spans="1:13" ht="12.65" customHeight="1" x14ac:dyDescent="0.25">
      <c r="A42" s="192"/>
      <c r="B42" s="90">
        <f t="shared" si="3"/>
        <v>2020</v>
      </c>
      <c r="C42" s="64"/>
      <c r="D42" s="189"/>
      <c r="E42" s="101">
        <v>0.45</v>
      </c>
      <c r="H42" s="194"/>
      <c r="I42" s="92">
        <v>0</v>
      </c>
    </row>
    <row r="43" spans="1:13" ht="12.65" customHeight="1" x14ac:dyDescent="0.25">
      <c r="A43" s="191"/>
      <c r="B43" s="90">
        <f t="shared" si="3"/>
        <v>2021</v>
      </c>
      <c r="D43" s="189"/>
      <c r="E43" s="101">
        <v>0.5</v>
      </c>
      <c r="H43" s="194"/>
      <c r="I43" s="92">
        <v>30</v>
      </c>
    </row>
    <row r="44" spans="1:13" ht="12.65" customHeight="1" x14ac:dyDescent="0.25">
      <c r="A44" s="191"/>
      <c r="B44" s="90">
        <f t="shared" si="3"/>
        <v>2022</v>
      </c>
      <c r="D44" s="189"/>
      <c r="E44" s="101">
        <v>0.55000000000000004</v>
      </c>
      <c r="H44" s="194"/>
      <c r="I44" s="92">
        <v>60</v>
      </c>
    </row>
    <row r="45" spans="1:13" ht="12.65" customHeight="1" x14ac:dyDescent="0.25">
      <c r="A45" s="191"/>
      <c r="B45" s="90">
        <f t="shared" si="3"/>
        <v>2023</v>
      </c>
      <c r="D45" s="189"/>
      <c r="E45" s="101">
        <v>0.6</v>
      </c>
      <c r="H45" s="194"/>
      <c r="I45" s="92">
        <v>90</v>
      </c>
    </row>
    <row r="46" spans="1:13" ht="12.65" customHeight="1" x14ac:dyDescent="0.25">
      <c r="A46" s="191"/>
      <c r="B46" s="90">
        <f t="shared" si="3"/>
        <v>2024</v>
      </c>
      <c r="D46" s="189"/>
      <c r="E46" s="101">
        <v>0.65</v>
      </c>
      <c r="H46" s="194"/>
      <c r="I46" s="92">
        <v>120</v>
      </c>
    </row>
    <row r="47" spans="1:13" ht="12.65" customHeight="1" x14ac:dyDescent="0.25">
      <c r="A47" s="191"/>
      <c r="B47" s="90">
        <f t="shared" si="3"/>
        <v>2025</v>
      </c>
      <c r="H47" s="195"/>
      <c r="I47" s="92">
        <v>150</v>
      </c>
    </row>
    <row r="48" spans="1:13" x14ac:dyDescent="0.25">
      <c r="A48" s="191"/>
      <c r="B48" s="90">
        <f t="shared" si="3"/>
        <v>2026</v>
      </c>
    </row>
    <row r="49" spans="1:11" x14ac:dyDescent="0.25">
      <c r="A49" s="191"/>
      <c r="B49" s="90">
        <f t="shared" si="3"/>
        <v>2027</v>
      </c>
    </row>
    <row r="50" spans="1:11" x14ac:dyDescent="0.25">
      <c r="A50" s="191"/>
      <c r="B50" s="97"/>
      <c r="C50" s="109"/>
      <c r="D50" s="109"/>
      <c r="E50" s="109"/>
      <c r="F50" s="109"/>
      <c r="G50" s="109"/>
      <c r="H50" s="109"/>
      <c r="I50" s="109"/>
      <c r="J50" s="109"/>
      <c r="K50" s="109"/>
    </row>
    <row r="51" spans="1:11" x14ac:dyDescent="0.25">
      <c r="A51" s="191"/>
      <c r="B51" s="97"/>
    </row>
  </sheetData>
  <mergeCells count="5">
    <mergeCell ref="D34:D46"/>
    <mergeCell ref="G34:G36"/>
    <mergeCell ref="A34:A51"/>
    <mergeCell ref="H38:H47"/>
    <mergeCell ref="L34:L36"/>
  </mergeCells>
  <dataValidations count="4">
    <dataValidation type="list" allowBlank="1" showInputMessage="1" showErrorMessage="1" promptTitle="Année d'activité" prompt="Sélectionnez l'année de référence" sqref="B18:D18">
      <formula1>$B$34:$B$49</formula1>
    </dataValidation>
    <dataValidation type="list" allowBlank="1" showInputMessage="1" showErrorMessage="1" promptTitle="Provisions pour charge" prompt="Selectionnez le Taux" sqref="D16">
      <formula1>$E$40:$E$44</formula1>
    </dataValidation>
    <dataValidation allowBlank="1" showInputMessage="1" showErrorMessage="1" promptTitle="Provisions pour charge" prompt="Selectionnez le Taux" sqref="B16:C16"/>
    <dataValidation type="list" allowBlank="1" showInputMessage="1" showErrorMessage="1" sqref="B24">
      <formula1>$I$38:$I$47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  <pageSetUpPr fitToPage="1"/>
  </sheetPr>
  <dimension ref="A1:AL23"/>
  <sheetViews>
    <sheetView showGridLines="0" topLeftCell="A2" zoomScale="90" zoomScaleNormal="90" zoomScaleSheetLayoutView="100" workbookViewId="0">
      <pane xSplit="6" ySplit="8" topLeftCell="G16" activePane="bottomRight" state="frozen"/>
      <selection activeCell="A2" sqref="A2"/>
      <selection pane="topRight" activeCell="G2" sqref="G2"/>
      <selection pane="bottomLeft" activeCell="A10" sqref="A10"/>
      <selection pane="bottomRight" activeCell="B5" sqref="B5"/>
    </sheetView>
  </sheetViews>
  <sheetFormatPr baseColWidth="10" defaultColWidth="20.54296875" defaultRowHeight="12.5" outlineLevelCol="1" x14ac:dyDescent="0.25"/>
  <cols>
    <col min="1" max="1" width="19.81640625" style="15" bestFit="1" customWidth="1"/>
    <col min="2" max="2" width="13.453125" style="15" customWidth="1"/>
    <col min="3" max="5" width="12.54296875" style="15" hidden="1" customWidth="1" outlineLevel="1"/>
    <col min="6" max="6" width="2.81640625" style="15" hidden="1" customWidth="1" outlineLevel="1"/>
    <col min="7" max="7" width="4.54296875" style="15" customWidth="1" collapsed="1"/>
    <col min="8" max="37" width="4.54296875" style="15" customWidth="1"/>
    <col min="38" max="38" width="8.81640625" style="15" bestFit="1" customWidth="1"/>
    <col min="39" max="16384" width="20.54296875" style="15"/>
  </cols>
  <sheetData>
    <row r="1" spans="1:38" x14ac:dyDescent="0.25">
      <c r="A1" s="149"/>
      <c r="B1" s="149"/>
      <c r="C1" s="149"/>
    </row>
    <row r="2" spans="1:38" ht="15.5" x14ac:dyDescent="0.25">
      <c r="A2" s="52" t="s">
        <v>44</v>
      </c>
      <c r="B2" s="26">
        <f>Matrice!B18</f>
        <v>2014</v>
      </c>
      <c r="C2" s="149"/>
    </row>
    <row r="3" spans="1:38" ht="15.5" x14ac:dyDescent="0.35">
      <c r="A3" s="52" t="s">
        <v>45</v>
      </c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31"/>
      <c r="N3" s="31"/>
      <c r="O3" s="31"/>
      <c r="P3" s="196"/>
      <c r="Q3" s="196"/>
      <c r="R3" s="196"/>
      <c r="S3" s="196"/>
      <c r="T3" s="196"/>
      <c r="U3" s="196"/>
      <c r="V3" s="196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spans="1:38" ht="15.5" x14ac:dyDescent="0.35">
      <c r="A4" s="52" t="s">
        <v>46</v>
      </c>
      <c r="B4" s="26">
        <f>Matrice!B6</f>
        <v>0</v>
      </c>
      <c r="C4" s="27"/>
      <c r="D4" s="27"/>
      <c r="E4" s="27"/>
      <c r="F4" s="27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27"/>
      <c r="AD4" s="148"/>
      <c r="AE4" s="27"/>
      <c r="AF4" s="27"/>
      <c r="AG4" s="27"/>
      <c r="AH4" s="27"/>
      <c r="AI4" s="27"/>
      <c r="AJ4" s="27"/>
      <c r="AK4" s="27"/>
      <c r="AL4" s="27"/>
    </row>
    <row r="5" spans="1:38" ht="15.5" x14ac:dyDescent="0.35">
      <c r="A5" s="53" t="s">
        <v>47</v>
      </c>
      <c r="B5" s="26"/>
      <c r="C5" s="26"/>
      <c r="D5" s="26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27"/>
      <c r="AC5" s="148"/>
      <c r="AD5" s="27"/>
      <c r="AE5" s="27"/>
      <c r="AF5" s="27"/>
      <c r="AG5" s="27"/>
      <c r="AH5" s="27"/>
      <c r="AI5" s="27"/>
      <c r="AJ5" s="27"/>
      <c r="AK5" s="27"/>
      <c r="AL5" s="27"/>
    </row>
    <row r="6" spans="1:38" ht="15.5" x14ac:dyDescent="0.35">
      <c r="A6" s="53" t="s">
        <v>48</v>
      </c>
      <c r="B6" s="50">
        <f>Matrice!B8</f>
        <v>0</v>
      </c>
      <c r="C6" s="28"/>
      <c r="D6" s="28"/>
      <c r="E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</row>
    <row r="7" spans="1:38" ht="15.5" x14ac:dyDescent="0.35">
      <c r="A7" s="49"/>
      <c r="B7" s="27"/>
      <c r="C7" s="27"/>
      <c r="D7" s="27"/>
      <c r="E7" s="27"/>
      <c r="F7" s="27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</row>
    <row r="8" spans="1:38" ht="15.5" x14ac:dyDescent="0.35">
      <c r="A8" s="27"/>
      <c r="B8" s="27"/>
      <c r="C8" s="27"/>
      <c r="D8" s="27"/>
      <c r="E8" s="27"/>
      <c r="F8" s="27"/>
      <c r="G8" s="27"/>
      <c r="H8" s="29"/>
      <c r="I8" s="30"/>
      <c r="J8" s="30"/>
      <c r="K8" s="29"/>
      <c r="L8" s="29"/>
      <c r="M8" s="29"/>
      <c r="N8" s="29"/>
      <c r="O8" s="27"/>
      <c r="P8" s="31"/>
      <c r="Q8" s="31"/>
      <c r="R8" s="27"/>
      <c r="S8" s="27"/>
      <c r="T8" s="27"/>
      <c r="U8" s="27"/>
      <c r="V8" s="27"/>
      <c r="W8" s="31"/>
      <c r="X8" s="31"/>
      <c r="Y8" s="31"/>
      <c r="Z8" s="27"/>
      <c r="AA8" s="27"/>
      <c r="AB8" s="27"/>
      <c r="AC8" s="27"/>
      <c r="AD8" s="31"/>
      <c r="AE8" s="31"/>
      <c r="AF8" s="27"/>
      <c r="AG8" s="27"/>
      <c r="AH8" s="27"/>
      <c r="AI8" s="27"/>
      <c r="AJ8" s="27"/>
      <c r="AK8" s="31"/>
      <c r="AL8" s="31"/>
    </row>
    <row r="9" spans="1:38" ht="32.25" customHeight="1" x14ac:dyDescent="0.35">
      <c r="A9" s="27"/>
      <c r="B9" s="27"/>
      <c r="C9" s="54" t="s">
        <v>49</v>
      </c>
      <c r="D9" s="54" t="s">
        <v>50</v>
      </c>
      <c r="E9" s="54" t="s">
        <v>51</v>
      </c>
      <c r="F9" s="27"/>
      <c r="G9" s="55">
        <f>1</f>
        <v>1</v>
      </c>
      <c r="H9" s="55">
        <f>G9+1</f>
        <v>2</v>
      </c>
      <c r="I9" s="55">
        <f t="shared" ref="I9:AK9" si="0">H9+1</f>
        <v>3</v>
      </c>
      <c r="J9" s="55">
        <f t="shared" si="0"/>
        <v>4</v>
      </c>
      <c r="K9" s="55">
        <f t="shared" si="0"/>
        <v>5</v>
      </c>
      <c r="L9" s="55">
        <f t="shared" si="0"/>
        <v>6</v>
      </c>
      <c r="M9" s="55">
        <f t="shared" si="0"/>
        <v>7</v>
      </c>
      <c r="N9" s="55">
        <f t="shared" si="0"/>
        <v>8</v>
      </c>
      <c r="O9" s="55">
        <f t="shared" si="0"/>
        <v>9</v>
      </c>
      <c r="P9" s="55">
        <f t="shared" si="0"/>
        <v>10</v>
      </c>
      <c r="Q9" s="55">
        <f t="shared" si="0"/>
        <v>11</v>
      </c>
      <c r="R9" s="55">
        <f t="shared" si="0"/>
        <v>12</v>
      </c>
      <c r="S9" s="55">
        <f t="shared" si="0"/>
        <v>13</v>
      </c>
      <c r="T9" s="55">
        <f t="shared" si="0"/>
        <v>14</v>
      </c>
      <c r="U9" s="55">
        <f t="shared" si="0"/>
        <v>15</v>
      </c>
      <c r="V9" s="55">
        <f t="shared" si="0"/>
        <v>16</v>
      </c>
      <c r="W9" s="55">
        <f t="shared" si="0"/>
        <v>17</v>
      </c>
      <c r="X9" s="55">
        <f t="shared" si="0"/>
        <v>18</v>
      </c>
      <c r="Y9" s="55">
        <f t="shared" si="0"/>
        <v>19</v>
      </c>
      <c r="Z9" s="55">
        <f t="shared" si="0"/>
        <v>20</v>
      </c>
      <c r="AA9" s="55">
        <f t="shared" si="0"/>
        <v>21</v>
      </c>
      <c r="AB9" s="55">
        <f t="shared" si="0"/>
        <v>22</v>
      </c>
      <c r="AC9" s="55">
        <f t="shared" si="0"/>
        <v>23</v>
      </c>
      <c r="AD9" s="55">
        <f t="shared" si="0"/>
        <v>24</v>
      </c>
      <c r="AE9" s="55">
        <f t="shared" si="0"/>
        <v>25</v>
      </c>
      <c r="AF9" s="55">
        <f t="shared" si="0"/>
        <v>26</v>
      </c>
      <c r="AG9" s="55">
        <f t="shared" si="0"/>
        <v>27</v>
      </c>
      <c r="AH9" s="55">
        <f t="shared" si="0"/>
        <v>28</v>
      </c>
      <c r="AI9" s="55">
        <f t="shared" si="0"/>
        <v>29</v>
      </c>
      <c r="AJ9" s="55">
        <f t="shared" si="0"/>
        <v>30</v>
      </c>
      <c r="AK9" s="55">
        <f t="shared" si="0"/>
        <v>31</v>
      </c>
      <c r="AL9" s="56" t="s">
        <v>52</v>
      </c>
    </row>
    <row r="10" spans="1:38" ht="20.149999999999999" customHeight="1" x14ac:dyDescent="0.25">
      <c r="A10" s="197" t="s">
        <v>53</v>
      </c>
      <c r="B10" s="59">
        <f>DATE(Matrice!$B$18,MONTH(Matrice!B$28),Matrice!B$29)</f>
        <v>41670</v>
      </c>
      <c r="C10" s="106">
        <f>Matrice!B11</f>
        <v>251</v>
      </c>
      <c r="D10" s="106">
        <f>AL10</f>
        <v>0</v>
      </c>
      <c r="E10" s="106">
        <f>C10-D10</f>
        <v>251</v>
      </c>
      <c r="F10" s="26"/>
      <c r="G10" s="103"/>
      <c r="H10" s="103">
        <v>0</v>
      </c>
      <c r="I10" s="103">
        <v>0</v>
      </c>
      <c r="J10" s="103"/>
      <c r="K10" s="103"/>
      <c r="L10" s="103">
        <v>0</v>
      </c>
      <c r="M10" s="103">
        <v>0</v>
      </c>
      <c r="N10" s="103">
        <v>0</v>
      </c>
      <c r="O10" s="103">
        <v>0</v>
      </c>
      <c r="P10" s="103">
        <v>0</v>
      </c>
      <c r="Q10" s="103"/>
      <c r="R10" s="103"/>
      <c r="S10" s="103">
        <v>0</v>
      </c>
      <c r="T10" s="103">
        <v>0</v>
      </c>
      <c r="U10" s="103">
        <v>0</v>
      </c>
      <c r="V10" s="103">
        <v>0</v>
      </c>
      <c r="W10" s="103">
        <v>0</v>
      </c>
      <c r="X10" s="103"/>
      <c r="Y10" s="103"/>
      <c r="Z10" s="103">
        <v>0</v>
      </c>
      <c r="AA10" s="103">
        <v>0</v>
      </c>
      <c r="AB10" s="103">
        <v>0</v>
      </c>
      <c r="AC10" s="103">
        <v>0</v>
      </c>
      <c r="AD10" s="103">
        <v>0</v>
      </c>
      <c r="AE10" s="103"/>
      <c r="AF10" s="103"/>
      <c r="AG10" s="103">
        <v>0</v>
      </c>
      <c r="AH10" s="103">
        <v>0</v>
      </c>
      <c r="AI10" s="103">
        <v>0</v>
      </c>
      <c r="AJ10" s="103">
        <v>0</v>
      </c>
      <c r="AK10" s="103">
        <v>0</v>
      </c>
      <c r="AL10" s="104">
        <f>SUM(G10:AK10)/4</f>
        <v>0</v>
      </c>
    </row>
    <row r="11" spans="1:38" ht="20.149999999999999" customHeight="1" x14ac:dyDescent="0.25">
      <c r="A11" s="198"/>
      <c r="B11" s="59">
        <f>DATE(Matrice!$B$18,MONTH(Matrice!C$28),Matrice!C$29)</f>
        <v>41698</v>
      </c>
      <c r="C11" s="106">
        <f>E10</f>
        <v>251</v>
      </c>
      <c r="D11" s="106">
        <f>AL11</f>
        <v>5</v>
      </c>
      <c r="E11" s="106">
        <f>C11-D11</f>
        <v>246</v>
      </c>
      <c r="F11" s="26"/>
      <c r="G11" s="103"/>
      <c r="H11" s="103"/>
      <c r="I11" s="103">
        <v>0</v>
      </c>
      <c r="J11" s="103">
        <v>0</v>
      </c>
      <c r="K11" s="103">
        <v>0</v>
      </c>
      <c r="L11" s="103">
        <v>0</v>
      </c>
      <c r="M11" s="103">
        <v>0</v>
      </c>
      <c r="N11" s="103"/>
      <c r="O11" s="103"/>
      <c r="P11" s="103">
        <v>0</v>
      </c>
      <c r="Q11" s="103">
        <v>0</v>
      </c>
      <c r="R11" s="103">
        <v>0</v>
      </c>
      <c r="S11" s="103">
        <v>0</v>
      </c>
      <c r="T11" s="103">
        <v>0</v>
      </c>
      <c r="U11" s="103"/>
      <c r="V11" s="103"/>
      <c r="W11" s="103">
        <v>0</v>
      </c>
      <c r="X11" s="103">
        <v>0</v>
      </c>
      <c r="Y11" s="103">
        <v>0</v>
      </c>
      <c r="Z11" s="103">
        <v>0</v>
      </c>
      <c r="AA11" s="103">
        <v>0</v>
      </c>
      <c r="AB11" s="103"/>
      <c r="AC11" s="103"/>
      <c r="AD11" s="103">
        <v>4</v>
      </c>
      <c r="AE11" s="103">
        <v>4</v>
      </c>
      <c r="AF11" s="103">
        <v>4</v>
      </c>
      <c r="AG11" s="103">
        <v>4</v>
      </c>
      <c r="AH11" s="103">
        <v>4</v>
      </c>
      <c r="AI11" s="33"/>
      <c r="AJ11" s="156"/>
      <c r="AK11" s="156"/>
      <c r="AL11" s="104">
        <f t="shared" ref="AL11:AL21" si="1">SUM(G11:AK11)/4</f>
        <v>5</v>
      </c>
    </row>
    <row r="12" spans="1:38" ht="20.149999999999999" customHeight="1" x14ac:dyDescent="0.25">
      <c r="A12" s="198"/>
      <c r="B12" s="59">
        <f>DATE(Matrice!$B$18,MONTH(Matrice!D$28),Matrice!D$29)</f>
        <v>41729</v>
      </c>
      <c r="C12" s="106">
        <f t="shared" ref="C12:C21" si="2">E11</f>
        <v>246</v>
      </c>
      <c r="D12" s="106">
        <f t="shared" ref="D12:D21" si="3">AL12</f>
        <v>21</v>
      </c>
      <c r="E12" s="106">
        <f t="shared" ref="E12:E21" si="4">C12-D12</f>
        <v>225</v>
      </c>
      <c r="F12" s="26"/>
      <c r="G12" s="103"/>
      <c r="H12" s="103"/>
      <c r="I12" s="103">
        <v>4</v>
      </c>
      <c r="J12" s="103">
        <v>4</v>
      </c>
      <c r="K12" s="103">
        <v>4</v>
      </c>
      <c r="L12" s="103">
        <v>4</v>
      </c>
      <c r="M12" s="103">
        <v>4</v>
      </c>
      <c r="N12" s="103"/>
      <c r="O12" s="103"/>
      <c r="P12" s="103">
        <v>4</v>
      </c>
      <c r="Q12" s="103">
        <v>4</v>
      </c>
      <c r="R12" s="103">
        <v>4</v>
      </c>
      <c r="S12" s="103">
        <v>4</v>
      </c>
      <c r="T12" s="103">
        <v>4</v>
      </c>
      <c r="U12" s="103"/>
      <c r="V12" s="103"/>
      <c r="W12" s="103">
        <v>4</v>
      </c>
      <c r="X12" s="103">
        <v>4</v>
      </c>
      <c r="Y12" s="103">
        <v>4</v>
      </c>
      <c r="Z12" s="103">
        <v>4</v>
      </c>
      <c r="AA12" s="103">
        <v>4</v>
      </c>
      <c r="AB12" s="103"/>
      <c r="AC12" s="103"/>
      <c r="AD12" s="103">
        <v>4</v>
      </c>
      <c r="AE12" s="103">
        <v>4</v>
      </c>
      <c r="AF12" s="103">
        <v>4</v>
      </c>
      <c r="AG12" s="103">
        <v>4</v>
      </c>
      <c r="AH12" s="103">
        <v>4</v>
      </c>
      <c r="AI12" s="103"/>
      <c r="AJ12" s="103"/>
      <c r="AK12" s="151">
        <v>4</v>
      </c>
      <c r="AL12" s="104">
        <f t="shared" si="1"/>
        <v>21</v>
      </c>
    </row>
    <row r="13" spans="1:38" ht="20.149999999999999" customHeight="1" x14ac:dyDescent="0.25">
      <c r="A13" s="198"/>
      <c r="B13" s="59">
        <f>DATE(Matrice!$B$18,MONTH(Matrice!E$28),Matrice!E$29)</f>
        <v>41759</v>
      </c>
      <c r="C13" s="106">
        <f t="shared" si="2"/>
        <v>225</v>
      </c>
      <c r="D13" s="106">
        <f t="shared" si="3"/>
        <v>21</v>
      </c>
      <c r="E13" s="106">
        <f t="shared" si="4"/>
        <v>204</v>
      </c>
      <c r="F13" s="26"/>
      <c r="G13" s="103">
        <v>4</v>
      </c>
      <c r="H13" s="103">
        <v>4</v>
      </c>
      <c r="I13" s="103">
        <v>4</v>
      </c>
      <c r="J13" s="103">
        <v>4</v>
      </c>
      <c r="K13" s="103"/>
      <c r="L13" s="103"/>
      <c r="M13" s="103">
        <v>4</v>
      </c>
      <c r="N13" s="103">
        <v>4</v>
      </c>
      <c r="O13" s="103">
        <v>4</v>
      </c>
      <c r="P13" s="103">
        <v>4</v>
      </c>
      <c r="Q13" s="103">
        <v>4</v>
      </c>
      <c r="R13" s="103"/>
      <c r="S13" s="103"/>
      <c r="T13" s="103">
        <v>4</v>
      </c>
      <c r="U13" s="103">
        <v>4</v>
      </c>
      <c r="V13" s="103">
        <v>4</v>
      </c>
      <c r="W13" s="103">
        <v>4</v>
      </c>
      <c r="X13" s="103">
        <v>4</v>
      </c>
      <c r="Y13" s="103"/>
      <c r="Z13" s="103"/>
      <c r="AA13" s="103"/>
      <c r="AB13" s="103">
        <v>4</v>
      </c>
      <c r="AC13" s="103">
        <v>4</v>
      </c>
      <c r="AD13" s="103">
        <v>4</v>
      </c>
      <c r="AE13" s="103">
        <v>4</v>
      </c>
      <c r="AF13" s="103"/>
      <c r="AG13" s="103"/>
      <c r="AH13" s="103">
        <v>4</v>
      </c>
      <c r="AI13" s="103">
        <v>4</v>
      </c>
      <c r="AJ13" s="150">
        <v>4</v>
      </c>
      <c r="AK13" s="156"/>
      <c r="AL13" s="104">
        <f t="shared" si="1"/>
        <v>21</v>
      </c>
    </row>
    <row r="14" spans="1:38" ht="20.149999999999999" customHeight="1" x14ac:dyDescent="0.25">
      <c r="A14" s="198"/>
      <c r="B14" s="59">
        <f>DATE(Matrice!$B$18,MONTH(Matrice!F$28),Matrice!F$29)</f>
        <v>41790</v>
      </c>
      <c r="C14" s="106">
        <f t="shared" si="2"/>
        <v>204</v>
      </c>
      <c r="D14" s="106">
        <f t="shared" si="3"/>
        <v>14</v>
      </c>
      <c r="E14" s="106">
        <f t="shared" si="4"/>
        <v>190</v>
      </c>
      <c r="F14" s="26"/>
      <c r="G14" s="103"/>
      <c r="H14" s="103">
        <v>0</v>
      </c>
      <c r="I14" s="103"/>
      <c r="J14" s="103"/>
      <c r="K14" s="103">
        <v>4</v>
      </c>
      <c r="L14" s="103">
        <v>4</v>
      </c>
      <c r="M14" s="103">
        <v>2</v>
      </c>
      <c r="N14" s="103"/>
      <c r="O14" s="151">
        <v>0</v>
      </c>
      <c r="P14" s="103"/>
      <c r="Q14" s="103"/>
      <c r="R14" s="103">
        <v>4</v>
      </c>
      <c r="S14" s="103">
        <v>4</v>
      </c>
      <c r="T14" s="103">
        <v>4</v>
      </c>
      <c r="U14" s="103">
        <v>4</v>
      </c>
      <c r="V14" s="103">
        <v>4</v>
      </c>
      <c r="W14" s="77"/>
      <c r="X14" s="103"/>
      <c r="Y14" s="103">
        <v>4</v>
      </c>
      <c r="Z14" s="103">
        <v>2</v>
      </c>
      <c r="AA14" s="103">
        <v>4</v>
      </c>
      <c r="AB14" s="103">
        <v>0</v>
      </c>
      <c r="AC14" s="103">
        <v>4</v>
      </c>
      <c r="AD14" s="103"/>
      <c r="AE14" s="103"/>
      <c r="AF14" s="103">
        <v>4</v>
      </c>
      <c r="AG14" s="103">
        <v>4</v>
      </c>
      <c r="AH14" s="33">
        <v>4</v>
      </c>
      <c r="AI14" s="103"/>
      <c r="AJ14" s="103">
        <v>0</v>
      </c>
      <c r="AK14" s="152"/>
      <c r="AL14" s="104">
        <f t="shared" si="1"/>
        <v>14</v>
      </c>
    </row>
    <row r="15" spans="1:38" ht="20.149999999999999" customHeight="1" x14ac:dyDescent="0.25">
      <c r="A15" s="198"/>
      <c r="B15" s="59">
        <f>DATE(Matrice!$B$18,MONTH(Matrice!G$28),Matrice!G$29)</f>
        <v>41820</v>
      </c>
      <c r="C15" s="106">
        <f t="shared" si="2"/>
        <v>190</v>
      </c>
      <c r="D15" s="106">
        <f t="shared" si="3"/>
        <v>20</v>
      </c>
      <c r="E15" s="106">
        <f t="shared" si="4"/>
        <v>170</v>
      </c>
      <c r="F15" s="26"/>
      <c r="G15" s="103"/>
      <c r="H15" s="103">
        <v>4</v>
      </c>
      <c r="I15" s="103">
        <v>4</v>
      </c>
      <c r="J15" s="33">
        <v>4</v>
      </c>
      <c r="K15" s="33">
        <v>4</v>
      </c>
      <c r="L15" s="33">
        <v>4</v>
      </c>
      <c r="M15" s="33"/>
      <c r="N15" s="153"/>
      <c r="O15" s="33">
        <v>0</v>
      </c>
      <c r="P15" s="154">
        <v>4</v>
      </c>
      <c r="Q15" s="33">
        <v>4</v>
      </c>
      <c r="R15" s="33">
        <v>4</v>
      </c>
      <c r="S15" s="33">
        <v>4</v>
      </c>
      <c r="T15" s="33"/>
      <c r="U15" s="33"/>
      <c r="V15" s="33">
        <v>4</v>
      </c>
      <c r="W15" s="33">
        <v>4</v>
      </c>
      <c r="X15" s="33">
        <v>4</v>
      </c>
      <c r="Y15" s="33">
        <v>4</v>
      </c>
      <c r="Z15" s="33">
        <v>4</v>
      </c>
      <c r="AA15" s="33"/>
      <c r="AB15" s="33"/>
      <c r="AC15" s="33">
        <v>4</v>
      </c>
      <c r="AD15" s="33">
        <v>4</v>
      </c>
      <c r="AE15" s="33">
        <v>4</v>
      </c>
      <c r="AF15" s="33">
        <v>4</v>
      </c>
      <c r="AG15" s="33">
        <v>4</v>
      </c>
      <c r="AH15" s="33"/>
      <c r="AI15" s="33"/>
      <c r="AJ15" s="33">
        <v>4</v>
      </c>
      <c r="AK15" s="156"/>
      <c r="AL15" s="104">
        <f t="shared" si="1"/>
        <v>20</v>
      </c>
    </row>
    <row r="16" spans="1:38" s="27" customFormat="1" ht="20.149999999999999" customHeight="1" x14ac:dyDescent="0.35">
      <c r="A16" s="198"/>
      <c r="B16" s="59">
        <f>DATE(Matrice!$B$18,MONTH(Matrice!H$28),Matrice!H$29)</f>
        <v>41851</v>
      </c>
      <c r="C16" s="106">
        <f t="shared" si="2"/>
        <v>170</v>
      </c>
      <c r="D16" s="106">
        <f t="shared" si="3"/>
        <v>4.5</v>
      </c>
      <c r="E16" s="106">
        <f t="shared" si="4"/>
        <v>165.5</v>
      </c>
      <c r="F16" s="26"/>
      <c r="G16" s="103">
        <v>0</v>
      </c>
      <c r="H16" s="103">
        <v>0</v>
      </c>
      <c r="I16" s="103">
        <v>0</v>
      </c>
      <c r="J16" s="33">
        <v>0</v>
      </c>
      <c r="K16" s="33"/>
      <c r="L16" s="33"/>
      <c r="M16" s="33">
        <v>0</v>
      </c>
      <c r="N16" s="33">
        <v>2</v>
      </c>
      <c r="O16" s="155">
        <v>4</v>
      </c>
      <c r="P16" s="33">
        <v>4</v>
      </c>
      <c r="Q16" s="33">
        <v>4</v>
      </c>
      <c r="R16" s="33"/>
      <c r="S16" s="33"/>
      <c r="T16" s="33"/>
      <c r="U16" s="33">
        <v>4</v>
      </c>
      <c r="V16" s="33">
        <v>0</v>
      </c>
      <c r="W16" s="33">
        <v>0</v>
      </c>
      <c r="X16" s="33">
        <v>0</v>
      </c>
      <c r="Y16" s="33"/>
      <c r="Z16" s="33"/>
      <c r="AA16" s="33">
        <v>0</v>
      </c>
      <c r="AB16" s="33">
        <v>0</v>
      </c>
      <c r="AC16" s="33">
        <v>0</v>
      </c>
      <c r="AD16" s="33">
        <v>0</v>
      </c>
      <c r="AE16" s="33">
        <v>0</v>
      </c>
      <c r="AF16" s="33"/>
      <c r="AG16" s="33"/>
      <c r="AH16" s="33">
        <v>0</v>
      </c>
      <c r="AI16" s="33">
        <v>0</v>
      </c>
      <c r="AJ16" s="33">
        <v>0</v>
      </c>
      <c r="AK16" s="33">
        <v>0</v>
      </c>
      <c r="AL16" s="104">
        <f t="shared" si="1"/>
        <v>4.5</v>
      </c>
    </row>
    <row r="17" spans="1:38" ht="20.149999999999999" customHeight="1" x14ac:dyDescent="0.25">
      <c r="A17" s="198"/>
      <c r="B17" s="59">
        <f>DATE(Matrice!$B$18,MONTH(Matrice!I$28),Matrice!I$29)</f>
        <v>41882</v>
      </c>
      <c r="C17" s="106">
        <f t="shared" si="2"/>
        <v>165.5</v>
      </c>
      <c r="D17" s="106">
        <f t="shared" si="3"/>
        <v>14</v>
      </c>
      <c r="E17" s="106">
        <f t="shared" si="4"/>
        <v>151.5</v>
      </c>
      <c r="F17" s="26"/>
      <c r="G17" s="103">
        <v>0</v>
      </c>
      <c r="H17" s="103"/>
      <c r="I17" s="103"/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/>
      <c r="P17" s="33"/>
      <c r="Q17" s="33">
        <v>4</v>
      </c>
      <c r="R17" s="33">
        <v>4</v>
      </c>
      <c r="S17" s="33">
        <v>4</v>
      </c>
      <c r="T17" s="33">
        <v>4</v>
      </c>
      <c r="U17" s="103"/>
      <c r="V17" s="33"/>
      <c r="W17" s="33"/>
      <c r="X17" s="33">
        <v>4</v>
      </c>
      <c r="Y17" s="33">
        <v>4</v>
      </c>
      <c r="Z17" s="33">
        <v>4</v>
      </c>
      <c r="AA17" s="33">
        <v>4</v>
      </c>
      <c r="AB17" s="33">
        <v>4</v>
      </c>
      <c r="AC17" s="33"/>
      <c r="AD17" s="33"/>
      <c r="AE17" s="33">
        <v>4</v>
      </c>
      <c r="AF17" s="33">
        <v>4</v>
      </c>
      <c r="AG17" s="33">
        <v>4</v>
      </c>
      <c r="AH17" s="33">
        <v>4</v>
      </c>
      <c r="AI17" s="33">
        <v>4</v>
      </c>
      <c r="AJ17" s="33"/>
      <c r="AK17" s="33"/>
      <c r="AL17" s="104">
        <f t="shared" si="1"/>
        <v>14</v>
      </c>
    </row>
    <row r="18" spans="1:38" ht="20.149999999999999" customHeight="1" x14ac:dyDescent="0.25">
      <c r="A18" s="198"/>
      <c r="B18" s="59">
        <f>DATE(Matrice!$B$18,MONTH(Matrice!J$28),Matrice!J$29)</f>
        <v>41912</v>
      </c>
      <c r="C18" s="106">
        <f t="shared" si="2"/>
        <v>151.5</v>
      </c>
      <c r="D18" s="106">
        <f t="shared" si="3"/>
        <v>21.5</v>
      </c>
      <c r="E18" s="106">
        <f t="shared" si="4"/>
        <v>130</v>
      </c>
      <c r="F18" s="26"/>
      <c r="G18" s="103">
        <v>4</v>
      </c>
      <c r="H18" s="103">
        <v>4</v>
      </c>
      <c r="I18" s="103">
        <v>4</v>
      </c>
      <c r="J18" s="33">
        <v>4</v>
      </c>
      <c r="K18" s="33">
        <v>4</v>
      </c>
      <c r="L18" s="33"/>
      <c r="M18" s="33"/>
      <c r="N18" s="33">
        <v>4</v>
      </c>
      <c r="O18" s="33">
        <v>4</v>
      </c>
      <c r="P18" s="33">
        <v>4</v>
      </c>
      <c r="Q18" s="33">
        <v>4</v>
      </c>
      <c r="R18" s="33">
        <v>4</v>
      </c>
      <c r="S18" s="33"/>
      <c r="T18" s="33"/>
      <c r="U18" s="33">
        <v>2</v>
      </c>
      <c r="V18" s="33">
        <v>4</v>
      </c>
      <c r="W18" s="33">
        <v>4</v>
      </c>
      <c r="X18" s="33">
        <v>4</v>
      </c>
      <c r="Y18" s="33">
        <v>4</v>
      </c>
      <c r="Z18" s="33"/>
      <c r="AA18" s="33"/>
      <c r="AB18" s="33">
        <v>4</v>
      </c>
      <c r="AC18" s="33">
        <v>4</v>
      </c>
      <c r="AD18" s="33">
        <v>4</v>
      </c>
      <c r="AE18" s="33">
        <v>4</v>
      </c>
      <c r="AF18" s="33">
        <v>4</v>
      </c>
      <c r="AG18" s="33"/>
      <c r="AH18" s="33"/>
      <c r="AI18" s="33">
        <v>4</v>
      </c>
      <c r="AJ18" s="33">
        <v>4</v>
      </c>
      <c r="AK18" s="156"/>
      <c r="AL18" s="104">
        <f t="shared" si="1"/>
        <v>21.5</v>
      </c>
    </row>
    <row r="19" spans="1:38" s="27" customFormat="1" ht="20.149999999999999" customHeight="1" x14ac:dyDescent="0.35">
      <c r="A19" s="198"/>
      <c r="B19" s="59">
        <f>DATE(Matrice!$B$18,MONTH(Matrice!K$28),Matrice!K$29)</f>
        <v>41943</v>
      </c>
      <c r="C19" s="106">
        <f t="shared" si="2"/>
        <v>130</v>
      </c>
      <c r="D19" s="106">
        <f t="shared" si="3"/>
        <v>23</v>
      </c>
      <c r="E19" s="106">
        <f t="shared" si="4"/>
        <v>107</v>
      </c>
      <c r="F19" s="26"/>
      <c r="G19" s="103">
        <v>4</v>
      </c>
      <c r="H19" s="103">
        <v>4</v>
      </c>
      <c r="I19" s="103">
        <v>4</v>
      </c>
      <c r="J19" s="33"/>
      <c r="K19" s="33"/>
      <c r="L19" s="33">
        <v>4</v>
      </c>
      <c r="M19" s="33">
        <v>4</v>
      </c>
      <c r="N19" s="33">
        <v>4</v>
      </c>
      <c r="O19" s="33">
        <v>4</v>
      </c>
      <c r="P19" s="33">
        <v>4</v>
      </c>
      <c r="Q19" s="33"/>
      <c r="R19" s="33"/>
      <c r="S19" s="33">
        <v>4</v>
      </c>
      <c r="T19" s="33">
        <v>4</v>
      </c>
      <c r="U19" s="33">
        <v>4</v>
      </c>
      <c r="V19" s="33">
        <v>4</v>
      </c>
      <c r="W19" s="33">
        <v>4</v>
      </c>
      <c r="X19" s="33"/>
      <c r="Y19" s="33"/>
      <c r="Z19" s="33">
        <v>4</v>
      </c>
      <c r="AA19" s="33">
        <v>4</v>
      </c>
      <c r="AB19" s="33">
        <v>4</v>
      </c>
      <c r="AC19" s="33">
        <v>4</v>
      </c>
      <c r="AD19" s="33">
        <v>4</v>
      </c>
      <c r="AE19" s="33"/>
      <c r="AF19" s="33"/>
      <c r="AG19" s="33">
        <v>4</v>
      </c>
      <c r="AH19" s="33">
        <v>4</v>
      </c>
      <c r="AI19" s="33">
        <v>4</v>
      </c>
      <c r="AJ19" s="33">
        <v>4</v>
      </c>
      <c r="AK19" s="33">
        <v>4</v>
      </c>
      <c r="AL19" s="104">
        <f t="shared" si="1"/>
        <v>23</v>
      </c>
    </row>
    <row r="20" spans="1:38" s="27" customFormat="1" ht="20.149999999999999" customHeight="1" x14ac:dyDescent="0.35">
      <c r="A20" s="198"/>
      <c r="B20" s="59">
        <f>DATE(Matrice!$B$18,MONTH(Matrice!L$28),Matrice!L$29)</f>
        <v>41973</v>
      </c>
      <c r="C20" s="106">
        <f t="shared" si="2"/>
        <v>107</v>
      </c>
      <c r="D20" s="106">
        <f t="shared" si="3"/>
        <v>19</v>
      </c>
      <c r="E20" s="106">
        <f t="shared" si="4"/>
        <v>88</v>
      </c>
      <c r="F20" s="26"/>
      <c r="G20" s="103"/>
      <c r="H20" s="103"/>
      <c r="I20" s="103">
        <v>4</v>
      </c>
      <c r="J20" s="33">
        <v>4</v>
      </c>
      <c r="K20" s="33">
        <v>4</v>
      </c>
      <c r="L20" s="33">
        <v>4</v>
      </c>
      <c r="M20" s="33">
        <v>4</v>
      </c>
      <c r="N20" s="33"/>
      <c r="O20" s="33"/>
      <c r="P20" s="33">
        <v>4</v>
      </c>
      <c r="Q20" s="103"/>
      <c r="R20" s="33">
        <v>4</v>
      </c>
      <c r="S20" s="33">
        <v>4</v>
      </c>
      <c r="T20" s="33">
        <v>4</v>
      </c>
      <c r="U20" s="33"/>
      <c r="V20" s="33"/>
      <c r="W20" s="33">
        <v>4</v>
      </c>
      <c r="X20" s="33">
        <v>4</v>
      </c>
      <c r="Y20" s="33">
        <v>4</v>
      </c>
      <c r="Z20" s="33">
        <v>4</v>
      </c>
      <c r="AA20" s="33">
        <v>4</v>
      </c>
      <c r="AB20" s="33"/>
      <c r="AC20" s="33"/>
      <c r="AD20" s="33">
        <v>4</v>
      </c>
      <c r="AE20" s="33">
        <v>4</v>
      </c>
      <c r="AF20" s="33">
        <v>4</v>
      </c>
      <c r="AG20" s="33">
        <v>4</v>
      </c>
      <c r="AH20" s="33">
        <v>4</v>
      </c>
      <c r="AI20" s="33"/>
      <c r="AJ20" s="33"/>
      <c r="AK20" s="156"/>
      <c r="AL20" s="104">
        <f t="shared" si="1"/>
        <v>19</v>
      </c>
    </row>
    <row r="21" spans="1:38" ht="20.149999999999999" customHeight="1" x14ac:dyDescent="0.25">
      <c r="A21" s="199"/>
      <c r="B21" s="59">
        <f>DATE(Matrice!$B$18,MONTH(Matrice!M$28),Matrice!M$29)</f>
        <v>42004</v>
      </c>
      <c r="C21" s="106">
        <f t="shared" si="2"/>
        <v>88</v>
      </c>
      <c r="D21" s="106">
        <f t="shared" si="3"/>
        <v>18</v>
      </c>
      <c r="E21" s="106">
        <f t="shared" si="4"/>
        <v>70</v>
      </c>
      <c r="F21" s="26"/>
      <c r="G21" s="103">
        <v>4</v>
      </c>
      <c r="H21" s="103">
        <v>4</v>
      </c>
      <c r="I21" s="103">
        <v>4</v>
      </c>
      <c r="J21" s="33">
        <v>4</v>
      </c>
      <c r="K21" s="33">
        <v>4</v>
      </c>
      <c r="L21" s="33"/>
      <c r="M21" s="33"/>
      <c r="N21" s="33">
        <v>4</v>
      </c>
      <c r="O21" s="33">
        <v>4</v>
      </c>
      <c r="P21" s="33">
        <v>4</v>
      </c>
      <c r="Q21" s="33">
        <v>4</v>
      </c>
      <c r="R21" s="33">
        <v>4</v>
      </c>
      <c r="S21" s="33"/>
      <c r="T21" s="33"/>
      <c r="U21" s="33">
        <v>4</v>
      </c>
      <c r="V21" s="33">
        <v>4</v>
      </c>
      <c r="W21" s="33">
        <v>4</v>
      </c>
      <c r="X21" s="33">
        <v>4</v>
      </c>
      <c r="Y21" s="33">
        <v>4</v>
      </c>
      <c r="Z21" s="33"/>
      <c r="AA21" s="33"/>
      <c r="AB21" s="33">
        <v>4</v>
      </c>
      <c r="AC21" s="33">
        <v>4</v>
      </c>
      <c r="AD21" s="33">
        <v>4</v>
      </c>
      <c r="AE21" s="103"/>
      <c r="AF21" s="33">
        <v>0</v>
      </c>
      <c r="AG21" s="33"/>
      <c r="AH21" s="33"/>
      <c r="AI21" s="33">
        <v>0</v>
      </c>
      <c r="AJ21" s="33">
        <v>0</v>
      </c>
      <c r="AK21" s="33">
        <v>0</v>
      </c>
      <c r="AL21" s="104">
        <f t="shared" si="1"/>
        <v>18</v>
      </c>
    </row>
    <row r="22" spans="1:38" ht="15.5" x14ac:dyDescent="0.35">
      <c r="A22" s="27"/>
      <c r="B22" s="27"/>
      <c r="C22" s="27"/>
      <c r="D22" s="27"/>
      <c r="E22" s="27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105">
        <f>SUM(AL10:AL21)</f>
        <v>181</v>
      </c>
    </row>
    <row r="23" spans="1:38" ht="15.5" x14ac:dyDescent="0.35">
      <c r="A23" s="39"/>
      <c r="B23" s="39"/>
      <c r="C23" s="37"/>
      <c r="D23" s="37"/>
      <c r="E23" s="37"/>
      <c r="F23" s="37"/>
      <c r="G23" s="37"/>
      <c r="H23" s="37"/>
      <c r="I23" s="37"/>
      <c r="J23" s="31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</row>
  </sheetData>
  <dataConsolidate/>
  <mergeCells count="2">
    <mergeCell ref="P3:V3"/>
    <mergeCell ref="A10:A21"/>
  </mergeCells>
  <conditionalFormatting sqref="G12:AK12">
    <cfRule type="expression" dxfId="149" priority="82">
      <formula>WEEKDAY(DATE($B$2,3,G$9),2)&gt;5</formula>
    </cfRule>
  </conditionalFormatting>
  <conditionalFormatting sqref="G13:AK13">
    <cfRule type="expression" dxfId="148" priority="83">
      <formula>WEEKDAY(DATE($B$2,4,G$9),2)&gt;5</formula>
    </cfRule>
  </conditionalFormatting>
  <conditionalFormatting sqref="G14:AK14">
    <cfRule type="expression" dxfId="147" priority="84">
      <formula>WEEKDAY(DATE($B$2,5,G$9),2)&gt;5</formula>
    </cfRule>
  </conditionalFormatting>
  <conditionalFormatting sqref="G15:AK15">
    <cfRule type="expression" dxfId="146" priority="85">
      <formula>WEEKDAY(DATE($B$2,6,G$9),2)&gt;5</formula>
    </cfRule>
  </conditionalFormatting>
  <conditionalFormatting sqref="G17:AK17">
    <cfRule type="expression" dxfId="145" priority="89">
      <formula>WEEKDAY(DATE($B$2,8,G$9),2)&gt;5</formula>
    </cfRule>
  </conditionalFormatting>
  <conditionalFormatting sqref="G18:AK18">
    <cfRule type="expression" dxfId="144" priority="90">
      <formula>WEEKDAY(DATE($B$2,9,G$9),2)&gt;5</formula>
    </cfRule>
  </conditionalFormatting>
  <conditionalFormatting sqref="G19:AK19">
    <cfRule type="expression" dxfId="143" priority="91">
      <formula>WEEKDAY(DATE($B$2,10,G$9),2)&gt;5</formula>
    </cfRule>
  </conditionalFormatting>
  <conditionalFormatting sqref="G20:AK20">
    <cfRule type="expression" dxfId="142" priority="178">
      <formula>WEEKDAY(DATE($B$2,11,G$9),2)&gt;5</formula>
    </cfRule>
  </conditionalFormatting>
  <conditionalFormatting sqref="G21:AK21">
    <cfRule type="expression" dxfId="141" priority="273">
      <formula>WEEKDAY(DATE($B$2,12,G$9),2)&gt;5</formula>
    </cfRule>
  </conditionalFormatting>
  <conditionalFormatting sqref="G16:AK16">
    <cfRule type="expression" dxfId="140" priority="88">
      <formula>WEEKDAY(DATE($B$2,7,G$9),2)&gt;5</formula>
    </cfRule>
  </conditionalFormatting>
  <conditionalFormatting sqref="G10:AK10">
    <cfRule type="expression" dxfId="139" priority="58">
      <formula>WEEKDAY(DATE($B$2,1,G$9),2)&gt;5</formula>
    </cfRule>
  </conditionalFormatting>
  <conditionalFormatting sqref="AI11">
    <cfRule type="expression" dxfId="138" priority="79">
      <formula>MOD(B2,4)</formula>
    </cfRule>
  </conditionalFormatting>
  <conditionalFormatting sqref="G11:AH11">
    <cfRule type="expression" dxfId="137" priority="59">
      <formula>WEEKDAY(DATE($B$2,2,G$9),2)&gt;5</formula>
    </cfRule>
  </conditionalFormatting>
  <conditionalFormatting sqref="G11:G21">
    <cfRule type="expression" dxfId="136" priority="49">
      <formula>WEEKDAY(DATE($B$2,1,G$9),2)&gt;5</formula>
    </cfRule>
  </conditionalFormatting>
  <conditionalFormatting sqref="G11:G21">
    <cfRule type="expression" dxfId="135" priority="47">
      <formula>WEEKDAY(DATE($B$2,1,G$9),2)&gt;5</formula>
    </cfRule>
  </conditionalFormatting>
  <conditionalFormatting sqref="G11:G21">
    <cfRule type="expression" dxfId="134" priority="42">
      <formula>WEEKDAY(DATE($B$2,1,G$9),2)&gt;5</formula>
    </cfRule>
  </conditionalFormatting>
  <conditionalFormatting sqref="H11:H21">
    <cfRule type="expression" dxfId="133" priority="39">
      <formula>WEEKDAY(DATE($B$2,1,H$9),2)&gt;5</formula>
    </cfRule>
  </conditionalFormatting>
  <conditionalFormatting sqref="H11:H21">
    <cfRule type="expression" dxfId="132" priority="38">
      <formula>WEEKDAY(DATE($B$2,1,H$9),2)&gt;5</formula>
    </cfRule>
  </conditionalFormatting>
  <conditionalFormatting sqref="H11:H21">
    <cfRule type="expression" dxfId="131" priority="36">
      <formula>WEEKDAY(DATE($B$2,1,H$9),2)&gt;5</formula>
    </cfRule>
  </conditionalFormatting>
  <conditionalFormatting sqref="H11:H21">
    <cfRule type="expression" dxfId="130" priority="33">
      <formula>WEEKDAY(DATE($B$2,1,H$9),2)&gt;5</formula>
    </cfRule>
  </conditionalFormatting>
  <conditionalFormatting sqref="H11:H21">
    <cfRule type="expression" dxfId="129" priority="32">
      <formula>WEEKDAY(DATE($B$2,1,H$9),2)&gt;5</formula>
    </cfRule>
  </conditionalFormatting>
  <conditionalFormatting sqref="H11:H21">
    <cfRule type="expression" dxfId="128" priority="30">
      <formula>WEEKDAY(DATE($B$2,1,H$9),2)&gt;5</formula>
    </cfRule>
  </conditionalFormatting>
  <conditionalFormatting sqref="G11:G21">
    <cfRule type="expression" dxfId="127" priority="21">
      <formula>WEEKDAY(DATE($B$2,1,G$9),2)&gt;5</formula>
    </cfRule>
  </conditionalFormatting>
  <conditionalFormatting sqref="G11:G21">
    <cfRule type="expression" dxfId="126" priority="15">
      <formula>WEEKDAY(DATE($B$2,1,G$9),2)&gt;5</formula>
    </cfRule>
  </conditionalFormatting>
  <conditionalFormatting sqref="G11:G21">
    <cfRule type="expression" dxfId="125" priority="12">
      <formula>WEEKDAY(DATE($B$2,1,G$9),2)&gt;5</formula>
    </cfRule>
  </conditionalFormatting>
  <conditionalFormatting sqref="H11:H21">
    <cfRule type="expression" dxfId="124" priority="9">
      <formula>WEEKDAY(DATE($B$2,1,H$9),2)&gt;5</formula>
    </cfRule>
  </conditionalFormatting>
  <conditionalFormatting sqref="I11:I21">
    <cfRule type="expression" dxfId="123" priority="6">
      <formula>WEEKDAY(DATE($B$2,1,I$9),2)&gt;5</formula>
    </cfRule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61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508DF752-1282-4085-B7D5-77BB9BB8BA64}">
            <xm:f>DATE($B$2,MONTH($B10),G$9)=HLOOKUP(DATE($B$2,MONTH($B10),G$9),Matrice!$B$31:$L$31,1,FALSE)</xm:f>
            <x14:dxf>
              <fill>
                <patternFill>
                  <bgColor rgb="FFF418DA"/>
                </patternFill>
              </fill>
            </x14:dxf>
          </x14:cfRule>
          <xm:sqref>G10:AK21</xm:sqref>
        </x14:conditionalFormatting>
        <x14:conditionalFormatting xmlns:xm="http://schemas.microsoft.com/office/excel/2006/main">
          <x14:cfRule type="expression" priority="56" id="{36C67B8F-3413-4D60-824E-5CACE8035B0A}">
            <xm:f>TEXT($B10,"mmmm")=TEXT(Matrice!$B$23,"mmmm")</xm:f>
            <x14:dxf>
              <border>
                <left style="thin">
                  <color rgb="FFFF0000"/>
                </lef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B10</xm:sqref>
        </x14:conditionalFormatting>
        <x14:conditionalFormatting xmlns:xm="http://schemas.microsoft.com/office/excel/2006/main">
          <x14:cfRule type="expression" priority="51" id="{BB9D4B42-D4F3-4009-9C27-25E8919FE732}">
            <xm:f>TEXT(B10,"mmmm")=TEXT(Matrice!$B$23,"mmmm")</xm:f>
            <x14:dxf>
              <border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AL10</xm:sqref>
        </x14:conditionalFormatting>
        <x14:conditionalFormatting xmlns:xm="http://schemas.microsoft.com/office/excel/2006/main">
          <x14:cfRule type="expression" priority="50" id="{53FEA703-E1DC-4078-A6E7-8113603C2D09}">
            <xm:f>TEXT($B11,"mmmm")=TEXT(Matrice!$B$23,"mmmm")</xm:f>
            <x14:dxf>
              <border>
                <left style="thin">
                  <color rgb="FFFF0000"/>
                </lef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B11:B21</xm:sqref>
        </x14:conditionalFormatting>
        <x14:conditionalFormatting xmlns:xm="http://schemas.microsoft.com/office/excel/2006/main">
          <x14:cfRule type="expression" priority="43" id="{7070CC6F-9E9D-4031-8534-91A86CA6CFA4}">
            <xm:f>TEXT(B11,"mmmm")=TEXT(Matrice!$B$23,"mmmm")</xm:f>
            <x14:dxf>
              <border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AL11:AL21</xm:sqref>
        </x14:conditionalFormatting>
        <x14:conditionalFormatting xmlns:xm="http://schemas.microsoft.com/office/excel/2006/main">
          <x14:cfRule type="expression" priority="28" id="{3A5B3DD8-52CB-45C1-B30C-AF0353629B97}">
            <xm:f>TEXT(B10,"mmmm")=TEXT(Matrice!$B$23,"mmmm")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C10:C21</xm:sqref>
        </x14:conditionalFormatting>
        <x14:conditionalFormatting xmlns:xm="http://schemas.microsoft.com/office/excel/2006/main">
          <x14:cfRule type="expression" priority="25" id="{A94C3DE3-E50C-49E9-8756-2E3B95576997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D10</xm:sqref>
        </x14:conditionalFormatting>
        <x14:conditionalFormatting xmlns:xm="http://schemas.microsoft.com/office/excel/2006/main">
          <x14:cfRule type="expression" priority="24" id="{B21A0FAF-353B-4087-96CA-1F48F971808E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D11:D21</xm:sqref>
        </x14:conditionalFormatting>
        <x14:conditionalFormatting xmlns:xm="http://schemas.microsoft.com/office/excel/2006/main">
          <x14:cfRule type="expression" priority="23" id="{7A5BDB07-3192-49A8-A4D5-7F6913C239DE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E10:E21</xm:sqref>
        </x14:conditionalFormatting>
        <x14:conditionalFormatting xmlns:xm="http://schemas.microsoft.com/office/excel/2006/main">
          <x14:cfRule type="expression" priority="22" id="{15CC0B02-CFF4-44CF-9B34-12D2E93608AE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G10</xm:sqref>
        </x14:conditionalFormatting>
        <x14:conditionalFormatting xmlns:xm="http://schemas.microsoft.com/office/excel/2006/main">
          <x14:cfRule type="expression" priority="19" id="{9164798E-B367-4330-9236-11B5E3DB7D22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F10</xm:sqref>
        </x14:conditionalFormatting>
        <x14:conditionalFormatting xmlns:xm="http://schemas.microsoft.com/office/excel/2006/main">
          <x14:cfRule type="expression" priority="18" id="{44883779-66A4-4603-A6A4-7F76E79CF959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F11:F22</xm:sqref>
        </x14:conditionalFormatting>
        <x14:conditionalFormatting xmlns:xm="http://schemas.microsoft.com/office/excel/2006/main">
          <x14:cfRule type="expression" priority="17" id="{0D7A1533-1A76-4560-9BA1-2A50E18CBFC0}">
            <xm:f>DATE($B$2,MONTH($B10),G$9)=HLOOKUP(DATE($B$2,MONTH($B10),G$9),Matrice!$B$31:$L$31,1,FALSE)</xm:f>
            <x14:dxf>
              <fill>
                <patternFill patternType="lightDown">
                  <bgColor rgb="FFFFFF00"/>
                </patternFill>
              </fill>
            </x14:dxf>
          </x14:cfRule>
          <xm:sqref>O15</xm:sqref>
        </x14:conditionalFormatting>
        <x14:conditionalFormatting xmlns:xm="http://schemas.microsoft.com/office/excel/2006/main">
          <x14:cfRule type="expression" priority="11" id="{EAB36B48-1C77-44B7-8D5B-F887B24EEE9E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G11:G21</xm:sqref>
        </x14:conditionalFormatting>
        <x14:conditionalFormatting xmlns:xm="http://schemas.microsoft.com/office/excel/2006/main">
          <x14:cfRule type="expression" priority="10" id="{2893E0BC-B1FA-4C11-885F-CCABC7475F60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H10</xm:sqref>
        </x14:conditionalFormatting>
        <x14:conditionalFormatting xmlns:xm="http://schemas.microsoft.com/office/excel/2006/main">
          <x14:cfRule type="expression" priority="8" id="{6DC0CDF2-2796-493B-BB0F-DE83AEE06339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H11:H21</xm:sqref>
        </x14:conditionalFormatting>
        <x14:conditionalFormatting xmlns:xm="http://schemas.microsoft.com/office/excel/2006/main">
          <x14:cfRule type="expression" priority="7" id="{26B6B100-3A19-485F-B7D7-BBA4C0B8F3AA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I10</xm:sqref>
        </x14:conditionalFormatting>
        <x14:conditionalFormatting xmlns:xm="http://schemas.microsoft.com/office/excel/2006/main">
          <x14:cfRule type="expression" priority="5" id="{BB240CC4-E7F1-4E46-B38E-BE8B6E383910}">
            <xm:f>TEXT($B11,"mmmm")=TEXT(Matrice!$B$23,"mmmm")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I11:I21</xm:sqref>
        </x14:conditionalFormatting>
        <x14:conditionalFormatting xmlns:xm="http://schemas.microsoft.com/office/excel/2006/main">
          <x14:cfRule type="expression" priority="4" id="{A344DC85-1D9F-4E22-A83F-9B36B237A275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J10:J21</xm:sqref>
        </x14:conditionalFormatting>
        <x14:conditionalFormatting xmlns:xm="http://schemas.microsoft.com/office/excel/2006/main">
          <x14:cfRule type="expression" priority="2" id="{929C9F92-BBA9-4EC8-B5DE-B8E7C1BDDBDC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K10:K21</xm:sqref>
        </x14:conditionalFormatting>
        <x14:conditionalFormatting xmlns:xm="http://schemas.microsoft.com/office/excel/2006/main">
          <x14:cfRule type="expression" priority="1" id="{5535A9DC-DFC2-41DD-9B7E-16DA690A0CF7}">
            <xm:f>TEXT($B10,"mmmm")=TEXT(Matrice!$B$23,"mmmm")</xm:f>
            <x14:dxf>
              <border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L10:AK21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92D050"/>
    <pageSetUpPr fitToPage="1"/>
  </sheetPr>
  <dimension ref="A2:AM21"/>
  <sheetViews>
    <sheetView showGridLines="0" view="pageBreakPreview" zoomScale="85" zoomScaleNormal="80" zoomScaleSheetLayoutView="85" workbookViewId="0">
      <selection activeCell="B4" sqref="B4"/>
    </sheetView>
  </sheetViews>
  <sheetFormatPr baseColWidth="10" defaultColWidth="8.453125" defaultRowHeight="15.5" outlineLevelCol="1" x14ac:dyDescent="0.35"/>
  <cols>
    <col min="1" max="1" width="19.81640625" style="27" bestFit="1" customWidth="1"/>
    <col min="2" max="2" width="18.81640625" style="27" customWidth="1"/>
    <col min="3" max="3" width="12.81640625" style="27" hidden="1" customWidth="1" outlineLevel="1"/>
    <col min="4" max="5" width="12.54296875" style="27" hidden="1" customWidth="1" outlineLevel="1"/>
    <col min="6" max="6" width="2.81640625" style="27" hidden="1" customWidth="1" outlineLevel="1"/>
    <col min="7" max="7" width="4.54296875" style="27" customWidth="1" collapsed="1"/>
    <col min="8" max="36" width="4.54296875" style="27" customWidth="1"/>
    <col min="37" max="37" width="5.453125" style="27" customWidth="1"/>
    <col min="38" max="39" width="8.81640625" style="27" bestFit="1" customWidth="1"/>
    <col min="40" max="16384" width="8.453125" style="27"/>
  </cols>
  <sheetData>
    <row r="2" spans="1:39" x14ac:dyDescent="0.35">
      <c r="A2" s="48" t="s">
        <v>54</v>
      </c>
      <c r="B2" s="26">
        <f>Matrice!B7</f>
        <v>0</v>
      </c>
      <c r="P2" s="196"/>
      <c r="Q2" s="196"/>
      <c r="R2" s="196"/>
      <c r="S2" s="196"/>
      <c r="T2" s="196"/>
      <c r="U2" s="196"/>
      <c r="V2" s="196"/>
    </row>
    <row r="3" spans="1:39" x14ac:dyDescent="0.35">
      <c r="A3" s="48" t="s">
        <v>55</v>
      </c>
      <c r="B3" s="26">
        <f>Matrice!B6</f>
        <v>0</v>
      </c>
      <c r="P3" s="185"/>
      <c r="Q3" s="185"/>
      <c r="R3" s="185"/>
      <c r="S3" s="185"/>
      <c r="T3" s="185"/>
      <c r="U3" s="185"/>
      <c r="V3" s="185"/>
    </row>
    <row r="4" spans="1:39" x14ac:dyDescent="0.35">
      <c r="A4" s="49" t="s">
        <v>56</v>
      </c>
      <c r="B4" s="26"/>
      <c r="C4" s="26"/>
      <c r="D4" s="26"/>
      <c r="E4" s="26"/>
      <c r="F4" s="26"/>
      <c r="G4" s="26"/>
    </row>
    <row r="5" spans="1:39" x14ac:dyDescent="0.35">
      <c r="A5" s="49" t="s">
        <v>57</v>
      </c>
      <c r="B5" s="50">
        <f>Matrice!B8</f>
        <v>0</v>
      </c>
      <c r="C5" s="28"/>
      <c r="D5" s="28"/>
      <c r="E5" s="28"/>
      <c r="F5" s="28"/>
      <c r="G5" s="28"/>
    </row>
    <row r="6" spans="1:39" x14ac:dyDescent="0.35">
      <c r="B6" s="96"/>
    </row>
    <row r="7" spans="1:39" x14ac:dyDescent="0.35">
      <c r="H7" s="29"/>
      <c r="I7" s="30"/>
      <c r="J7" s="30"/>
      <c r="K7" s="29"/>
      <c r="L7" s="29"/>
      <c r="M7" s="29"/>
      <c r="N7" s="29"/>
      <c r="P7" s="31"/>
      <c r="Q7" s="31"/>
      <c r="W7" s="31"/>
      <c r="X7" s="31"/>
      <c r="Y7" s="31"/>
      <c r="AD7" s="31"/>
      <c r="AE7" s="31"/>
      <c r="AL7" s="31"/>
      <c r="AM7" s="31"/>
    </row>
    <row r="8" spans="1:39" ht="31" x14ac:dyDescent="0.35">
      <c r="C8" s="40" t="s">
        <v>49</v>
      </c>
      <c r="D8" s="40" t="s">
        <v>50</v>
      </c>
      <c r="E8" s="40" t="s">
        <v>51</v>
      </c>
      <c r="G8" s="95">
        <f>DATE(YEAR($B$9),MONTH($B$9),DAY($B$9))</f>
        <v>41852</v>
      </c>
      <c r="H8" s="95">
        <f>DATE(YEAR($B$9),MONTH($B$9),DAY($B$9)+1)</f>
        <v>41853</v>
      </c>
      <c r="I8" s="95">
        <f>DATE(YEAR($B$9),MONTH($B$9),DAY($B$9)+2)</f>
        <v>41854</v>
      </c>
      <c r="J8" s="95">
        <f>DATE(YEAR($B$9),MONTH($B$9),DAY($B$9)+3)</f>
        <v>41855</v>
      </c>
      <c r="K8" s="95">
        <f>DATE(YEAR($B$9),MONTH($B$9),DAY($B$9)+4)</f>
        <v>41856</v>
      </c>
      <c r="L8" s="95">
        <f>DATE(YEAR($B$9),MONTH($B$9),DAY($B$9)+5)</f>
        <v>41857</v>
      </c>
      <c r="M8" s="95">
        <f>DATE(YEAR($B$9),MONTH($B$9),DAY($B$9)+6)</f>
        <v>41858</v>
      </c>
      <c r="N8" s="95">
        <f>DATE(YEAR($B$9),MONTH($B$9),DAY($B$9)+7)</f>
        <v>41859</v>
      </c>
      <c r="O8" s="95">
        <f>DATE(YEAR($B$9),MONTH($B$9),DAY($B$9)+8)</f>
        <v>41860</v>
      </c>
      <c r="P8" s="95">
        <f>DATE(YEAR($B$9),MONTH($B$9),DAY($B$9)+9)</f>
        <v>41861</v>
      </c>
      <c r="Q8" s="95">
        <f>DATE(YEAR($B$9),MONTH($B$9),DAY($B$9)+10)</f>
        <v>41862</v>
      </c>
      <c r="R8" s="95">
        <f>DATE(YEAR($B$9),MONTH($B$9),DAY($B$9)+11)</f>
        <v>41863</v>
      </c>
      <c r="S8" s="95">
        <f>DATE(YEAR($B$9),MONTH($B$9),DAY($B$9)+12)</f>
        <v>41864</v>
      </c>
      <c r="T8" s="95">
        <f>DATE(YEAR($B$9),MONTH($B$9),DAY($B$9)+13)</f>
        <v>41865</v>
      </c>
      <c r="U8" s="95">
        <f>DATE(YEAR($B$9),MONTH($B$9),DAY($B$9)+14)</f>
        <v>41866</v>
      </c>
      <c r="V8" s="95">
        <f>DATE(YEAR($B$9),MONTH($B$9),DAY($B$9)+15)</f>
        <v>41867</v>
      </c>
      <c r="W8" s="95">
        <f>DATE(YEAR($B$9),MONTH($B$9),DAY($B$9)+16)</f>
        <v>41868</v>
      </c>
      <c r="X8" s="95">
        <f>DATE(YEAR($B$9),MONTH($B$9),DAY($B$9)+17)</f>
        <v>41869</v>
      </c>
      <c r="Y8" s="95">
        <f>DATE(YEAR($B$9),MONTH($B$9),DAY($B$9)+18)</f>
        <v>41870</v>
      </c>
      <c r="Z8" s="95">
        <f>DATE(YEAR($B$9),MONTH($B$9),DAY($B$9)+19)</f>
        <v>41871</v>
      </c>
      <c r="AA8" s="95">
        <f>DATE(YEAR($B$9),MONTH($B$9),DAY($B$9)+20)</f>
        <v>41872</v>
      </c>
      <c r="AB8" s="95">
        <f>DATE(YEAR($B$9),MONTH($B$9),DAY($B$9)+21)</f>
        <v>41873</v>
      </c>
      <c r="AC8" s="95">
        <f>DATE(YEAR($B$9),MONTH($B$9),DAY($B$9)+22)</f>
        <v>41874</v>
      </c>
      <c r="AD8" s="95">
        <f>DATE(YEAR($B$9),MONTH($B$9),DAY($B$9)+23)</f>
        <v>41875</v>
      </c>
      <c r="AE8" s="95">
        <f>DATE(YEAR($B$9),MONTH($B$9),DAY($B$9)+24)</f>
        <v>41876</v>
      </c>
      <c r="AF8" s="95">
        <f>DATE(YEAR($B$9),MONTH($B$9),DAY($B$9)+25)</f>
        <v>41877</v>
      </c>
      <c r="AG8" s="95">
        <f>DATE(YEAR($B$9),MONTH($B$9),DAY($B$9)+26)</f>
        <v>41878</v>
      </c>
      <c r="AH8" s="95">
        <f>DATE(YEAR($B$9),MONTH($B$9),DAY($B$9)+27)</f>
        <v>41879</v>
      </c>
      <c r="AI8" s="95">
        <f>DATE(YEAR($B$9),MONTH($B$9),DAY($B$9)+28)</f>
        <v>41880</v>
      </c>
      <c r="AJ8" s="95">
        <f>DATE(YEAR($B$9),MONTH($B$9),DAY($B$9)+29)</f>
        <v>41881</v>
      </c>
      <c r="AK8" s="95">
        <f>DATE(YEAR($B$9),MONTH($B$9),DAY($B$9)+30)</f>
        <v>41882</v>
      </c>
      <c r="AL8" s="32" t="s">
        <v>52</v>
      </c>
    </row>
    <row r="9" spans="1:39" x14ac:dyDescent="0.35">
      <c r="A9" s="51" t="s">
        <v>53</v>
      </c>
      <c r="B9" s="41">
        <v>41852</v>
      </c>
      <c r="C9" s="106">
        <f ca="1">OFFSET('CRA Récapitulatif'!C$9,MONTH('CRA Mensuel'!$B$9),0)</f>
        <v>165.5</v>
      </c>
      <c r="D9" s="106">
        <f ca="1">OFFSET('CRA Récapitulatif'!D$9,MONTH('CRA Mensuel'!$B$9),0)</f>
        <v>14</v>
      </c>
      <c r="E9" s="106">
        <f ca="1">OFFSET('CRA Récapitulatif'!E$9,MONTH('CRA Mensuel'!$B$9),0)</f>
        <v>151.5</v>
      </c>
      <c r="F9" s="26"/>
      <c r="G9" s="95">
        <f ca="1">IF(ISBLANK(OFFSET('CRA Récapitulatif'!$F$9,MONTH($B$9),DAY(G$8))),"",OFFSET('CRA Récapitulatif'!$F$9,MONTH($B$9),DAY(G$8)))</f>
        <v>0</v>
      </c>
      <c r="H9" s="95" t="str">
        <f ca="1">IF(ISBLANK(OFFSET('CRA Récapitulatif'!$F$9,MONTH($B$9),DAY(H$8))),"",OFFSET('CRA Récapitulatif'!$F$9,MONTH($B$9),DAY(H$8)))</f>
        <v/>
      </c>
      <c r="I9" s="95" t="str">
        <f ca="1">IF(ISBLANK(OFFSET('CRA Récapitulatif'!$F$9,MONTH($B$9),DAY(I$8))),"",OFFSET('CRA Récapitulatif'!$F$9,MONTH($B$9),DAY(I$8)))</f>
        <v/>
      </c>
      <c r="J9" s="95">
        <f ca="1">IF(ISBLANK(OFFSET('CRA Récapitulatif'!$F$9,MONTH($B$9),DAY(J$8))),"",OFFSET('CRA Récapitulatif'!$F$9,MONTH($B$9),DAY(J$8)))</f>
        <v>0</v>
      </c>
      <c r="K9" s="95">
        <f ca="1">IF(ISBLANK(OFFSET('CRA Récapitulatif'!$F$9,MONTH($B$9),DAY(K$8))),"",OFFSET('CRA Récapitulatif'!$F$9,MONTH($B$9),DAY(K$8)))</f>
        <v>0</v>
      </c>
      <c r="L9" s="95">
        <f ca="1">IF(ISBLANK(OFFSET('CRA Récapitulatif'!$F$9,MONTH($B$9),DAY(L$8))),"",OFFSET('CRA Récapitulatif'!$F$9,MONTH($B$9),DAY(L$8)))</f>
        <v>0</v>
      </c>
      <c r="M9" s="95">
        <f ca="1">IF(ISBLANK(OFFSET('CRA Récapitulatif'!$F$9,MONTH($B$9),DAY(M$8))),"",OFFSET('CRA Récapitulatif'!$F$9,MONTH($B$9),DAY(M$8)))</f>
        <v>0</v>
      </c>
      <c r="N9" s="95">
        <f ca="1">IF(ISBLANK(OFFSET('CRA Récapitulatif'!$F$9,MONTH($B$9),DAY(N$8))),"",OFFSET('CRA Récapitulatif'!$F$9,MONTH($B$9),DAY(N$8)))</f>
        <v>0</v>
      </c>
      <c r="O9" s="95" t="str">
        <f ca="1">IF(ISBLANK(OFFSET('CRA Récapitulatif'!$F$9,MONTH($B$9),DAY(O$8))),"",OFFSET('CRA Récapitulatif'!$F$9,MONTH($B$9),DAY(O$8)))</f>
        <v/>
      </c>
      <c r="P9" s="95" t="str">
        <f ca="1">IF(ISBLANK(OFFSET('CRA Récapitulatif'!$F$9,MONTH($B$9),DAY(P$8))),"",OFFSET('CRA Récapitulatif'!$F$9,MONTH($B$9),DAY(P$8)))</f>
        <v/>
      </c>
      <c r="Q9" s="95">
        <f ca="1">IF(ISBLANK(OFFSET('CRA Récapitulatif'!$F$9,MONTH($B$9),DAY(Q$8))),"",OFFSET('CRA Récapitulatif'!$F$9,MONTH($B$9),DAY(Q$8)))</f>
        <v>4</v>
      </c>
      <c r="R9" s="95">
        <f ca="1">IF(ISBLANK(OFFSET('CRA Récapitulatif'!$F$9,MONTH($B$9),DAY(R$8))),"",OFFSET('CRA Récapitulatif'!$F$9,MONTH($B$9),DAY(R$8)))</f>
        <v>4</v>
      </c>
      <c r="S9" s="95">
        <f ca="1">IF(ISBLANK(OFFSET('CRA Récapitulatif'!$F$9,MONTH($B$9),DAY(S$8))),"",OFFSET('CRA Récapitulatif'!$F$9,MONTH($B$9),DAY(S$8)))</f>
        <v>4</v>
      </c>
      <c r="T9" s="95">
        <f ca="1">IF(ISBLANK(OFFSET('CRA Récapitulatif'!$F$9,MONTH($B$9),DAY(T$8))),"",OFFSET('CRA Récapitulatif'!$F$9,MONTH($B$9),DAY(T$8)))</f>
        <v>4</v>
      </c>
      <c r="U9" s="95" t="str">
        <f ca="1">IF(ISBLANK(OFFSET('CRA Récapitulatif'!$F$9,MONTH($B$9),DAY(U$8))),"",OFFSET('CRA Récapitulatif'!$F$9,MONTH($B$9),DAY(U$8)))</f>
        <v/>
      </c>
      <c r="V9" s="95" t="str">
        <f ca="1">IF(ISBLANK(OFFSET('CRA Récapitulatif'!$F$9,MONTH($B$9),DAY(V$8))),"",OFFSET('CRA Récapitulatif'!$F$9,MONTH($B$9),DAY(V$8)))</f>
        <v/>
      </c>
      <c r="W9" s="95" t="str">
        <f ca="1">IF(ISBLANK(OFFSET('CRA Récapitulatif'!$F$9,MONTH($B$9),DAY(W$8))),"",OFFSET('CRA Récapitulatif'!$F$9,MONTH($B$9),DAY(W$8)))</f>
        <v/>
      </c>
      <c r="X9" s="95">
        <f ca="1">IF(ISBLANK(OFFSET('CRA Récapitulatif'!$F$9,MONTH($B$9),DAY(X$8))),"",OFFSET('CRA Récapitulatif'!$F$9,MONTH($B$9),DAY(X$8)))</f>
        <v>4</v>
      </c>
      <c r="Y9" s="95">
        <f ca="1">IF(ISBLANK(OFFSET('CRA Récapitulatif'!$F$9,MONTH($B$9),DAY(Y$8))),"",OFFSET('CRA Récapitulatif'!$F$9,MONTH($B$9),DAY(Y$8)))</f>
        <v>4</v>
      </c>
      <c r="Z9" s="95">
        <f ca="1">IF(ISBLANK(OFFSET('CRA Récapitulatif'!$F$9,MONTH($B$9),DAY(Z$8))),"",OFFSET('CRA Récapitulatif'!$F$9,MONTH($B$9),DAY(Z$8)))</f>
        <v>4</v>
      </c>
      <c r="AA9" s="95">
        <f ca="1">IF(ISBLANK(OFFSET('CRA Récapitulatif'!$F$9,MONTH($B$9),DAY(AA$8))),"",OFFSET('CRA Récapitulatif'!$F$9,MONTH($B$9),DAY(AA$8)))</f>
        <v>4</v>
      </c>
      <c r="AB9" s="95">
        <f ca="1">IF(ISBLANK(OFFSET('CRA Récapitulatif'!$F$9,MONTH($B$9),DAY(AB$8))),"",OFFSET('CRA Récapitulatif'!$F$9,MONTH($B$9),DAY(AB$8)))</f>
        <v>4</v>
      </c>
      <c r="AC9" s="95" t="str">
        <f ca="1">IF(ISBLANK(OFFSET('CRA Récapitulatif'!$F$9,MONTH($B$9),DAY(AC$8))),"",OFFSET('CRA Récapitulatif'!$F$9,MONTH($B$9),DAY(AC$8)))</f>
        <v/>
      </c>
      <c r="AD9" s="95" t="str">
        <f ca="1">IF(ISBLANK(OFFSET('CRA Récapitulatif'!$F$9,MONTH($B$9),DAY(AD$8))),"",OFFSET('CRA Récapitulatif'!$F$9,MONTH($B$9),DAY(AD$8)))</f>
        <v/>
      </c>
      <c r="AE9" s="95">
        <f ca="1">IF(ISBLANK(OFFSET('CRA Récapitulatif'!$F$9,MONTH($B$9),DAY(AE$8))),"",OFFSET('CRA Récapitulatif'!$F$9,MONTH($B$9),DAY(AE$8)))</f>
        <v>4</v>
      </c>
      <c r="AF9" s="95">
        <f ca="1">IF(ISBLANK(OFFSET('CRA Récapitulatif'!$F$9,MONTH($B$9),DAY(AF$8))),"",OFFSET('CRA Récapitulatif'!$F$9,MONTH($B$9),DAY(AF$8)))</f>
        <v>4</v>
      </c>
      <c r="AG9" s="95">
        <f ca="1">IF(ISBLANK(OFFSET('CRA Récapitulatif'!$F$9,MONTH($B$9),DAY(AG$8))),"",OFFSET('CRA Récapitulatif'!$F$9,MONTH($B$9),DAY(AG$8)))</f>
        <v>4</v>
      </c>
      <c r="AH9" s="95">
        <f ca="1">IF(ISBLANK(OFFSET('CRA Récapitulatif'!$F$9,MONTH($B$9),DAY(AH$8))),"",OFFSET('CRA Récapitulatif'!$F$9,MONTH($B$9),DAY(AH$8)))</f>
        <v>4</v>
      </c>
      <c r="AI9" s="95">
        <f ca="1">IF(ISBLANK(OFFSET('CRA Récapitulatif'!$F$9,MONTH($B$9),DAY(AI$8))),"",OFFSET('CRA Récapitulatif'!$F$9,MONTH($B$9),DAY(AI$8)))</f>
        <v>4</v>
      </c>
      <c r="AJ9" s="95" t="str">
        <f ca="1">IF(ISBLANK(OFFSET('CRA Récapitulatif'!$F$9,MONTH($B$9),DAY(AJ$8))),"",OFFSET('CRA Récapitulatif'!$F$9,MONTH($B$9),DAY(AJ$8)))</f>
        <v/>
      </c>
      <c r="AK9" s="95" t="str">
        <f ca="1">IF(ISBLANK(OFFSET('CRA Récapitulatif'!$F$9,MONTH($B$9),DAY(AK$8))),"",OFFSET('CRA Récapitulatif'!$F$9,MONTH($B$9),DAY(AK$8)))</f>
        <v/>
      </c>
      <c r="AL9" s="102">
        <f ca="1">SUM(G9:AK9)/4</f>
        <v>14</v>
      </c>
    </row>
    <row r="11" spans="1:39" x14ac:dyDescent="0.35">
      <c r="A11" s="211" t="s">
        <v>58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39" x14ac:dyDescent="0.35">
      <c r="A12" s="206" t="s">
        <v>59</v>
      </c>
      <c r="B12" s="207"/>
      <c r="C12" s="208"/>
      <c r="D12" s="209"/>
      <c r="E12" s="209"/>
      <c r="F12" s="209"/>
      <c r="G12" s="209"/>
      <c r="H12" s="209"/>
      <c r="I12" s="209"/>
      <c r="J12" s="209"/>
      <c r="K12" s="209"/>
      <c r="L12" s="210"/>
    </row>
    <row r="13" spans="1:39" x14ac:dyDescent="0.35">
      <c r="A13" s="200" t="s">
        <v>60</v>
      </c>
      <c r="B13" s="201"/>
      <c r="C13" s="34"/>
      <c r="D13" s="34"/>
      <c r="E13" s="34"/>
      <c r="F13" s="34"/>
      <c r="G13" s="34"/>
      <c r="H13" s="34"/>
      <c r="I13" s="34"/>
      <c r="J13" s="168"/>
      <c r="K13" s="169"/>
      <c r="L13" s="170"/>
    </row>
    <row r="14" spans="1:39" x14ac:dyDescent="0.35">
      <c r="A14" s="202"/>
      <c r="B14" s="203"/>
      <c r="C14" s="35"/>
      <c r="D14" s="35"/>
      <c r="E14" s="35"/>
      <c r="F14" s="35"/>
      <c r="G14" s="35"/>
      <c r="H14" s="35"/>
      <c r="I14" s="35"/>
      <c r="J14" s="36"/>
      <c r="L14" s="171"/>
    </row>
    <row r="15" spans="1:39" x14ac:dyDescent="0.35">
      <c r="A15" s="202"/>
      <c r="B15" s="203"/>
      <c r="C15" s="35"/>
      <c r="D15" s="35"/>
      <c r="E15" s="35"/>
      <c r="F15" s="35"/>
      <c r="G15" s="35"/>
      <c r="H15" s="35"/>
      <c r="I15" s="35"/>
      <c r="J15" s="36"/>
      <c r="L15" s="171"/>
    </row>
    <row r="16" spans="1:39" x14ac:dyDescent="0.35">
      <c r="A16" s="202"/>
      <c r="B16" s="203"/>
      <c r="C16" s="35"/>
      <c r="D16" s="35"/>
      <c r="E16" s="35"/>
      <c r="F16" s="35"/>
      <c r="G16" s="35"/>
      <c r="H16" s="35"/>
      <c r="I16" s="35"/>
      <c r="J16" s="36"/>
      <c r="L16" s="171"/>
    </row>
    <row r="17" spans="1:12" x14ac:dyDescent="0.35">
      <c r="A17" s="202"/>
      <c r="B17" s="203"/>
      <c r="C17" s="37"/>
      <c r="D17" s="37"/>
      <c r="E17" s="37"/>
      <c r="F17" s="37"/>
      <c r="G17" s="37"/>
      <c r="H17" s="37"/>
      <c r="I17" s="37"/>
      <c r="J17" s="36"/>
      <c r="L17" s="171"/>
    </row>
    <row r="18" spans="1:12" x14ac:dyDescent="0.35">
      <c r="A18" s="202"/>
      <c r="B18" s="203"/>
      <c r="C18" s="37"/>
      <c r="D18" s="37"/>
      <c r="E18" s="37"/>
      <c r="F18" s="37"/>
      <c r="G18" s="37"/>
      <c r="H18" s="37"/>
      <c r="I18" s="37"/>
      <c r="J18" s="36"/>
      <c r="L18" s="171"/>
    </row>
    <row r="19" spans="1:12" x14ac:dyDescent="0.35">
      <c r="A19" s="202"/>
      <c r="B19" s="203"/>
      <c r="C19" s="37"/>
      <c r="D19" s="37"/>
      <c r="E19" s="37"/>
      <c r="F19" s="37"/>
      <c r="G19" s="37"/>
      <c r="H19" s="37"/>
      <c r="I19" s="37"/>
      <c r="J19" s="36"/>
      <c r="L19" s="171"/>
    </row>
    <row r="20" spans="1:12" x14ac:dyDescent="0.35">
      <c r="A20" s="204"/>
      <c r="B20" s="205"/>
      <c r="C20" s="38"/>
      <c r="D20" s="38"/>
      <c r="E20" s="38"/>
      <c r="F20" s="38"/>
      <c r="G20" s="38"/>
      <c r="H20" s="38"/>
      <c r="I20" s="38"/>
      <c r="J20" s="172"/>
      <c r="K20" s="173"/>
      <c r="L20" s="174"/>
    </row>
    <row r="21" spans="1:12" x14ac:dyDescent="0.35">
      <c r="A21" s="39"/>
      <c r="B21" s="39"/>
      <c r="C21" s="37"/>
      <c r="D21" s="37"/>
      <c r="E21" s="37"/>
      <c r="F21" s="37"/>
      <c r="G21" s="37"/>
      <c r="H21" s="37"/>
      <c r="I21" s="37"/>
      <c r="J21" s="31"/>
    </row>
  </sheetData>
  <dataConsolidate link="1"/>
  <mergeCells count="5">
    <mergeCell ref="A13:B20"/>
    <mergeCell ref="P2:V2"/>
    <mergeCell ref="A12:B12"/>
    <mergeCell ref="C12:L12"/>
    <mergeCell ref="A11:L11"/>
  </mergeCells>
  <conditionalFormatting sqref="G8">
    <cfRule type="expression" dxfId="101" priority="85">
      <formula>AND(WEEKDAY(DATE(YEAR($B$9),MONTH($B$9),DAY(G$8)),2)&gt;5,TEXT($B$9,"m")=TEXT(G$8,"m"))</formula>
    </cfRule>
  </conditionalFormatting>
  <conditionalFormatting sqref="AK8">
    <cfRule type="expression" dxfId="100" priority="66">
      <formula>AND(WEEKDAY(DATE(YEAR($B$9),MONTH($B$9),DAY(AK$8)),2)&gt;5,TEXT($B$9,"m")=TEXT(AK$8,"m"))</formula>
    </cfRule>
  </conditionalFormatting>
  <conditionalFormatting sqref="AK8">
    <cfRule type="expression" dxfId="99" priority="64">
      <formula>TEXT($B$9,"m")&lt;&gt;TEXT(AK$8,"m")</formula>
    </cfRule>
  </conditionalFormatting>
  <conditionalFormatting sqref="H8:S8 U8:V8 X8:AJ8">
    <cfRule type="expression" dxfId="98" priority="35">
      <formula>AND(WEEKDAY(DATE(YEAR($B$9),MONTH($B$9),DAY(H$8)),2)&gt;5,TEXT($B$9,"m")=TEXT(H$8,"m"))</formula>
    </cfRule>
  </conditionalFormatting>
  <conditionalFormatting sqref="G9:S9 U9:V9 X9:AK9">
    <cfRule type="expression" dxfId="97" priority="33">
      <formula>AND(WEEKDAY(DATE(YEAR($B$9),MONTH($B$9),DAY(G$8)),2)&gt;5,TEXT($B$9,"m")=TEXT(G$8,"m"))</formula>
    </cfRule>
  </conditionalFormatting>
  <conditionalFormatting sqref="AI8">
    <cfRule type="expression" dxfId="96" priority="29">
      <formula>TEXT($B$9,"m")&lt;&gt;TEXT(AI$8,"m")</formula>
    </cfRule>
  </conditionalFormatting>
  <conditionalFormatting sqref="AJ8">
    <cfRule type="expression" dxfId="95" priority="22">
      <formula>TEXT($B$9,"m")&lt;&gt;TEXT(AJ$8,"m")</formula>
    </cfRule>
  </conditionalFormatting>
  <conditionalFormatting sqref="AH8">
    <cfRule type="expression" dxfId="94" priority="21">
      <formula>TEXT($B$9,"m")&lt;&gt;TEXT(AH$8,"m")</formula>
    </cfRule>
  </conditionalFormatting>
  <conditionalFormatting sqref="T9">
    <cfRule type="expression" dxfId="93" priority="8">
      <formula>AND(WEEKDAY(DATE(YEAR($B$9),MONTH($B$9),DAY(T$8)),2)&gt;5,TEXT($B$9,"m")=TEXT(T$8,"m"))</formula>
    </cfRule>
  </conditionalFormatting>
  <conditionalFormatting sqref="T8">
    <cfRule type="expression" dxfId="92" priority="6">
      <formula>AND(WEEKDAY(DATE(YEAR($B$9),MONTH($B$9),DAY(T$8)),2)&gt;5,TEXT($B$9,"m")=TEXT(T$8,"m"))</formula>
    </cfRule>
  </conditionalFormatting>
  <conditionalFormatting sqref="W8">
    <cfRule type="expression" dxfId="91" priority="4">
      <formula>AND(WEEKDAY(DATE(YEAR($B$9),MONTH($B$9),DAY(W$8)),2)&gt;5,TEXT($B$9,"m")=TEXT(W$8,"m"))</formula>
    </cfRule>
  </conditionalFormatting>
  <conditionalFormatting sqref="W9">
    <cfRule type="expression" dxfId="90" priority="2">
      <formula>AND(WEEKDAY(DATE(YEAR($B$9),MONTH($B$9),DAY(W$8)),2)&gt;5,TEXT($B$9,"m")=TEXT(W$8,"m"))</formula>
    </cfRule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7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0" id="{109F63E5-5176-4388-A8BD-4F3F4AD2E0E4}">
            <xm:f>G$8=HLOOKUP(DATE(YEAR(G$8),MONTH(G$8),DAY(G$8)),Matrice!$B$31:$M$31,1,FALSE)</xm:f>
            <x14:dxf>
              <fill>
                <patternFill>
                  <bgColor rgb="FFF82CE0"/>
                </patternFill>
              </fill>
            </x14:dxf>
          </x14:cfRule>
          <xm:sqref>G8 X9:AK9 U8:V9 X8:AJ8</xm:sqref>
        </x14:conditionalFormatting>
        <x14:conditionalFormatting xmlns:xm="http://schemas.microsoft.com/office/excel/2006/main">
          <x14:cfRule type="expression" priority="34" id="{94EE9638-384D-4F12-951B-36AE4AAF80EC}">
            <xm:f>H$8=HLOOKUP(DATE(YEAR(H$8),MONTH(H$8),DAY(H$8)),Matrice!$B$31:$M$31,1,FALSE)</xm:f>
            <x14:dxf>
              <fill>
                <patternFill>
                  <bgColor rgb="FFF82CE0"/>
                </patternFill>
              </fill>
            </x14:dxf>
          </x14:cfRule>
          <xm:sqref>H8:S8</xm:sqref>
        </x14:conditionalFormatting>
        <x14:conditionalFormatting xmlns:xm="http://schemas.microsoft.com/office/excel/2006/main">
          <x14:cfRule type="expression" priority="32" id="{240A7371-29F5-4D32-81C5-23DB232FA488}">
            <xm:f>G$8=HLOOKUP(DATE(YEAR(G$8),MONTH(G$8),DAY(G$8)),Matrice!$B$31:$M$31,1,FALSE)</xm:f>
            <x14:dxf>
              <fill>
                <patternFill>
                  <bgColor rgb="FFF82CE0"/>
                </patternFill>
              </fill>
            </x14:dxf>
          </x14:cfRule>
          <xm:sqref>G9:S9</xm:sqref>
        </x14:conditionalFormatting>
        <x14:conditionalFormatting xmlns:xm="http://schemas.microsoft.com/office/excel/2006/main">
          <x14:cfRule type="expression" priority="7" id="{CAA6DC5D-4132-431A-828E-4A4F696A1EEE}">
            <xm:f>T$8=HLOOKUP(DATE(YEAR(T$8),MONTH(T$8),DAY(T$8)),Matrice!$B$31:$M$31,1,FALSE)</xm:f>
            <x14:dxf>
              <fill>
                <patternFill>
                  <bgColor rgb="FFF82CE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5" id="{34766C58-A054-481A-8C02-5244FBF7577B}">
            <xm:f>T$8=HLOOKUP(DATE(YEAR(T$8),MONTH(T$8),DAY(T$8)),Matrice!$B$31:$M$31,1,FALSE)</xm:f>
            <x14:dxf>
              <fill>
                <patternFill>
                  <bgColor rgb="FFF82CE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3" id="{9C5FFF62-0989-4A19-8910-526E23CE4840}">
            <xm:f>W$8=HLOOKUP(DATE(YEAR(W$8),MONTH(W$8),DAY(W$8)),Matrice!$B$31:$M$31,1,FALSE)</xm:f>
            <x14:dxf>
              <fill>
                <patternFill>
                  <bgColor rgb="FFF82CE0"/>
                </patternFill>
              </fill>
            </x14:dxf>
          </x14:cfRule>
          <xm:sqref>W8</xm:sqref>
        </x14:conditionalFormatting>
        <x14:conditionalFormatting xmlns:xm="http://schemas.microsoft.com/office/excel/2006/main">
          <x14:cfRule type="expression" priority="1" id="{DCCD9954-89E6-4BFB-BAFE-D9D0365B738E}">
            <xm:f>W$8=HLOOKUP(DATE(YEAR(W$8),MONTH(W$8),DAY(W$8)),Matrice!$B$31:$M$31,1,FALSE)</xm:f>
            <x14:dxf>
              <fill>
                <patternFill>
                  <bgColor rgb="FFF82CE0"/>
                </patternFill>
              </fill>
            </x14:dxf>
          </x14:cfRule>
          <xm:sqref>W9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0"/>
  <sheetViews>
    <sheetView showZeros="0" tabSelected="1" zoomScale="90" zoomScaleNormal="9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H13" sqref="H13"/>
    </sheetView>
  </sheetViews>
  <sheetFormatPr baseColWidth="10" defaultColWidth="11.453125" defaultRowHeight="12.5" x14ac:dyDescent="0.25"/>
  <cols>
    <col min="1" max="1" width="6.453125" style="12" customWidth="1"/>
    <col min="2" max="2" width="34.453125" style="2" bestFit="1" customWidth="1"/>
    <col min="3" max="3" width="11.7265625" style="2" bestFit="1" customWidth="1"/>
    <col min="4" max="4" width="11.54296875" style="2" customWidth="1"/>
    <col min="5" max="12" width="12.7265625" style="2" bestFit="1" customWidth="1"/>
    <col min="13" max="15" width="13.81640625" style="2" bestFit="1" customWidth="1"/>
    <col min="16" max="16" width="11.453125" style="2" customWidth="1"/>
    <col min="17" max="16384" width="11.453125" style="2"/>
  </cols>
  <sheetData>
    <row r="1" spans="1:17" x14ac:dyDescent="0.25">
      <c r="A1" s="83"/>
      <c r="B1" s="42">
        <f>Matrice!B2</f>
        <v>0</v>
      </c>
      <c r="C1" s="43"/>
      <c r="D1" s="88">
        <f>Matrice!E40</f>
        <v>0.3</v>
      </c>
      <c r="G1" s="13"/>
    </row>
    <row r="2" spans="1:17" x14ac:dyDescent="0.25">
      <c r="A2" s="83"/>
      <c r="B2" s="17" t="s">
        <v>16</v>
      </c>
      <c r="C2" s="42">
        <f>Matrice!B18</f>
        <v>2014</v>
      </c>
      <c r="D2" s="88">
        <f>Matrice!E41</f>
        <v>0.35</v>
      </c>
      <c r="E2" s="47"/>
      <c r="G2" s="13"/>
      <c r="I2" s="44"/>
      <c r="J2" s="44"/>
      <c r="K2" s="44"/>
      <c r="L2" s="44"/>
      <c r="M2" s="44"/>
      <c r="N2" s="44"/>
      <c r="O2" s="44"/>
      <c r="P2" s="44"/>
      <c r="Q2" s="45"/>
    </row>
    <row r="3" spans="1:17" x14ac:dyDescent="0.25">
      <c r="B3" s="1" t="s">
        <v>61</v>
      </c>
      <c r="C3" s="1">
        <f>Matrice!B14</f>
        <v>480</v>
      </c>
      <c r="D3" s="88">
        <f>Matrice!E42</f>
        <v>0.45</v>
      </c>
      <c r="G3" s="13"/>
    </row>
    <row r="4" spans="1:17" x14ac:dyDescent="0.25">
      <c r="B4" s="1" t="str">
        <f>Matrice!A16&amp;" par défaut"</f>
        <v>Tx provisions pour charges par défaut</v>
      </c>
      <c r="C4" s="3">
        <f>Matrice!B16</f>
        <v>0.5</v>
      </c>
      <c r="D4" s="88">
        <f>Matrice!E43</f>
        <v>0.5</v>
      </c>
      <c r="G4" s="13"/>
      <c r="I4" s="4"/>
      <c r="J4" s="4"/>
      <c r="K4" s="4"/>
      <c r="L4" s="4"/>
      <c r="M4" s="4"/>
      <c r="N4" s="4"/>
      <c r="O4" s="4"/>
    </row>
    <row r="5" spans="1:17" x14ac:dyDescent="0.25">
      <c r="B5" s="1" t="str">
        <f>Matrice!A17</f>
        <v>TVA</v>
      </c>
      <c r="C5" s="5">
        <f>Matrice!B17</f>
        <v>0.2</v>
      </c>
      <c r="D5" s="88">
        <f>Matrice!E44</f>
        <v>0.55000000000000004</v>
      </c>
      <c r="G5" s="13"/>
      <c r="I5" s="4"/>
      <c r="J5" s="4"/>
      <c r="K5" s="4"/>
      <c r="L5" s="4"/>
      <c r="M5" s="4"/>
      <c r="N5" s="4"/>
      <c r="O5" s="4"/>
      <c r="P5" s="6"/>
    </row>
    <row r="6" spans="1:17" x14ac:dyDescent="0.25">
      <c r="I6" s="4"/>
      <c r="J6" s="4"/>
      <c r="K6" s="4"/>
      <c r="L6" s="4"/>
      <c r="M6" s="4"/>
      <c r="N6" s="4"/>
      <c r="O6" s="4"/>
      <c r="P6" s="6"/>
    </row>
    <row r="7" spans="1:17" x14ac:dyDescent="0.25">
      <c r="C7" s="7"/>
      <c r="I7" s="4"/>
      <c r="J7" s="4"/>
      <c r="K7" s="4"/>
      <c r="L7" s="4"/>
      <c r="M7" s="4"/>
      <c r="N7" s="4"/>
      <c r="O7" s="4"/>
      <c r="P7" s="6"/>
    </row>
    <row r="8" spans="1:17" ht="27" customHeight="1" x14ac:dyDescent="0.25">
      <c r="C8" s="8"/>
      <c r="D8" s="220" t="str">
        <f>Matrice!B18&amp;" 
CA Facturé"</f>
        <v>2014 
CA Facturé</v>
      </c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2"/>
      <c r="P8" s="6"/>
    </row>
    <row r="9" spans="1:17" x14ac:dyDescent="0.25">
      <c r="A9" s="84"/>
      <c r="B9" s="8"/>
      <c r="C9" s="4"/>
      <c r="D9" s="72" t="s">
        <v>62</v>
      </c>
      <c r="E9" s="72" t="s">
        <v>63</v>
      </c>
      <c r="F9" s="72" t="s">
        <v>64</v>
      </c>
      <c r="G9" s="72" t="s">
        <v>65</v>
      </c>
      <c r="H9" s="72" t="s">
        <v>66</v>
      </c>
      <c r="I9" s="72" t="s">
        <v>67</v>
      </c>
      <c r="J9" s="72" t="s">
        <v>68</v>
      </c>
      <c r="K9" s="72" t="s">
        <v>69</v>
      </c>
      <c r="L9" s="72" t="s">
        <v>70</v>
      </c>
      <c r="M9" s="72" t="s">
        <v>71</v>
      </c>
      <c r="N9" s="72" t="s">
        <v>72</v>
      </c>
      <c r="O9" s="72" t="s">
        <v>73</v>
      </c>
      <c r="P9" s="6"/>
    </row>
    <row r="10" spans="1:17" x14ac:dyDescent="0.25">
      <c r="A10" s="14"/>
      <c r="B10" s="223" t="s">
        <v>74</v>
      </c>
      <c r="C10" s="223"/>
      <c r="D10" s="76">
        <f>Matrice!B32</f>
        <v>22</v>
      </c>
      <c r="E10" s="76">
        <f>Matrice!C32</f>
        <v>20</v>
      </c>
      <c r="F10" s="76">
        <f>Matrice!D32</f>
        <v>21</v>
      </c>
      <c r="G10" s="76">
        <f>Matrice!E32</f>
        <v>21</v>
      </c>
      <c r="H10" s="76">
        <f>Matrice!F32</f>
        <v>19</v>
      </c>
      <c r="I10" s="76">
        <f>Matrice!G32</f>
        <v>21</v>
      </c>
      <c r="J10" s="76">
        <f>Matrice!H32</f>
        <v>22</v>
      </c>
      <c r="K10" s="76">
        <f>Matrice!I32</f>
        <v>20</v>
      </c>
      <c r="L10" s="76">
        <f>Matrice!J32</f>
        <v>22</v>
      </c>
      <c r="M10" s="76">
        <f>Matrice!K32</f>
        <v>23</v>
      </c>
      <c r="N10" s="76">
        <f>Matrice!L32</f>
        <v>19</v>
      </c>
      <c r="O10" s="76">
        <f>Matrice!M32</f>
        <v>22</v>
      </c>
      <c r="P10" s="25"/>
    </row>
    <row r="11" spans="1:17" x14ac:dyDescent="0.25">
      <c r="A11" s="14"/>
      <c r="B11" s="223" t="s">
        <v>75</v>
      </c>
      <c r="C11" s="223"/>
      <c r="D11" s="60">
        <f ca="1">INDIRECT(ADDRESS(COLUMN()+6,4,3,1,"CRA Récapitulatif"))</f>
        <v>0</v>
      </c>
      <c r="E11" s="60">
        <f t="shared" ref="E11:O11" ca="1" si="0">INDIRECT(ADDRESS(COLUMN()+6,4,3,1,"CRA Récapitulatif"))</f>
        <v>5</v>
      </c>
      <c r="F11" s="60">
        <f t="shared" ca="1" si="0"/>
        <v>21</v>
      </c>
      <c r="G11" s="60">
        <f t="shared" ca="1" si="0"/>
        <v>21</v>
      </c>
      <c r="H11" s="60">
        <f t="shared" ca="1" si="0"/>
        <v>14</v>
      </c>
      <c r="I11" s="60">
        <f t="shared" ca="1" si="0"/>
        <v>20</v>
      </c>
      <c r="J11" s="60">
        <f t="shared" ca="1" si="0"/>
        <v>4.5</v>
      </c>
      <c r="K11" s="60">
        <f t="shared" ca="1" si="0"/>
        <v>14</v>
      </c>
      <c r="L11" s="60">
        <f t="shared" ca="1" si="0"/>
        <v>21.5</v>
      </c>
      <c r="M11" s="60">
        <f t="shared" ca="1" si="0"/>
        <v>23</v>
      </c>
      <c r="N11" s="60">
        <f t="shared" ca="1" si="0"/>
        <v>19</v>
      </c>
      <c r="O11" s="60">
        <f t="shared" ca="1" si="0"/>
        <v>18</v>
      </c>
      <c r="P11" s="6"/>
    </row>
    <row r="12" spans="1:17" x14ac:dyDescent="0.25">
      <c r="A12" s="14"/>
      <c r="B12" s="9"/>
      <c r="C12" s="9"/>
      <c r="D12" s="11"/>
      <c r="E12" s="11"/>
      <c r="F12" s="11"/>
      <c r="G12" s="11"/>
      <c r="H12" s="11"/>
      <c r="I12" s="10"/>
      <c r="J12" s="10"/>
      <c r="K12" s="10"/>
      <c r="L12" s="10"/>
      <c r="M12" s="10"/>
      <c r="N12" s="10"/>
      <c r="O12" s="10"/>
      <c r="P12" s="6"/>
    </row>
    <row r="13" spans="1:17" ht="13" thickBot="1" x14ac:dyDescent="0.3">
      <c r="A13" s="86" t="s">
        <v>76</v>
      </c>
      <c r="B13" s="224" t="s">
        <v>77</v>
      </c>
      <c r="C13" s="225"/>
      <c r="D13" s="133">
        <f ca="1">$C3*D11</f>
        <v>0</v>
      </c>
      <c r="E13" s="133"/>
      <c r="F13" s="133"/>
      <c r="G13" s="133"/>
      <c r="H13" s="133">
        <f t="shared" ref="E13:O13" ca="1" si="1">$C3*H11</f>
        <v>6720</v>
      </c>
      <c r="I13" s="133"/>
      <c r="J13" s="133"/>
      <c r="K13" s="133"/>
      <c r="L13" s="133"/>
      <c r="M13" s="133"/>
      <c r="N13" s="133"/>
      <c r="O13" s="133"/>
      <c r="P13" s="16"/>
    </row>
    <row r="14" spans="1:17" ht="13" thickBot="1" x14ac:dyDescent="0.3">
      <c r="A14" s="14"/>
      <c r="B14" s="226" t="s">
        <v>78</v>
      </c>
      <c r="C14" s="226"/>
      <c r="D14" s="134">
        <f ca="1">D13</f>
        <v>0</v>
      </c>
      <c r="E14" s="134" t="str">
        <f>IF(E13=0,"",IF(D14="",0,D14)+E13)</f>
        <v/>
      </c>
      <c r="F14" s="134" t="str">
        <f t="shared" ref="F14:O14" si="2">IF(F13=0,"",IF(E14="",0,E14)+F13)</f>
        <v/>
      </c>
      <c r="G14" s="134" t="str">
        <f t="shared" si="2"/>
        <v/>
      </c>
      <c r="H14" s="134">
        <f t="shared" ca="1" si="2"/>
        <v>6720</v>
      </c>
      <c r="I14" s="134" t="str">
        <f t="shared" si="2"/>
        <v/>
      </c>
      <c r="J14" s="134" t="str">
        <f t="shared" si="2"/>
        <v/>
      </c>
      <c r="K14" s="134" t="str">
        <f t="shared" si="2"/>
        <v/>
      </c>
      <c r="L14" s="134" t="str">
        <f t="shared" si="2"/>
        <v/>
      </c>
      <c r="M14" s="134" t="str">
        <f t="shared" si="2"/>
        <v/>
      </c>
      <c r="N14" s="134" t="str">
        <f t="shared" si="2"/>
        <v/>
      </c>
      <c r="O14" s="134" t="str">
        <f t="shared" si="2"/>
        <v/>
      </c>
      <c r="P14" s="80"/>
    </row>
    <row r="15" spans="1:17" x14ac:dyDescent="0.25"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</row>
    <row r="16" spans="1:17" ht="13" thickBot="1" x14ac:dyDescent="0.3">
      <c r="A16" s="14"/>
      <c r="B16" s="214" t="s">
        <v>79</v>
      </c>
      <c r="C16" s="215"/>
      <c r="D16" s="137">
        <f ca="1">D13*$C$5</f>
        <v>0</v>
      </c>
      <c r="E16" s="137">
        <f t="shared" ref="E16:O16" si="3">E13*$C$5</f>
        <v>0</v>
      </c>
      <c r="F16" s="137">
        <f t="shared" si="3"/>
        <v>0</v>
      </c>
      <c r="G16" s="137">
        <f t="shared" si="3"/>
        <v>0</v>
      </c>
      <c r="H16" s="137">
        <f t="shared" ca="1" si="3"/>
        <v>1344</v>
      </c>
      <c r="I16" s="137">
        <f t="shared" si="3"/>
        <v>0</v>
      </c>
      <c r="J16" s="137">
        <f t="shared" si="3"/>
        <v>0</v>
      </c>
      <c r="K16" s="137">
        <f t="shared" si="3"/>
        <v>0</v>
      </c>
      <c r="L16" s="137">
        <f t="shared" si="3"/>
        <v>0</v>
      </c>
      <c r="M16" s="137">
        <f t="shared" si="3"/>
        <v>0</v>
      </c>
      <c r="N16" s="137">
        <f t="shared" si="3"/>
        <v>0</v>
      </c>
      <c r="O16" s="137">
        <f t="shared" si="3"/>
        <v>0</v>
      </c>
      <c r="P16" s="16"/>
    </row>
    <row r="17" spans="1:16" ht="13" thickBot="1" x14ac:dyDescent="0.3">
      <c r="A17" s="14"/>
      <c r="B17" s="218" t="s">
        <v>80</v>
      </c>
      <c r="C17" s="219"/>
      <c r="D17" s="138">
        <f ca="1">D16</f>
        <v>0</v>
      </c>
      <c r="E17" s="138">
        <f ca="1">IF(E16="","",IF(D17="",0,D17)+E16)</f>
        <v>0</v>
      </c>
      <c r="F17" s="138">
        <f t="shared" ref="F17:O17" ca="1" si="4">IF(F16="","",IF(E17="",0,E17)+F16)</f>
        <v>0</v>
      </c>
      <c r="G17" s="138">
        <f t="shared" ca="1" si="4"/>
        <v>0</v>
      </c>
      <c r="H17" s="138">
        <f t="shared" ca="1" si="4"/>
        <v>1344</v>
      </c>
      <c r="I17" s="138">
        <f t="shared" ca="1" si="4"/>
        <v>1344</v>
      </c>
      <c r="J17" s="138">
        <f t="shared" ca="1" si="4"/>
        <v>1344</v>
      </c>
      <c r="K17" s="138">
        <f t="shared" ca="1" si="4"/>
        <v>1344</v>
      </c>
      <c r="L17" s="138">
        <f t="shared" ca="1" si="4"/>
        <v>1344</v>
      </c>
      <c r="M17" s="138">
        <f t="shared" ca="1" si="4"/>
        <v>1344</v>
      </c>
      <c r="N17" s="138">
        <f t="shared" ca="1" si="4"/>
        <v>1344</v>
      </c>
      <c r="O17" s="138">
        <f t="shared" ca="1" si="4"/>
        <v>1344</v>
      </c>
      <c r="P17" s="16"/>
    </row>
    <row r="19" spans="1:16" ht="13" thickBot="1" x14ac:dyDescent="0.3">
      <c r="B19" s="214" t="s">
        <v>81</v>
      </c>
      <c r="C19" s="215" t="s">
        <v>81</v>
      </c>
      <c r="D19" s="137">
        <f ca="1">D13+D16</f>
        <v>0</v>
      </c>
      <c r="E19" s="137">
        <f t="shared" ref="E19:O19" si="5">E13+E16</f>
        <v>0</v>
      </c>
      <c r="F19" s="137">
        <f t="shared" si="5"/>
        <v>0</v>
      </c>
      <c r="G19" s="137">
        <f t="shared" si="5"/>
        <v>0</v>
      </c>
      <c r="H19" s="137">
        <f t="shared" ca="1" si="5"/>
        <v>8064</v>
      </c>
      <c r="I19" s="137">
        <f t="shared" si="5"/>
        <v>0</v>
      </c>
      <c r="J19" s="137">
        <f t="shared" si="5"/>
        <v>0</v>
      </c>
      <c r="K19" s="137">
        <f t="shared" si="5"/>
        <v>0</v>
      </c>
      <c r="L19" s="137">
        <f t="shared" si="5"/>
        <v>0</v>
      </c>
      <c r="M19" s="137">
        <f t="shared" si="5"/>
        <v>0</v>
      </c>
      <c r="N19" s="137">
        <f t="shared" si="5"/>
        <v>0</v>
      </c>
      <c r="O19" s="137">
        <f t="shared" si="5"/>
        <v>0</v>
      </c>
    </row>
    <row r="20" spans="1:16" ht="13" thickBot="1" x14ac:dyDescent="0.3">
      <c r="B20" s="216" t="s">
        <v>82</v>
      </c>
      <c r="C20" s="217" t="s">
        <v>83</v>
      </c>
      <c r="D20" s="178">
        <f ca="1">D19</f>
        <v>0</v>
      </c>
      <c r="E20" s="178">
        <f ca="1">D20+E19</f>
        <v>0</v>
      </c>
      <c r="F20" s="178">
        <f t="shared" ref="F20:O20" ca="1" si="6">E20+F19</f>
        <v>0</v>
      </c>
      <c r="G20" s="178">
        <f t="shared" ca="1" si="6"/>
        <v>0</v>
      </c>
      <c r="H20" s="178">
        <f t="shared" ca="1" si="6"/>
        <v>8064</v>
      </c>
      <c r="I20" s="178">
        <f t="shared" ca="1" si="6"/>
        <v>8064</v>
      </c>
      <c r="J20" s="178">
        <f t="shared" ca="1" si="6"/>
        <v>8064</v>
      </c>
      <c r="K20" s="178">
        <f t="shared" ca="1" si="6"/>
        <v>8064</v>
      </c>
      <c r="L20" s="178">
        <f t="shared" ca="1" si="6"/>
        <v>8064</v>
      </c>
      <c r="M20" s="178">
        <f t="shared" ca="1" si="6"/>
        <v>8064</v>
      </c>
      <c r="N20" s="178">
        <f t="shared" ca="1" si="6"/>
        <v>8064</v>
      </c>
      <c r="O20" s="178">
        <f t="shared" ca="1" si="6"/>
        <v>8064</v>
      </c>
    </row>
  </sheetData>
  <autoFilter ref="B9:C14"/>
  <mergeCells count="9">
    <mergeCell ref="B19:C19"/>
    <mergeCell ref="B20:C20"/>
    <mergeCell ref="B16:C16"/>
    <mergeCell ref="B17:C17"/>
    <mergeCell ref="D8:O8"/>
    <mergeCell ref="B10:C10"/>
    <mergeCell ref="B11:C11"/>
    <mergeCell ref="B13:C13"/>
    <mergeCell ref="B14:C14"/>
  </mergeCells>
  <printOptions horizontalCentered="1" verticalCentered="1"/>
  <pageMargins left="0.47244094488188981" right="0.51181102362204722" top="0.71" bottom="0.98425196850393704" header="0.51181102362204722" footer="0.51181102362204722"/>
  <pageSetup paperSize="9" scale="76" orientation="landscape" r:id="rId1"/>
  <headerFooter alignWithMargins="0"/>
  <colBreaks count="1" manualBreakCount="1">
    <brk id="15" max="1048575" man="1"/>
  </colBreak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AD372DB0-A0A8-4FEC-9DCD-C67A698875A2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vertical/>
                <horizontal/>
              </border>
            </x14:dxf>
          </x14:cfRule>
          <xm:sqref>D9</xm:sqref>
        </x14:conditionalFormatting>
        <x14:conditionalFormatting xmlns:xm="http://schemas.microsoft.com/office/excel/2006/main">
          <x14:cfRule type="expression" priority="16" id="{0C175FFA-7C8F-42C6-AAEC-6B9DF0A9CE92}">
            <xm:f>TEXT(E$9,"mmmm")=TEXT(Matrice!$B$23,"mmmm")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vertical/>
                <horizontal/>
              </border>
            </x14:dxf>
          </x14:cfRule>
          <xm:sqref>E9:O9</xm:sqref>
        </x14:conditionalFormatting>
        <x14:conditionalFormatting xmlns:xm="http://schemas.microsoft.com/office/excel/2006/main">
          <x14:cfRule type="expression" priority="15" id="{997082CB-0049-402C-B378-40A6246EF007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D10:O14</xm:sqref>
        </x14:conditionalFormatting>
        <x14:conditionalFormatting xmlns:xm="http://schemas.microsoft.com/office/excel/2006/main">
          <x14:cfRule type="expression" priority="13" id="{F82441A8-EE73-4877-A623-420F1B4B69C8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D16:F16</xm:sqref>
        </x14:conditionalFormatting>
        <x14:conditionalFormatting xmlns:xm="http://schemas.microsoft.com/office/excel/2006/main">
          <x14:cfRule type="expression" priority="12" id="{C015CBE4-E896-4988-9262-B45702AA5434}">
            <xm:f>TEXT(F$9,"mmmm")=TEXT(Matrice!$B$23,"mmmm")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F17</xm:sqref>
        </x14:conditionalFormatting>
        <x14:conditionalFormatting xmlns:xm="http://schemas.microsoft.com/office/excel/2006/main">
          <x14:cfRule type="expression" priority="11" id="{6EE37DC9-433E-4026-B021-003F228E5EF2}">
            <xm:f>TEXT(F$9,"mmmm")=TEXT(Matrice!$B$23,"mmmm")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F15</xm:sqref>
        </x14:conditionalFormatting>
        <x14:conditionalFormatting xmlns:xm="http://schemas.microsoft.com/office/excel/2006/main">
          <x14:cfRule type="expression" priority="10" id="{261CB69E-FF02-4DA7-BBDE-1B612D6E3B5D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D17:E17</xm:sqref>
        </x14:conditionalFormatting>
        <x14:conditionalFormatting xmlns:xm="http://schemas.microsoft.com/office/excel/2006/main">
          <x14:cfRule type="expression" priority="9" id="{7B4B4340-A064-41F7-9CDA-713F19BD0F5C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D15:E15</xm:sqref>
        </x14:conditionalFormatting>
        <x14:conditionalFormatting xmlns:xm="http://schemas.microsoft.com/office/excel/2006/main">
          <x14:cfRule type="expression" priority="8" id="{4E682B64-944D-4AA9-A2A7-A4E4AE85D962}">
            <xm:f>TEXT(G$9,"mmmm")=TEXT(Matrice!$B$23,"mmmm")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G16:O16</xm:sqref>
        </x14:conditionalFormatting>
        <x14:conditionalFormatting xmlns:xm="http://schemas.microsoft.com/office/excel/2006/main">
          <x14:cfRule type="expression" priority="7" id="{E8848B19-61EC-471D-901A-3111A6E6D2CC}">
            <xm:f>TEXT(G$9,"mmmm")=TEXT(Matrice!$B$23,"mmmm")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G17:O17</xm:sqref>
        </x14:conditionalFormatting>
        <x14:conditionalFormatting xmlns:xm="http://schemas.microsoft.com/office/excel/2006/main">
          <x14:cfRule type="expression" priority="6" id="{F14155A9-6757-44ED-97D7-1A0E6C54B39E}">
            <xm:f>TEXT(G$9,"mmmm")=TEXT(Matrice!$B$23,"mmmm")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G15:O15</xm:sqref>
        </x14:conditionalFormatting>
        <x14:conditionalFormatting xmlns:xm="http://schemas.microsoft.com/office/excel/2006/main">
          <x14:cfRule type="expression" priority="5" id="{58059957-50DF-4DAA-8139-023D750BF83F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D19:F19</xm:sqref>
        </x14:conditionalFormatting>
        <x14:conditionalFormatting xmlns:xm="http://schemas.microsoft.com/office/excel/2006/main">
          <x14:cfRule type="expression" priority="4" id="{85CD84BF-3F59-45BD-91A5-10A61FDA1A82}">
            <xm:f>TEXT(G$9,"mmmm")=TEXT(Matrice!$B$23,"mmmm")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G19:O19</xm:sqref>
        </x14:conditionalFormatting>
        <x14:conditionalFormatting xmlns:xm="http://schemas.microsoft.com/office/excel/2006/main">
          <x14:cfRule type="expression" priority="3" id="{CD5A6292-3738-43F4-858E-B4011191F6FC}">
            <xm:f>TEXT(F$9,"mmmm")=TEXT(Matrice!$B$23,"mmmm")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F20</xm:sqref>
        </x14:conditionalFormatting>
        <x14:conditionalFormatting xmlns:xm="http://schemas.microsoft.com/office/excel/2006/main">
          <x14:cfRule type="expression" priority="2" id="{358F788D-21F0-4702-8C86-ADE200EE2939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D20:E20</xm:sqref>
        </x14:conditionalFormatting>
        <x14:conditionalFormatting xmlns:xm="http://schemas.microsoft.com/office/excel/2006/main">
          <x14:cfRule type="expression" priority="1" id="{A71D0805-D6A8-4176-9405-747FFBAB88B4}">
            <xm:f>TEXT(G$9,"mmmm")=TEXT(Matrice!$B$23,"mmmm")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G20:O20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C000"/>
    <pageSetUpPr fitToPage="1"/>
  </sheetPr>
  <dimension ref="A1:Q24"/>
  <sheetViews>
    <sheetView showZeros="0" zoomScale="90" zoomScaleNormal="90" zoomScaleSheetLayoutView="100" workbookViewId="0">
      <pane xSplit="3" ySplit="9" topLeftCell="D10" activePane="bottomRight" state="frozen"/>
      <selection pane="topRight" activeCell="D1" sqref="D1"/>
      <selection pane="bottomLeft" activeCell="A12" sqref="A12"/>
      <selection pane="bottomRight" activeCell="I11" sqref="I11"/>
    </sheetView>
  </sheetViews>
  <sheetFormatPr baseColWidth="10" defaultColWidth="11.453125" defaultRowHeight="12.5" x14ac:dyDescent="0.25"/>
  <cols>
    <col min="1" max="1" width="6.453125" style="12" customWidth="1"/>
    <col min="2" max="2" width="34.453125" style="2" bestFit="1" customWidth="1"/>
    <col min="3" max="3" width="6.453125" style="2" bestFit="1" customWidth="1"/>
    <col min="4" max="4" width="11.54296875" style="2" customWidth="1"/>
    <col min="5" max="13" width="12.7265625" style="2" bestFit="1" customWidth="1"/>
    <col min="14" max="15" width="13.81640625" style="2" bestFit="1" customWidth="1"/>
    <col min="16" max="16" width="11.453125" style="2" customWidth="1"/>
    <col min="17" max="16384" width="11.453125" style="2"/>
  </cols>
  <sheetData>
    <row r="1" spans="1:17" x14ac:dyDescent="0.25">
      <c r="A1" s="83"/>
      <c r="B1" s="42">
        <f>Matrice!B2</f>
        <v>0</v>
      </c>
      <c r="C1" s="43"/>
      <c r="D1" s="88">
        <f>Matrice!E40</f>
        <v>0.3</v>
      </c>
      <c r="G1" s="13"/>
    </row>
    <row r="2" spans="1:17" x14ac:dyDescent="0.25">
      <c r="A2" s="83"/>
      <c r="B2" s="17" t="s">
        <v>16</v>
      </c>
      <c r="C2" s="42">
        <f>Matrice!B18</f>
        <v>2014</v>
      </c>
      <c r="D2" s="88">
        <f>Matrice!E41</f>
        <v>0.35</v>
      </c>
      <c r="E2" s="47"/>
      <c r="G2" s="13"/>
      <c r="I2" s="44"/>
      <c r="J2" s="44"/>
      <c r="K2" s="44"/>
      <c r="L2" s="44"/>
      <c r="M2" s="44"/>
      <c r="N2" s="44"/>
      <c r="O2" s="44"/>
      <c r="P2" s="44"/>
      <c r="Q2" s="45"/>
    </row>
    <row r="3" spans="1:17" x14ac:dyDescent="0.25">
      <c r="B3" s="1" t="s">
        <v>61</v>
      </c>
      <c r="C3" s="1">
        <f>Matrice!B14</f>
        <v>480</v>
      </c>
      <c r="D3" s="88">
        <f>Matrice!E42</f>
        <v>0.45</v>
      </c>
      <c r="G3" s="13"/>
    </row>
    <row r="4" spans="1:17" x14ac:dyDescent="0.25">
      <c r="B4" s="1" t="str">
        <f>Matrice!A16&amp;" par défaut"</f>
        <v>Tx provisions pour charges par défaut</v>
      </c>
      <c r="C4" s="3">
        <f>Matrice!B16</f>
        <v>0.5</v>
      </c>
      <c r="D4" s="88">
        <f>Matrice!E43</f>
        <v>0.5</v>
      </c>
      <c r="G4" s="13"/>
      <c r="I4" s="4"/>
      <c r="J4" s="4"/>
      <c r="K4" s="4"/>
      <c r="L4" s="4"/>
      <c r="M4" s="4"/>
      <c r="N4" s="4"/>
      <c r="O4" s="4"/>
    </row>
    <row r="5" spans="1:17" x14ac:dyDescent="0.25">
      <c r="B5" s="1" t="str">
        <f>Matrice!A17</f>
        <v>TVA</v>
      </c>
      <c r="C5" s="5">
        <f>Matrice!B17</f>
        <v>0.2</v>
      </c>
      <c r="D5" s="88">
        <f>Matrice!E44</f>
        <v>0.55000000000000004</v>
      </c>
      <c r="G5" s="13"/>
      <c r="I5" s="4"/>
      <c r="J5" s="4"/>
      <c r="K5" s="4"/>
      <c r="L5" s="4"/>
      <c r="M5" s="4"/>
      <c r="N5" s="4"/>
      <c r="O5" s="4"/>
      <c r="P5" s="6"/>
    </row>
    <row r="6" spans="1:17" x14ac:dyDescent="0.25">
      <c r="I6" s="4"/>
      <c r="J6" s="4"/>
      <c r="K6" s="4"/>
      <c r="L6" s="4"/>
      <c r="M6" s="4"/>
      <c r="N6" s="4"/>
      <c r="O6" s="4"/>
      <c r="P6" s="6"/>
    </row>
    <row r="7" spans="1:17" x14ac:dyDescent="0.25">
      <c r="B7" s="233" t="s">
        <v>40</v>
      </c>
      <c r="C7" s="234"/>
      <c r="D7" s="181" t="s">
        <v>41</v>
      </c>
      <c r="E7" s="181" t="s">
        <v>41</v>
      </c>
      <c r="F7" s="181" t="s">
        <v>41</v>
      </c>
      <c r="G7" s="181" t="s">
        <v>41</v>
      </c>
      <c r="H7" s="181" t="s">
        <v>41</v>
      </c>
      <c r="I7" s="181" t="s">
        <v>42</v>
      </c>
      <c r="J7" s="181" t="s">
        <v>42</v>
      </c>
      <c r="K7" s="181" t="s">
        <v>42</v>
      </c>
      <c r="L7" s="181" t="s">
        <v>42</v>
      </c>
      <c r="M7" s="181" t="s">
        <v>42</v>
      </c>
      <c r="N7" s="181" t="s">
        <v>42</v>
      </c>
      <c r="O7" s="181" t="s">
        <v>42</v>
      </c>
      <c r="P7" s="6"/>
    </row>
    <row r="8" spans="1:17" ht="27" customHeight="1" x14ac:dyDescent="0.25">
      <c r="C8" s="8"/>
      <c r="D8" s="220" t="str">
        <f>Matrice!B18&amp;" 
CA Encaissé et TVA collectée"</f>
        <v>2014 
CA Encaissé et TVA collectée</v>
      </c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2"/>
      <c r="P8" s="6"/>
    </row>
    <row r="9" spans="1:17" x14ac:dyDescent="0.25">
      <c r="A9" s="84"/>
      <c r="B9" s="231" t="s">
        <v>84</v>
      </c>
      <c r="C9" s="232"/>
      <c r="D9" s="72" t="s">
        <v>62</v>
      </c>
      <c r="E9" s="72" t="s">
        <v>63</v>
      </c>
      <c r="F9" s="72" t="s">
        <v>64</v>
      </c>
      <c r="G9" s="72" t="s">
        <v>65</v>
      </c>
      <c r="H9" s="72" t="s">
        <v>66</v>
      </c>
      <c r="I9" s="72" t="s">
        <v>67</v>
      </c>
      <c r="J9" s="72" t="s">
        <v>68</v>
      </c>
      <c r="K9" s="72" t="s">
        <v>69</v>
      </c>
      <c r="L9" s="72" t="s">
        <v>70</v>
      </c>
      <c r="M9" s="72" t="s">
        <v>71</v>
      </c>
      <c r="N9" s="72" t="s">
        <v>72</v>
      </c>
      <c r="O9" s="72" t="s">
        <v>73</v>
      </c>
      <c r="P9" s="146" t="s">
        <v>85</v>
      </c>
    </row>
    <row r="10" spans="1:17" s="12" customFormat="1" ht="27.75" customHeight="1" x14ac:dyDescent="0.25">
      <c r="A10" s="14"/>
      <c r="B10" s="231" t="s">
        <v>86</v>
      </c>
      <c r="C10" s="232"/>
      <c r="D10" s="110" t="s">
        <v>71</v>
      </c>
      <c r="E10" s="110" t="s">
        <v>85</v>
      </c>
      <c r="F10" s="110" t="s">
        <v>85</v>
      </c>
      <c r="G10" s="110" t="s">
        <v>85</v>
      </c>
      <c r="H10" s="110" t="s">
        <v>85</v>
      </c>
      <c r="I10" s="110" t="s">
        <v>66</v>
      </c>
      <c r="J10" s="182" t="s">
        <v>85</v>
      </c>
      <c r="K10" s="110" t="s">
        <v>85</v>
      </c>
      <c r="L10" s="110" t="s">
        <v>85</v>
      </c>
      <c r="M10" s="110" t="s">
        <v>85</v>
      </c>
      <c r="N10" s="110" t="s">
        <v>85</v>
      </c>
      <c r="O10" s="110" t="s">
        <v>85</v>
      </c>
      <c r="P10" s="82"/>
    </row>
    <row r="11" spans="1:17" ht="13" thickBot="1" x14ac:dyDescent="0.3">
      <c r="A11" s="14"/>
      <c r="B11" s="214" t="s">
        <v>87</v>
      </c>
      <c r="C11" s="215"/>
      <c r="D11" s="135"/>
      <c r="E11" s="135"/>
      <c r="F11" s="135"/>
      <c r="G11" s="135">
        <f>IF(G10="Non paiement",0,HLOOKUP(G$10,'CA &amp; TVA facturé'!$D$9:$O$13,5,0))</f>
        <v>0</v>
      </c>
      <c r="H11" s="135">
        <f>IF(H10="Non paiement",0,HLOOKUP(H$10,'CA &amp; TVA facturé'!$D$9:$O$13,5,0))</f>
        <v>0</v>
      </c>
      <c r="I11" s="135">
        <f ca="1">IF(I10="Non paiement",0,HLOOKUP(I$10,'CA &amp; TVA facturé'!$D$9:$O$13,5,0))</f>
        <v>6720</v>
      </c>
      <c r="J11" s="135">
        <f>IF(J10="Non paiement",0,HLOOKUP(J$10,'CA &amp; TVA facturé'!$D$9:$O$13,5,0))</f>
        <v>0</v>
      </c>
      <c r="K11" s="135">
        <f>IF(K10="Non paiement",0,HLOOKUP(K$10,'CA &amp; TVA facturé'!$D$9:$O$13,5,0))</f>
        <v>0</v>
      </c>
      <c r="L11" s="135">
        <f>IF(L10="Non paiement",0,HLOOKUP(L$10,'CA &amp; TVA facturé'!$D$9:$O$13,5,0))</f>
        <v>0</v>
      </c>
      <c r="M11" s="135">
        <f>IF(M10="Non paiement",0,HLOOKUP(M$10,'CA &amp; TVA facturé'!$D$9:$O$13,5,0))</f>
        <v>0</v>
      </c>
      <c r="N11" s="135">
        <f>IF(N10="Non paiement",0,HLOOKUP(N$10,'CA &amp; TVA facturé'!$D$9:$O$13,5,0))</f>
        <v>0</v>
      </c>
      <c r="O11" s="135">
        <f>IF(O10="Non paiement",0,HLOOKUP(O$10,'CA &amp; TVA facturé'!$D$9:$O$13,5,0))</f>
        <v>0</v>
      </c>
      <c r="P11" s="16"/>
    </row>
    <row r="12" spans="1:17" ht="13" thickBot="1" x14ac:dyDescent="0.3">
      <c r="A12" s="14"/>
      <c r="B12" s="229" t="s">
        <v>88</v>
      </c>
      <c r="C12" s="230"/>
      <c r="D12" s="134">
        <f>D11</f>
        <v>0</v>
      </c>
      <c r="E12" s="134" t="str">
        <f>IF(E11="","",IF(D12="",0,D12)+E11)</f>
        <v/>
      </c>
      <c r="F12" s="134" t="str">
        <f t="shared" ref="F12:O12" si="0">IF(F11="","",IF(E12="",0,E12)+F11)</f>
        <v/>
      </c>
      <c r="G12" s="134">
        <f t="shared" si="0"/>
        <v>0</v>
      </c>
      <c r="H12" s="134">
        <f t="shared" si="0"/>
        <v>0</v>
      </c>
      <c r="I12" s="134">
        <f t="shared" ca="1" si="0"/>
        <v>6720</v>
      </c>
      <c r="J12" s="134">
        <f t="shared" ca="1" si="0"/>
        <v>6720</v>
      </c>
      <c r="K12" s="134">
        <f t="shared" ca="1" si="0"/>
        <v>6720</v>
      </c>
      <c r="L12" s="134">
        <f t="shared" ca="1" si="0"/>
        <v>6720</v>
      </c>
      <c r="M12" s="134">
        <f t="shared" ca="1" si="0"/>
        <v>6720</v>
      </c>
      <c r="N12" s="134">
        <f t="shared" ca="1" si="0"/>
        <v>6720</v>
      </c>
      <c r="O12" s="134">
        <f t="shared" ca="1" si="0"/>
        <v>6720</v>
      </c>
      <c r="P12" s="16"/>
    </row>
    <row r="13" spans="1:17" x14ac:dyDescent="0.25">
      <c r="A13" s="85"/>
      <c r="B13" s="78"/>
      <c r="C13" s="99"/>
      <c r="D13" s="78"/>
      <c r="E13" s="78"/>
      <c r="F13" s="78"/>
      <c r="G13" s="78"/>
      <c r="H13" s="78"/>
      <c r="I13" s="79"/>
      <c r="J13" s="79"/>
      <c r="K13" s="79"/>
      <c r="L13" s="79"/>
      <c r="M13" s="79"/>
      <c r="N13" s="79"/>
      <c r="O13" s="79"/>
      <c r="P13" s="87"/>
      <c r="Q13" s="4"/>
    </row>
    <row r="14" spans="1:17" ht="13" thickBot="1" x14ac:dyDescent="0.3">
      <c r="A14" s="14"/>
      <c r="B14" s="214" t="s">
        <v>89</v>
      </c>
      <c r="C14" s="215"/>
      <c r="D14" s="139">
        <f>D11*0.196</f>
        <v>0</v>
      </c>
      <c r="E14" s="139">
        <f>E11*0.196</f>
        <v>0</v>
      </c>
      <c r="F14" s="139">
        <f>F11*0.196</f>
        <v>0</v>
      </c>
      <c r="G14" s="139">
        <f t="shared" ref="G14:O14" si="1">G11*$C$5</f>
        <v>0</v>
      </c>
      <c r="H14" s="139">
        <f t="shared" si="1"/>
        <v>0</v>
      </c>
      <c r="I14" s="139">
        <f t="shared" ca="1" si="1"/>
        <v>1344</v>
      </c>
      <c r="J14" s="139">
        <f t="shared" si="1"/>
        <v>0</v>
      </c>
      <c r="K14" s="139">
        <f t="shared" si="1"/>
        <v>0</v>
      </c>
      <c r="L14" s="139">
        <f t="shared" si="1"/>
        <v>0</v>
      </c>
      <c r="M14" s="139">
        <f t="shared" si="1"/>
        <v>0</v>
      </c>
      <c r="N14" s="139">
        <f t="shared" si="1"/>
        <v>0</v>
      </c>
      <c r="O14" s="139">
        <f t="shared" si="1"/>
        <v>0</v>
      </c>
      <c r="P14" s="16"/>
    </row>
    <row r="15" spans="1:17" ht="13" thickBot="1" x14ac:dyDescent="0.3">
      <c r="A15" s="14"/>
      <c r="B15" s="218" t="s">
        <v>90</v>
      </c>
      <c r="C15" s="219"/>
      <c r="D15" s="140">
        <f>D14</f>
        <v>0</v>
      </c>
      <c r="E15" s="140">
        <f t="shared" ref="E15:O15" si="2">IF(E14="","",IF(D15="",0,D15)+E14)</f>
        <v>0</v>
      </c>
      <c r="F15" s="140">
        <f t="shared" si="2"/>
        <v>0</v>
      </c>
      <c r="G15" s="140">
        <f t="shared" si="2"/>
        <v>0</v>
      </c>
      <c r="H15" s="140">
        <f t="shared" si="2"/>
        <v>0</v>
      </c>
      <c r="I15" s="140">
        <f t="shared" ca="1" si="2"/>
        <v>1344</v>
      </c>
      <c r="J15" s="140">
        <f t="shared" ca="1" si="2"/>
        <v>1344</v>
      </c>
      <c r="K15" s="140">
        <f t="shared" ca="1" si="2"/>
        <v>1344</v>
      </c>
      <c r="L15" s="140">
        <f t="shared" ca="1" si="2"/>
        <v>1344</v>
      </c>
      <c r="M15" s="140">
        <f t="shared" ca="1" si="2"/>
        <v>1344</v>
      </c>
      <c r="N15" s="140">
        <f t="shared" ca="1" si="2"/>
        <v>1344</v>
      </c>
      <c r="O15" s="140">
        <f t="shared" ca="1" si="2"/>
        <v>1344</v>
      </c>
      <c r="P15" s="16"/>
    </row>
    <row r="16" spans="1:17" x14ac:dyDescent="0.25">
      <c r="B16" s="100"/>
      <c r="C16" s="100"/>
    </row>
    <row r="17" spans="1:16" ht="13" thickBot="1" x14ac:dyDescent="0.3">
      <c r="A17" s="14"/>
      <c r="B17" s="214" t="s">
        <v>91</v>
      </c>
      <c r="C17" s="215"/>
      <c r="D17" s="132">
        <f>D11+D14</f>
        <v>0</v>
      </c>
      <c r="E17" s="132">
        <f t="shared" ref="E17:O17" si="3">E11+E14</f>
        <v>0</v>
      </c>
      <c r="F17" s="132">
        <f t="shared" si="3"/>
        <v>0</v>
      </c>
      <c r="G17" s="132">
        <f t="shared" si="3"/>
        <v>0</v>
      </c>
      <c r="H17" s="132">
        <f t="shared" si="3"/>
        <v>0</v>
      </c>
      <c r="I17" s="132">
        <f t="shared" ca="1" si="3"/>
        <v>8064</v>
      </c>
      <c r="J17" s="132">
        <f t="shared" si="3"/>
        <v>0</v>
      </c>
      <c r="K17" s="132">
        <f t="shared" si="3"/>
        <v>0</v>
      </c>
      <c r="L17" s="132">
        <f t="shared" si="3"/>
        <v>0</v>
      </c>
      <c r="M17" s="132">
        <f t="shared" si="3"/>
        <v>0</v>
      </c>
      <c r="N17" s="132">
        <f t="shared" si="3"/>
        <v>0</v>
      </c>
      <c r="O17" s="132">
        <f t="shared" si="3"/>
        <v>0</v>
      </c>
      <c r="P17" s="16"/>
    </row>
    <row r="18" spans="1:16" ht="13" thickBot="1" x14ac:dyDescent="0.3">
      <c r="A18" s="14"/>
      <c r="B18" s="227" t="s">
        <v>92</v>
      </c>
      <c r="C18" s="228"/>
      <c r="D18" s="141">
        <f>D17</f>
        <v>0</v>
      </c>
      <c r="E18" s="141">
        <f t="shared" ref="E18:O18" si="4">IF(E17="","",IF(D18="",0,D18)+E17)</f>
        <v>0</v>
      </c>
      <c r="F18" s="141">
        <f t="shared" si="4"/>
        <v>0</v>
      </c>
      <c r="G18" s="141">
        <f t="shared" si="4"/>
        <v>0</v>
      </c>
      <c r="H18" s="141">
        <f t="shared" si="4"/>
        <v>0</v>
      </c>
      <c r="I18" s="141">
        <f t="shared" ca="1" si="4"/>
        <v>8064</v>
      </c>
      <c r="J18" s="141">
        <f t="shared" ca="1" si="4"/>
        <v>8064</v>
      </c>
      <c r="K18" s="141">
        <f t="shared" ca="1" si="4"/>
        <v>8064</v>
      </c>
      <c r="L18" s="141">
        <f t="shared" ca="1" si="4"/>
        <v>8064</v>
      </c>
      <c r="M18" s="141">
        <f t="shared" ca="1" si="4"/>
        <v>8064</v>
      </c>
      <c r="N18" s="141">
        <f t="shared" ca="1" si="4"/>
        <v>8064</v>
      </c>
      <c r="O18" s="141">
        <f t="shared" ca="1" si="4"/>
        <v>8064</v>
      </c>
      <c r="P18" s="16"/>
    </row>
    <row r="24" spans="1:16" x14ac:dyDescent="0.25">
      <c r="G24" s="183"/>
    </row>
  </sheetData>
  <dataConsolidate function="product">
    <dataRefs count="1">
      <dataRef ref="D9:O9" sheet="CA &amp; TVA facturé" r:id="rId1"/>
    </dataRefs>
  </dataConsolidate>
  <mergeCells count="10">
    <mergeCell ref="B7:C7"/>
    <mergeCell ref="D8:O8"/>
    <mergeCell ref="B14:C14"/>
    <mergeCell ref="B15:C15"/>
    <mergeCell ref="B17:C17"/>
    <mergeCell ref="B18:C18"/>
    <mergeCell ref="B11:C11"/>
    <mergeCell ref="B12:C12"/>
    <mergeCell ref="B9:C9"/>
    <mergeCell ref="B10:C10"/>
  </mergeCells>
  <conditionalFormatting sqref="I10">
    <cfRule type="cellIs" dxfId="66" priority="2" operator="equal">
      <formula>"I7=Non"</formula>
    </cfRule>
  </conditionalFormatting>
  <conditionalFormatting sqref="G23">
    <cfRule type="cellIs" dxfId="65" priority="1" operator="equal">
      <formula>"F23=1"</formula>
    </cfRule>
  </conditionalFormatting>
  <dataValidations xWindow="820" yWindow="391" count="2">
    <dataValidation showDropDown="1" showInputMessage="1" showErrorMessage="1" sqref="F11:O11"/>
    <dataValidation type="list" allowBlank="1" showInputMessage="1" showErrorMessage="1" sqref="D10:O10">
      <formula1>$D$9:$P$9</formula1>
    </dataValidation>
  </dataValidations>
  <printOptions horizontalCentered="1" verticalCentered="1"/>
  <pageMargins left="0.47244094488188981" right="0.51181102362204722" top="0.71" bottom="0.98425196850393704" header="0.51181102362204722" footer="0.51181102362204722"/>
  <pageSetup paperSize="9" scale="76" orientation="landscape" r:id="rId2"/>
  <headerFooter alignWithMargins="0"/>
  <colBreaks count="1" manualBreakCount="1">
    <brk id="15" max="1048575" man="1"/>
  </colBreaks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BD3F6086-3883-40D4-B587-D76758F7B1E2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vertical/>
                <horizontal/>
              </border>
            </x14:dxf>
          </x14:cfRule>
          <xm:sqref>D9</xm:sqref>
        </x14:conditionalFormatting>
        <x14:conditionalFormatting xmlns:xm="http://schemas.microsoft.com/office/excel/2006/main">
          <x14:cfRule type="expression" priority="5" id="{146C0BFB-7C35-4DF2-BC4A-8954CF48AAF0}">
            <xm:f>TEXT(E$9,"mmmm")=TEXT(Matrice!$B$23,"mmmm")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vertical/>
                <horizontal/>
              </border>
            </x14:dxf>
          </x14:cfRule>
          <xm:sqref>E9:O9</xm:sqref>
        </x14:conditionalFormatting>
        <x14:conditionalFormatting xmlns:xm="http://schemas.microsoft.com/office/excel/2006/main">
          <x14:cfRule type="expression" priority="4" id="{80396D5F-1EB6-4284-BA99-A520DD044719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D10:O17</xm:sqref>
        </x14:conditionalFormatting>
        <x14:conditionalFormatting xmlns:xm="http://schemas.microsoft.com/office/excel/2006/main">
          <x14:cfRule type="expression" priority="3" id="{962A4383-9F5A-4ECE-8596-4DDCE4221195}">
            <xm:f>TEXT(D$9,"mmmm")=TEXT(Matrice!$B$23,"mmmm")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D18:O18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820" yWindow="391" count="1">
        <x14:dataValidation type="list" allowBlank="1" showInputMessage="1" showErrorMessage="1">
          <x14:formula1>
            <xm:f>Matrice!$M$34:$M$36</xm:f>
          </x14:formula1>
          <xm:sqref>D7:O7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FFC000"/>
    <pageSetUpPr fitToPage="1"/>
  </sheetPr>
  <dimension ref="A1:Y34"/>
  <sheetViews>
    <sheetView showZeros="0" zoomScaleNormal="100" zoomScaleSheetLayoutView="100" workbookViewId="0">
      <pane xSplit="1" ySplit="11" topLeftCell="I12" activePane="bottomRight" state="frozen"/>
      <selection pane="topRight" activeCell="B1" sqref="B1"/>
      <selection pane="bottomLeft" activeCell="A12" sqref="A12"/>
      <selection pane="bottomRight" activeCell="V17" sqref="V17"/>
    </sheetView>
  </sheetViews>
  <sheetFormatPr baseColWidth="10" defaultColWidth="11.453125" defaultRowHeight="12.5" x14ac:dyDescent="0.25"/>
  <cols>
    <col min="1" max="1" width="35.54296875" style="2" customWidth="1"/>
    <col min="2" max="2" width="11.54296875" style="2" customWidth="1"/>
    <col min="3" max="3" width="11.54296875" style="2" bestFit="1" customWidth="1"/>
    <col min="4" max="13" width="12.81640625" style="2" bestFit="1" customWidth="1"/>
    <col min="14" max="14" width="10.81640625" style="2" bestFit="1" customWidth="1"/>
    <col min="15" max="15" width="10.54296875" style="2" bestFit="1" customWidth="1"/>
    <col min="16" max="16" width="10.81640625" style="2" bestFit="1" customWidth="1"/>
    <col min="17" max="17" width="10.453125" style="2" bestFit="1" customWidth="1"/>
    <col min="18" max="18" width="10.54296875" style="2" bestFit="1" customWidth="1"/>
    <col min="19" max="19" width="10.453125" style="2" bestFit="1" customWidth="1"/>
    <col min="20" max="20" width="10.1796875" style="2" bestFit="1" customWidth="1"/>
    <col min="21" max="25" width="10.54296875" style="2" customWidth="1"/>
    <col min="26" max="16384" width="11.453125" style="2"/>
  </cols>
  <sheetData>
    <row r="1" spans="1:25" x14ac:dyDescent="0.25">
      <c r="A1" s="42">
        <f>Matrice!B2</f>
        <v>0</v>
      </c>
      <c r="B1" s="43"/>
      <c r="H1" s="13"/>
      <c r="I1" s="13"/>
    </row>
    <row r="2" spans="1:25" x14ac:dyDescent="0.25">
      <c r="A2" s="17" t="s">
        <v>16</v>
      </c>
      <c r="B2" s="42">
        <f>Matrice!B18</f>
        <v>2014</v>
      </c>
      <c r="C2" s="47"/>
      <c r="D2" s="47"/>
      <c r="E2" s="47"/>
      <c r="H2" s="13"/>
      <c r="I2" s="13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</row>
    <row r="3" spans="1:25" x14ac:dyDescent="0.25">
      <c r="A3" s="1" t="s">
        <v>61</v>
      </c>
      <c r="B3" s="1">
        <f>Matrice!B14</f>
        <v>480</v>
      </c>
      <c r="H3" s="13"/>
      <c r="I3" s="13"/>
    </row>
    <row r="4" spans="1:25" x14ac:dyDescent="0.25">
      <c r="A4" s="1" t="str">
        <f>Matrice!A16&amp;" par défaut"</f>
        <v>Tx provisions pour charges par défaut</v>
      </c>
      <c r="B4" s="3">
        <f>Matrice!B16</f>
        <v>0.5</v>
      </c>
      <c r="H4" s="13"/>
      <c r="I4" s="13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5" x14ac:dyDescent="0.25">
      <c r="A5" s="1" t="str">
        <f>Matrice!A17</f>
        <v>TVA</v>
      </c>
      <c r="B5" s="5">
        <f>Matrice!B17</f>
        <v>0.2</v>
      </c>
      <c r="H5" s="13"/>
      <c r="I5" s="1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6"/>
    </row>
    <row r="6" spans="1:25" x14ac:dyDescent="0.25">
      <c r="B6" s="88">
        <f>Matrice!E42</f>
        <v>0.45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6"/>
    </row>
    <row r="7" spans="1:25" x14ac:dyDescent="0.25">
      <c r="A7" s="8"/>
      <c r="B7" s="88">
        <f>Matrice!E43</f>
        <v>0.5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87"/>
    </row>
    <row r="8" spans="1:25" x14ac:dyDescent="0.25">
      <c r="A8" s="8"/>
      <c r="B8" s="88">
        <f>Matrice!E44</f>
        <v>0.55000000000000004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87"/>
    </row>
    <row r="9" spans="1:25" ht="13" x14ac:dyDescent="0.3">
      <c r="B9" s="256">
        <f>Matrice!B27</f>
        <v>2014</v>
      </c>
      <c r="C9" s="257"/>
      <c r="D9" s="257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8"/>
    </row>
    <row r="10" spans="1:25" x14ac:dyDescent="0.25">
      <c r="A10" s="147" t="s">
        <v>93</v>
      </c>
      <c r="B10" s="259" t="s">
        <v>62</v>
      </c>
      <c r="C10" s="260"/>
      <c r="D10" s="259" t="s">
        <v>63</v>
      </c>
      <c r="E10" s="260"/>
      <c r="F10" s="259" t="s">
        <v>64</v>
      </c>
      <c r="G10" s="260"/>
      <c r="H10" s="259" t="s">
        <v>65</v>
      </c>
      <c r="I10" s="260"/>
      <c r="J10" s="259" t="s">
        <v>66</v>
      </c>
      <c r="K10" s="260"/>
      <c r="L10" s="259" t="s">
        <v>67</v>
      </c>
      <c r="M10" s="260"/>
      <c r="N10" s="259" t="s">
        <v>68</v>
      </c>
      <c r="O10" s="260"/>
      <c r="P10" s="259" t="s">
        <v>69</v>
      </c>
      <c r="Q10" s="260"/>
      <c r="R10" s="259" t="s">
        <v>70</v>
      </c>
      <c r="S10" s="260"/>
      <c r="T10" s="259" t="s">
        <v>71</v>
      </c>
      <c r="U10" s="260"/>
      <c r="V10" s="259" t="s">
        <v>72</v>
      </c>
      <c r="W10" s="260"/>
      <c r="X10" s="259" t="s">
        <v>73</v>
      </c>
      <c r="Y10" s="260"/>
    </row>
    <row r="11" spans="1:25" x14ac:dyDescent="0.25">
      <c r="A11" s="157" t="s">
        <v>94</v>
      </c>
      <c r="B11" s="247" t="s">
        <v>71</v>
      </c>
      <c r="C11" s="248"/>
      <c r="D11" s="247" t="s">
        <v>72</v>
      </c>
      <c r="E11" s="248"/>
      <c r="F11" s="247" t="s">
        <v>73</v>
      </c>
      <c r="G11" s="248"/>
      <c r="H11" s="247" t="s">
        <v>63</v>
      </c>
      <c r="I11" s="248"/>
      <c r="J11" s="247" t="s">
        <v>64</v>
      </c>
      <c r="K11" s="248"/>
      <c r="L11" s="247" t="s">
        <v>65</v>
      </c>
      <c r="M11" s="248"/>
      <c r="N11" s="247"/>
      <c r="O11" s="248"/>
      <c r="P11" s="247" t="s">
        <v>67</v>
      </c>
      <c r="Q11" s="248"/>
      <c r="R11" s="247" t="s">
        <v>68</v>
      </c>
      <c r="S11" s="248"/>
      <c r="T11" s="247" t="s">
        <v>69</v>
      </c>
      <c r="U11" s="248"/>
      <c r="V11" s="247" t="s">
        <v>70</v>
      </c>
      <c r="W11" s="248"/>
      <c r="X11" s="247" t="s">
        <v>71</v>
      </c>
      <c r="Y11" s="248"/>
    </row>
    <row r="12" spans="1:25" x14ac:dyDescent="0.25">
      <c r="A12" s="144" t="s">
        <v>95</v>
      </c>
      <c r="B12" s="237">
        <f>'CA &amp; TVA Encaissés'!D11</f>
        <v>0</v>
      </c>
      <c r="C12" s="238"/>
      <c r="D12" s="237">
        <f>'CA &amp; TVA Encaissés'!E11</f>
        <v>0</v>
      </c>
      <c r="E12" s="238"/>
      <c r="F12" s="237">
        <f>'CA &amp; TVA Encaissés'!F11</f>
        <v>0</v>
      </c>
      <c r="G12" s="238"/>
      <c r="H12" s="237">
        <f>'CA &amp; TVA Encaissés'!G11</f>
        <v>0</v>
      </c>
      <c r="I12" s="238"/>
      <c r="J12" s="237">
        <f>'CA &amp; TVA Encaissés'!H11</f>
        <v>0</v>
      </c>
      <c r="K12" s="238"/>
      <c r="L12" s="237">
        <f ca="1">'CA &amp; TVA Encaissés'!I11</f>
        <v>6720</v>
      </c>
      <c r="M12" s="238"/>
      <c r="N12" s="237">
        <f>'CA &amp; TVA Encaissés'!J11</f>
        <v>0</v>
      </c>
      <c r="O12" s="238"/>
      <c r="P12" s="237">
        <f>'CA &amp; TVA Encaissés'!K11</f>
        <v>0</v>
      </c>
      <c r="Q12" s="238"/>
      <c r="R12" s="237">
        <f>'CA &amp; TVA Encaissés'!L11</f>
        <v>0</v>
      </c>
      <c r="S12" s="238"/>
      <c r="T12" s="237">
        <f>'CA &amp; TVA Encaissés'!M11</f>
        <v>0</v>
      </c>
      <c r="U12" s="238"/>
      <c r="V12" s="237">
        <f>'CA &amp; TVA Encaissés'!N11</f>
        <v>0</v>
      </c>
      <c r="W12" s="238"/>
      <c r="X12" s="237">
        <f>'CA &amp; TVA Encaissés'!O11</f>
        <v>0</v>
      </c>
      <c r="Y12" s="238"/>
    </row>
    <row r="13" spans="1:25" x14ac:dyDescent="0.25">
      <c r="A13" s="144" t="s">
        <v>96</v>
      </c>
      <c r="B13" s="237">
        <f>B12</f>
        <v>0</v>
      </c>
      <c r="C13" s="238"/>
      <c r="D13" s="237">
        <f>B13+D12</f>
        <v>0</v>
      </c>
      <c r="E13" s="238"/>
      <c r="F13" s="237">
        <f t="shared" ref="F13" si="0">D13+F12</f>
        <v>0</v>
      </c>
      <c r="G13" s="238"/>
      <c r="H13" s="237">
        <f t="shared" ref="H13" si="1">F13+H12</f>
        <v>0</v>
      </c>
      <c r="I13" s="238"/>
      <c r="J13" s="237">
        <f>H13+J12</f>
        <v>0</v>
      </c>
      <c r="K13" s="238"/>
      <c r="L13" s="237">
        <f t="shared" ref="L13" ca="1" si="2">J13+L12</f>
        <v>6720</v>
      </c>
      <c r="M13" s="238"/>
      <c r="N13" s="237">
        <f t="shared" ref="N13" ca="1" si="3">L13+N12</f>
        <v>6720</v>
      </c>
      <c r="O13" s="238"/>
      <c r="P13" s="237">
        <f t="shared" ref="P13" ca="1" si="4">N13+P12</f>
        <v>6720</v>
      </c>
      <c r="Q13" s="238"/>
      <c r="R13" s="237">
        <f t="shared" ref="R13" ca="1" si="5">P13+R12</f>
        <v>6720</v>
      </c>
      <c r="S13" s="238"/>
      <c r="T13" s="237">
        <f t="shared" ref="T13" ca="1" si="6">R13+T12</f>
        <v>6720</v>
      </c>
      <c r="U13" s="238"/>
      <c r="V13" s="237">
        <f t="shared" ref="V13" ca="1" si="7">T13+V12</f>
        <v>6720</v>
      </c>
      <c r="W13" s="238"/>
      <c r="X13" s="237">
        <f t="shared" ref="X13" ca="1" si="8">V13+X12</f>
        <v>6720</v>
      </c>
      <c r="Y13" s="238"/>
    </row>
    <row r="14" spans="1:25" x14ac:dyDescent="0.25">
      <c r="A14" s="142"/>
      <c r="B14" s="262"/>
      <c r="C14" s="263"/>
      <c r="D14" s="262"/>
      <c r="E14" s="263"/>
      <c r="F14" s="262"/>
      <c r="G14" s="263"/>
      <c r="H14" s="262"/>
      <c r="I14" s="263"/>
      <c r="J14" s="262"/>
      <c r="K14" s="263"/>
      <c r="L14" s="262"/>
      <c r="M14" s="263"/>
      <c r="N14" s="262"/>
      <c r="O14" s="263"/>
      <c r="P14" s="262"/>
      <c r="Q14" s="263"/>
      <c r="R14" s="262"/>
      <c r="S14" s="263"/>
      <c r="T14" s="262"/>
      <c r="U14" s="263"/>
      <c r="V14" s="262"/>
      <c r="W14" s="263"/>
      <c r="X14" s="262"/>
      <c r="Y14" s="263"/>
    </row>
    <row r="15" spans="1:25" x14ac:dyDescent="0.25">
      <c r="A15" s="142"/>
      <c r="B15" s="264"/>
      <c r="C15" s="265"/>
      <c r="D15" s="264"/>
      <c r="E15" s="265"/>
      <c r="F15" s="264"/>
      <c r="G15" s="265"/>
      <c r="H15" s="264"/>
      <c r="I15" s="265"/>
      <c r="J15" s="264"/>
      <c r="K15" s="265"/>
      <c r="L15" s="264"/>
      <c r="M15" s="265"/>
      <c r="N15" s="264"/>
      <c r="O15" s="265"/>
      <c r="P15" s="264"/>
      <c r="Q15" s="265"/>
      <c r="R15" s="264"/>
      <c r="S15" s="265"/>
      <c r="T15" s="264"/>
      <c r="U15" s="265"/>
      <c r="V15" s="264"/>
      <c r="W15" s="265"/>
      <c r="X15" s="264"/>
      <c r="Y15" s="265"/>
    </row>
    <row r="16" spans="1:25" x14ac:dyDescent="0.25">
      <c r="A16" s="186" t="s">
        <v>97</v>
      </c>
      <c r="B16" s="239">
        <v>0.55000000000000004</v>
      </c>
      <c r="C16" s="240"/>
      <c r="D16" s="239">
        <v>0.55000000000000004</v>
      </c>
      <c r="E16" s="240"/>
      <c r="F16" s="239">
        <v>0.55000000000000004</v>
      </c>
      <c r="G16" s="240"/>
      <c r="H16" s="239"/>
      <c r="I16" s="240"/>
      <c r="J16" s="239">
        <v>0.65</v>
      </c>
      <c r="K16" s="240"/>
      <c r="L16" s="239"/>
      <c r="M16" s="240"/>
      <c r="N16" s="239">
        <v>0.3</v>
      </c>
      <c r="O16" s="240"/>
      <c r="P16" s="239">
        <v>0.6</v>
      </c>
      <c r="Q16" s="240"/>
      <c r="R16" s="239"/>
      <c r="S16" s="240"/>
      <c r="T16" s="239">
        <v>0.45</v>
      </c>
      <c r="U16" s="240"/>
      <c r="V16" s="239">
        <v>0.6</v>
      </c>
      <c r="W16" s="240"/>
      <c r="X16" s="239">
        <v>0.6</v>
      </c>
      <c r="Y16" s="240"/>
    </row>
    <row r="17" spans="1:25" x14ac:dyDescent="0.25">
      <c r="A17" s="8"/>
      <c r="B17" s="112" t="s">
        <v>98</v>
      </c>
      <c r="C17" s="112" t="s">
        <v>99</v>
      </c>
      <c r="D17" s="112" t="s">
        <v>98</v>
      </c>
      <c r="E17" s="112" t="s">
        <v>99</v>
      </c>
      <c r="F17" s="112" t="s">
        <v>98</v>
      </c>
      <c r="G17" s="112" t="s">
        <v>99</v>
      </c>
      <c r="H17" s="112" t="s">
        <v>98</v>
      </c>
      <c r="I17" s="112" t="s">
        <v>99</v>
      </c>
      <c r="J17" s="112" t="s">
        <v>98</v>
      </c>
      <c r="K17" s="112" t="s">
        <v>99</v>
      </c>
      <c r="L17" s="112" t="s">
        <v>98</v>
      </c>
      <c r="M17" s="112" t="s">
        <v>99</v>
      </c>
      <c r="N17" s="112" t="s">
        <v>98</v>
      </c>
      <c r="O17" s="112" t="s">
        <v>99</v>
      </c>
      <c r="P17" s="112" t="s">
        <v>98</v>
      </c>
      <c r="Q17" s="112" t="s">
        <v>99</v>
      </c>
      <c r="R17" s="112" t="s">
        <v>98</v>
      </c>
      <c r="S17" s="112" t="s">
        <v>99</v>
      </c>
      <c r="T17" s="112" t="s">
        <v>98</v>
      </c>
      <c r="U17" s="112" t="s">
        <v>99</v>
      </c>
      <c r="V17" s="112" t="s">
        <v>98</v>
      </c>
      <c r="W17" s="112" t="s">
        <v>99</v>
      </c>
      <c r="X17" s="112" t="s">
        <v>98</v>
      </c>
      <c r="Y17" s="112" t="s">
        <v>99</v>
      </c>
    </row>
    <row r="18" spans="1:25" ht="13" thickBot="1" x14ac:dyDescent="0.3">
      <c r="A18" s="145" t="s">
        <v>100</v>
      </c>
      <c r="B18" s="176">
        <f>$B4*B12</f>
        <v>0</v>
      </c>
      <c r="C18" s="176">
        <f>IF(B16="",B18,B16*B12)</f>
        <v>0</v>
      </c>
      <c r="D18" s="176">
        <f>$B4*D12</f>
        <v>0</v>
      </c>
      <c r="E18" s="176">
        <f>IF(D16="",D18,D16*D12)</f>
        <v>0</v>
      </c>
      <c r="F18" s="176">
        <f>$B4*F12</f>
        <v>0</v>
      </c>
      <c r="G18" s="176">
        <f>IF(F16="",F18,F16*F12)</f>
        <v>0</v>
      </c>
      <c r="H18" s="176">
        <f>$B4*H12</f>
        <v>0</v>
      </c>
      <c r="I18" s="176">
        <f>IF(H16="",H18,H16*H12)</f>
        <v>0</v>
      </c>
      <c r="J18" s="176">
        <f>$B4*J12</f>
        <v>0</v>
      </c>
      <c r="K18" s="176">
        <f>IF(J16="",J18,J16*J12)</f>
        <v>0</v>
      </c>
      <c r="L18" s="176">
        <f ca="1">$B4*L12</f>
        <v>3360</v>
      </c>
      <c r="M18" s="176">
        <f ca="1">IF(L16="",L18,L16*L12)</f>
        <v>3360</v>
      </c>
      <c r="N18" s="176">
        <f>$B4*N12</f>
        <v>0</v>
      </c>
      <c r="O18" s="176">
        <f>IF(N16="",N18,N16*N12)</f>
        <v>0</v>
      </c>
      <c r="P18" s="176">
        <f>$B4*P12</f>
        <v>0</v>
      </c>
      <c r="Q18" s="176">
        <f>IF(P16="",P18,P16*P12)</f>
        <v>0</v>
      </c>
      <c r="R18" s="176">
        <f>$B4*R12</f>
        <v>0</v>
      </c>
      <c r="S18" s="176">
        <f>IF(R16="",R18,R16*R12)</f>
        <v>0</v>
      </c>
      <c r="T18" s="176">
        <f>$B4*T12</f>
        <v>0</v>
      </c>
      <c r="U18" s="176">
        <f>IF(T16="",T18,T16*T12)</f>
        <v>0</v>
      </c>
      <c r="V18" s="176">
        <f>$B4*V12</f>
        <v>0</v>
      </c>
      <c r="W18" s="176">
        <f>IF(V16="",V18,V16*V12)</f>
        <v>0</v>
      </c>
      <c r="X18" s="176">
        <f>$B4*X12</f>
        <v>0</v>
      </c>
      <c r="Y18" s="176">
        <f>IF(X16="",X18,X16*X12)</f>
        <v>0</v>
      </c>
    </row>
    <row r="19" spans="1:25" ht="13.5" thickTop="1" thickBot="1" x14ac:dyDescent="0.3">
      <c r="A19" s="165" t="s">
        <v>101</v>
      </c>
      <c r="B19" s="261">
        <f>IF(Matrice!$B$12="",C18-B18,Matrice!$B$12+(C18-B18))</f>
        <v>-3864</v>
      </c>
      <c r="C19" s="241"/>
      <c r="D19" s="241">
        <f>(E18-D18)+B19</f>
        <v>-3864</v>
      </c>
      <c r="E19" s="241"/>
      <c r="F19" s="241">
        <f>(G18-F18)+D19</f>
        <v>-3864</v>
      </c>
      <c r="G19" s="241"/>
      <c r="H19" s="241">
        <f>(I18-H18)+F19</f>
        <v>-3864</v>
      </c>
      <c r="I19" s="241"/>
      <c r="J19" s="241">
        <f>(K18-J18)+H19</f>
        <v>-3864</v>
      </c>
      <c r="K19" s="241"/>
      <c r="L19" s="241">
        <f ca="1">(M18-L18)+J19</f>
        <v>-3864</v>
      </c>
      <c r="M19" s="241"/>
      <c r="N19" s="241">
        <f ca="1">(O18-N18)+L19</f>
        <v>-3864</v>
      </c>
      <c r="O19" s="241"/>
      <c r="P19" s="241">
        <f ca="1">(Q18-P18)+N19</f>
        <v>-3864</v>
      </c>
      <c r="Q19" s="241"/>
      <c r="R19" s="241">
        <f ca="1">(S18-R18)+P19</f>
        <v>-3864</v>
      </c>
      <c r="S19" s="241"/>
      <c r="T19" s="241">
        <f ca="1">(U18-T18)+R19</f>
        <v>-3864</v>
      </c>
      <c r="U19" s="241"/>
      <c r="V19" s="241">
        <f ca="1">(W18-V18)+T19</f>
        <v>-3864</v>
      </c>
      <c r="W19" s="241"/>
      <c r="X19" s="241">
        <f ca="1">(Y18-X18)+V19</f>
        <v>-3864</v>
      </c>
      <c r="Y19" s="241"/>
    </row>
    <row r="20" spans="1:25" ht="13.5" thickTop="1" thickBot="1" x14ac:dyDescent="0.3">
      <c r="A20" s="164"/>
      <c r="B20" s="235"/>
      <c r="C20" s="236"/>
      <c r="D20" s="235"/>
      <c r="E20" s="236"/>
      <c r="F20" s="235"/>
      <c r="G20" s="236"/>
      <c r="H20" s="235"/>
      <c r="I20" s="236"/>
      <c r="J20" s="235"/>
      <c r="K20" s="236"/>
      <c r="L20" s="235"/>
      <c r="M20" s="236"/>
      <c r="N20" s="235"/>
      <c r="O20" s="236"/>
      <c r="P20" s="235"/>
      <c r="Q20" s="236"/>
      <c r="R20" s="235"/>
      <c r="S20" s="236"/>
      <c r="T20" s="235"/>
      <c r="U20" s="236"/>
      <c r="V20" s="235"/>
      <c r="W20" s="236"/>
      <c r="X20" s="235"/>
      <c r="Y20" s="236"/>
    </row>
    <row r="21" spans="1:25" ht="13.5" thickTop="1" thickBot="1" x14ac:dyDescent="0.3">
      <c r="A21" s="162" t="s">
        <v>102</v>
      </c>
      <c r="B21" s="251">
        <f>IF(B16="",B12-B18,B12-C18)</f>
        <v>0</v>
      </c>
      <c r="C21" s="242"/>
      <c r="D21" s="242">
        <f>IF(D16="",D12-D18,D12-E18)</f>
        <v>0</v>
      </c>
      <c r="E21" s="242"/>
      <c r="F21" s="242">
        <f>IF(F16="",F12-F18,F12-G18)</f>
        <v>0</v>
      </c>
      <c r="G21" s="242"/>
      <c r="H21" s="242">
        <f>IF(H16="",H12-H18,H12-I18)</f>
        <v>0</v>
      </c>
      <c r="I21" s="242"/>
      <c r="J21" s="242">
        <f>IF(J16="",J12-J18,J12-K18)</f>
        <v>0</v>
      </c>
      <c r="K21" s="242"/>
      <c r="L21" s="242">
        <f ca="1">IF(L16="",L12-L18,L12-M18)</f>
        <v>3360</v>
      </c>
      <c r="M21" s="242"/>
      <c r="N21" s="242">
        <f>IF(N16="",N12-N18,N12-O18)</f>
        <v>0</v>
      </c>
      <c r="O21" s="242"/>
      <c r="P21" s="242">
        <f>IF(P16="",P12-P18,P12-Q18)</f>
        <v>0</v>
      </c>
      <c r="Q21" s="242"/>
      <c r="R21" s="242">
        <f>IF(R16="",R12-R18,R12-S18)</f>
        <v>0</v>
      </c>
      <c r="S21" s="242"/>
      <c r="T21" s="242">
        <f>IF(T16="",T12-T18,T12-U18)</f>
        <v>0</v>
      </c>
      <c r="U21" s="242"/>
      <c r="V21" s="242">
        <f>IF(V16="",V12-V18,V12-W18)</f>
        <v>0</v>
      </c>
      <c r="W21" s="242"/>
      <c r="X21" s="242">
        <f>IF(X16="",X12-X18,X12-Y18)</f>
        <v>0</v>
      </c>
      <c r="Y21" s="242"/>
    </row>
    <row r="22" spans="1:25" ht="13.5" thickTop="1" thickBot="1" x14ac:dyDescent="0.3">
      <c r="A22" s="158" t="s">
        <v>103</v>
      </c>
      <c r="B22" s="252">
        <f>B21+C18-B12</f>
        <v>0</v>
      </c>
      <c r="C22" s="253"/>
      <c r="D22" s="254">
        <f>D21+E18-D12</f>
        <v>0</v>
      </c>
      <c r="E22" s="255"/>
      <c r="F22" s="254">
        <f>F21+G18-F12</f>
        <v>0</v>
      </c>
      <c r="G22" s="255"/>
      <c r="H22" s="254">
        <f>H21+I18-H12</f>
        <v>0</v>
      </c>
      <c r="I22" s="255"/>
      <c r="J22" s="254">
        <f>J21+K18-J12</f>
        <v>0</v>
      </c>
      <c r="K22" s="255"/>
      <c r="L22" s="254">
        <f ca="1">L21+M18-L12</f>
        <v>0</v>
      </c>
      <c r="M22" s="255"/>
      <c r="N22" s="254">
        <f>N21+O18-N12</f>
        <v>0</v>
      </c>
      <c r="O22" s="255"/>
      <c r="P22" s="254">
        <f>P21+Q18-P12</f>
        <v>0</v>
      </c>
      <c r="Q22" s="255"/>
      <c r="R22" s="254">
        <f>R21+S18-R12</f>
        <v>0</v>
      </c>
      <c r="S22" s="255"/>
      <c r="T22" s="254">
        <f>T21+U18-T12</f>
        <v>0</v>
      </c>
      <c r="U22" s="255"/>
      <c r="V22" s="254">
        <f>V21+W18-V12</f>
        <v>0</v>
      </c>
      <c r="W22" s="255"/>
      <c r="X22" s="254">
        <f>X21+Y18-X12</f>
        <v>0</v>
      </c>
      <c r="Y22" s="255"/>
    </row>
    <row r="23" spans="1:25" s="4" customFormat="1" ht="13.5" thickTop="1" thickBot="1" x14ac:dyDescent="0.3">
      <c r="A23" s="163" t="s">
        <v>104</v>
      </c>
      <c r="B23" s="251">
        <f>B21</f>
        <v>0</v>
      </c>
      <c r="C23" s="242"/>
      <c r="D23" s="251">
        <f>B23+D21</f>
        <v>0</v>
      </c>
      <c r="E23" s="242"/>
      <c r="F23" s="242">
        <f>D23+F21</f>
        <v>0</v>
      </c>
      <c r="G23" s="242"/>
      <c r="H23" s="242">
        <f>F23+H21</f>
        <v>0</v>
      </c>
      <c r="I23" s="242"/>
      <c r="J23" s="242">
        <f>H23+J21</f>
        <v>0</v>
      </c>
      <c r="K23" s="242"/>
      <c r="L23" s="242">
        <f ca="1">J23+L21</f>
        <v>3360</v>
      </c>
      <c r="M23" s="242"/>
      <c r="N23" s="242">
        <f ca="1">L23+N21</f>
        <v>3360</v>
      </c>
      <c r="O23" s="242"/>
      <c r="P23" s="242">
        <f ca="1">N23+P21</f>
        <v>3360</v>
      </c>
      <c r="Q23" s="242"/>
      <c r="R23" s="242">
        <f ca="1">P23+R21</f>
        <v>3360</v>
      </c>
      <c r="S23" s="242"/>
      <c r="T23" s="242">
        <f ca="1">R23+T21</f>
        <v>3360</v>
      </c>
      <c r="U23" s="242"/>
      <c r="V23" s="242">
        <f ca="1">T23+V21</f>
        <v>3360</v>
      </c>
      <c r="W23" s="242"/>
      <c r="X23" s="242">
        <f ca="1">V23+X21</f>
        <v>3360</v>
      </c>
      <c r="Y23" s="242"/>
    </row>
    <row r="24" spans="1:25" s="159" customFormat="1" ht="13.5" thickTop="1" thickBot="1" x14ac:dyDescent="0.3">
      <c r="A24" s="161"/>
      <c r="B24" s="249"/>
      <c r="C24" s="250"/>
      <c r="D24" s="235"/>
      <c r="E24" s="236"/>
      <c r="F24" s="235"/>
      <c r="G24" s="236"/>
      <c r="H24" s="235"/>
      <c r="I24" s="236"/>
      <c r="J24" s="235"/>
      <c r="K24" s="236"/>
      <c r="L24" s="235"/>
      <c r="M24" s="236"/>
      <c r="N24" s="235"/>
      <c r="O24" s="236"/>
      <c r="P24" s="235"/>
      <c r="Q24" s="236"/>
      <c r="R24" s="235"/>
      <c r="S24" s="236"/>
      <c r="T24" s="235"/>
      <c r="U24" s="236"/>
      <c r="V24" s="235"/>
      <c r="W24" s="236"/>
      <c r="X24" s="235"/>
      <c r="Y24" s="236"/>
    </row>
    <row r="25" spans="1:25" s="11" customFormat="1" ht="13.5" thickTop="1" thickBot="1" x14ac:dyDescent="0.3">
      <c r="A25" s="160" t="s">
        <v>105</v>
      </c>
      <c r="B25" s="245">
        <f>B21/0.75</f>
        <v>0</v>
      </c>
      <c r="C25" s="243"/>
      <c r="D25" s="243">
        <f>D21/0.75</f>
        <v>0</v>
      </c>
      <c r="E25" s="243"/>
      <c r="F25" s="243">
        <f>F21/0.75</f>
        <v>0</v>
      </c>
      <c r="G25" s="243"/>
      <c r="H25" s="243">
        <f>H21/0.75</f>
        <v>0</v>
      </c>
      <c r="I25" s="243"/>
      <c r="J25" s="243">
        <f>J21/0.75</f>
        <v>0</v>
      </c>
      <c r="K25" s="243"/>
      <c r="L25" s="243">
        <f ca="1">L21/0.75</f>
        <v>4480</v>
      </c>
      <c r="M25" s="243"/>
      <c r="N25" s="243">
        <f>N21/0.75</f>
        <v>0</v>
      </c>
      <c r="O25" s="243"/>
      <c r="P25" s="243">
        <f>P21/0.75</f>
        <v>0</v>
      </c>
      <c r="Q25" s="243"/>
      <c r="R25" s="243">
        <f>R21/0.75</f>
        <v>0</v>
      </c>
      <c r="S25" s="243"/>
      <c r="T25" s="243">
        <f>T21/0.75</f>
        <v>0</v>
      </c>
      <c r="U25" s="243"/>
      <c r="V25" s="243">
        <f>V21/0.75</f>
        <v>0</v>
      </c>
      <c r="W25" s="243"/>
      <c r="X25" s="243">
        <f>X21/0.75</f>
        <v>0</v>
      </c>
      <c r="Y25" s="243"/>
    </row>
    <row r="26" spans="1:25" ht="13.5" thickTop="1" thickBot="1" x14ac:dyDescent="0.3">
      <c r="A26" s="160" t="s">
        <v>106</v>
      </c>
      <c r="B26" s="244">
        <f>B25</f>
        <v>0</v>
      </c>
      <c r="C26" s="245"/>
      <c r="D26" s="246">
        <f>B26+D25</f>
        <v>0</v>
      </c>
      <c r="E26" s="245"/>
      <c r="F26" s="246">
        <f t="shared" ref="F26" si="9">D26+F25</f>
        <v>0</v>
      </c>
      <c r="G26" s="245"/>
      <c r="H26" s="246">
        <f t="shared" ref="H26" si="10">F26+H25</f>
        <v>0</v>
      </c>
      <c r="I26" s="245"/>
      <c r="J26" s="246">
        <f t="shared" ref="J26" si="11">H26+J25</f>
        <v>0</v>
      </c>
      <c r="K26" s="245"/>
      <c r="L26" s="246">
        <f t="shared" ref="L26" ca="1" si="12">J26+L25</f>
        <v>4480</v>
      </c>
      <c r="M26" s="245"/>
      <c r="N26" s="246">
        <f t="shared" ref="N26" ca="1" si="13">L26+N25</f>
        <v>4480</v>
      </c>
      <c r="O26" s="245"/>
      <c r="P26" s="246">
        <f t="shared" ref="P26" ca="1" si="14">N26+P25</f>
        <v>4480</v>
      </c>
      <c r="Q26" s="245"/>
      <c r="R26" s="246">
        <f t="shared" ref="R26" ca="1" si="15">P26+R25</f>
        <v>4480</v>
      </c>
      <c r="S26" s="245"/>
      <c r="T26" s="246">
        <f t="shared" ref="T26" ca="1" si="16">R26+T25</f>
        <v>4480</v>
      </c>
      <c r="U26" s="245"/>
      <c r="V26" s="246">
        <f t="shared" ref="V26" ca="1" si="17">T26+V25</f>
        <v>4480</v>
      </c>
      <c r="W26" s="245"/>
      <c r="X26" s="246">
        <f t="shared" ref="X26" ca="1" si="18">V26+X25</f>
        <v>4480</v>
      </c>
      <c r="Y26" s="245"/>
    </row>
    <row r="27" spans="1:25" ht="13" thickTop="1" x14ac:dyDescent="0.25">
      <c r="A27" s="11"/>
    </row>
    <row r="28" spans="1:25" x14ac:dyDescent="0.2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33" spans="3:15" x14ac:dyDescent="0.25">
      <c r="C33" s="143"/>
    </row>
    <row r="34" spans="3:15" x14ac:dyDescent="0.25">
      <c r="C34" s="47"/>
      <c r="M34" s="131"/>
      <c r="O34" s="131"/>
    </row>
  </sheetData>
  <mergeCells count="169">
    <mergeCell ref="J21:K21"/>
    <mergeCell ref="L21:M21"/>
    <mergeCell ref="N21:O21"/>
    <mergeCell ref="P21:Q21"/>
    <mergeCell ref="V14:W15"/>
    <mergeCell ref="X14:Y15"/>
    <mergeCell ref="L14:M15"/>
    <mergeCell ref="N14:O15"/>
    <mergeCell ref="P14:Q15"/>
    <mergeCell ref="R14:S15"/>
    <mergeCell ref="T14:U15"/>
    <mergeCell ref="V16:W16"/>
    <mergeCell ref="R19:S19"/>
    <mergeCell ref="T19:U19"/>
    <mergeCell ref="V19:W19"/>
    <mergeCell ref="R16:S16"/>
    <mergeCell ref="T16:U16"/>
    <mergeCell ref="F14:G15"/>
    <mergeCell ref="H14:I15"/>
    <mergeCell ref="J14:K15"/>
    <mergeCell ref="V23:W23"/>
    <mergeCell ref="X23:Y23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L23:M23"/>
    <mergeCell ref="N23:O23"/>
    <mergeCell ref="P23:Q23"/>
    <mergeCell ref="R23:S23"/>
    <mergeCell ref="T23:U23"/>
    <mergeCell ref="X21:Y21"/>
    <mergeCell ref="H21:I21"/>
    <mergeCell ref="D23:E23"/>
    <mergeCell ref="F23:G23"/>
    <mergeCell ref="H23:I23"/>
    <mergeCell ref="J23:K23"/>
    <mergeCell ref="L12:M12"/>
    <mergeCell ref="N12:O12"/>
    <mergeCell ref="P12:Q12"/>
    <mergeCell ref="B19:C19"/>
    <mergeCell ref="D19:E19"/>
    <mergeCell ref="B21:C21"/>
    <mergeCell ref="D21:E21"/>
    <mergeCell ref="F21:G21"/>
    <mergeCell ref="F19:G19"/>
    <mergeCell ref="H19:I19"/>
    <mergeCell ref="J19:K19"/>
    <mergeCell ref="L19:M19"/>
    <mergeCell ref="N19:O19"/>
    <mergeCell ref="P19:Q19"/>
    <mergeCell ref="L16:M16"/>
    <mergeCell ref="N16:O16"/>
    <mergeCell ref="P16:Q16"/>
    <mergeCell ref="B16:C16"/>
    <mergeCell ref="B14:C15"/>
    <mergeCell ref="D14:E15"/>
    <mergeCell ref="B9:Y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R12:S12"/>
    <mergeCell ref="T12:U12"/>
    <mergeCell ref="V11:W11"/>
    <mergeCell ref="X11:Y11"/>
    <mergeCell ref="V12:W12"/>
    <mergeCell ref="X12:Y12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L11:M11"/>
    <mergeCell ref="N11:O11"/>
    <mergeCell ref="P11:Q11"/>
    <mergeCell ref="R11:S11"/>
    <mergeCell ref="T11:U11"/>
    <mergeCell ref="B11:C11"/>
    <mergeCell ref="D11:E11"/>
    <mergeCell ref="F11:G11"/>
    <mergeCell ref="H11:I11"/>
    <mergeCell ref="J11:K11"/>
    <mergeCell ref="B25:C25"/>
    <mergeCell ref="D25:E25"/>
    <mergeCell ref="F25:G25"/>
    <mergeCell ref="H25:I25"/>
    <mergeCell ref="J25:K25"/>
    <mergeCell ref="B24:C24"/>
    <mergeCell ref="D24:E24"/>
    <mergeCell ref="F24:G24"/>
    <mergeCell ref="H24:I24"/>
    <mergeCell ref="J24:K24"/>
    <mergeCell ref="F16:G16"/>
    <mergeCell ref="H16:I16"/>
    <mergeCell ref="J16:K16"/>
    <mergeCell ref="B12:C12"/>
    <mergeCell ref="D12:E12"/>
    <mergeCell ref="F12:G12"/>
    <mergeCell ref="H12:I12"/>
    <mergeCell ref="J12:K12"/>
    <mergeCell ref="D16:E16"/>
    <mergeCell ref="B23:C23"/>
    <mergeCell ref="L25:M25"/>
    <mergeCell ref="N25:O25"/>
    <mergeCell ref="P25:Q25"/>
    <mergeCell ref="R25:S25"/>
    <mergeCell ref="T25:U25"/>
    <mergeCell ref="V25:W25"/>
    <mergeCell ref="X25:Y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L24:M24"/>
    <mergeCell ref="N24:O24"/>
    <mergeCell ref="P24:Q24"/>
    <mergeCell ref="R24:S24"/>
    <mergeCell ref="T24:U24"/>
    <mergeCell ref="V24:W24"/>
    <mergeCell ref="X24:Y24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X16:Y16"/>
    <mergeCell ref="X19:Y19"/>
    <mergeCell ref="R21:S21"/>
    <mergeCell ref="T21:U21"/>
    <mergeCell ref="V21:W21"/>
  </mergeCells>
  <conditionalFormatting sqref="J19:K19">
    <cfRule type="cellIs" dxfId="60" priority="158" stopIfTrue="1" operator="greaterThan">
      <formula>0</formula>
    </cfRule>
    <cfRule type="cellIs" dxfId="59" priority="159" stopIfTrue="1" operator="lessThan">
      <formula>0</formula>
    </cfRule>
  </conditionalFormatting>
  <conditionalFormatting sqref="L19:Y19">
    <cfRule type="cellIs" dxfId="58" priority="22" stopIfTrue="1" operator="greaterThan">
      <formula>0</formula>
    </cfRule>
    <cfRule type="cellIs" dxfId="57" priority="23" stopIfTrue="1" operator="lessThan">
      <formula>0</formula>
    </cfRule>
  </conditionalFormatting>
  <conditionalFormatting sqref="B19:I19">
    <cfRule type="cellIs" dxfId="56" priority="41" stopIfTrue="1" operator="greaterThan">
      <formula>0</formula>
    </cfRule>
    <cfRule type="cellIs" dxfId="55" priority="42" stopIfTrue="1" operator="lessThan">
      <formula>0</formula>
    </cfRule>
  </conditionalFormatting>
  <printOptions horizontalCentered="1" verticalCentered="1"/>
  <pageMargins left="0.47244094488188981" right="0.51181102362204722" top="0.71" bottom="0.98425196850393704" header="0.51181102362204722" footer="0.51181102362204722"/>
  <pageSetup paperSize="9" orientation="landscape" r:id="rId1"/>
  <headerFooter alignWithMargins="0"/>
  <colBreaks count="1" manualBreakCount="1">
    <brk id="24" max="1048575" man="1"/>
  </colBreaks>
  <ignoredErrors>
    <ignoredError sqref="C18" 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0F5C22AC-DD8E-4A17-9EF9-5ECA3D72026E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J19:K19</xm:sqref>
        </x14:conditionalFormatting>
        <x14:conditionalFormatting xmlns:xm="http://schemas.microsoft.com/office/excel/2006/main">
          <x14:cfRule type="expression" priority="121" id="{3A51A800-ECE9-4330-ACCF-56B47A4AC83F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vertical/>
                <horizontal/>
              </border>
            </x14:dxf>
          </x14:cfRule>
          <xm:sqref>J10:K10</xm:sqref>
        </x14:conditionalFormatting>
        <x14:conditionalFormatting xmlns:xm="http://schemas.microsoft.com/office/excel/2006/main">
          <x14:cfRule type="expression" priority="115" id="{BD1F7B52-EE00-4ADF-B77D-A68535982B6A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J16:K16</xm:sqref>
        </x14:conditionalFormatting>
        <x14:conditionalFormatting xmlns:xm="http://schemas.microsoft.com/office/excel/2006/main">
          <x14:cfRule type="expression" priority="114" id="{9607ADA3-712D-4C0E-8BB0-CFE5A7D22BE9}">
            <xm:f>TEXT(J$10,"mmmm")=TEXT(Matrice!$B$23,"mmmm")</xm:f>
            <x14:dxf>
              <border>
                <left style="thin">
                  <color rgb="FFFF0000"/>
                </left>
                <vertical/>
                <horizontal/>
              </border>
            </x14:dxf>
          </x14:cfRule>
          <xm:sqref>J17</xm:sqref>
        </x14:conditionalFormatting>
        <x14:conditionalFormatting xmlns:xm="http://schemas.microsoft.com/office/excel/2006/main">
          <x14:cfRule type="expression" priority="113" id="{F06CE323-031A-41D7-9DAD-A0DADD4BF948}">
            <xm:f>TEXT(J$10,"mmmm")=TEXT(Matrice!$B$23,"mmmm")</xm:f>
            <x14:dxf>
              <border>
                <left style="thin">
                  <color rgb="FFFF0000"/>
                </left>
                <vertical/>
                <horizontal/>
              </border>
            </x14:dxf>
          </x14:cfRule>
          <xm:sqref>J18</xm:sqref>
        </x14:conditionalFormatting>
        <x14:conditionalFormatting xmlns:xm="http://schemas.microsoft.com/office/excel/2006/main">
          <x14:cfRule type="expression" priority="111" id="{ADC9C357-F704-41A8-BD10-F6771A79F11C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J12:K12</xm:sqref>
        </x14:conditionalFormatting>
        <x14:conditionalFormatting xmlns:xm="http://schemas.microsoft.com/office/excel/2006/main">
          <x14:cfRule type="expression" priority="110" id="{ECB15754-5745-4FB0-B5AF-DF815A121C37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J14:K15</xm:sqref>
        </x14:conditionalFormatting>
        <x14:conditionalFormatting xmlns:xm="http://schemas.microsoft.com/office/excel/2006/main">
          <x14:cfRule type="expression" priority="109" id="{9BCB76AC-3A3E-47B6-B79A-E48C7A24E4EE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J20:K20</xm:sqref>
        </x14:conditionalFormatting>
        <x14:conditionalFormatting xmlns:xm="http://schemas.microsoft.com/office/excel/2006/main">
          <x14:cfRule type="expression" priority="74" id="{671B6A39-8BA4-46AE-AB6C-973851ED7C70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J22:K22</xm:sqref>
        </x14:conditionalFormatting>
        <x14:conditionalFormatting xmlns:xm="http://schemas.microsoft.com/office/excel/2006/main">
          <x14:cfRule type="expression" priority="72" id="{E45B41E8-0A8D-4044-A894-7011A07D1127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J24:K24</xm:sqref>
        </x14:conditionalFormatting>
        <x14:conditionalFormatting xmlns:xm="http://schemas.microsoft.com/office/excel/2006/main">
          <x14:cfRule type="expression" priority="71" id="{D94A252B-26A5-4591-BBFC-DE6249646F41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J25:K25</xm:sqref>
        </x14:conditionalFormatting>
        <x14:conditionalFormatting xmlns:xm="http://schemas.microsoft.com/office/excel/2006/main">
          <x14:cfRule type="expression" priority="70" id="{8BDB7827-9D97-4889-90FD-31A65D41DA56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J11:K11</xm:sqref>
        </x14:conditionalFormatting>
        <x14:conditionalFormatting xmlns:xm="http://schemas.microsoft.com/office/excel/2006/main">
          <x14:cfRule type="expression" priority="69" id="{93B13895-AF00-4F9A-ACE5-A5450114E918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J21:K21</xm:sqref>
        </x14:conditionalFormatting>
        <x14:conditionalFormatting xmlns:xm="http://schemas.microsoft.com/office/excel/2006/main">
          <x14:cfRule type="expression" priority="68" id="{E9894107-3429-4044-922F-C021D32CB560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J23:K23</xm:sqref>
        </x14:conditionalFormatting>
        <x14:conditionalFormatting xmlns:xm="http://schemas.microsoft.com/office/excel/2006/main">
          <x14:cfRule type="expression" priority="67" id="{8779C396-94FD-47E9-B1EC-681255963752}">
            <xm:f>TEXT(J$10,"mmmm")=TEXT(Matrice!$B$23,"mmmm")</xm:f>
            <x14:dxf>
              <border>
                <right style="thin">
                  <color rgb="FFFF0000"/>
                </right>
                <vertical/>
                <horizontal/>
              </border>
            </x14:dxf>
          </x14:cfRule>
          <xm:sqref>K17</xm:sqref>
        </x14:conditionalFormatting>
        <x14:conditionalFormatting xmlns:xm="http://schemas.microsoft.com/office/excel/2006/main">
          <x14:cfRule type="expression" priority="66" id="{28F81083-3992-4C52-96D6-396D71EE0BD4}">
            <xm:f>TEXT(J$10,"mmmm")=TEXT(Matrice!$B$23,"mmmm")</xm:f>
            <x14:dxf>
              <border>
                <right style="thin">
                  <color rgb="FFFF0000"/>
                </right>
                <vertical/>
                <horizontal/>
              </border>
            </x14:dxf>
          </x14:cfRule>
          <xm:sqref>K18</xm:sqref>
        </x14:conditionalFormatting>
        <x14:conditionalFormatting xmlns:xm="http://schemas.microsoft.com/office/excel/2006/main">
          <x14:cfRule type="expression" priority="64" id="{FEACDE21-FCEB-4387-B10C-FFBCBB080372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J26:K26</xm:sqref>
        </x14:conditionalFormatting>
        <x14:conditionalFormatting xmlns:xm="http://schemas.microsoft.com/office/excel/2006/main">
          <x14:cfRule type="expression" priority="6" id="{D08170F9-4220-412F-BD03-9ADC25A4F4A5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L19:Y19</xm:sqref>
        </x14:conditionalFormatting>
        <x14:conditionalFormatting xmlns:xm="http://schemas.microsoft.com/office/excel/2006/main">
          <x14:cfRule type="expression" priority="20" id="{97E2583A-5340-415B-BF14-B1BED69DA531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L16:Y16</xm:sqref>
        </x14:conditionalFormatting>
        <x14:conditionalFormatting xmlns:xm="http://schemas.microsoft.com/office/excel/2006/main">
          <x14:cfRule type="expression" priority="19" id="{BDAB6BE5-876F-4AAE-B193-9A04B72CEB40}">
            <xm:f>TEXT(L$10,"mmmm")=TEXT(Matrice!$B$23,"mmmm")</xm:f>
            <x14:dxf>
              <border>
                <left style="thin">
                  <color rgb="FFFF0000"/>
                </left>
                <vertical/>
                <horizontal/>
              </border>
            </x14:dxf>
          </x14:cfRule>
          <xm:sqref>L17 N17 P17 R17 T17 V17 X17</xm:sqref>
        </x14:conditionalFormatting>
        <x14:conditionalFormatting xmlns:xm="http://schemas.microsoft.com/office/excel/2006/main">
          <x14:cfRule type="expression" priority="18" id="{4D3CFAFC-547A-4FB5-BFDF-4B4B548A47EE}">
            <xm:f>TEXT(L$10,"mmmm")=TEXT(Matrice!$B$23,"mmmm")</xm:f>
            <x14:dxf>
              <border>
                <left style="thin">
                  <color rgb="FFFF0000"/>
                </left>
                <vertical/>
                <horizontal/>
              </border>
            </x14:dxf>
          </x14:cfRule>
          <xm:sqref>L18 N18 P18 R18 T18 V18 X18</xm:sqref>
        </x14:conditionalFormatting>
        <x14:conditionalFormatting xmlns:xm="http://schemas.microsoft.com/office/excel/2006/main">
          <x14:cfRule type="expression" priority="17" id="{7D4A5A6E-A3EA-4673-B4C7-7A34CEB16CBF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L12:Y12</xm:sqref>
        </x14:conditionalFormatting>
        <x14:conditionalFormatting xmlns:xm="http://schemas.microsoft.com/office/excel/2006/main">
          <x14:cfRule type="expression" priority="16" id="{8DCB0D0B-1B23-47A8-8901-BE18927FBE03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L14:Y15</xm:sqref>
        </x14:conditionalFormatting>
        <x14:conditionalFormatting xmlns:xm="http://schemas.microsoft.com/office/excel/2006/main">
          <x14:cfRule type="expression" priority="15" id="{ADFCCD4B-AD0A-48FD-A7A2-E4F27E08D760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L20:Y20</xm:sqref>
        </x14:conditionalFormatting>
        <x14:conditionalFormatting xmlns:xm="http://schemas.microsoft.com/office/excel/2006/main">
          <x14:cfRule type="expression" priority="14" id="{F9B09ED8-E2E8-4C77-980D-77FFB30FB893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L22:Y22</xm:sqref>
        </x14:conditionalFormatting>
        <x14:conditionalFormatting xmlns:xm="http://schemas.microsoft.com/office/excel/2006/main">
          <x14:cfRule type="expression" priority="13" id="{147E6EED-912F-4838-8F66-321D1162650C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L24:Y24</xm:sqref>
        </x14:conditionalFormatting>
        <x14:conditionalFormatting xmlns:xm="http://schemas.microsoft.com/office/excel/2006/main">
          <x14:cfRule type="expression" priority="12" id="{97CE76C7-0CEB-4FD4-8182-F5EF0BF7ED8D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L25:Y25</xm:sqref>
        </x14:conditionalFormatting>
        <x14:conditionalFormatting xmlns:xm="http://schemas.microsoft.com/office/excel/2006/main">
          <x14:cfRule type="expression" priority="11" id="{94E9264B-50E4-454F-94C0-EAEEEE01DED8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L11:Y11</xm:sqref>
        </x14:conditionalFormatting>
        <x14:conditionalFormatting xmlns:xm="http://schemas.microsoft.com/office/excel/2006/main">
          <x14:cfRule type="expression" priority="10" id="{51B2476C-B1BA-432F-B167-6E55DA09A6DF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L21:Y21</xm:sqref>
        </x14:conditionalFormatting>
        <x14:conditionalFormatting xmlns:xm="http://schemas.microsoft.com/office/excel/2006/main">
          <x14:cfRule type="expression" priority="9" id="{DA947846-2A87-41F8-9F78-CBAC6F22BF21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L23:Y23</xm:sqref>
        </x14:conditionalFormatting>
        <x14:conditionalFormatting xmlns:xm="http://schemas.microsoft.com/office/excel/2006/main">
          <x14:cfRule type="expression" priority="8" id="{2CBD0FFD-F478-4A91-9693-3A924B0806BE}">
            <xm:f>TEXT(L$10,"mmmm")=TEXT(Matrice!$B$23,"mmmm")</xm:f>
            <x14:dxf>
              <border>
                <right style="thin">
                  <color rgb="FFFF0000"/>
                </right>
                <vertical/>
                <horizontal/>
              </border>
            </x14:dxf>
          </x14:cfRule>
          <xm:sqref>M17 O17 Q17 S17 U17 W17 Y17</xm:sqref>
        </x14:conditionalFormatting>
        <x14:conditionalFormatting xmlns:xm="http://schemas.microsoft.com/office/excel/2006/main">
          <x14:cfRule type="expression" priority="7" id="{6AEDF69A-EA03-4D4B-BE6E-E152345DEAC7}">
            <xm:f>TEXT(L$10,"mmmm")=TEXT(Matrice!$B$23,"mmmm")</xm:f>
            <x14:dxf>
              <border>
                <right style="thin">
                  <color rgb="FFFF0000"/>
                </right>
                <vertical/>
                <horizontal/>
              </border>
            </x14:dxf>
          </x14:cfRule>
          <xm:sqref>M18 O18 Q18 S18 U18 W18 Y18</xm:sqref>
        </x14:conditionalFormatting>
        <x14:conditionalFormatting xmlns:xm="http://schemas.microsoft.com/office/excel/2006/main">
          <x14:cfRule type="expression" priority="5" id="{E80BEEB6-926E-4B08-A70A-1DDEA3C5142A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L26:Y26</xm:sqref>
        </x14:conditionalFormatting>
        <x14:conditionalFormatting xmlns:xm="http://schemas.microsoft.com/office/excel/2006/main">
          <x14:cfRule type="expression" priority="25" id="{DEB53196-DC87-47DA-B501-41201965818C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B19:I19</xm:sqref>
        </x14:conditionalFormatting>
        <x14:conditionalFormatting xmlns:xm="http://schemas.microsoft.com/office/excel/2006/main">
          <x14:cfRule type="expression" priority="40" id="{C6AD55F6-318A-47DE-AF10-2298813FD458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vertical/>
                <horizontal/>
              </border>
            </x14:dxf>
          </x14:cfRule>
          <xm:sqref>B10:I10</xm:sqref>
        </x14:conditionalFormatting>
        <x14:conditionalFormatting xmlns:xm="http://schemas.microsoft.com/office/excel/2006/main">
          <x14:cfRule type="expression" priority="39" id="{40F09DC3-CFCA-4606-BF74-882A273E16B9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B16:I16</xm:sqref>
        </x14:conditionalFormatting>
        <x14:conditionalFormatting xmlns:xm="http://schemas.microsoft.com/office/excel/2006/main">
          <x14:cfRule type="expression" priority="38" id="{6662DC0A-05C8-4A6D-846A-0E0B858C672A}">
            <xm:f>TEXT(B$10,"mmmm")=TEXT(Matrice!$B$23,"mmmm")</xm:f>
            <x14:dxf>
              <border>
                <left style="thin">
                  <color rgb="FFFF0000"/>
                </left>
                <vertical/>
                <horizontal/>
              </border>
            </x14:dxf>
          </x14:cfRule>
          <xm:sqref>B17 D17 F17 H17</xm:sqref>
        </x14:conditionalFormatting>
        <x14:conditionalFormatting xmlns:xm="http://schemas.microsoft.com/office/excel/2006/main">
          <x14:cfRule type="expression" priority="37" id="{D7E445D3-CFBB-471F-848E-2D16511BD86C}">
            <xm:f>TEXT(B$10,"mmmm")=TEXT(Matrice!$B$23,"mmmm")</xm:f>
            <x14:dxf>
              <border>
                <left style="thin">
                  <color rgb="FFFF0000"/>
                </left>
                <vertical/>
                <horizontal/>
              </border>
            </x14:dxf>
          </x14:cfRule>
          <xm:sqref>B18 D18 F18 H18</xm:sqref>
        </x14:conditionalFormatting>
        <x14:conditionalFormatting xmlns:xm="http://schemas.microsoft.com/office/excel/2006/main">
          <x14:cfRule type="expression" priority="36" id="{1CEE8878-02AE-4D09-A6DF-7FF2F41EB6F3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B12:I12</xm:sqref>
        </x14:conditionalFormatting>
        <x14:conditionalFormatting xmlns:xm="http://schemas.microsoft.com/office/excel/2006/main">
          <x14:cfRule type="expression" priority="35" id="{35233960-F831-466F-8E5E-1A327F8E928B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B14:I15</xm:sqref>
        </x14:conditionalFormatting>
        <x14:conditionalFormatting xmlns:xm="http://schemas.microsoft.com/office/excel/2006/main">
          <x14:cfRule type="expression" priority="34" id="{52FBBAB8-85DB-4DB1-BEA3-D7AA446F1D7D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B20:I20</xm:sqref>
        </x14:conditionalFormatting>
        <x14:conditionalFormatting xmlns:xm="http://schemas.microsoft.com/office/excel/2006/main">
          <x14:cfRule type="expression" priority="33" id="{3D6F0822-2F3B-4FF8-988A-018843DDFCE4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B22:I22</xm:sqref>
        </x14:conditionalFormatting>
        <x14:conditionalFormatting xmlns:xm="http://schemas.microsoft.com/office/excel/2006/main">
          <x14:cfRule type="expression" priority="32" id="{8E4E04D8-2447-4765-882D-7834DDAFD65B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B24:I24</xm:sqref>
        </x14:conditionalFormatting>
        <x14:conditionalFormatting xmlns:xm="http://schemas.microsoft.com/office/excel/2006/main">
          <x14:cfRule type="expression" priority="31" id="{E82593FE-93BD-4910-B7F4-0738717FFA91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B25:I25</xm:sqref>
        </x14:conditionalFormatting>
        <x14:conditionalFormatting xmlns:xm="http://schemas.microsoft.com/office/excel/2006/main">
          <x14:cfRule type="expression" priority="30" id="{489078BA-20B3-4815-A78E-DF2BAF048586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B11:I11</xm:sqref>
        </x14:conditionalFormatting>
        <x14:conditionalFormatting xmlns:xm="http://schemas.microsoft.com/office/excel/2006/main">
          <x14:cfRule type="expression" priority="29" id="{D9556D80-B844-4D7D-AD8E-6D165CAF75CD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B21:I21</xm:sqref>
        </x14:conditionalFormatting>
        <x14:conditionalFormatting xmlns:xm="http://schemas.microsoft.com/office/excel/2006/main">
          <x14:cfRule type="expression" priority="28" id="{D13893DA-6625-4257-88A8-8F3D273EC80D}">
            <xm:f>TEXT(D$10,"mmmm")=TEXT(Matrice!$B$23,"mmmm")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D23:I23</xm:sqref>
        </x14:conditionalFormatting>
        <x14:conditionalFormatting xmlns:xm="http://schemas.microsoft.com/office/excel/2006/main">
          <x14:cfRule type="expression" priority="27" id="{C1C0E026-A6E9-4B12-B626-8DA3136FEA16}">
            <xm:f>TEXT(B$10,"mmmm")=TEXT(Matrice!$B$23,"mmmm")</xm:f>
            <x14:dxf>
              <border>
                <right style="thin">
                  <color rgb="FFFF0000"/>
                </right>
                <vertical/>
                <horizontal/>
              </border>
            </x14:dxf>
          </x14:cfRule>
          <xm:sqref>C17 E17 G17 I17</xm:sqref>
        </x14:conditionalFormatting>
        <x14:conditionalFormatting xmlns:xm="http://schemas.microsoft.com/office/excel/2006/main">
          <x14:cfRule type="expression" priority="26" id="{96EDF4F2-341F-4B4D-B85A-B0CEAA64DD99}">
            <xm:f>TEXT(B$10,"mmmm")=TEXT(Matrice!$B$23,"mmmm")</xm:f>
            <x14:dxf>
              <border>
                <right style="thin">
                  <color rgb="FFFF0000"/>
                </right>
                <vertical/>
                <horizontal/>
              </border>
            </x14:dxf>
          </x14:cfRule>
          <xm:sqref>C18 E18 G18 I18</xm:sqref>
        </x14:conditionalFormatting>
        <x14:conditionalFormatting xmlns:xm="http://schemas.microsoft.com/office/excel/2006/main">
          <x14:cfRule type="expression" priority="24" id="{6A4142AA-BE20-4AB2-B682-B81DA70F7EFB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bottom style="thin">
                  <color rgb="FFFF0000"/>
                </bottom>
                <vertical/>
                <horizontal/>
              </border>
            </x14:dxf>
          </x14:cfRule>
          <xm:sqref>B26:I26</xm:sqref>
        </x14:conditionalFormatting>
        <x14:conditionalFormatting xmlns:xm="http://schemas.microsoft.com/office/excel/2006/main">
          <x14:cfRule type="expression" priority="21" id="{CD568B5A-9D2E-459F-89D1-04AFAB6C69E9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vertical/>
                <horizontal/>
              </border>
            </x14:dxf>
          </x14:cfRule>
          <xm:sqref>L10:Y10</xm:sqref>
        </x14:conditionalFormatting>
        <x14:conditionalFormatting xmlns:xm="http://schemas.microsoft.com/office/excel/2006/main">
          <x14:cfRule type="expression" priority="4" id="{89753588-D52D-4F09-82AE-FEDB78AA5289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B23:C23</xm:sqref>
        </x14:conditionalFormatting>
        <x14:conditionalFormatting xmlns:xm="http://schemas.microsoft.com/office/excel/2006/main">
          <x14:cfRule type="expression" priority="3" id="{1B67F037-0CDF-4AC0-B9CA-142F1564093F}">
            <xm:f>TEXT(J$10,"mmmm")=TEXT(Matrice!$B$23,"mmmm")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J13:K13</xm:sqref>
        </x14:conditionalFormatting>
        <x14:conditionalFormatting xmlns:xm="http://schemas.microsoft.com/office/excel/2006/main">
          <x14:cfRule type="expression" priority="1" id="{CC651E4A-1744-44D4-AFB6-60961939EED7}">
            <xm:f>TEXT(L$10,"mmmm")=TEXT(Matrice!$B$23,"mmmm")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L13:Y13</xm:sqref>
        </x14:conditionalFormatting>
        <x14:conditionalFormatting xmlns:xm="http://schemas.microsoft.com/office/excel/2006/main">
          <x14:cfRule type="expression" priority="2" id="{935BB67F-5929-4C02-B34D-A49CD6822C67}">
            <xm:f>TEXT(B$10,"mmmm")=TEXT(Matrice!$B$23,"mmmm")</xm:f>
            <x14:dxf>
              <border>
                <left style="thin">
                  <color rgb="FFFF0000"/>
                </left>
                <right style="thin">
                  <color rgb="FFFF0000"/>
                </right>
                <vertical/>
                <horizontal/>
              </border>
            </x14:dxf>
          </x14:cfRule>
          <xm:sqref>B13:I13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'CA &amp; TVA Encaissés'!$D$9:$O$9</xm:f>
          </x14:formula1>
          <xm:sqref>B11:Y11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00FF"/>
    <pageSetUpPr fitToPage="1"/>
  </sheetPr>
  <dimension ref="A1:L68"/>
  <sheetViews>
    <sheetView view="pageBreakPreview" zoomScaleNormal="90" zoomScaleSheetLayoutView="100" workbookViewId="0">
      <selection activeCell="A4" sqref="A4:B4"/>
    </sheetView>
  </sheetViews>
  <sheetFormatPr baseColWidth="10" defaultColWidth="11.453125" defaultRowHeight="13.5" x14ac:dyDescent="0.25"/>
  <cols>
    <col min="1" max="1" width="15.453125" style="89" customWidth="1"/>
    <col min="2" max="3" width="11.453125" style="89"/>
    <col min="4" max="4" width="12" style="89" bestFit="1" customWidth="1"/>
    <col min="5" max="5" width="11.453125" style="89"/>
    <col min="6" max="6" width="16.453125" style="89" customWidth="1"/>
    <col min="7" max="7" width="13.81640625" style="89" customWidth="1"/>
    <col min="8" max="11" width="11.453125" style="89"/>
    <col min="12" max="12" width="16.81640625" style="89" customWidth="1"/>
    <col min="13" max="16384" width="11.453125" style="89"/>
  </cols>
  <sheetData>
    <row r="1" spans="1:6" x14ac:dyDescent="0.25">
      <c r="A1" s="267"/>
      <c r="B1" s="267"/>
      <c r="C1" s="188"/>
      <c r="D1" s="188"/>
      <c r="E1" s="188"/>
      <c r="F1" s="188"/>
    </row>
    <row r="2" spans="1:6" x14ac:dyDescent="0.25">
      <c r="A2" s="268"/>
      <c r="B2" s="268"/>
      <c r="C2" s="268"/>
      <c r="D2" s="268"/>
      <c r="E2" s="188"/>
      <c r="F2" s="188"/>
    </row>
    <row r="3" spans="1:6" x14ac:dyDescent="0.25">
      <c r="A3" s="268"/>
      <c r="B3" s="268"/>
      <c r="C3" s="188"/>
      <c r="D3" s="188"/>
      <c r="E3" s="188"/>
      <c r="F3" s="188"/>
    </row>
    <row r="4" spans="1:6" x14ac:dyDescent="0.25">
      <c r="A4" s="268"/>
      <c r="B4" s="268"/>
      <c r="C4" s="188"/>
      <c r="D4" s="188"/>
      <c r="E4" s="188"/>
      <c r="F4" s="188"/>
    </row>
    <row r="5" spans="1:6" x14ac:dyDescent="0.25">
      <c r="A5" s="187"/>
      <c r="B5" s="187"/>
      <c r="C5" s="188"/>
      <c r="D5" s="188"/>
      <c r="E5" s="188"/>
      <c r="F5" s="188"/>
    </row>
    <row r="6" spans="1:6" x14ac:dyDescent="0.25">
      <c r="A6" s="58" t="str">
        <f>Matrice!A20&amp;" :"</f>
        <v>N° de siren :</v>
      </c>
      <c r="B6" s="57">
        <f>Matrice!B20</f>
        <v>0</v>
      </c>
      <c r="C6" s="188"/>
      <c r="D6" s="188"/>
      <c r="E6" s="188"/>
      <c r="F6" s="188"/>
    </row>
    <row r="7" spans="1:6" x14ac:dyDescent="0.25">
      <c r="A7" s="188"/>
      <c r="B7" s="188"/>
      <c r="C7" s="188"/>
      <c r="D7" s="188"/>
      <c r="E7" s="188"/>
      <c r="F7" s="188"/>
    </row>
    <row r="8" spans="1:6" x14ac:dyDescent="0.25">
      <c r="A8" s="188"/>
      <c r="B8" s="188"/>
      <c r="C8" s="188"/>
      <c r="D8" s="188"/>
      <c r="E8" s="188"/>
      <c r="F8" s="188"/>
    </row>
    <row r="12" spans="1:6" x14ac:dyDescent="0.25">
      <c r="A12" s="188"/>
      <c r="B12" s="188"/>
      <c r="C12" s="188"/>
      <c r="D12" s="188"/>
      <c r="E12" s="188"/>
      <c r="F12" s="24">
        <f>Matrice!B2</f>
        <v>0</v>
      </c>
    </row>
    <row r="13" spans="1:6" x14ac:dyDescent="0.25">
      <c r="A13" s="188"/>
      <c r="B13" s="188"/>
      <c r="C13" s="188"/>
      <c r="D13" s="188"/>
      <c r="E13" s="188"/>
      <c r="F13" s="24">
        <f>Matrice!B3</f>
        <v>0</v>
      </c>
    </row>
    <row r="14" spans="1:6" x14ac:dyDescent="0.25">
      <c r="A14" s="188"/>
      <c r="B14" s="188"/>
      <c r="C14" s="188"/>
      <c r="D14" s="188"/>
      <c r="E14" s="188"/>
      <c r="F14" s="188">
        <f>Matrice!B4</f>
        <v>0</v>
      </c>
    </row>
    <row r="15" spans="1:6" x14ac:dyDescent="0.25">
      <c r="A15" s="188"/>
      <c r="B15" s="188"/>
      <c r="C15" s="188"/>
      <c r="D15" s="188"/>
      <c r="E15" s="188"/>
      <c r="F15" s="188">
        <f>Matrice!B5</f>
        <v>0</v>
      </c>
    </row>
    <row r="19" spans="1:12" x14ac:dyDescent="0.25">
      <c r="A19" s="188" t="str">
        <f>Matrice!A7&amp;" : "&amp;Matrice!B7</f>
        <v xml:space="preserve">Mission : </v>
      </c>
      <c r="B19" s="188"/>
      <c r="C19" s="188"/>
      <c r="D19" s="188"/>
      <c r="E19" s="188"/>
      <c r="F19" s="188"/>
      <c r="G19" s="18"/>
      <c r="H19" s="188"/>
      <c r="I19" s="188"/>
      <c r="J19" s="188"/>
      <c r="K19" s="188"/>
      <c r="L19" s="188"/>
    </row>
    <row r="20" spans="1:12" x14ac:dyDescent="0.25">
      <c r="A20" s="188" t="str">
        <f>Matrice!A6&amp;" : "&amp;Matrice!B6</f>
        <v xml:space="preserve">N° de contrat : </v>
      </c>
      <c r="B20" s="188"/>
      <c r="C20" s="188"/>
      <c r="D20" s="188"/>
      <c r="E20" s="188"/>
      <c r="F20" s="188"/>
      <c r="G20" s="18"/>
      <c r="H20" s="188"/>
      <c r="I20" s="188"/>
      <c r="J20" s="188"/>
      <c r="K20" s="188"/>
      <c r="L20" s="18"/>
    </row>
    <row r="21" spans="1:12" x14ac:dyDescent="0.25">
      <c r="A21" s="188"/>
      <c r="B21" s="188"/>
      <c r="C21" s="188"/>
      <c r="D21" s="188"/>
      <c r="E21" s="188"/>
      <c r="F21" s="188"/>
      <c r="G21" s="18"/>
      <c r="H21" s="188"/>
      <c r="I21" s="188"/>
      <c r="J21" s="188"/>
      <c r="K21" s="188"/>
      <c r="L21" s="18"/>
    </row>
    <row r="22" spans="1:12" x14ac:dyDescent="0.25">
      <c r="A22" s="188"/>
      <c r="B22" s="188"/>
      <c r="C22" s="188"/>
      <c r="D22" s="188"/>
      <c r="E22" s="188"/>
      <c r="F22" s="188"/>
      <c r="G22" s="18"/>
      <c r="H22" s="188"/>
      <c r="I22" s="188"/>
      <c r="J22" s="188"/>
      <c r="K22" s="188"/>
      <c r="L22" s="18"/>
    </row>
    <row r="23" spans="1:12" x14ac:dyDescent="0.25">
      <c r="A23" s="188"/>
      <c r="B23" s="188"/>
      <c r="C23" s="188"/>
      <c r="D23" s="188"/>
      <c r="E23" s="188"/>
      <c r="F23" s="188"/>
      <c r="G23" s="18"/>
      <c r="H23" s="188"/>
      <c r="I23" s="188"/>
      <c r="J23" s="188"/>
      <c r="K23" s="188"/>
      <c r="L23" s="18"/>
    </row>
    <row r="24" spans="1:12" x14ac:dyDescent="0.25">
      <c r="A24" s="188"/>
      <c r="B24" s="188"/>
      <c r="C24" s="188"/>
      <c r="D24" s="188"/>
      <c r="E24" s="188"/>
      <c r="F24" s="188"/>
      <c r="G24" s="18"/>
      <c r="H24" s="188"/>
      <c r="I24" s="188"/>
      <c r="J24" s="188"/>
      <c r="K24" s="188"/>
      <c r="L24" s="18"/>
    </row>
    <row r="26" spans="1:12" x14ac:dyDescent="0.25">
      <c r="A26" s="188"/>
      <c r="B26" s="188"/>
      <c r="C26" s="188"/>
      <c r="D26" s="188"/>
      <c r="E26" s="188"/>
      <c r="F26" s="81" t="s">
        <v>107</v>
      </c>
      <c r="G26" s="113">
        <v>41878</v>
      </c>
      <c r="H26" s="188"/>
      <c r="I26" s="188"/>
      <c r="J26" s="188"/>
      <c r="K26" s="188"/>
      <c r="L26" s="188"/>
    </row>
    <row r="27" spans="1:12" x14ac:dyDescent="0.25">
      <c r="A27" s="188"/>
      <c r="B27" s="188"/>
      <c r="C27" s="188"/>
      <c r="D27" s="188"/>
      <c r="E27" s="188"/>
      <c r="F27" s="81"/>
      <c r="G27" s="18"/>
      <c r="H27" s="188"/>
      <c r="I27" s="188"/>
      <c r="J27" s="188"/>
      <c r="K27" s="188"/>
      <c r="L27" s="188"/>
    </row>
    <row r="28" spans="1:12" x14ac:dyDescent="0.25">
      <c r="A28" s="188"/>
      <c r="B28" s="188"/>
      <c r="C28" s="188"/>
      <c r="D28" s="188"/>
      <c r="E28" s="188"/>
      <c r="F28" s="81"/>
      <c r="G28" s="18"/>
      <c r="H28" s="188"/>
      <c r="I28" s="188"/>
      <c r="J28" s="188"/>
      <c r="K28" s="188"/>
      <c r="L28" s="188"/>
    </row>
    <row r="29" spans="1:12" x14ac:dyDescent="0.25">
      <c r="A29" s="188"/>
      <c r="B29" s="188"/>
      <c r="C29" s="188"/>
      <c r="D29" s="188"/>
      <c r="E29" s="188"/>
      <c r="F29" s="18"/>
      <c r="G29" s="188"/>
      <c r="H29" s="188"/>
      <c r="I29" s="188"/>
      <c r="J29" s="188"/>
      <c r="K29" s="188"/>
      <c r="L29" s="188"/>
    </row>
    <row r="30" spans="1:12" x14ac:dyDescent="0.25">
      <c r="A30" s="188"/>
      <c r="B30" s="188"/>
      <c r="C30" s="188"/>
      <c r="D30" s="188"/>
      <c r="E30" s="188"/>
      <c r="F30" s="18"/>
      <c r="G30" s="188"/>
      <c r="H30" s="188"/>
      <c r="I30" s="188"/>
      <c r="J30" s="188"/>
      <c r="K30" s="188"/>
      <c r="L30" s="188"/>
    </row>
    <row r="31" spans="1:12" x14ac:dyDescent="0.25">
      <c r="A31" s="188"/>
      <c r="B31" s="188"/>
      <c r="C31" s="188"/>
      <c r="D31" s="188"/>
      <c r="E31" s="188"/>
      <c r="F31" s="18"/>
      <c r="G31" s="188"/>
      <c r="H31" s="188"/>
      <c r="I31" s="188"/>
      <c r="J31" s="188"/>
      <c r="K31" s="188"/>
      <c r="L31" s="188"/>
    </row>
    <row r="32" spans="1:12" x14ac:dyDescent="0.25">
      <c r="A32" s="188"/>
      <c r="B32" s="188"/>
      <c r="C32" s="188"/>
      <c r="D32" s="188"/>
      <c r="E32" s="188"/>
      <c r="F32" s="18"/>
      <c r="G32" s="188"/>
      <c r="H32" s="188"/>
      <c r="I32" s="188"/>
      <c r="J32" s="188"/>
      <c r="K32" s="188"/>
      <c r="L32" s="188"/>
    </row>
    <row r="33" spans="2:6" x14ac:dyDescent="0.25">
      <c r="B33" s="188"/>
      <c r="C33" s="188"/>
      <c r="D33" s="188"/>
      <c r="E33" s="188"/>
      <c r="F33" s="18"/>
    </row>
    <row r="36" spans="2:6" x14ac:dyDescent="0.25">
      <c r="B36" s="188"/>
      <c r="C36" s="269" t="str">
        <f>"NOTE D'HONORAIRES N° 26-"&amp;TEXT(G26,"mm")&amp;"-"&amp;Matrice!B18</f>
        <v>NOTE D'HONORAIRES N° 26-08-2014</v>
      </c>
      <c r="D36" s="269"/>
      <c r="E36" s="269"/>
      <c r="F36" s="269"/>
    </row>
    <row r="39" spans="2:6" ht="23.25" customHeight="1" thickBot="1" x14ac:dyDescent="0.3">
      <c r="B39" s="188" t="str">
        <f>"Mission : "&amp; Matrice!B7</f>
        <v xml:space="preserve">Mission : </v>
      </c>
      <c r="C39" s="188"/>
      <c r="D39" s="188"/>
      <c r="E39" s="167"/>
      <c r="F39" s="20">
        <f>HLOOKUP(PROPER(TEXT(G26,"mmmm")),'CA &amp; TVA facturé'!D9:O13,5,0)</f>
        <v>0</v>
      </c>
    </row>
    <row r="41" spans="2:6" x14ac:dyDescent="0.25">
      <c r="B41" s="188" t="s">
        <v>108</v>
      </c>
      <c r="C41" s="188"/>
      <c r="D41" s="188"/>
      <c r="E41" s="188"/>
      <c r="F41" s="22">
        <f>SUM(F39)</f>
        <v>0</v>
      </c>
    </row>
    <row r="42" spans="2:6" ht="20.25" customHeight="1" thickBot="1" x14ac:dyDescent="0.3">
      <c r="B42" s="21" t="str">
        <f>"TVA "&amp;Matrice!B17*100&amp;"%"</f>
        <v>TVA 20%</v>
      </c>
      <c r="C42" s="188"/>
      <c r="D42" s="188"/>
      <c r="E42" s="188"/>
      <c r="F42" s="20">
        <f>F41*Matrice!B17</f>
        <v>0</v>
      </c>
    </row>
    <row r="44" spans="2:6" x14ac:dyDescent="0.25">
      <c r="B44" s="188" t="s">
        <v>109</v>
      </c>
      <c r="C44" s="188"/>
      <c r="D44" s="188"/>
      <c r="E44" s="188"/>
      <c r="F44" s="22">
        <f>SUM(F41:F42)</f>
        <v>0</v>
      </c>
    </row>
    <row r="49" spans="1:8" x14ac:dyDescent="0.25">
      <c r="A49" s="23"/>
      <c r="B49" s="266"/>
      <c r="C49" s="266"/>
      <c r="D49" s="266"/>
      <c r="E49" s="266"/>
      <c r="F49" s="266"/>
      <c r="G49" s="23"/>
      <c r="H49" s="188"/>
    </row>
    <row r="50" spans="1:8" x14ac:dyDescent="0.25">
      <c r="A50" s="23"/>
      <c r="B50" s="23"/>
      <c r="C50" s="23"/>
      <c r="D50" s="179">
        <f>IF(TEXT(G26,"mm")+2&lt;10,"0"&amp;TEXT(G26,"mm")+2,TEXT(G26,"mm")+2)</f>
        <v>10</v>
      </c>
      <c r="E50" s="23"/>
      <c r="F50" s="23"/>
      <c r="G50" s="23"/>
      <c r="H50" s="188"/>
    </row>
    <row r="51" spans="1:8" x14ac:dyDescent="0.25">
      <c r="A51" s="23"/>
      <c r="B51" s="23"/>
      <c r="C51" s="23"/>
      <c r="D51" s="179">
        <f>IF(IF(TEXT(G26,"mm")+2&lt;10,"0"&amp;TEXT(G26,"mm")+2,TEXT(G26,"mm")+2)=13,"01",IF(TEXT(G26,"mm")+2&lt;10,"0"&amp;TEXT(G26,"mm")+2,TEXT(G26,"mm")+2))</f>
        <v>10</v>
      </c>
      <c r="E51" s="23"/>
      <c r="F51" s="23"/>
      <c r="G51" s="23"/>
      <c r="H51" s="188"/>
    </row>
    <row r="52" spans="1:8" x14ac:dyDescent="0.25">
      <c r="A52" s="23"/>
      <c r="B52" s="23"/>
      <c r="C52" s="23"/>
      <c r="D52" s="180" t="str">
        <f>TEXT(G26,"mm")</f>
        <v>08</v>
      </c>
      <c r="E52" s="23"/>
      <c r="F52" s="23"/>
      <c r="G52" s="23"/>
      <c r="H52" s="188"/>
    </row>
    <row r="53" spans="1:8" x14ac:dyDescent="0.25">
      <c r="A53" s="23"/>
      <c r="B53" s="23"/>
      <c r="C53" s="23"/>
      <c r="D53" s="23"/>
      <c r="E53" s="23"/>
      <c r="F53" s="23"/>
      <c r="G53" s="23"/>
      <c r="H53" s="188"/>
    </row>
    <row r="54" spans="1:8" x14ac:dyDescent="0.25">
      <c r="A54" s="188"/>
      <c r="B54" s="188"/>
      <c r="C54" s="188"/>
      <c r="D54" s="177"/>
      <c r="E54" s="188"/>
      <c r="F54" s="188"/>
      <c r="G54" s="188"/>
      <c r="H54" s="188"/>
    </row>
    <row r="59" spans="1:8" x14ac:dyDescent="0.25">
      <c r="A59" s="188"/>
      <c r="B59" s="188"/>
      <c r="C59" s="188"/>
      <c r="D59" s="188"/>
      <c r="E59" s="188"/>
      <c r="F59" s="188"/>
      <c r="G59" s="188"/>
      <c r="H59" s="188"/>
    </row>
    <row r="62" spans="1:8" x14ac:dyDescent="0.25">
      <c r="A62" s="266" t="str">
        <f>"En votre aimable règlement au 10/"&amp;IF(TEXT(G26,"mm")+2&lt;10,"0"&amp;TEXT(G26,"mm")+2,TEXT(G26,"mm")+2)&amp;"/"&amp;Matrice!B18&amp;" (ou à réception)"</f>
        <v>En votre aimable règlement au 10/10/2014 (ou à réception)</v>
      </c>
      <c r="B62" s="266"/>
      <c r="C62" s="266"/>
      <c r="D62" s="266"/>
      <c r="E62" s="266"/>
      <c r="F62" s="266"/>
      <c r="G62" s="266"/>
      <c r="H62" s="266"/>
    </row>
    <row r="64" spans="1:8" x14ac:dyDescent="0.25">
      <c r="A64" s="266" t="s">
        <v>110</v>
      </c>
      <c r="B64" s="266"/>
      <c r="C64" s="266"/>
      <c r="D64" s="266"/>
      <c r="E64" s="266"/>
      <c r="F64" s="266"/>
      <c r="G64" s="266"/>
      <c r="H64" s="266"/>
    </row>
    <row r="65" spans="1:8" ht="12.75" customHeight="1" x14ac:dyDescent="0.25">
      <c r="A65" s="266" t="s">
        <v>111</v>
      </c>
      <c r="B65" s="266"/>
      <c r="C65" s="266"/>
      <c r="D65" s="266"/>
      <c r="E65" s="266"/>
      <c r="F65" s="266"/>
      <c r="G65" s="266"/>
      <c r="H65" s="266"/>
    </row>
    <row r="66" spans="1:8" s="19" customFormat="1" x14ac:dyDescent="0.3"/>
    <row r="67" spans="1:8" x14ac:dyDescent="0.25">
      <c r="A67" s="266" t="str">
        <f>"N° de TVA intracommunautaire : "&amp;Matrice!B22</f>
        <v xml:space="preserve">N° de TVA intracommunautaire : </v>
      </c>
      <c r="B67" s="266"/>
      <c r="C67" s="266"/>
      <c r="D67" s="266"/>
      <c r="E67" s="266"/>
      <c r="F67" s="266"/>
      <c r="G67" s="266"/>
      <c r="H67" s="266"/>
    </row>
    <row r="68" spans="1:8" x14ac:dyDescent="0.25">
      <c r="A68" s="266" t="s">
        <v>112</v>
      </c>
      <c r="B68" s="266"/>
      <c r="C68" s="266"/>
      <c r="D68" s="266"/>
      <c r="E68" s="266"/>
      <c r="F68" s="266"/>
      <c r="G68" s="266"/>
      <c r="H68" s="266"/>
    </row>
  </sheetData>
  <mergeCells count="11">
    <mergeCell ref="A62:H62"/>
    <mergeCell ref="A67:H67"/>
    <mergeCell ref="A68:H68"/>
    <mergeCell ref="A65:H65"/>
    <mergeCell ref="A64:H64"/>
    <mergeCell ref="B49:F49"/>
    <mergeCell ref="A1:B1"/>
    <mergeCell ref="A2:D2"/>
    <mergeCell ref="A3:B3"/>
    <mergeCell ref="A4:B4"/>
    <mergeCell ref="C36:F36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82" orientation="portrait" r:id="rId1"/>
  <ignoredErrors>
    <ignoredError sqref="F44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00FF"/>
    <pageSetUpPr fitToPage="1"/>
  </sheetPr>
  <dimension ref="A1:L68"/>
  <sheetViews>
    <sheetView view="pageBreakPreview" topLeftCell="A52" zoomScaleNormal="90" zoomScaleSheetLayoutView="100" workbookViewId="0">
      <selection sqref="A1:D9"/>
    </sheetView>
  </sheetViews>
  <sheetFormatPr baseColWidth="10" defaultColWidth="11.453125" defaultRowHeight="13.5" x14ac:dyDescent="0.25"/>
  <cols>
    <col min="1" max="1" width="15.453125" style="98" customWidth="1"/>
    <col min="2" max="5" width="11.453125" style="98"/>
    <col min="6" max="6" width="16.453125" style="98" customWidth="1"/>
    <col min="7" max="7" width="16.54296875" style="98" bestFit="1" customWidth="1"/>
    <col min="8" max="11" width="11.453125" style="98"/>
    <col min="12" max="12" width="16.81640625" style="98" customWidth="1"/>
    <col min="13" max="16384" width="11.453125" style="98"/>
  </cols>
  <sheetData>
    <row r="1" spans="1:6" x14ac:dyDescent="0.25">
      <c r="A1" s="267"/>
      <c r="B1" s="267"/>
      <c r="C1" s="188"/>
      <c r="D1" s="188"/>
      <c r="E1" s="188"/>
      <c r="F1" s="188"/>
    </row>
    <row r="2" spans="1:6" x14ac:dyDescent="0.25">
      <c r="A2" s="268"/>
      <c r="B2" s="268"/>
      <c r="C2" s="268"/>
      <c r="D2" s="268"/>
      <c r="E2" s="188"/>
      <c r="F2" s="188"/>
    </row>
    <row r="3" spans="1:6" x14ac:dyDescent="0.25">
      <c r="A3" s="268"/>
      <c r="B3" s="268"/>
      <c r="C3" s="188"/>
      <c r="D3" s="188"/>
      <c r="E3" s="188"/>
      <c r="F3" s="188"/>
    </row>
    <row r="4" spans="1:6" x14ac:dyDescent="0.25">
      <c r="A4" s="268"/>
      <c r="B4" s="268"/>
      <c r="C4" s="188"/>
      <c r="D4" s="188"/>
      <c r="E4" s="188"/>
      <c r="F4" s="188"/>
    </row>
    <row r="5" spans="1:6" x14ac:dyDescent="0.25">
      <c r="A5" s="187"/>
      <c r="B5" s="187"/>
      <c r="C5" s="188"/>
      <c r="D5" s="188"/>
      <c r="E5" s="188"/>
      <c r="F5" s="188"/>
    </row>
    <row r="6" spans="1:6" x14ac:dyDescent="0.25">
      <c r="A6" s="58"/>
      <c r="B6" s="57"/>
      <c r="C6" s="188"/>
      <c r="D6" s="188"/>
      <c r="E6" s="188"/>
      <c r="F6" s="188"/>
    </row>
    <row r="7" spans="1:6" x14ac:dyDescent="0.25">
      <c r="A7" s="188"/>
      <c r="B7" s="188"/>
      <c r="C7" s="188"/>
      <c r="D7" s="188"/>
      <c r="E7" s="188"/>
      <c r="F7" s="188"/>
    </row>
    <row r="8" spans="1:6" x14ac:dyDescent="0.25">
      <c r="A8" s="188"/>
      <c r="B8" s="188"/>
      <c r="C8" s="188"/>
      <c r="D8" s="188"/>
      <c r="E8" s="188"/>
      <c r="F8" s="188"/>
    </row>
    <row r="12" spans="1:6" x14ac:dyDescent="0.25">
      <c r="A12" s="188"/>
      <c r="B12" s="188"/>
      <c r="C12" s="188"/>
      <c r="D12" s="188"/>
      <c r="E12" s="188"/>
      <c r="F12" s="24">
        <f>Matrice!B2</f>
        <v>0</v>
      </c>
    </row>
    <row r="13" spans="1:6" x14ac:dyDescent="0.25">
      <c r="A13" s="188"/>
      <c r="B13" s="188"/>
      <c r="C13" s="188"/>
      <c r="D13" s="188"/>
      <c r="E13" s="188"/>
      <c r="F13" s="24">
        <f>Matrice!B3</f>
        <v>0</v>
      </c>
    </row>
    <row r="14" spans="1:6" x14ac:dyDescent="0.25">
      <c r="A14" s="188"/>
      <c r="B14" s="188"/>
      <c r="C14" s="188"/>
      <c r="D14" s="188"/>
      <c r="E14" s="188"/>
      <c r="F14" s="188">
        <f>Matrice!B4</f>
        <v>0</v>
      </c>
    </row>
    <row r="15" spans="1:6" x14ac:dyDescent="0.25">
      <c r="A15" s="188"/>
      <c r="B15" s="188"/>
      <c r="C15" s="188"/>
      <c r="D15" s="188"/>
      <c r="E15" s="188"/>
      <c r="F15" s="188">
        <f>Matrice!B5</f>
        <v>0</v>
      </c>
    </row>
    <row r="19" spans="1:12" x14ac:dyDescent="0.25">
      <c r="A19" s="188" t="str">
        <f>Matrice!A7&amp;" : "&amp;Matrice!B7</f>
        <v xml:space="preserve">Mission : </v>
      </c>
      <c r="B19" s="188"/>
      <c r="C19" s="188"/>
      <c r="D19" s="188"/>
      <c r="E19" s="188"/>
      <c r="F19" s="188"/>
      <c r="G19" s="18"/>
      <c r="H19" s="188"/>
      <c r="I19" s="188"/>
      <c r="J19" s="188"/>
      <c r="K19" s="188"/>
      <c r="L19" s="188"/>
    </row>
    <row r="20" spans="1:12" x14ac:dyDescent="0.25">
      <c r="A20" s="188" t="str">
        <f>Matrice!A6&amp;" : "&amp;Matrice!B6</f>
        <v xml:space="preserve">N° de contrat : </v>
      </c>
      <c r="B20" s="188"/>
      <c r="C20" s="188"/>
      <c r="D20" s="188"/>
      <c r="E20" s="188"/>
      <c r="F20" s="188"/>
      <c r="G20" s="18"/>
      <c r="H20" s="188"/>
      <c r="I20" s="188"/>
      <c r="J20" s="188"/>
      <c r="K20" s="188"/>
      <c r="L20" s="18"/>
    </row>
    <row r="21" spans="1:12" x14ac:dyDescent="0.25">
      <c r="A21" s="188"/>
      <c r="B21" s="188"/>
      <c r="C21" s="188"/>
      <c r="D21" s="188"/>
      <c r="E21" s="188"/>
      <c r="F21" s="188"/>
      <c r="G21" s="18"/>
      <c r="H21" s="188"/>
      <c r="I21" s="188"/>
      <c r="J21" s="188"/>
      <c r="K21" s="188"/>
      <c r="L21" s="18"/>
    </row>
    <row r="22" spans="1:12" x14ac:dyDescent="0.25">
      <c r="A22" s="188"/>
      <c r="B22" s="188"/>
      <c r="C22" s="188"/>
      <c r="D22" s="188"/>
      <c r="E22" s="188"/>
      <c r="F22" s="188"/>
      <c r="G22" s="18"/>
      <c r="H22" s="188"/>
      <c r="I22" s="188"/>
      <c r="J22" s="188"/>
      <c r="K22" s="188"/>
      <c r="L22" s="18"/>
    </row>
    <row r="23" spans="1:12" x14ac:dyDescent="0.25">
      <c r="A23" s="188"/>
      <c r="B23" s="188"/>
      <c r="C23" s="188"/>
      <c r="D23" s="188"/>
      <c r="E23" s="188"/>
      <c r="F23" s="188"/>
      <c r="G23" s="18"/>
      <c r="H23" s="188"/>
      <c r="I23" s="188"/>
      <c r="J23" s="188"/>
      <c r="K23" s="188"/>
      <c r="L23" s="18"/>
    </row>
    <row r="24" spans="1:12" x14ac:dyDescent="0.25">
      <c r="A24" s="188"/>
      <c r="B24" s="188"/>
      <c r="C24" s="188"/>
      <c r="D24" s="188"/>
      <c r="E24" s="188"/>
      <c r="F24" s="188"/>
      <c r="G24" s="18"/>
      <c r="H24" s="188"/>
      <c r="I24" s="188"/>
      <c r="J24" s="188"/>
      <c r="K24" s="188"/>
      <c r="L24" s="18"/>
    </row>
    <row r="26" spans="1:12" x14ac:dyDescent="0.25">
      <c r="A26" s="188"/>
      <c r="B26" s="188"/>
      <c r="C26" s="188"/>
      <c r="D26" s="188"/>
      <c r="E26" s="188"/>
      <c r="F26" s="81" t="s">
        <v>107</v>
      </c>
      <c r="G26" s="111">
        <v>41213</v>
      </c>
      <c r="H26" s="188"/>
      <c r="I26" s="188"/>
      <c r="J26" s="188"/>
      <c r="K26" s="188"/>
      <c r="L26" s="188"/>
    </row>
    <row r="27" spans="1:12" x14ac:dyDescent="0.25">
      <c r="A27" s="188"/>
      <c r="B27" s="188"/>
      <c r="C27" s="188"/>
      <c r="D27" s="188"/>
      <c r="E27" s="188"/>
      <c r="F27" s="81"/>
      <c r="G27" s="18"/>
      <c r="H27" s="188"/>
      <c r="I27" s="188"/>
      <c r="J27" s="188"/>
      <c r="K27" s="188"/>
      <c r="L27" s="188"/>
    </row>
    <row r="28" spans="1:12" x14ac:dyDescent="0.25">
      <c r="A28" s="188"/>
      <c r="B28" s="188"/>
      <c r="C28" s="188"/>
      <c r="D28" s="188"/>
      <c r="E28" s="188"/>
      <c r="F28" s="81"/>
      <c r="G28" s="18"/>
      <c r="H28" s="188"/>
      <c r="I28" s="188"/>
      <c r="J28" s="188"/>
      <c r="K28" s="188"/>
      <c r="L28" s="188"/>
    </row>
    <row r="29" spans="1:12" x14ac:dyDescent="0.25">
      <c r="A29" s="188"/>
      <c r="B29" s="188"/>
      <c r="C29" s="188"/>
      <c r="D29" s="188"/>
      <c r="E29" s="188"/>
      <c r="F29" s="18"/>
      <c r="G29" s="188"/>
      <c r="H29" s="188"/>
      <c r="I29" s="188"/>
      <c r="J29" s="188"/>
      <c r="K29" s="188"/>
      <c r="L29" s="188"/>
    </row>
    <row r="30" spans="1:12" x14ac:dyDescent="0.25">
      <c r="A30" s="188"/>
      <c r="B30" s="188"/>
      <c r="C30" s="188"/>
      <c r="D30" s="188"/>
      <c r="E30" s="188"/>
      <c r="F30" s="18"/>
      <c r="G30" s="188"/>
      <c r="H30" s="188"/>
      <c r="I30" s="188"/>
      <c r="J30" s="188"/>
      <c r="K30" s="188"/>
      <c r="L30" s="188"/>
    </row>
    <row r="31" spans="1:12" x14ac:dyDescent="0.25">
      <c r="A31" s="188"/>
      <c r="B31" s="188"/>
      <c r="C31" s="188"/>
      <c r="D31" s="188"/>
      <c r="E31" s="188"/>
      <c r="F31" s="18"/>
      <c r="G31" s="188"/>
      <c r="H31" s="188"/>
      <c r="I31" s="188"/>
      <c r="J31" s="188"/>
      <c r="K31" s="188"/>
      <c r="L31" s="188"/>
    </row>
    <row r="32" spans="1:12" x14ac:dyDescent="0.25">
      <c r="A32" s="188"/>
      <c r="B32" s="188"/>
      <c r="C32" s="188"/>
      <c r="D32" s="188"/>
      <c r="E32" s="188"/>
      <c r="F32" s="18"/>
      <c r="G32" s="188"/>
      <c r="H32" s="188"/>
      <c r="I32" s="188"/>
      <c r="J32" s="188"/>
      <c r="K32" s="188"/>
      <c r="L32" s="188"/>
    </row>
    <row r="33" spans="2:6" x14ac:dyDescent="0.25">
      <c r="B33" s="188"/>
      <c r="C33" s="188"/>
      <c r="D33" s="188"/>
      <c r="E33" s="188"/>
      <c r="F33" s="18"/>
    </row>
    <row r="36" spans="2:6" x14ac:dyDescent="0.25">
      <c r="B36" s="188"/>
      <c r="C36" s="269" t="str">
        <f>"AVOIR N° 1-"&amp;TEXT(G26,"mm")&amp;"-"&amp;Matrice!B18</f>
        <v>AVOIR N° 1-10-2014</v>
      </c>
      <c r="D36" s="269"/>
      <c r="E36" s="269"/>
      <c r="F36" s="269"/>
    </row>
    <row r="39" spans="2:6" ht="23.25" customHeight="1" thickBot="1" x14ac:dyDescent="0.3">
      <c r="B39" s="269" t="s">
        <v>113</v>
      </c>
      <c r="C39" s="269"/>
      <c r="D39" s="269"/>
      <c r="E39" s="269"/>
      <c r="F39" s="20">
        <f>HLOOKUP(PROPER(TEXT(G26,"mmmm")),'CA &amp; TVA facturé'!D9:O13,5,0)</f>
        <v>0</v>
      </c>
    </row>
    <row r="41" spans="2:6" x14ac:dyDescent="0.25">
      <c r="B41" s="188"/>
      <c r="C41" s="188"/>
      <c r="D41" s="188" t="s">
        <v>108</v>
      </c>
      <c r="E41" s="188"/>
      <c r="F41" s="22">
        <f>SUM(F39)</f>
        <v>0</v>
      </c>
    </row>
    <row r="42" spans="2:6" ht="20.25" customHeight="1" thickBot="1" x14ac:dyDescent="0.3">
      <c r="B42" s="188"/>
      <c r="C42" s="188"/>
      <c r="D42" s="21" t="str">
        <f>"TVA "&amp;Matrice!B17*100&amp;"%"</f>
        <v>TVA 20%</v>
      </c>
      <c r="E42" s="188"/>
      <c r="F42" s="20">
        <f>F41*Matrice!B17</f>
        <v>0</v>
      </c>
    </row>
    <row r="44" spans="2:6" x14ac:dyDescent="0.25">
      <c r="B44" s="188"/>
      <c r="C44" s="188"/>
      <c r="D44" s="188" t="s">
        <v>109</v>
      </c>
      <c r="E44" s="188"/>
      <c r="F44" s="22">
        <f>SUM(F41:F42)</f>
        <v>0</v>
      </c>
    </row>
    <row r="49" spans="1:8" x14ac:dyDescent="0.25">
      <c r="A49" s="23"/>
      <c r="B49" s="266"/>
      <c r="C49" s="266"/>
      <c r="D49" s="266"/>
      <c r="E49" s="266"/>
      <c r="F49" s="266"/>
      <c r="G49" s="23"/>
      <c r="H49" s="188"/>
    </row>
    <row r="50" spans="1:8" x14ac:dyDescent="0.25">
      <c r="A50" s="23"/>
      <c r="B50" s="23"/>
      <c r="C50" s="23"/>
      <c r="D50" s="23"/>
      <c r="E50" s="23"/>
      <c r="F50" s="23"/>
      <c r="G50" s="23"/>
      <c r="H50" s="188"/>
    </row>
    <row r="51" spans="1:8" x14ac:dyDescent="0.25">
      <c r="A51" s="23"/>
      <c r="B51" s="23"/>
      <c r="C51" s="23"/>
      <c r="D51" s="23"/>
      <c r="E51" s="23"/>
      <c r="F51" s="23"/>
      <c r="G51" s="23"/>
      <c r="H51" s="188"/>
    </row>
    <row r="52" spans="1:8" x14ac:dyDescent="0.25">
      <c r="A52" s="23"/>
      <c r="B52" s="23"/>
      <c r="C52" s="23"/>
      <c r="D52" s="23"/>
      <c r="E52" s="23"/>
      <c r="F52" s="23"/>
      <c r="G52" s="23"/>
      <c r="H52" s="188"/>
    </row>
    <row r="53" spans="1:8" x14ac:dyDescent="0.25">
      <c r="A53" s="23"/>
      <c r="B53" s="23"/>
      <c r="C53" s="23"/>
      <c r="D53" s="23"/>
      <c r="E53" s="23"/>
      <c r="F53" s="23"/>
      <c r="G53" s="23"/>
      <c r="H53" s="188"/>
    </row>
    <row r="62" spans="1:8" x14ac:dyDescent="0.25">
      <c r="A62" s="266" t="s">
        <v>114</v>
      </c>
      <c r="B62" s="266"/>
      <c r="C62" s="266"/>
      <c r="D62" s="266"/>
      <c r="E62" s="266"/>
      <c r="F62" s="266"/>
      <c r="G62" s="266"/>
      <c r="H62" s="266"/>
    </row>
    <row r="63" spans="1:8" x14ac:dyDescent="0.25">
      <c r="A63" s="188"/>
      <c r="B63" s="188"/>
      <c r="C63" s="188"/>
      <c r="D63" s="188"/>
      <c r="E63" s="188"/>
      <c r="F63" s="188"/>
      <c r="G63" s="188"/>
      <c r="H63" s="188"/>
    </row>
    <row r="64" spans="1:8" x14ac:dyDescent="0.25">
      <c r="A64" s="266" t="s">
        <v>110</v>
      </c>
      <c r="B64" s="266"/>
      <c r="C64" s="266"/>
      <c r="D64" s="266"/>
      <c r="E64" s="266"/>
      <c r="F64" s="266"/>
      <c r="G64" s="266"/>
      <c r="H64" s="266"/>
    </row>
    <row r="65" spans="1:8" ht="15.75" customHeight="1" x14ac:dyDescent="0.25">
      <c r="A65" s="266" t="s">
        <v>111</v>
      </c>
      <c r="B65" s="266"/>
      <c r="C65" s="266"/>
      <c r="D65" s="266"/>
      <c r="E65" s="266"/>
      <c r="F65" s="266"/>
      <c r="G65" s="266"/>
      <c r="H65" s="266"/>
    </row>
    <row r="66" spans="1:8" s="19" customFormat="1" x14ac:dyDescent="0.3"/>
    <row r="67" spans="1:8" x14ac:dyDescent="0.25">
      <c r="A67" s="266" t="str">
        <f>"N° de TVA intracommunautaire : "&amp;Matrice!B22</f>
        <v xml:space="preserve">N° de TVA intracommunautaire : </v>
      </c>
      <c r="B67" s="266"/>
      <c r="C67" s="266"/>
      <c r="D67" s="266"/>
      <c r="E67" s="266"/>
      <c r="F67" s="266"/>
      <c r="G67" s="266"/>
      <c r="H67" s="266"/>
    </row>
    <row r="68" spans="1:8" x14ac:dyDescent="0.25">
      <c r="A68" s="266" t="s">
        <v>112</v>
      </c>
      <c r="B68" s="266"/>
      <c r="C68" s="266"/>
      <c r="D68" s="266"/>
      <c r="E68" s="266"/>
      <c r="F68" s="266"/>
      <c r="G68" s="266"/>
      <c r="H68" s="266"/>
    </row>
  </sheetData>
  <mergeCells count="12">
    <mergeCell ref="A62:H62"/>
    <mergeCell ref="A64:H64"/>
    <mergeCell ref="A65:H65"/>
    <mergeCell ref="A67:H67"/>
    <mergeCell ref="A68:H68"/>
    <mergeCell ref="B49:F49"/>
    <mergeCell ref="B39:E39"/>
    <mergeCell ref="A1:B1"/>
    <mergeCell ref="A2:D2"/>
    <mergeCell ref="A3:B3"/>
    <mergeCell ref="A4:B4"/>
    <mergeCell ref="C36:F36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Matrice</vt:lpstr>
      <vt:lpstr>CRA Récapitulatif</vt:lpstr>
      <vt:lpstr>CRA Mensuel</vt:lpstr>
      <vt:lpstr>CA &amp; TVA facturé</vt:lpstr>
      <vt:lpstr>CA &amp; TVA Encaissés</vt:lpstr>
      <vt:lpstr>Revenu &amp; Provisions</vt:lpstr>
      <vt:lpstr>Facture Mensuelle</vt:lpstr>
      <vt:lpstr>Avoir</vt:lpstr>
      <vt:lpstr>Avoir!Zone_d_impression</vt:lpstr>
      <vt:lpstr>'CA &amp; TVA Encaissés'!Zone_d_impression</vt:lpstr>
      <vt:lpstr>'CA &amp; TVA facturé'!Zone_d_impression</vt:lpstr>
      <vt:lpstr>'CRA Mensuel'!Zone_d_impression</vt:lpstr>
      <vt:lpstr>'CRA Récapitulatif'!Zone_d_impression</vt:lpstr>
      <vt:lpstr>'Facture Mensuelle'!Zone_d_impression</vt:lpstr>
      <vt:lpstr>'Revenu &amp; Provisions'!Zone_d_impression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Jeau-Marc Stoeffler;Grégory Schmitz</dc:creator>
  <cp:keywords/>
  <dc:description/>
  <cp:lastModifiedBy>Gregory Schmitz</cp:lastModifiedBy>
  <cp:revision/>
  <dcterms:created xsi:type="dcterms:W3CDTF">1999-10-26T09:46:59Z</dcterms:created>
  <dcterms:modified xsi:type="dcterms:W3CDTF">2014-09-20T20:02:46Z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