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20" codeName="{A63ED3A1-9429-3D75-F2AA-CA7E51A8F3A1}"/>
  <workbookPr codeName="ThisWorkbook"/>
  <mc:AlternateContent xmlns:mc="http://schemas.openxmlformats.org/markup-compatibility/2006">
    <mc:Choice Requires="x15">
      <x15ac:absPath xmlns:x15ac="http://schemas.microsoft.com/office/spreadsheetml/2010/11/ac" url="/Users/huguesbray/Downloads/00 SAGA/"/>
    </mc:Choice>
  </mc:AlternateContent>
  <xr:revisionPtr revIDLastSave="0" documentId="13_ncr:1_{36B8E3A4-6206-3F42-8474-93A24F56F1FC}" xr6:coauthVersionLast="47" xr6:coauthVersionMax="47" xr10:uidLastSave="{00000000-0000-0000-0000-000000000000}"/>
  <bookViews>
    <workbookView xWindow="0" yWindow="500" windowWidth="33600" windowHeight="20500" tabRatio="722" activeTab="4" xr2:uid="{00000000-000D-0000-FFFF-FFFF00000000}"/>
  </bookViews>
  <sheets>
    <sheet name="Investissement" sheetId="3" r:id="rId1"/>
    <sheet name="Emprunt 1" sheetId="4" r:id="rId2"/>
    <sheet name="Point mort sans +-ligne colonne" sheetId="8" r:id="rId3"/>
    <sheet name="P&amp;L sans +- ligne colonne " sheetId="6" r:id="rId4"/>
    <sheet name="Point mort avec +-ligne colonne" sheetId="2" r:id="rId5"/>
    <sheet name="P&amp;L attendu +- ligne ou colonne" sheetId="7" r:id="rId6"/>
  </sheets>
  <definedNames>
    <definedName name="CAPITAL_EMPRUNTE">#REF!</definedName>
    <definedName name="MENSUALITE">#REF!</definedName>
    <definedName name="TAUX">#REF!</definedName>
    <definedName name="taux_tva">#REF!</definedName>
    <definedName name="taux_tva_x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9" i="7" l="1"/>
  <c r="D6" i="7"/>
  <c r="B63" i="6"/>
  <c r="B62" i="6"/>
  <c r="B61" i="6"/>
  <c r="B60" i="6"/>
  <c r="B59" i="6"/>
  <c r="B58" i="6"/>
  <c r="B57" i="6"/>
  <c r="B56" i="6"/>
  <c r="B55" i="6"/>
  <c r="B54" i="6"/>
  <c r="B53" i="6"/>
  <c r="B52" i="6"/>
  <c r="B51" i="6"/>
  <c r="B50" i="6"/>
  <c r="B49" i="6"/>
  <c r="B48" i="6"/>
  <c r="B47" i="6"/>
  <c r="B46" i="6"/>
  <c r="B45" i="6"/>
  <c r="B44" i="6"/>
  <c r="B43" i="6"/>
  <c r="B42" i="6"/>
  <c r="B41" i="6"/>
  <c r="B40" i="6"/>
  <c r="B39" i="6"/>
  <c r="B38" i="6"/>
  <c r="B37" i="6"/>
  <c r="B36" i="6"/>
  <c r="B35" i="6"/>
  <c r="B34" i="6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B8" i="6"/>
  <c r="B7" i="6"/>
  <c r="B6" i="6"/>
  <c r="D62" i="8"/>
  <c r="E62" i="8" s="1"/>
  <c r="C62" i="8"/>
  <c r="D54" i="8"/>
  <c r="D56" i="8" s="1"/>
  <c r="C54" i="8"/>
  <c r="D49" i="8"/>
  <c r="D51" i="8" s="1"/>
  <c r="D44" i="8"/>
  <c r="D47" i="8" s="1"/>
  <c r="E36" i="8"/>
  <c r="E35" i="8"/>
  <c r="E34" i="8"/>
  <c r="E33" i="8"/>
  <c r="E31" i="8"/>
  <c r="E30" i="8"/>
  <c r="E29" i="8"/>
  <c r="E28" i="8"/>
  <c r="E27" i="8"/>
  <c r="E24" i="8"/>
  <c r="E23" i="8"/>
  <c r="D22" i="8"/>
  <c r="E22" i="8" s="1"/>
  <c r="D21" i="8"/>
  <c r="E21" i="8" s="1"/>
  <c r="E20" i="8"/>
  <c r="D10" i="8"/>
  <c r="D17" i="8" s="1"/>
  <c r="E7" i="8"/>
  <c r="E39" i="8" s="1"/>
  <c r="E42" i="8" s="1"/>
  <c r="D7" i="8"/>
  <c r="D39" i="8" s="1"/>
  <c r="D42" i="8" s="1"/>
  <c r="D3" i="8"/>
  <c r="D4" i="8" s="1"/>
  <c r="B64" i="7"/>
  <c r="I63" i="7"/>
  <c r="G63" i="7"/>
  <c r="E63" i="7"/>
  <c r="B63" i="7"/>
  <c r="B62" i="7"/>
  <c r="B61" i="7"/>
  <c r="B60" i="7"/>
  <c r="B59" i="7"/>
  <c r="B58" i="7"/>
  <c r="B57" i="7"/>
  <c r="B56" i="7"/>
  <c r="I55" i="7"/>
  <c r="I57" i="7" s="1"/>
  <c r="G55" i="7"/>
  <c r="G57" i="7" s="1"/>
  <c r="E55" i="7"/>
  <c r="E57" i="7" s="1"/>
  <c r="B55" i="7"/>
  <c r="B54" i="7"/>
  <c r="B53" i="7"/>
  <c r="B52" i="7"/>
  <c r="B51" i="7"/>
  <c r="I50" i="7"/>
  <c r="I52" i="7" s="1"/>
  <c r="G50" i="7"/>
  <c r="G52" i="7" s="1"/>
  <c r="E50" i="7"/>
  <c r="E52" i="7" s="1"/>
  <c r="B50" i="7"/>
  <c r="B49" i="7"/>
  <c r="B48" i="7"/>
  <c r="B45" i="7"/>
  <c r="B44" i="7"/>
  <c r="B43" i="7"/>
  <c r="C40" i="7"/>
  <c r="B40" i="7"/>
  <c r="B39" i="7"/>
  <c r="B38" i="7"/>
  <c r="I37" i="7"/>
  <c r="E37" i="7"/>
  <c r="B37" i="7"/>
  <c r="E36" i="7"/>
  <c r="B36" i="7"/>
  <c r="B35" i="7"/>
  <c r="G34" i="7"/>
  <c r="I34" i="7" s="1"/>
  <c r="B34" i="7"/>
  <c r="C33" i="7"/>
  <c r="B33" i="7"/>
  <c r="E32" i="7"/>
  <c r="I32" i="7" s="1"/>
  <c r="B32" i="7"/>
  <c r="E31" i="7"/>
  <c r="I31" i="7" s="1"/>
  <c r="B31" i="7"/>
  <c r="E30" i="7"/>
  <c r="I30" i="7" s="1"/>
  <c r="B30" i="7"/>
  <c r="E29" i="7"/>
  <c r="G29" i="7" s="1"/>
  <c r="B29" i="7"/>
  <c r="E28" i="7"/>
  <c r="B28" i="7"/>
  <c r="B27" i="7"/>
  <c r="C26" i="7"/>
  <c r="B26" i="7"/>
  <c r="E25" i="7"/>
  <c r="G25" i="7" s="1"/>
  <c r="B25" i="7"/>
  <c r="E24" i="7"/>
  <c r="I24" i="7" s="1"/>
  <c r="B24" i="7"/>
  <c r="I23" i="7"/>
  <c r="G23" i="7"/>
  <c r="E23" i="7"/>
  <c r="B23" i="7"/>
  <c r="I22" i="7"/>
  <c r="G22" i="7"/>
  <c r="B22" i="7"/>
  <c r="E21" i="7"/>
  <c r="G21" i="7" s="1"/>
  <c r="B21" i="7"/>
  <c r="C20" i="7"/>
  <c r="B20" i="7"/>
  <c r="C18" i="7"/>
  <c r="B18" i="7"/>
  <c r="C17" i="7"/>
  <c r="B17" i="7"/>
  <c r="B16" i="7"/>
  <c r="B15" i="7"/>
  <c r="B14" i="7"/>
  <c r="B13" i="7"/>
  <c r="B12" i="7"/>
  <c r="C11" i="7"/>
  <c r="B11" i="7"/>
  <c r="B10" i="7"/>
  <c r="B9" i="7"/>
  <c r="B8" i="7"/>
  <c r="I7" i="7"/>
  <c r="I10" i="7" s="1"/>
  <c r="G7" i="7"/>
  <c r="G10" i="7" s="1"/>
  <c r="F22" i="7" s="1"/>
  <c r="E7" i="7"/>
  <c r="E45" i="7" s="1"/>
  <c r="E48" i="7" s="1"/>
  <c r="B7" i="7"/>
  <c r="B6" i="7"/>
  <c r="E3" i="2"/>
  <c r="E4" i="2" s="1"/>
  <c r="E50" i="2"/>
  <c r="F35" i="2"/>
  <c r="F36" i="2"/>
  <c r="F37" i="2"/>
  <c r="F34" i="2"/>
  <c r="F29" i="2"/>
  <c r="F30" i="2"/>
  <c r="F31" i="2"/>
  <c r="F32" i="2"/>
  <c r="F28" i="2"/>
  <c r="F25" i="2"/>
  <c r="F24" i="2"/>
  <c r="F21" i="2"/>
  <c r="F7" i="2"/>
  <c r="F40" i="2" s="1"/>
  <c r="F43" i="2" s="1"/>
  <c r="E4" i="4"/>
  <c r="D28" i="3"/>
  <c r="F22" i="3"/>
  <c r="F7" i="3"/>
  <c r="F6" i="3"/>
  <c r="E40" i="7" l="1"/>
  <c r="E43" i="7" s="1"/>
  <c r="E26" i="7"/>
  <c r="E20" i="7"/>
  <c r="F23" i="7"/>
  <c r="E10" i="7"/>
  <c r="I18" i="7"/>
  <c r="I33" i="7"/>
  <c r="G20" i="7"/>
  <c r="G45" i="7"/>
  <c r="G48" i="7" s="1"/>
  <c r="G12" i="7"/>
  <c r="I17" i="7"/>
  <c r="C23" i="7"/>
  <c r="C28" i="7"/>
  <c r="I25" i="7"/>
  <c r="I11" i="7"/>
  <c r="D12" i="8"/>
  <c r="C21" i="8"/>
  <c r="E49" i="8"/>
  <c r="E51" i="8" s="1"/>
  <c r="E10" i="8"/>
  <c r="E44" i="8"/>
  <c r="E47" i="8" s="1"/>
  <c r="D32" i="8"/>
  <c r="D26" i="8"/>
  <c r="D11" i="8"/>
  <c r="D15" i="8" s="1"/>
  <c r="C22" i="8"/>
  <c r="D25" i="8"/>
  <c r="D18" i="8"/>
  <c r="D37" i="8" s="1"/>
  <c r="C37" i="8" s="1"/>
  <c r="E54" i="8"/>
  <c r="E56" i="8" s="1"/>
  <c r="D19" i="8"/>
  <c r="H22" i="7"/>
  <c r="H23" i="7"/>
  <c r="I45" i="7"/>
  <c r="I48" i="7" s="1"/>
  <c r="I12" i="7"/>
  <c r="I13" i="7" s="1"/>
  <c r="G28" i="7"/>
  <c r="I28" i="7" s="1"/>
  <c r="I29" i="7"/>
  <c r="G32" i="7"/>
  <c r="G40" i="7"/>
  <c r="G43" i="7" s="1"/>
  <c r="I26" i="7"/>
  <c r="I40" i="7"/>
  <c r="I43" i="7" s="1"/>
  <c r="I20" i="7"/>
  <c r="G31" i="7"/>
  <c r="G26" i="7"/>
  <c r="E18" i="7"/>
  <c r="G18" i="7"/>
  <c r="G24" i="7"/>
  <c r="C30" i="7"/>
  <c r="G17" i="7"/>
  <c r="I21" i="7"/>
  <c r="E17" i="7"/>
  <c r="G30" i="7"/>
  <c r="E33" i="7"/>
  <c r="G33" i="7"/>
  <c r="G11" i="7"/>
  <c r="F10" i="2"/>
  <c r="F13" i="2" s="1"/>
  <c r="F50" i="2"/>
  <c r="F52" i="2" s="1"/>
  <c r="F45" i="2"/>
  <c r="F48" i="2" s="1"/>
  <c r="F33" i="2"/>
  <c r="F18" i="2"/>
  <c r="F20" i="2"/>
  <c r="F26" i="2"/>
  <c r="F27" i="2"/>
  <c r="F17" i="2"/>
  <c r="F12" i="2"/>
  <c r="F14" i="2"/>
  <c r="F11" i="2"/>
  <c r="F15" i="2" s="1"/>
  <c r="H36" i="6"/>
  <c r="E7" i="2"/>
  <c r="H21" i="6"/>
  <c r="F21" i="6"/>
  <c r="C11" i="6"/>
  <c r="E12" i="7" l="1"/>
  <c r="C31" i="7"/>
  <c r="E11" i="7"/>
  <c r="E13" i="7" s="1"/>
  <c r="G13" i="7"/>
  <c r="D52" i="8"/>
  <c r="C15" i="8"/>
  <c r="E18" i="8"/>
  <c r="E25" i="8"/>
  <c r="E32" i="8"/>
  <c r="E26" i="8"/>
  <c r="E17" i="8"/>
  <c r="E14" i="8"/>
  <c r="E13" i="8"/>
  <c r="E19" i="8"/>
  <c r="E11" i="8"/>
  <c r="E15" i="8" s="1"/>
  <c r="E12" i="8"/>
  <c r="F21" i="3"/>
  <c r="E37" i="8" l="1"/>
  <c r="E52" i="8" s="1"/>
  <c r="E58" i="8" s="1"/>
  <c r="C52" i="8"/>
  <c r="D58" i="8"/>
  <c r="D36" i="6"/>
  <c r="D35" i="6"/>
  <c r="H5" i="3"/>
  <c r="E60" i="8" l="1"/>
  <c r="E61" i="8" s="1"/>
  <c r="E63" i="8" s="1"/>
  <c r="E59" i="8"/>
  <c r="C58" i="8"/>
  <c r="D59" i="8"/>
  <c r="D60" i="8" s="1"/>
  <c r="D61" i="8" s="1"/>
  <c r="D63" i="8" s="1"/>
  <c r="C63" i="8" s="1"/>
  <c r="F11" i="3"/>
  <c r="F16" i="3" s="1"/>
  <c r="E52" i="2" s="1"/>
  <c r="H7" i="6"/>
  <c r="H10" i="6" s="1"/>
  <c r="F7" i="6"/>
  <c r="F10" i="6" s="1"/>
  <c r="F11" i="6" s="1"/>
  <c r="D7" i="6"/>
  <c r="D10" i="6" s="1"/>
  <c r="D11" i="6" s="1"/>
  <c r="E22" i="2"/>
  <c r="F22" i="2" s="1"/>
  <c r="E22" i="7" s="1"/>
  <c r="C39" i="6"/>
  <c r="C17" i="6"/>
  <c r="H17" i="6" s="1"/>
  <c r="C18" i="6"/>
  <c r="H18" i="6" s="1"/>
  <c r="C19" i="6"/>
  <c r="D19" i="6" s="1"/>
  <c r="D20" i="6"/>
  <c r="H20" i="6" s="1"/>
  <c r="H22" i="6"/>
  <c r="G22" i="6" s="1"/>
  <c r="D23" i="6"/>
  <c r="H23" i="6" s="1"/>
  <c r="D24" i="6"/>
  <c r="H24" i="6" s="1"/>
  <c r="C25" i="6"/>
  <c r="D29" i="6"/>
  <c r="H29" i="6" s="1"/>
  <c r="D30" i="6"/>
  <c r="D31" i="6"/>
  <c r="F31" i="6" s="1"/>
  <c r="C32" i="6"/>
  <c r="H32" i="6" s="1"/>
  <c r="F33" i="6"/>
  <c r="H33" i="6" s="1"/>
  <c r="F22" i="6"/>
  <c r="D22" i="6"/>
  <c r="D27" i="6"/>
  <c r="D44" i="6"/>
  <c r="D47" i="6"/>
  <c r="E45" i="2"/>
  <c r="E48" i="2" s="1"/>
  <c r="D28" i="6"/>
  <c r="E5" i="4"/>
  <c r="E6" i="4" s="1"/>
  <c r="E23" i="2"/>
  <c r="F23" i="2" s="1"/>
  <c r="F19" i="3"/>
  <c r="F25" i="3" s="1"/>
  <c r="C22" i="7" l="1"/>
  <c r="H39" i="6"/>
  <c r="H42" i="6" s="1"/>
  <c r="C22" i="6"/>
  <c r="D21" i="6"/>
  <c r="F38" i="2"/>
  <c r="F53" i="2" s="1"/>
  <c r="F26" i="3"/>
  <c r="H11" i="6"/>
  <c r="H44" i="6"/>
  <c r="H47" i="6" s="1"/>
  <c r="H12" i="6"/>
  <c r="C27" i="6"/>
  <c r="F27" i="6"/>
  <c r="H27" i="6" s="1"/>
  <c r="C30" i="6"/>
  <c r="D12" i="6"/>
  <c r="D13" i="6" s="1"/>
  <c r="F24" i="6"/>
  <c r="H25" i="6"/>
  <c r="F12" i="6"/>
  <c r="F44" i="6"/>
  <c r="F47" i="6" s="1"/>
  <c r="E22" i="6"/>
  <c r="D25" i="6"/>
  <c r="H31" i="6"/>
  <c r="F25" i="6"/>
  <c r="D32" i="6"/>
  <c r="H19" i="6"/>
  <c r="F19" i="6"/>
  <c r="C21" i="6"/>
  <c r="E21" i="6"/>
  <c r="F39" i="6"/>
  <c r="F42" i="6" s="1"/>
  <c r="D39" i="6"/>
  <c r="D42" i="6" s="1"/>
  <c r="H30" i="6"/>
  <c r="F20" i="6"/>
  <c r="E40" i="2"/>
  <c r="E43" i="2" s="1"/>
  <c r="E10" i="2"/>
  <c r="E17" i="2" s="1"/>
  <c r="F32" i="6"/>
  <c r="D17" i="6"/>
  <c r="F30" i="6"/>
  <c r="F23" i="6"/>
  <c r="D18" i="6"/>
  <c r="F17" i="6"/>
  <c r="F18" i="6"/>
  <c r="C29" i="6"/>
  <c r="F29" i="6"/>
  <c r="F28" i="6"/>
  <c r="H28" i="6"/>
  <c r="F49" i="6"/>
  <c r="F51" i="6" s="1"/>
  <c r="H49" i="6"/>
  <c r="H51" i="6" s="1"/>
  <c r="D49" i="6"/>
  <c r="D51" i="6" s="1"/>
  <c r="C22" i="2" l="1"/>
  <c r="E27" i="2"/>
  <c r="C23" i="2"/>
  <c r="H13" i="6"/>
  <c r="F13" i="6"/>
  <c r="E33" i="2"/>
  <c r="E18" i="2"/>
  <c r="E26" i="2"/>
  <c r="E20" i="2"/>
  <c r="G21" i="6"/>
  <c r="E12" i="2"/>
  <c r="E11" i="2"/>
  <c r="E15" i="2" s="1"/>
  <c r="F29" i="3"/>
  <c r="E3" i="4" s="1"/>
  <c r="D26" i="6" l="1"/>
  <c r="D37" i="6" s="1"/>
  <c r="D52" i="6" s="1"/>
  <c r="E27" i="7"/>
  <c r="F26" i="6"/>
  <c r="F37" i="6" s="1"/>
  <c r="F52" i="6" s="1"/>
  <c r="C15" i="2"/>
  <c r="E88" i="4"/>
  <c r="F91" i="4"/>
  <c r="E84" i="4"/>
  <c r="D83" i="4"/>
  <c r="D80" i="4"/>
  <c r="F90" i="4"/>
  <c r="F89" i="4"/>
  <c r="F80" i="4"/>
  <c r="D85" i="4"/>
  <c r="D88" i="4"/>
  <c r="E89" i="4"/>
  <c r="F84" i="4"/>
  <c r="F82" i="4"/>
  <c r="D91" i="4"/>
  <c r="E82" i="4"/>
  <c r="E81" i="4"/>
  <c r="F85" i="4"/>
  <c r="E90" i="4"/>
  <c r="E87" i="4"/>
  <c r="D89" i="4"/>
  <c r="D84" i="4"/>
  <c r="D90" i="4"/>
  <c r="F83" i="4"/>
  <c r="F87" i="4"/>
  <c r="D81" i="4"/>
  <c r="E91" i="4"/>
  <c r="E80" i="4"/>
  <c r="F88" i="4"/>
  <c r="E83" i="4"/>
  <c r="D82" i="4"/>
  <c r="D87" i="4"/>
  <c r="F86" i="4"/>
  <c r="D86" i="4"/>
  <c r="F81" i="4"/>
  <c r="E85" i="4"/>
  <c r="E86" i="4"/>
  <c r="E38" i="2"/>
  <c r="C38" i="2" s="1"/>
  <c r="F78" i="4"/>
  <c r="E56" i="4"/>
  <c r="D73" i="4"/>
  <c r="F13" i="4"/>
  <c r="F56" i="4"/>
  <c r="E72" i="4"/>
  <c r="F73" i="4"/>
  <c r="D8" i="4"/>
  <c r="E15" i="4"/>
  <c r="F21" i="4"/>
  <c r="D12" i="4"/>
  <c r="F64" i="4"/>
  <c r="E26" i="4"/>
  <c r="F42" i="4"/>
  <c r="F43" i="4"/>
  <c r="D74" i="4"/>
  <c r="E43" i="4"/>
  <c r="E76" i="4"/>
  <c r="E63" i="4"/>
  <c r="D50" i="4"/>
  <c r="F44" i="4"/>
  <c r="F38" i="4"/>
  <c r="E67" i="4"/>
  <c r="D18" i="4"/>
  <c r="E73" i="4"/>
  <c r="D35" i="4"/>
  <c r="F67" i="4"/>
  <c r="E44" i="4"/>
  <c r="E51" i="4"/>
  <c r="D51" i="4"/>
  <c r="E36" i="4"/>
  <c r="D47" i="4"/>
  <c r="D53" i="4"/>
  <c r="E59" i="4"/>
  <c r="E37" i="4"/>
  <c r="F26" i="4"/>
  <c r="E21" i="4"/>
  <c r="F32" i="4"/>
  <c r="E49" i="4"/>
  <c r="D64" i="4"/>
  <c r="D24" i="4"/>
  <c r="D13" i="4"/>
  <c r="D62" i="4"/>
  <c r="D68" i="4"/>
  <c r="E24" i="4"/>
  <c r="E62" i="4"/>
  <c r="D46" i="4"/>
  <c r="F45" i="4"/>
  <c r="D77" i="4"/>
  <c r="D66" i="4"/>
  <c r="F33" i="4"/>
  <c r="D21" i="4"/>
  <c r="E22" i="4"/>
  <c r="D54" i="4"/>
  <c r="D32" i="4"/>
  <c r="D31" i="4"/>
  <c r="D75" i="4"/>
  <c r="E10" i="4"/>
  <c r="E31" i="4"/>
  <c r="D60" i="4"/>
  <c r="E34" i="4"/>
  <c r="F41" i="4"/>
  <c r="F75" i="4"/>
  <c r="F20" i="4"/>
  <c r="F53" i="4"/>
  <c r="F58" i="4"/>
  <c r="E33" i="4"/>
  <c r="E78" i="4"/>
  <c r="F62" i="4"/>
  <c r="E8" i="4"/>
  <c r="D57" i="4"/>
  <c r="F59" i="4"/>
  <c r="F40" i="4"/>
  <c r="E40" i="4"/>
  <c r="E77" i="4"/>
  <c r="F60" i="4"/>
  <c r="F71" i="4"/>
  <c r="D34" i="4"/>
  <c r="F68" i="4"/>
  <c r="F48" i="4"/>
  <c r="D26" i="4"/>
  <c r="D69" i="4"/>
  <c r="F70" i="4"/>
  <c r="D22" i="4"/>
  <c r="E20" i="4"/>
  <c r="F74" i="4"/>
  <c r="D29" i="4"/>
  <c r="E18" i="4"/>
  <c r="F15" i="4"/>
  <c r="E74" i="4"/>
  <c r="E57" i="4"/>
  <c r="E28" i="4"/>
  <c r="F51" i="4"/>
  <c r="E38" i="4"/>
  <c r="E35" i="4"/>
  <c r="F29" i="4"/>
  <c r="D72" i="4"/>
  <c r="F12" i="4"/>
  <c r="E66" i="4"/>
  <c r="E23" i="4"/>
  <c r="D65" i="4"/>
  <c r="F36" i="4"/>
  <c r="E48" i="4"/>
  <c r="F63" i="4"/>
  <c r="D71" i="4"/>
  <c r="D10" i="4"/>
  <c r="E71" i="4"/>
  <c r="D39" i="4"/>
  <c r="E54" i="4"/>
  <c r="D11" i="4"/>
  <c r="E42" i="4"/>
  <c r="D52" i="4"/>
  <c r="E12" i="4"/>
  <c r="E46" i="4"/>
  <c r="D30" i="4"/>
  <c r="D19" i="4"/>
  <c r="F66" i="4"/>
  <c r="D55" i="4"/>
  <c r="D61" i="4"/>
  <c r="E79" i="4"/>
  <c r="F27" i="4"/>
  <c r="F25" i="4"/>
  <c r="D38" i="4"/>
  <c r="F31" i="4"/>
  <c r="E29" i="4"/>
  <c r="D70" i="4"/>
  <c r="F46" i="4"/>
  <c r="F22" i="4"/>
  <c r="D41" i="4"/>
  <c r="F37" i="4"/>
  <c r="F24" i="4"/>
  <c r="E61" i="4"/>
  <c r="E70" i="4"/>
  <c r="F55" i="4"/>
  <c r="F49" i="4"/>
  <c r="D76" i="4"/>
  <c r="D15" i="4"/>
  <c r="E68" i="4"/>
  <c r="D27" i="4"/>
  <c r="E64" i="4"/>
  <c r="E41" i="4"/>
  <c r="F35" i="4"/>
  <c r="E19" i="4"/>
  <c r="D56" i="4"/>
  <c r="D17" i="4"/>
  <c r="E50" i="4"/>
  <c r="D79" i="4"/>
  <c r="E27" i="4"/>
  <c r="E65" i="4"/>
  <c r="E60" i="4"/>
  <c r="E17" i="4"/>
  <c r="F34" i="4"/>
  <c r="E69" i="4"/>
  <c r="F18" i="4"/>
  <c r="F79" i="4"/>
  <c r="D36" i="4"/>
  <c r="E30" i="4"/>
  <c r="D16" i="4"/>
  <c r="D14" i="4"/>
  <c r="D23" i="4"/>
  <c r="F50" i="4"/>
  <c r="D43" i="4"/>
  <c r="D45" i="4"/>
  <c r="F76" i="4"/>
  <c r="F65" i="4"/>
  <c r="D42" i="4"/>
  <c r="F16" i="4"/>
  <c r="D40" i="4"/>
  <c r="F10" i="4"/>
  <c r="F23" i="4"/>
  <c r="D49" i="4"/>
  <c r="F9" i="4"/>
  <c r="D28" i="4"/>
  <c r="F30" i="4"/>
  <c r="D25" i="4"/>
  <c r="E58" i="4"/>
  <c r="F8" i="4"/>
  <c r="E45" i="4"/>
  <c r="E32" i="4"/>
  <c r="F39" i="4"/>
  <c r="D63" i="4"/>
  <c r="F54" i="4"/>
  <c r="E11" i="4"/>
  <c r="E52" i="4"/>
  <c r="F72" i="4"/>
  <c r="E75" i="4"/>
  <c r="F61" i="4"/>
  <c r="E25" i="4"/>
  <c r="D59" i="4"/>
  <c r="F19" i="4"/>
  <c r="E47" i="4"/>
  <c r="E55" i="4"/>
  <c r="F17" i="4"/>
  <c r="D44" i="4"/>
  <c r="E39" i="4"/>
  <c r="F11" i="4"/>
  <c r="E13" i="4"/>
  <c r="D20" i="4"/>
  <c r="E16" i="4"/>
  <c r="E14" i="4"/>
  <c r="F69" i="4"/>
  <c r="F57" i="4"/>
  <c r="E53" i="4"/>
  <c r="F52" i="4"/>
  <c r="F14" i="4"/>
  <c r="D37" i="4"/>
  <c r="D9" i="4"/>
  <c r="D78" i="4"/>
  <c r="D67" i="4"/>
  <c r="D33" i="4"/>
  <c r="E9" i="4"/>
  <c r="D58" i="4"/>
  <c r="F47" i="4"/>
  <c r="F28" i="4"/>
  <c r="F77" i="4"/>
  <c r="D48" i="4"/>
  <c r="H26" i="6" l="1"/>
  <c r="H37" i="6" s="1"/>
  <c r="H52" i="6" s="1"/>
  <c r="C26" i="6"/>
  <c r="I27" i="7"/>
  <c r="I38" i="7" s="1"/>
  <c r="I53" i="7" s="1"/>
  <c r="I59" i="7" s="1"/>
  <c r="I60" i="7" s="1"/>
  <c r="I61" i="7" s="1"/>
  <c r="I62" i="7" s="1"/>
  <c r="I64" i="7" s="1"/>
  <c r="G27" i="7"/>
  <c r="G38" i="7" s="1"/>
  <c r="G53" i="7" s="1"/>
  <c r="G59" i="7" s="1"/>
  <c r="G60" i="7" s="1"/>
  <c r="G61" i="7" s="1"/>
  <c r="G62" i="7" s="1"/>
  <c r="G64" i="7" s="1"/>
  <c r="C27" i="7"/>
  <c r="E38" i="7"/>
  <c r="E53" i="7" s="1"/>
  <c r="E59" i="7" s="1"/>
  <c r="E60" i="7" s="1"/>
  <c r="E61" i="7" s="1"/>
  <c r="E62" i="7" s="1"/>
  <c r="E64" i="7" s="1"/>
  <c r="E53" i="2"/>
  <c r="C53" i="2" s="1"/>
  <c r="H91" i="4"/>
  <c r="G91" i="4"/>
  <c r="H55" i="4"/>
  <c r="G19" i="4"/>
  <c r="E92" i="4"/>
  <c r="G55" i="4"/>
  <c r="H67" i="4"/>
  <c r="H19" i="4"/>
  <c r="F92" i="4"/>
  <c r="H31" i="4"/>
  <c r="F54" i="6" s="1"/>
  <c r="F56" i="6" s="1"/>
  <c r="F58" i="6" s="1"/>
  <c r="G31" i="4"/>
  <c r="F62" i="6" s="1"/>
  <c r="D92" i="4"/>
  <c r="G79" i="4"/>
  <c r="G43" i="4"/>
  <c r="H62" i="6" s="1"/>
  <c r="G67" i="4"/>
  <c r="H43" i="4"/>
  <c r="H54" i="6" s="1"/>
  <c r="H56" i="6" s="1"/>
  <c r="H58" i="6" s="1"/>
  <c r="H79" i="4"/>
  <c r="H59" i="6" l="1"/>
  <c r="H60" i="6" s="1"/>
  <c r="H61" i="6" s="1"/>
  <c r="H63" i="6" s="1"/>
  <c r="F59" i="6"/>
  <c r="F60" i="6" s="1"/>
  <c r="F61" i="6" s="1"/>
  <c r="F63" i="6" s="1"/>
  <c r="D54" i="6"/>
  <c r="D56" i="6" s="1"/>
  <c r="D58" i="6" s="1"/>
  <c r="H92" i="4"/>
  <c r="E55" i="2"/>
  <c r="E63" i="2"/>
  <c r="G92" i="4"/>
  <c r="D62" i="6"/>
  <c r="C63" i="2" l="1"/>
  <c r="F63" i="2"/>
  <c r="C55" i="2"/>
  <c r="F55" i="2"/>
  <c r="F57" i="2" s="1"/>
  <c r="F59" i="2" s="1"/>
  <c r="F60" i="2" s="1"/>
  <c r="F61" i="2" s="1"/>
  <c r="F62" i="2" s="1"/>
  <c r="F64" i="2" s="1"/>
  <c r="E57" i="2"/>
  <c r="E59" i="2" s="1"/>
  <c r="C59" i="2" s="1"/>
  <c r="D59" i="6"/>
  <c r="D60" i="6" s="1"/>
  <c r="D61" i="6" s="1"/>
  <c r="D63" i="6" s="1"/>
  <c r="E60" i="2" l="1"/>
  <c r="E61" i="2" s="1"/>
  <c r="E62" i="2" s="1"/>
  <c r="E64" i="2" l="1"/>
  <c r="C64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tc={64DD8E2E-B718-9549-A324-13B7B1DA6CBB}</author>
    <author>tc={92BB58A4-CA86-8445-8DBB-FEEF5C49BFEC}</author>
  </authors>
  <commentList>
    <comment ref="D6" authorId="0" shapeId="0" xr:uid="{64DD8E2E-B718-9549-A324-13B7B1DA6CB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Forum Excel pratique : Automatiquement vs Point mort avec +-ligne colonne</t>
      </text>
    </comment>
    <comment ref="B19" authorId="1" shapeId="0" xr:uid="{92BB58A4-CA86-8445-8DBB-FEEF5C49BFE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Forum Excel pratique : Automatiquement vs Point mort avec +-ligne colonne</t>
      </text>
    </comment>
  </commentList>
</comments>
</file>

<file path=xl/sharedStrings.xml><?xml version="1.0" encoding="utf-8"?>
<sst xmlns="http://schemas.openxmlformats.org/spreadsheetml/2006/main" count="242" uniqueCount="100">
  <si>
    <t>CA TTC</t>
  </si>
  <si>
    <t>CA HT</t>
  </si>
  <si>
    <t>CHARGES EXTERNES</t>
  </si>
  <si>
    <t>Emballages</t>
  </si>
  <si>
    <t>E.D.F.</t>
  </si>
  <si>
    <t>petit matériel</t>
  </si>
  <si>
    <t>charges locatives</t>
  </si>
  <si>
    <t>location enseigne</t>
  </si>
  <si>
    <t>location immobilière</t>
  </si>
  <si>
    <t>outil de suivi du trafic de clientèle</t>
  </si>
  <si>
    <t>assurances</t>
  </si>
  <si>
    <t>honoraires</t>
  </si>
  <si>
    <t>publicité</t>
  </si>
  <si>
    <t>déplacements et réceptions</t>
  </si>
  <si>
    <t>téléphone</t>
  </si>
  <si>
    <t>affranchissement</t>
  </si>
  <si>
    <t>services bancaires</t>
  </si>
  <si>
    <t>IMPOTS ET TAXES</t>
  </si>
  <si>
    <t>Taxes diverses</t>
  </si>
  <si>
    <t>FRAIS DE PERSONNEL</t>
  </si>
  <si>
    <t>CHARGES DIVERSES</t>
  </si>
  <si>
    <t>Produits financiers</t>
  </si>
  <si>
    <t>CAF</t>
  </si>
  <si>
    <t>REMBOURSEMENT CAPITAL</t>
  </si>
  <si>
    <t>CAF NETTE</t>
  </si>
  <si>
    <t>Impôt Sociétés</t>
  </si>
  <si>
    <t>RESULTAT NET APRES IS</t>
  </si>
  <si>
    <t>RESULTAT NET AVANT IS</t>
  </si>
  <si>
    <t>FRAIS FINANCIER</t>
  </si>
  <si>
    <t>Autres produits</t>
  </si>
  <si>
    <t>Démarque</t>
  </si>
  <si>
    <t>comptabilité</t>
  </si>
  <si>
    <t xml:space="preserve">divers </t>
  </si>
  <si>
    <t xml:space="preserve"> → Le magasin</t>
  </si>
  <si>
    <t xml:space="preserve"> - Montant annuel des charges </t>
  </si>
  <si>
    <t xml:space="preserve"> - Impôt foncier</t>
  </si>
  <si>
    <t xml:space="preserve"> → L'investissement</t>
  </si>
  <si>
    <t xml:space="preserve"> - Coût du concept au m2</t>
  </si>
  <si>
    <t xml:space="preserve"> - Investissements liés au concept</t>
  </si>
  <si>
    <t xml:space="preserve"> - Autres dépenses de travaux &amp; imprévus</t>
  </si>
  <si>
    <t xml:space="preserve"> - Frais de constitution de société </t>
  </si>
  <si>
    <t xml:space="preserve"> - Etude de marché</t>
  </si>
  <si>
    <t xml:space="preserve"> - Droit d'entrée enseigne</t>
  </si>
  <si>
    <t>TOTAL des dépenses amortissables</t>
  </si>
  <si>
    <t xml:space="preserve"> - Dépôt de garantie loyer : nombre de mois = </t>
  </si>
  <si>
    <t xml:space="preserve"> - Dépôt de garantie Enseigne</t>
  </si>
  <si>
    <t xml:space="preserve"> - Loyers improductifs : nombre de mois =</t>
  </si>
  <si>
    <t xml:space="preserve"> - Frais de recrutement</t>
  </si>
  <si>
    <t xml:space="preserve"> - Frais liés à la formation</t>
  </si>
  <si>
    <t>TOTAL des dépenses non amortissables</t>
  </si>
  <si>
    <t>TOTAL des investissements</t>
  </si>
  <si>
    <t xml:space="preserve"> → Le financement</t>
  </si>
  <si>
    <t xml:space="preserve"> - L'apport personnel</t>
  </si>
  <si>
    <t xml:space="preserve"> - Montant emprunté</t>
  </si>
  <si>
    <t>-  Durée du prêt en nombre d'années</t>
  </si>
  <si>
    <t>-  Taux d'intérêt</t>
  </si>
  <si>
    <t>Hypothèses</t>
  </si>
  <si>
    <t>prestations informatiques et internet</t>
  </si>
  <si>
    <t>RESULTAT D'EXPLOITATION</t>
  </si>
  <si>
    <t>Emprunt :</t>
  </si>
  <si>
    <t>Durée  :</t>
  </si>
  <si>
    <t>Mois</t>
  </si>
  <si>
    <t>Taux :</t>
  </si>
  <si>
    <t>Remboursement</t>
  </si>
  <si>
    <t>dt principal</t>
  </si>
  <si>
    <t>dt intérêts</t>
  </si>
  <si>
    <t>Ktl payé</t>
  </si>
  <si>
    <t>Intérêts payés</t>
  </si>
  <si>
    <t xml:space="preserve">Intérêts sur emprunts </t>
  </si>
  <si>
    <t>Agios bancaires</t>
  </si>
  <si>
    <t>Données Investissement</t>
  </si>
  <si>
    <t>Données emprunt</t>
  </si>
  <si>
    <t>Mois :</t>
  </si>
  <si>
    <t xml:space="preserve"> - Nombre de m² commerciaux</t>
  </si>
  <si>
    <t xml:space="preserve">       </t>
  </si>
  <si>
    <t>Dotation amortissements</t>
  </si>
  <si>
    <t>Compte de résultat 3 ans</t>
  </si>
  <si>
    <t xml:space="preserve"> - Frais de commercialisation</t>
  </si>
  <si>
    <t xml:space="preserve"> - Le loyer HC HT annuel</t>
  </si>
  <si>
    <t>entretien (contrats, entretiens périodiques…)</t>
  </si>
  <si>
    <t xml:space="preserve"> - Nombre de m² totaux</t>
  </si>
  <si>
    <t xml:space="preserve"> - Rachat fonds de commerce, pas-de-porte ou DE</t>
  </si>
  <si>
    <t xml:space="preserve">Salaires et charges </t>
  </si>
  <si>
    <t>MARGE BRUTE</t>
  </si>
  <si>
    <t xml:space="preserve"> - Stock départ</t>
  </si>
  <si>
    <t>MARGE NETTE</t>
  </si>
  <si>
    <t>Point Mort</t>
  </si>
  <si>
    <t>commission CB</t>
  </si>
  <si>
    <t>CA TTC Point Mort Calcul automatique (pour CAF nette à 0)</t>
  </si>
  <si>
    <t>Taux d'effort vs CA TTC hypothèse pour atteinte point mort</t>
  </si>
  <si>
    <t>TOTAL CHARGES EXTERNES</t>
  </si>
  <si>
    <t>TOTAL IMPOTS ET TAXES</t>
  </si>
  <si>
    <t>TOTAL FRAIS DE PERSONNEL</t>
  </si>
  <si>
    <t>TOTAL CHARGES DIVERSES</t>
  </si>
  <si>
    <t>main d'oeuvre externe</t>
  </si>
  <si>
    <t>Prestations diverses</t>
  </si>
  <si>
    <t>TOTAL RECETTES</t>
  </si>
  <si>
    <t>colonne E sera masquée sert à calculer point mort vs macro valeur cible</t>
  </si>
  <si>
    <t>ligne insérée exemple</t>
  </si>
  <si>
    <t>colonne insérée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</si>
</sst>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5" formatCode="#,##0\ &quot;€&quot;_);\(#,##0\ &quot;€&quot;\)"/>
    <numFmt numFmtId="44" formatCode="_ * #,##0.00_)\ &quot;€&quot;_ ;_ * \(#,##0.00\)\ &quot;€&quot;_ ;_ * &quot;-&quot;??_)\ &quot;€&quot;_ ;_ @_ "/>
    <numFmt numFmtId="164" formatCode="#,##0.00;[Red]\-#,##0.00"/>
    <numFmt numFmtId="165" formatCode="#,##0\ &quot;€&quot;"/>
    <numFmt numFmtId="166" formatCode="0.0%"/>
    <numFmt numFmtId="167" formatCode="#,##0\ &quot;F&quot;"/>
    <numFmt numFmtId="168" formatCode="_-* #,##0\ [$€-1]_-;\-* #,##0\ [$€-1]_-;_-* &quot;-&quot;\ [$€-1]_-;_-@_-"/>
    <numFmt numFmtId="169" formatCode="_-* #,##0.00\ _€_-;\-* #,##0.00\ _€_-;_-* &quot;-&quot;??\ _€_-;_-@_-"/>
    <numFmt numFmtId="170" formatCode="_-* #,##0.00\ &quot;€&quot;_-;\-* #,##0.00\ &quot;€&quot;_-;_-* &quot;-&quot;??\ &quot;€&quot;_-;_-@_-"/>
    <numFmt numFmtId="171" formatCode="0\ &quot;année 2&quot;"/>
    <numFmt numFmtId="172" formatCode="0\ &quot;année 3&quot;"/>
    <numFmt numFmtId="173" formatCode="&quot;sur &quot;#,##0&quot; ans&quot;"/>
  </numFmts>
  <fonts count="32">
    <font>
      <sz val="8"/>
      <name val="Helv"/>
    </font>
    <font>
      <sz val="10"/>
      <name val="MS Sans Serif"/>
      <family val="2"/>
    </font>
    <font>
      <sz val="10"/>
      <name val="Arial"/>
      <family val="2"/>
    </font>
    <font>
      <i/>
      <sz val="10"/>
      <name val="Arial"/>
      <family val="2"/>
    </font>
    <font>
      <sz val="10"/>
      <name val="Times New Roman"/>
      <family val="1"/>
    </font>
    <font>
      <sz val="9"/>
      <name val="Calibri"/>
      <family val="2"/>
    </font>
    <font>
      <b/>
      <sz val="9"/>
      <name val="Calibri"/>
      <family val="2"/>
    </font>
    <font>
      <sz val="10"/>
      <name val="Calibri"/>
      <family val="2"/>
    </font>
    <font>
      <u/>
      <sz val="9"/>
      <color indexed="55"/>
      <name val="Calibri"/>
      <family val="2"/>
    </font>
    <font>
      <u/>
      <sz val="9"/>
      <name val="Calibri"/>
      <family val="2"/>
    </font>
    <font>
      <sz val="11"/>
      <name val="Calibri"/>
      <family val="2"/>
    </font>
    <font>
      <sz val="11"/>
      <color indexed="23"/>
      <name val="Calibri"/>
      <family val="2"/>
    </font>
    <font>
      <b/>
      <sz val="11"/>
      <name val="Calibri"/>
      <family val="2"/>
    </font>
    <font>
      <b/>
      <sz val="10"/>
      <name val="Calibri"/>
      <family val="2"/>
    </font>
    <font>
      <b/>
      <i/>
      <sz val="10"/>
      <name val="Calibri"/>
      <family val="2"/>
    </font>
    <font>
      <u/>
      <sz val="10"/>
      <name val="Calibri"/>
      <family val="2"/>
    </font>
    <font>
      <sz val="10"/>
      <color indexed="12"/>
      <name val="Calibri"/>
      <family val="2"/>
    </font>
    <font>
      <b/>
      <sz val="10"/>
      <color indexed="12"/>
      <name val="Calibri"/>
      <family val="2"/>
    </font>
    <font>
      <b/>
      <sz val="18"/>
      <name val="Calibri"/>
      <family val="2"/>
    </font>
    <font>
      <b/>
      <sz val="20"/>
      <name val="Calibri"/>
      <family val="2"/>
    </font>
    <font>
      <sz val="8"/>
      <name val="Helv"/>
    </font>
    <font>
      <b/>
      <sz val="26"/>
      <name val="Calibri"/>
      <family val="2"/>
    </font>
    <font>
      <b/>
      <sz val="9"/>
      <color rgb="FF0432FF"/>
      <name val="Calibri"/>
      <family val="2"/>
    </font>
    <font>
      <sz val="9"/>
      <color rgb="FF0432FF"/>
      <name val="Calibri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alibri"/>
      <family val="2"/>
    </font>
    <font>
      <b/>
      <sz val="12"/>
      <name val="Calibri"/>
      <family val="2"/>
    </font>
    <font>
      <b/>
      <sz val="16"/>
      <name val="Calibri"/>
      <family val="2"/>
    </font>
    <font>
      <b/>
      <sz val="12"/>
      <color rgb="FF0432FF"/>
      <name val="Calibri"/>
      <family val="2"/>
    </font>
    <font>
      <sz val="12"/>
      <name val="Calibri"/>
      <family val="2"/>
    </font>
    <font>
      <sz val="10"/>
      <color rgb="FF000000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A2DD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hair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dotted">
        <color indexed="64"/>
      </right>
      <top style="medium">
        <color indexed="64"/>
      </top>
      <bottom/>
      <diagonal/>
    </border>
    <border>
      <left/>
      <right style="dotted">
        <color indexed="64"/>
      </right>
      <top style="hair">
        <color indexed="64"/>
      </top>
      <bottom style="medium">
        <color indexed="64"/>
      </bottom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thick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thick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otted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/>
      <bottom/>
      <diagonal/>
    </border>
    <border>
      <left style="hair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dotted">
        <color indexed="64"/>
      </right>
      <top style="medium">
        <color indexed="64"/>
      </top>
      <bottom/>
      <diagonal/>
    </border>
    <border>
      <left style="thick">
        <color indexed="64"/>
      </left>
      <right style="dotted">
        <color indexed="64"/>
      </right>
      <top/>
      <bottom style="medium">
        <color indexed="6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</borders>
  <cellStyleXfs count="13">
    <xf numFmtId="0" fontId="0" fillId="0" borderId="0"/>
    <xf numFmtId="4" fontId="2" fillId="2" borderId="0"/>
    <xf numFmtId="0" fontId="3" fillId="3" borderId="0"/>
    <xf numFmtId="0" fontId="2" fillId="4" borderId="0"/>
    <xf numFmtId="164" fontId="1" fillId="0" borderId="0" applyFont="0" applyFill="0" applyBorder="0" applyAlignment="0" applyProtection="0"/>
    <xf numFmtId="1" fontId="4" fillId="0" borderId="0"/>
    <xf numFmtId="0" fontId="24" fillId="0" borderId="0"/>
    <xf numFmtId="16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170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0" fontId="26" fillId="0" borderId="38" applyNumberFormat="0" applyFill="0" applyAlignment="0" applyProtection="0"/>
  </cellStyleXfs>
  <cellXfs count="245">
    <xf numFmtId="0" fontId="0" fillId="0" borderId="0" xfId="0"/>
    <xf numFmtId="0" fontId="10" fillId="4" borderId="0" xfId="0" applyFont="1" applyFill="1"/>
    <xf numFmtId="0" fontId="10" fillId="0" borderId="0" xfId="0" applyFont="1" applyFill="1"/>
    <xf numFmtId="0" fontId="10" fillId="0" borderId="0" xfId="0" applyFont="1"/>
    <xf numFmtId="0" fontId="7" fillId="0" borderId="0" xfId="0" applyFont="1"/>
    <xf numFmtId="3" fontId="10" fillId="4" borderId="0" xfId="0" applyNumberFormat="1" applyFont="1" applyFill="1"/>
    <xf numFmtId="165" fontId="11" fillId="0" borderId="0" xfId="0" applyNumberFormat="1" applyFont="1"/>
    <xf numFmtId="0" fontId="10" fillId="0" borderId="0" xfId="0" applyFont="1" applyFill="1" applyBorder="1"/>
    <xf numFmtId="0" fontId="10" fillId="0" borderId="1" xfId="0" applyFont="1" applyFill="1" applyBorder="1"/>
    <xf numFmtId="0" fontId="12" fillId="0" borderId="2" xfId="0" applyFont="1" applyFill="1" applyBorder="1"/>
    <xf numFmtId="165" fontId="12" fillId="0" borderId="2" xfId="0" applyNumberFormat="1" applyFont="1" applyFill="1" applyBorder="1" applyProtection="1">
      <protection locked="0"/>
    </xf>
    <xf numFmtId="0" fontId="10" fillId="0" borderId="2" xfId="0" applyFont="1" applyBorder="1"/>
    <xf numFmtId="0" fontId="10" fillId="0" borderId="0" xfId="0" quotePrefix="1" applyFont="1" applyFill="1" applyBorder="1"/>
    <xf numFmtId="165" fontId="11" fillId="0" borderId="0" xfId="0" applyNumberFormat="1" applyFont="1" applyFill="1" applyBorder="1" applyProtection="1"/>
    <xf numFmtId="0" fontId="12" fillId="0" borderId="2" xfId="0" applyFont="1" applyBorder="1"/>
    <xf numFmtId="165" fontId="12" fillId="0" borderId="2" xfId="0" applyNumberFormat="1" applyFont="1" applyFill="1" applyBorder="1" applyProtection="1"/>
    <xf numFmtId="0" fontId="12" fillId="4" borderId="0" xfId="0" applyFont="1" applyFill="1"/>
    <xf numFmtId="165" fontId="12" fillId="4" borderId="0" xfId="0" applyNumberFormat="1" applyFont="1" applyFill="1" applyBorder="1" applyProtection="1"/>
    <xf numFmtId="0" fontId="12" fillId="0" borderId="0" xfId="0" applyFont="1"/>
    <xf numFmtId="0" fontId="10" fillId="4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2" fillId="0" borderId="2" xfId="0" applyFont="1" applyFill="1" applyBorder="1" applyAlignment="1">
      <alignment horizontal="center"/>
    </xf>
    <xf numFmtId="0" fontId="10" fillId="0" borderId="0" xfId="0" quotePrefix="1" applyFont="1" applyFill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4" borderId="0" xfId="0" applyFont="1" applyFill="1" applyAlignment="1">
      <alignment horizontal="center"/>
    </xf>
    <xf numFmtId="0" fontId="12" fillId="0" borderId="0" xfId="0" applyFont="1" applyAlignment="1">
      <alignment horizontal="center"/>
    </xf>
    <xf numFmtId="0" fontId="7" fillId="0" borderId="3" xfId="0" applyFont="1" applyBorder="1"/>
    <xf numFmtId="168" fontId="7" fillId="0" borderId="0" xfId="0" applyNumberFormat="1" applyFont="1"/>
    <xf numFmtId="0" fontId="7" fillId="0" borderId="1" xfId="0" applyFont="1" applyBorder="1"/>
    <xf numFmtId="0" fontId="7" fillId="0" borderId="2" xfId="0" applyFont="1" applyBorder="1"/>
    <xf numFmtId="167" fontId="6" fillId="0" borderId="2" xfId="0" applyNumberFormat="1" applyFont="1" applyBorder="1" applyAlignment="1">
      <alignment horizontal="center"/>
    </xf>
    <xf numFmtId="167" fontId="6" fillId="0" borderId="4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7" fillId="0" borderId="0" xfId="0" applyFont="1" applyBorder="1" applyAlignment="1">
      <alignment horizontal="left"/>
    </xf>
    <xf numFmtId="168" fontId="7" fillId="0" borderId="0" xfId="0" applyNumberFormat="1" applyFont="1" applyBorder="1"/>
    <xf numFmtId="168" fontId="7" fillId="0" borderId="5" xfId="0" applyNumberFormat="1" applyFont="1" applyBorder="1"/>
    <xf numFmtId="168" fontId="7" fillId="0" borderId="3" xfId="0" applyNumberFormat="1" applyFont="1" applyBorder="1"/>
    <xf numFmtId="167" fontId="16" fillId="0" borderId="0" xfId="0" applyNumberFormat="1" applyFont="1"/>
    <xf numFmtId="3" fontId="7" fillId="0" borderId="0" xfId="0" applyNumberFormat="1" applyFont="1"/>
    <xf numFmtId="0" fontId="7" fillId="4" borderId="3" xfId="0" applyFont="1" applyFill="1" applyBorder="1"/>
    <xf numFmtId="0" fontId="7" fillId="4" borderId="0" xfId="0" applyFont="1" applyFill="1" applyBorder="1" applyAlignment="1">
      <alignment horizontal="left"/>
    </xf>
    <xf numFmtId="168" fontId="7" fillId="4" borderId="0" xfId="0" applyNumberFormat="1" applyFont="1" applyFill="1" applyBorder="1"/>
    <xf numFmtId="168" fontId="7" fillId="4" borderId="5" xfId="0" applyNumberFormat="1" applyFont="1" applyFill="1" applyBorder="1"/>
    <xf numFmtId="168" fontId="17" fillId="4" borderId="3" xfId="0" applyNumberFormat="1" applyFont="1" applyFill="1" applyBorder="1"/>
    <xf numFmtId="168" fontId="17" fillId="4" borderId="5" xfId="0" applyNumberFormat="1" applyFont="1" applyFill="1" applyBorder="1"/>
    <xf numFmtId="167" fontId="7" fillId="0" borderId="0" xfId="0" applyNumberFormat="1" applyFont="1"/>
    <xf numFmtId="168" fontId="16" fillId="0" borderId="0" xfId="0" applyNumberFormat="1" applyFont="1"/>
    <xf numFmtId="0" fontId="7" fillId="0" borderId="2" xfId="0" applyFont="1" applyBorder="1" applyAlignment="1">
      <alignment horizontal="left"/>
    </xf>
    <xf numFmtId="168" fontId="7" fillId="0" borderId="2" xfId="0" applyNumberFormat="1" applyFont="1" applyBorder="1"/>
    <xf numFmtId="168" fontId="7" fillId="0" borderId="4" xfId="0" applyNumberFormat="1" applyFont="1" applyBorder="1"/>
    <xf numFmtId="0" fontId="14" fillId="0" borderId="0" xfId="0" applyFont="1" applyBorder="1" applyAlignment="1">
      <alignment horizontal="right"/>
    </xf>
    <xf numFmtId="167" fontId="14" fillId="0" borderId="0" xfId="0" quotePrefix="1" applyNumberFormat="1" applyFont="1" applyBorder="1" applyAlignment="1">
      <alignment horizontal="right"/>
    </xf>
    <xf numFmtId="167" fontId="14" fillId="0" borderId="0" xfId="0" applyNumberFormat="1" applyFont="1" applyBorder="1" applyAlignment="1">
      <alignment horizontal="right"/>
    </xf>
    <xf numFmtId="0" fontId="10" fillId="4" borderId="0" xfId="0" applyFont="1" applyFill="1" applyAlignment="1">
      <alignment vertical="center"/>
    </xf>
    <xf numFmtId="165" fontId="10" fillId="4" borderId="0" xfId="0" applyNumberFormat="1" applyFont="1" applyFill="1" applyAlignment="1">
      <alignment horizontal="center" vertical="center"/>
    </xf>
    <xf numFmtId="167" fontId="15" fillId="0" borderId="0" xfId="0" applyNumberFormat="1" applyFont="1" applyBorder="1" applyAlignment="1">
      <alignment horizontal="center"/>
    </xf>
    <xf numFmtId="1" fontId="14" fillId="0" borderId="0" xfId="0" applyNumberFormat="1" applyFont="1" applyFill="1" applyBorder="1" applyAlignment="1">
      <alignment horizontal="center"/>
    </xf>
    <xf numFmtId="0" fontId="7" fillId="0" borderId="0" xfId="0" applyFont="1" applyBorder="1"/>
    <xf numFmtId="0" fontId="7" fillId="0" borderId="6" xfId="0" applyFont="1" applyBorder="1"/>
    <xf numFmtId="0" fontId="18" fillId="0" borderId="0" xfId="0" applyFont="1" applyBorder="1" applyAlignment="1">
      <alignment horizontal="center" vertical="center"/>
    </xf>
    <xf numFmtId="0" fontId="12" fillId="4" borderId="0" xfId="0" applyFont="1" applyFill="1" applyBorder="1" applyAlignment="1">
      <alignment vertical="center"/>
    </xf>
    <xf numFmtId="3" fontId="6" fillId="0" borderId="1" xfId="0" applyNumberFormat="1" applyFont="1" applyBorder="1" applyAlignment="1">
      <alignment horizontal="right"/>
    </xf>
    <xf numFmtId="1" fontId="5" fillId="0" borderId="0" xfId="0" applyNumberFormat="1" applyFont="1"/>
    <xf numFmtId="1" fontId="5" fillId="0" borderId="0" xfId="0" applyNumberFormat="1" applyFont="1" applyFill="1"/>
    <xf numFmtId="1" fontId="5" fillId="0" borderId="0" xfId="0" applyNumberFormat="1" applyFont="1" applyFill="1" applyAlignment="1">
      <alignment horizontal="right"/>
    </xf>
    <xf numFmtId="3" fontId="5" fillId="6" borderId="12" xfId="5" applyNumberFormat="1" applyFont="1" applyFill="1" applyBorder="1" applyAlignment="1">
      <alignment horizontal="center"/>
    </xf>
    <xf numFmtId="3" fontId="5" fillId="0" borderId="13" xfId="5" applyNumberFormat="1" applyFont="1" applyBorder="1" applyAlignment="1">
      <alignment horizontal="center"/>
    </xf>
    <xf numFmtId="3" fontId="5" fillId="0" borderId="14" xfId="5" applyNumberFormat="1" applyFont="1" applyBorder="1" applyAlignment="1">
      <alignment horizontal="center"/>
    </xf>
    <xf numFmtId="3" fontId="5" fillId="0" borderId="14" xfId="0" applyNumberFormat="1" applyFont="1" applyFill="1" applyBorder="1" applyAlignment="1">
      <alignment horizontal="center"/>
    </xf>
    <xf numFmtId="3" fontId="5" fillId="0" borderId="13" xfId="0" applyNumberFormat="1" applyFont="1" applyFill="1" applyBorder="1" applyAlignment="1">
      <alignment horizontal="center"/>
    </xf>
    <xf numFmtId="3" fontId="6" fillId="0" borderId="14" xfId="0" applyNumberFormat="1" applyFont="1" applyFill="1" applyBorder="1" applyAlignment="1">
      <alignment horizontal="center"/>
    </xf>
    <xf numFmtId="3" fontId="5" fillId="5" borderId="13" xfId="4" applyNumberFormat="1" applyFont="1" applyFill="1" applyBorder="1" applyAlignment="1">
      <alignment horizontal="center"/>
    </xf>
    <xf numFmtId="3" fontId="6" fillId="0" borderId="13" xfId="0" applyNumberFormat="1" applyFont="1" applyFill="1" applyBorder="1" applyAlignment="1">
      <alignment horizontal="center"/>
    </xf>
    <xf numFmtId="3" fontId="6" fillId="0" borderId="15" xfId="0" applyNumberFormat="1" applyFont="1" applyFill="1" applyBorder="1" applyAlignment="1">
      <alignment horizontal="center"/>
    </xf>
    <xf numFmtId="3" fontId="6" fillId="4" borderId="16" xfId="0" applyNumberFormat="1" applyFont="1" applyFill="1" applyBorder="1" applyAlignment="1">
      <alignment horizontal="center"/>
    </xf>
    <xf numFmtId="3" fontId="5" fillId="6" borderId="17" xfId="5" applyNumberFormat="1" applyFont="1" applyFill="1" applyBorder="1" applyAlignment="1">
      <alignment horizontal="center"/>
    </xf>
    <xf numFmtId="3" fontId="5" fillId="0" borderId="18" xfId="5" applyNumberFormat="1" applyFont="1" applyBorder="1" applyAlignment="1">
      <alignment horizontal="center"/>
    </xf>
    <xf numFmtId="3" fontId="5" fillId="0" borderId="19" xfId="5" applyNumberFormat="1" applyFont="1" applyBorder="1" applyAlignment="1">
      <alignment horizontal="center"/>
    </xf>
    <xf numFmtId="3" fontId="5" fillId="0" borderId="19" xfId="0" applyNumberFormat="1" applyFont="1" applyFill="1" applyBorder="1" applyAlignment="1">
      <alignment horizontal="center"/>
    </xf>
    <xf numFmtId="3" fontId="5" fillId="0" borderId="18" xfId="0" applyNumberFormat="1" applyFont="1" applyFill="1" applyBorder="1" applyAlignment="1">
      <alignment horizontal="center"/>
    </xf>
    <xf numFmtId="3" fontId="8" fillId="0" borderId="18" xfId="5" applyNumberFormat="1" applyFont="1" applyBorder="1" applyAlignment="1">
      <alignment horizontal="center"/>
    </xf>
    <xf numFmtId="3" fontId="6" fillId="0" borderId="19" xfId="0" applyNumberFormat="1" applyFont="1" applyFill="1" applyBorder="1" applyAlignment="1">
      <alignment horizontal="center"/>
    </xf>
    <xf numFmtId="3" fontId="5" fillId="5" borderId="18" xfId="4" applyNumberFormat="1" applyFont="1" applyFill="1" applyBorder="1" applyAlignment="1">
      <alignment horizontal="center"/>
    </xf>
    <xf numFmtId="3" fontId="6" fillId="0" borderId="18" xfId="0" applyNumberFormat="1" applyFont="1" applyFill="1" applyBorder="1" applyAlignment="1">
      <alignment horizontal="center"/>
    </xf>
    <xf numFmtId="3" fontId="6" fillId="0" borderId="20" xfId="0" applyNumberFormat="1" applyFont="1" applyFill="1" applyBorder="1" applyAlignment="1">
      <alignment horizontal="center"/>
    </xf>
    <xf numFmtId="3" fontId="6" fillId="4" borderId="21" xfId="0" applyNumberFormat="1" applyFont="1" applyFill="1" applyBorder="1" applyAlignment="1">
      <alignment horizontal="center"/>
    </xf>
    <xf numFmtId="3" fontId="5" fillId="6" borderId="22" xfId="5" applyNumberFormat="1" applyFont="1" applyFill="1" applyBorder="1" applyAlignment="1">
      <alignment horizontal="center"/>
    </xf>
    <xf numFmtId="1" fontId="5" fillId="0" borderId="23" xfId="0" applyNumberFormat="1" applyFont="1" applyBorder="1"/>
    <xf numFmtId="3" fontId="5" fillId="0" borderId="24" xfId="5" applyNumberFormat="1" applyFont="1" applyBorder="1" applyAlignment="1">
      <alignment horizontal="center"/>
    </xf>
    <xf numFmtId="1" fontId="5" fillId="0" borderId="25" xfId="0" applyNumberFormat="1" applyFont="1" applyBorder="1"/>
    <xf numFmtId="3" fontId="5" fillId="0" borderId="26" xfId="5" applyNumberFormat="1" applyFont="1" applyBorder="1" applyAlignment="1">
      <alignment horizontal="center"/>
    </xf>
    <xf numFmtId="166" fontId="9" fillId="0" borderId="25" xfId="0" applyNumberFormat="1" applyFont="1" applyBorder="1" applyAlignment="1">
      <alignment horizontal="center"/>
    </xf>
    <xf numFmtId="3" fontId="5" fillId="0" borderId="26" xfId="0" applyNumberFormat="1" applyFont="1" applyFill="1" applyBorder="1" applyAlignment="1">
      <alignment horizontal="center"/>
    </xf>
    <xf numFmtId="166" fontId="5" fillId="0" borderId="23" xfId="0" applyNumberFormat="1" applyFont="1" applyBorder="1"/>
    <xf numFmtId="3" fontId="5" fillId="0" borderId="24" xfId="0" applyNumberFormat="1" applyFont="1" applyFill="1" applyBorder="1" applyAlignment="1">
      <alignment horizontal="center"/>
    </xf>
    <xf numFmtId="10" fontId="9" fillId="0" borderId="23" xfId="0" applyNumberFormat="1" applyFont="1" applyBorder="1" applyAlignment="1">
      <alignment horizontal="center"/>
    </xf>
    <xf numFmtId="10" fontId="5" fillId="0" borderId="23" xfId="0" applyNumberFormat="1" applyFont="1" applyBorder="1" applyAlignment="1">
      <alignment horizontal="center"/>
    </xf>
    <xf numFmtId="3" fontId="8" fillId="0" borderId="24" xfId="5" applyNumberFormat="1" applyFont="1" applyBorder="1" applyAlignment="1">
      <alignment horizontal="center"/>
    </xf>
    <xf numFmtId="10" fontId="5" fillId="0" borderId="23" xfId="0" applyNumberFormat="1" applyFont="1" applyFill="1" applyBorder="1" applyAlignment="1">
      <alignment horizontal="center"/>
    </xf>
    <xf numFmtId="166" fontId="5" fillId="0" borderId="23" xfId="0" applyNumberFormat="1" applyFont="1" applyBorder="1" applyAlignment="1">
      <alignment horizontal="center"/>
    </xf>
    <xf numFmtId="166" fontId="5" fillId="0" borderId="25" xfId="0" applyNumberFormat="1" applyFont="1" applyBorder="1" applyAlignment="1">
      <alignment horizontal="center"/>
    </xf>
    <xf numFmtId="3" fontId="6" fillId="0" borderId="26" xfId="0" applyNumberFormat="1" applyFont="1" applyFill="1" applyBorder="1" applyAlignment="1">
      <alignment horizontal="center"/>
    </xf>
    <xf numFmtId="166" fontId="9" fillId="0" borderId="23" xfId="0" applyNumberFormat="1" applyFont="1" applyBorder="1" applyAlignment="1">
      <alignment horizontal="center"/>
    </xf>
    <xf numFmtId="166" fontId="5" fillId="0" borderId="23" xfId="0" applyNumberFormat="1" applyFont="1" applyFill="1" applyBorder="1" applyAlignment="1">
      <alignment horizontal="center"/>
    </xf>
    <xf numFmtId="166" fontId="5" fillId="0" borderId="25" xfId="0" applyNumberFormat="1" applyFont="1" applyFill="1" applyBorder="1" applyAlignment="1">
      <alignment horizontal="center"/>
    </xf>
    <xf numFmtId="3" fontId="5" fillId="5" borderId="24" xfId="4" applyNumberFormat="1" applyFont="1" applyFill="1" applyBorder="1" applyAlignment="1">
      <alignment horizontal="center"/>
    </xf>
    <xf numFmtId="3" fontId="6" fillId="0" borderId="24" xfId="0" applyNumberFormat="1" applyFont="1" applyFill="1" applyBorder="1" applyAlignment="1">
      <alignment horizontal="center"/>
    </xf>
    <xf numFmtId="166" fontId="5" fillId="0" borderId="27" xfId="0" applyNumberFormat="1" applyFont="1" applyFill="1" applyBorder="1" applyAlignment="1">
      <alignment horizontal="center"/>
    </xf>
    <xf numFmtId="3" fontId="6" fillId="0" borderId="28" xfId="0" applyNumberFormat="1" applyFont="1" applyFill="1" applyBorder="1" applyAlignment="1">
      <alignment horizontal="center"/>
    </xf>
    <xf numFmtId="3" fontId="10" fillId="0" borderId="0" xfId="0" applyNumberFormat="1" applyFont="1"/>
    <xf numFmtId="166" fontId="5" fillId="0" borderId="18" xfId="5" applyNumberFormat="1" applyFont="1" applyBorder="1" applyAlignment="1">
      <alignment horizontal="center"/>
    </xf>
    <xf numFmtId="3" fontId="5" fillId="0" borderId="30" xfId="5" applyNumberFormat="1" applyFont="1" applyBorder="1" applyAlignment="1">
      <alignment horizontal="center"/>
    </xf>
    <xf numFmtId="10" fontId="5" fillId="0" borderId="31" xfId="0" applyNumberFormat="1" applyFont="1" applyBorder="1" applyAlignment="1">
      <alignment horizontal="center"/>
    </xf>
    <xf numFmtId="3" fontId="5" fillId="0" borderId="0" xfId="5" applyNumberFormat="1" applyFont="1" applyBorder="1" applyAlignment="1">
      <alignment horizontal="center"/>
    </xf>
    <xf numFmtId="166" fontId="5" fillId="0" borderId="18" xfId="0" applyNumberFormat="1" applyFont="1" applyFill="1" applyBorder="1" applyAlignment="1">
      <alignment horizontal="center"/>
    </xf>
    <xf numFmtId="0" fontId="7" fillId="6" borderId="3" xfId="0" applyFont="1" applyFill="1" applyBorder="1"/>
    <xf numFmtId="0" fontId="7" fillId="6" borderId="0" xfId="0" applyFont="1" applyFill="1" applyBorder="1" applyAlignment="1">
      <alignment horizontal="left"/>
    </xf>
    <xf numFmtId="168" fontId="7" fillId="6" borderId="0" xfId="0" applyNumberFormat="1" applyFont="1" applyFill="1" applyBorder="1"/>
    <xf numFmtId="168" fontId="7" fillId="6" borderId="5" xfId="0" applyNumberFormat="1" applyFont="1" applyFill="1" applyBorder="1"/>
    <xf numFmtId="168" fontId="16" fillId="6" borderId="3" xfId="0" applyNumberFormat="1" applyFont="1" applyFill="1" applyBorder="1"/>
    <xf numFmtId="168" fontId="16" fillId="6" borderId="5" xfId="0" applyNumberFormat="1" applyFont="1" applyFill="1" applyBorder="1"/>
    <xf numFmtId="168" fontId="16" fillId="6" borderId="10" xfId="0" applyNumberFormat="1" applyFont="1" applyFill="1" applyBorder="1"/>
    <xf numFmtId="168" fontId="16" fillId="6" borderId="32" xfId="0" applyNumberFormat="1" applyFont="1" applyFill="1" applyBorder="1"/>
    <xf numFmtId="3" fontId="22" fillId="4" borderId="21" xfId="0" applyNumberFormat="1" applyFont="1" applyFill="1" applyBorder="1" applyAlignment="1">
      <alignment horizontal="center"/>
    </xf>
    <xf numFmtId="3" fontId="22" fillId="4" borderId="16" xfId="0" applyNumberFormat="1" applyFont="1" applyFill="1" applyBorder="1" applyAlignment="1">
      <alignment horizontal="center"/>
    </xf>
    <xf numFmtId="3" fontId="22" fillId="4" borderId="11" xfId="0" applyNumberFormat="1" applyFont="1" applyFill="1" applyBorder="1" applyAlignment="1">
      <alignment horizontal="center"/>
    </xf>
    <xf numFmtId="5" fontId="10" fillId="0" borderId="0" xfId="0" applyNumberFormat="1" applyFont="1"/>
    <xf numFmtId="3" fontId="10" fillId="8" borderId="0" xfId="0" applyNumberFormat="1" applyFont="1" applyFill="1"/>
    <xf numFmtId="165" fontId="10" fillId="8" borderId="0" xfId="0" applyNumberFormat="1" applyFont="1" applyFill="1"/>
    <xf numFmtId="165" fontId="10" fillId="8" borderId="0" xfId="0" applyNumberFormat="1" applyFont="1" applyFill="1" applyBorder="1" applyProtection="1">
      <protection locked="0"/>
    </xf>
    <xf numFmtId="0" fontId="10" fillId="8" borderId="33" xfId="0" quotePrefix="1" applyFont="1" applyFill="1" applyBorder="1" applyAlignment="1">
      <alignment horizontal="center"/>
    </xf>
    <xf numFmtId="165" fontId="10" fillId="8" borderId="0" xfId="0" applyNumberFormat="1" applyFont="1" applyFill="1" applyBorder="1" applyProtection="1"/>
    <xf numFmtId="0" fontId="10" fillId="8" borderId="0" xfId="0" applyFont="1" applyFill="1"/>
    <xf numFmtId="10" fontId="10" fillId="8" borderId="0" xfId="0" applyNumberFormat="1" applyFont="1" applyFill="1"/>
    <xf numFmtId="168" fontId="14" fillId="0" borderId="0" xfId="0" applyNumberFormat="1" applyFont="1" applyFill="1" applyBorder="1"/>
    <xf numFmtId="0" fontId="14" fillId="0" borderId="0" xfId="0" applyNumberFormat="1" applyFont="1" applyFill="1" applyBorder="1" applyAlignment="1">
      <alignment horizontal="center"/>
    </xf>
    <xf numFmtId="165" fontId="10" fillId="0" borderId="0" xfId="0" applyNumberFormat="1" applyFont="1" applyFill="1"/>
    <xf numFmtId="165" fontId="10" fillId="0" borderId="0" xfId="0" applyNumberFormat="1" applyFont="1"/>
    <xf numFmtId="9" fontId="5" fillId="0" borderId="33" xfId="0" quotePrefix="1" applyNumberFormat="1" applyFont="1" applyFill="1" applyBorder="1" applyAlignment="1">
      <alignment horizontal="center"/>
    </xf>
    <xf numFmtId="10" fontId="14" fillId="0" borderId="0" xfId="0" applyNumberFormat="1" applyFont="1" applyFill="1" applyBorder="1" applyAlignment="1">
      <alignment horizontal="center"/>
    </xf>
    <xf numFmtId="3" fontId="21" fillId="0" borderId="0" xfId="0" applyNumberFormat="1" applyFont="1" applyBorder="1" applyAlignment="1">
      <alignment horizontal="center" vertical="center"/>
    </xf>
    <xf numFmtId="1" fontId="5" fillId="0" borderId="39" xfId="0" applyNumberFormat="1" applyFont="1" applyBorder="1" applyAlignment="1">
      <alignment horizontal="center"/>
    </xf>
    <xf numFmtId="1" fontId="6" fillId="0" borderId="39" xfId="0" applyNumberFormat="1" applyFont="1" applyBorder="1" applyAlignment="1">
      <alignment horizontal="center" vertical="center"/>
    </xf>
    <xf numFmtId="1" fontId="5" fillId="0" borderId="0" xfId="0" applyNumberFormat="1" applyFont="1" applyAlignment="1">
      <alignment horizontal="right"/>
    </xf>
    <xf numFmtId="3" fontId="6" fillId="4" borderId="7" xfId="0" applyNumberFormat="1" applyFont="1" applyFill="1" applyBorder="1" applyAlignment="1">
      <alignment horizontal="right"/>
    </xf>
    <xf numFmtId="3" fontId="6" fillId="4" borderId="9" xfId="0" applyNumberFormat="1" applyFont="1" applyFill="1" applyBorder="1" applyAlignment="1">
      <alignment horizontal="right"/>
    </xf>
    <xf numFmtId="3" fontId="5" fillId="0" borderId="3" xfId="0" applyNumberFormat="1" applyFont="1" applyBorder="1" applyAlignment="1">
      <alignment horizontal="right"/>
    </xf>
    <xf numFmtId="1" fontId="5" fillId="0" borderId="3" xfId="5" applyFont="1" applyBorder="1" applyAlignment="1">
      <alignment horizontal="right"/>
    </xf>
    <xf numFmtId="1" fontId="5" fillId="0" borderId="8" xfId="5" applyFont="1" applyBorder="1" applyAlignment="1">
      <alignment horizontal="right"/>
    </xf>
    <xf numFmtId="3" fontId="6" fillId="0" borderId="8" xfId="0" applyNumberFormat="1" applyFont="1" applyBorder="1" applyAlignment="1">
      <alignment horizontal="right"/>
    </xf>
    <xf numFmtId="1" fontId="5" fillId="0" borderId="1" xfId="5" applyFont="1" applyBorder="1" applyAlignment="1">
      <alignment horizontal="right"/>
    </xf>
    <xf numFmtId="3" fontId="6" fillId="4" borderId="3" xfId="0" applyNumberFormat="1" applyFont="1" applyFill="1" applyBorder="1" applyAlignment="1">
      <alignment horizontal="right"/>
    </xf>
    <xf numFmtId="3" fontId="5" fillId="0" borderId="3" xfId="0" applyNumberFormat="1" applyFont="1" applyFill="1" applyBorder="1" applyAlignment="1">
      <alignment horizontal="right"/>
    </xf>
    <xf numFmtId="3" fontId="5" fillId="7" borderId="3" xfId="0" applyNumberFormat="1" applyFont="1" applyFill="1" applyBorder="1" applyAlignment="1">
      <alignment horizontal="right"/>
    </xf>
    <xf numFmtId="3" fontId="6" fillId="0" borderId="3" xfId="0" applyNumberFormat="1" applyFont="1" applyBorder="1" applyAlignment="1">
      <alignment horizontal="right"/>
    </xf>
    <xf numFmtId="173" fontId="5" fillId="0" borderId="3" xfId="0" applyNumberFormat="1" applyFont="1" applyBorder="1" applyAlignment="1">
      <alignment horizontal="right"/>
    </xf>
    <xf numFmtId="1" fontId="5" fillId="0" borderId="29" xfId="5" applyFont="1" applyFill="1" applyBorder="1" applyAlignment="1">
      <alignment horizontal="right"/>
    </xf>
    <xf numFmtId="3" fontId="21" fillId="0" borderId="0" xfId="0" applyNumberFormat="1" applyFont="1" applyBorder="1" applyAlignment="1">
      <alignment horizontal="right" vertical="center"/>
    </xf>
    <xf numFmtId="1" fontId="5" fillId="0" borderId="39" xfId="0" applyNumberFormat="1" applyFont="1" applyBorder="1" applyAlignment="1">
      <alignment horizontal="right"/>
    </xf>
    <xf numFmtId="3" fontId="5" fillId="0" borderId="0" xfId="0" applyNumberFormat="1" applyFont="1" applyAlignment="1">
      <alignment horizontal="right"/>
    </xf>
    <xf numFmtId="3" fontId="6" fillId="4" borderId="36" xfId="0" applyNumberFormat="1" applyFont="1" applyFill="1" applyBorder="1" applyAlignment="1">
      <alignment horizontal="center" vertical="center"/>
    </xf>
    <xf numFmtId="3" fontId="6" fillId="4" borderId="37" xfId="0" applyNumberFormat="1" applyFont="1" applyFill="1" applyBorder="1" applyAlignment="1">
      <alignment horizontal="center" vertical="center"/>
    </xf>
    <xf numFmtId="3" fontId="28" fillId="0" borderId="0" xfId="0" applyNumberFormat="1" applyFont="1" applyBorder="1" applyAlignment="1">
      <alignment vertical="center"/>
    </xf>
    <xf numFmtId="1" fontId="5" fillId="0" borderId="0" xfId="0" applyNumberFormat="1" applyFont="1" applyAlignment="1">
      <alignment vertical="center"/>
    </xf>
    <xf numFmtId="3" fontId="21" fillId="0" borderId="0" xfId="0" applyNumberFormat="1" applyFont="1" applyBorder="1" applyAlignment="1">
      <alignment vertical="center"/>
    </xf>
    <xf numFmtId="1" fontId="6" fillId="0" borderId="0" xfId="0" applyNumberFormat="1" applyFont="1" applyBorder="1" applyAlignment="1">
      <alignment horizontal="right" vertical="center"/>
    </xf>
    <xf numFmtId="1" fontId="5" fillId="0" borderId="0" xfId="0" applyNumberFormat="1" applyFont="1" applyBorder="1" applyAlignment="1">
      <alignment vertical="center"/>
    </xf>
    <xf numFmtId="1" fontId="27" fillId="0" borderId="0" xfId="0" applyNumberFormat="1" applyFont="1" applyBorder="1" applyAlignment="1">
      <alignment vertical="center"/>
    </xf>
    <xf numFmtId="10" fontId="27" fillId="0" borderId="0" xfId="0" applyNumberFormat="1" applyFont="1" applyBorder="1" applyAlignment="1">
      <alignment vertical="center"/>
    </xf>
    <xf numFmtId="1" fontId="5" fillId="0" borderId="0" xfId="0" applyNumberFormat="1" applyFont="1" applyFill="1" applyAlignment="1">
      <alignment vertical="center"/>
    </xf>
    <xf numFmtId="171" fontId="5" fillId="0" borderId="0" xfId="0" applyNumberFormat="1" applyFont="1" applyAlignment="1">
      <alignment vertical="center"/>
    </xf>
    <xf numFmtId="172" fontId="5" fillId="0" borderId="0" xfId="0" applyNumberFormat="1" applyFont="1" applyAlignment="1">
      <alignment vertical="center"/>
    </xf>
    <xf numFmtId="3" fontId="5" fillId="0" borderId="0" xfId="0" applyNumberFormat="1" applyFont="1" applyAlignment="1">
      <alignment horizontal="right" vertical="center"/>
    </xf>
    <xf numFmtId="3" fontId="28" fillId="0" borderId="0" xfId="0" applyNumberFormat="1" applyFont="1" applyBorder="1" applyAlignment="1">
      <alignment horizontal="right" vertical="center"/>
    </xf>
    <xf numFmtId="3" fontId="5" fillId="0" borderId="8" xfId="0" applyNumberFormat="1" applyFont="1" applyBorder="1" applyAlignment="1">
      <alignment horizontal="right" vertical="center"/>
    </xf>
    <xf numFmtId="1" fontId="5" fillId="0" borderId="8" xfId="0" applyNumberFormat="1" applyFont="1" applyBorder="1" applyAlignment="1">
      <alignment vertical="center"/>
    </xf>
    <xf numFmtId="1" fontId="5" fillId="0" borderId="8" xfId="5" applyFont="1" applyBorder="1" applyAlignment="1">
      <alignment horizontal="right" vertical="center"/>
    </xf>
    <xf numFmtId="3" fontId="6" fillId="0" borderId="8" xfId="0" applyNumberFormat="1" applyFont="1" applyBorder="1" applyAlignment="1">
      <alignment horizontal="right" vertical="center"/>
    </xf>
    <xf numFmtId="166" fontId="23" fillId="8" borderId="8" xfId="0" applyNumberFormat="1" applyFont="1" applyFill="1" applyBorder="1" applyAlignment="1">
      <alignment vertical="center"/>
    </xf>
    <xf numFmtId="1" fontId="5" fillId="0" borderId="8" xfId="5" applyFont="1" applyFill="1" applyBorder="1" applyAlignment="1">
      <alignment horizontal="right" vertical="center"/>
    </xf>
    <xf numFmtId="166" fontId="23" fillId="0" borderId="8" xfId="0" applyNumberFormat="1" applyFont="1" applyBorder="1" applyAlignment="1">
      <alignment vertical="center"/>
    </xf>
    <xf numFmtId="166" fontId="5" fillId="0" borderId="8" xfId="0" applyNumberFormat="1" applyFont="1" applyBorder="1" applyAlignment="1">
      <alignment vertical="center"/>
    </xf>
    <xf numFmtId="10" fontId="23" fillId="8" borderId="8" xfId="0" applyNumberFormat="1" applyFont="1" applyFill="1" applyBorder="1" applyAlignment="1">
      <alignment vertical="center"/>
    </xf>
    <xf numFmtId="10" fontId="5" fillId="0" borderId="8" xfId="0" applyNumberFormat="1" applyFont="1" applyBorder="1" applyAlignment="1">
      <alignment vertical="center"/>
    </xf>
    <xf numFmtId="3" fontId="5" fillId="0" borderId="8" xfId="0" applyNumberFormat="1" applyFont="1" applyFill="1" applyBorder="1" applyAlignment="1">
      <alignment horizontal="right" vertical="center"/>
    </xf>
    <xf numFmtId="10" fontId="5" fillId="0" borderId="8" xfId="0" applyNumberFormat="1" applyFont="1" applyFill="1" applyBorder="1" applyAlignment="1">
      <alignment vertical="center"/>
    </xf>
    <xf numFmtId="3" fontId="5" fillId="7" borderId="8" xfId="0" applyNumberFormat="1" applyFont="1" applyFill="1" applyBorder="1" applyAlignment="1">
      <alignment horizontal="right" vertical="center"/>
    </xf>
    <xf numFmtId="3" fontId="6" fillId="0" borderId="8" xfId="0" applyNumberFormat="1" applyFont="1" applyFill="1" applyBorder="1" applyAlignment="1">
      <alignment vertical="center"/>
    </xf>
    <xf numFmtId="173" fontId="5" fillId="0" borderId="8" xfId="0" applyNumberFormat="1" applyFont="1" applyBorder="1" applyAlignment="1">
      <alignment horizontal="right" vertical="center"/>
    </xf>
    <xf numFmtId="166" fontId="5" fillId="0" borderId="8" xfId="0" applyNumberFormat="1" applyFont="1" applyFill="1" applyBorder="1" applyAlignment="1">
      <alignment vertical="center"/>
    </xf>
    <xf numFmtId="165" fontId="5" fillId="0" borderId="8" xfId="5" applyNumberFormat="1" applyFont="1" applyBorder="1" applyAlignment="1">
      <alignment vertical="center"/>
    </xf>
    <xf numFmtId="165" fontId="5" fillId="0" borderId="8" xfId="0" applyNumberFormat="1" applyFont="1" applyFill="1" applyBorder="1" applyAlignment="1">
      <alignment vertical="center"/>
    </xf>
    <xf numFmtId="165" fontId="23" fillId="8" borderId="8" xfId="5" applyNumberFormat="1" applyFont="1" applyFill="1" applyBorder="1" applyAlignment="1">
      <alignment vertical="center"/>
    </xf>
    <xf numFmtId="165" fontId="23" fillId="0" borderId="8" xfId="5" applyNumberFormat="1" applyFont="1" applyBorder="1" applyAlignment="1">
      <alignment vertical="center"/>
    </xf>
    <xf numFmtId="165" fontId="23" fillId="8" borderId="8" xfId="5" quotePrefix="1" applyNumberFormat="1" applyFont="1" applyFill="1" applyBorder="1" applyAlignment="1">
      <alignment vertical="center"/>
    </xf>
    <xf numFmtId="165" fontId="23" fillId="8" borderId="8" xfId="0" applyNumberFormat="1" applyFont="1" applyFill="1" applyBorder="1" applyAlignment="1">
      <alignment vertical="center"/>
    </xf>
    <xf numFmtId="165" fontId="6" fillId="0" borderId="8" xfId="0" applyNumberFormat="1" applyFont="1" applyFill="1" applyBorder="1" applyAlignment="1">
      <alignment vertical="center"/>
    </xf>
    <xf numFmtId="165" fontId="5" fillId="5" borderId="8" xfId="4" applyNumberFormat="1" applyFont="1" applyFill="1" applyBorder="1" applyAlignment="1">
      <alignment vertical="center"/>
    </xf>
    <xf numFmtId="1" fontId="27" fillId="0" borderId="8" xfId="5" applyFont="1" applyBorder="1" applyAlignment="1">
      <alignment horizontal="right" vertical="center"/>
    </xf>
    <xf numFmtId="1" fontId="27" fillId="0" borderId="8" xfId="0" applyNumberFormat="1" applyFont="1" applyBorder="1" applyAlignment="1">
      <alignment vertical="center"/>
    </xf>
    <xf numFmtId="165" fontId="27" fillId="0" borderId="8" xfId="5" applyNumberFormat="1" applyFont="1" applyBorder="1" applyAlignment="1">
      <alignment vertical="center"/>
    </xf>
    <xf numFmtId="3" fontId="27" fillId="0" borderId="8" xfId="0" applyNumberFormat="1" applyFont="1" applyFill="1" applyBorder="1" applyAlignment="1">
      <alignment horizontal="right" vertical="center"/>
    </xf>
    <xf numFmtId="165" fontId="29" fillId="8" borderId="8" xfId="0" applyNumberFormat="1" applyFont="1" applyFill="1" applyBorder="1" applyAlignment="1">
      <alignment vertical="center"/>
    </xf>
    <xf numFmtId="165" fontId="27" fillId="0" borderId="8" xfId="5" applyNumberFormat="1" applyFont="1" applyFill="1" applyBorder="1" applyAlignment="1">
      <alignment vertical="center"/>
    </xf>
    <xf numFmtId="3" fontId="27" fillId="0" borderId="8" xfId="0" applyNumberFormat="1" applyFont="1" applyBorder="1" applyAlignment="1">
      <alignment horizontal="right" vertical="center"/>
    </xf>
    <xf numFmtId="166" fontId="27" fillId="0" borderId="8" xfId="0" applyNumberFormat="1" applyFont="1" applyBorder="1" applyAlignment="1">
      <alignment vertical="center"/>
    </xf>
    <xf numFmtId="166" fontId="29" fillId="8" borderId="8" xfId="0" applyNumberFormat="1" applyFont="1" applyFill="1" applyBorder="1" applyAlignment="1">
      <alignment vertical="center"/>
    </xf>
    <xf numFmtId="165" fontId="27" fillId="0" borderId="8" xfId="0" applyNumberFormat="1" applyFont="1" applyFill="1" applyBorder="1" applyAlignment="1">
      <alignment vertical="center"/>
    </xf>
    <xf numFmtId="166" fontId="30" fillId="0" borderId="8" xfId="0" applyNumberFormat="1" applyFont="1" applyBorder="1" applyAlignment="1">
      <alignment vertical="center"/>
    </xf>
    <xf numFmtId="3" fontId="6" fillId="9" borderId="1" xfId="0" applyNumberFormat="1" applyFont="1" applyFill="1" applyBorder="1" applyAlignment="1">
      <alignment horizontal="centerContinuous" vertical="center"/>
    </xf>
    <xf numFmtId="166" fontId="5" fillId="9" borderId="2" xfId="0" applyNumberFormat="1" applyFont="1" applyFill="1" applyBorder="1" applyAlignment="1">
      <alignment horizontal="centerContinuous" vertical="center"/>
    </xf>
    <xf numFmtId="165" fontId="5" fillId="9" borderId="4" xfId="0" applyNumberFormat="1" applyFont="1" applyFill="1" applyBorder="1" applyAlignment="1">
      <alignment horizontal="centerContinuous" vertical="center"/>
    </xf>
    <xf numFmtId="0" fontId="19" fillId="0" borderId="34" xfId="0" applyFont="1" applyBorder="1" applyAlignment="1">
      <alignment horizontal="center" vertical="center"/>
    </xf>
    <xf numFmtId="0" fontId="19" fillId="0" borderId="35" xfId="0" applyFont="1" applyBorder="1" applyAlignment="1">
      <alignment horizontal="center" vertical="center"/>
    </xf>
    <xf numFmtId="3" fontId="28" fillId="0" borderId="0" xfId="0" applyNumberFormat="1" applyFont="1" applyBorder="1" applyAlignment="1">
      <alignment horizontal="center" vertical="center"/>
    </xf>
    <xf numFmtId="3" fontId="28" fillId="0" borderId="0" xfId="0" applyNumberFormat="1" applyFont="1" applyFill="1" applyBorder="1" applyAlignment="1">
      <alignment vertical="center"/>
    </xf>
    <xf numFmtId="3" fontId="21" fillId="0" borderId="0" xfId="0" applyNumberFormat="1" applyFont="1" applyFill="1" applyBorder="1" applyAlignment="1">
      <alignment vertical="center"/>
    </xf>
    <xf numFmtId="1" fontId="5" fillId="0" borderId="0" xfId="0" applyNumberFormat="1" applyFont="1" applyFill="1" applyBorder="1" applyAlignment="1">
      <alignment vertical="center"/>
    </xf>
    <xf numFmtId="1" fontId="5" fillId="0" borderId="8" xfId="0" applyNumberFormat="1" applyFont="1" applyFill="1" applyBorder="1" applyAlignment="1">
      <alignment vertical="center"/>
    </xf>
    <xf numFmtId="1" fontId="27" fillId="0" borderId="8" xfId="0" applyNumberFormat="1" applyFont="1" applyFill="1" applyBorder="1" applyAlignment="1">
      <alignment vertical="center"/>
    </xf>
    <xf numFmtId="166" fontId="29" fillId="0" borderId="8" xfId="0" applyNumberFormat="1" applyFont="1" applyFill="1" applyBorder="1" applyAlignment="1">
      <alignment vertical="center"/>
    </xf>
    <xf numFmtId="166" fontId="23" fillId="0" borderId="8" xfId="0" applyNumberFormat="1" applyFont="1" applyFill="1" applyBorder="1" applyAlignment="1">
      <alignment vertical="center"/>
    </xf>
    <xf numFmtId="166" fontId="27" fillId="0" borderId="8" xfId="0" applyNumberFormat="1" applyFont="1" applyFill="1" applyBorder="1" applyAlignment="1">
      <alignment vertical="center"/>
    </xf>
    <xf numFmtId="166" fontId="5" fillId="0" borderId="2" xfId="0" applyNumberFormat="1" applyFont="1" applyFill="1" applyBorder="1" applyAlignment="1">
      <alignment horizontal="centerContinuous" vertical="center"/>
    </xf>
    <xf numFmtId="10" fontId="23" fillId="0" borderId="8" xfId="0" applyNumberFormat="1" applyFont="1" applyFill="1" applyBorder="1" applyAlignment="1">
      <alignment vertical="center"/>
    </xf>
    <xf numFmtId="166" fontId="30" fillId="0" borderId="8" xfId="0" applyNumberFormat="1" applyFont="1" applyFill="1" applyBorder="1" applyAlignment="1">
      <alignment vertical="center"/>
    </xf>
    <xf numFmtId="3" fontId="5" fillId="10" borderId="8" xfId="0" applyNumberFormat="1" applyFont="1" applyFill="1" applyBorder="1" applyAlignment="1">
      <alignment horizontal="center" vertical="center"/>
    </xf>
    <xf numFmtId="3" fontId="5" fillId="10" borderId="3" xfId="0" applyNumberFormat="1" applyFont="1" applyFill="1" applyBorder="1" applyAlignment="1">
      <alignment horizontal="right"/>
    </xf>
    <xf numFmtId="1" fontId="5" fillId="0" borderId="18" xfId="0" applyNumberFormat="1" applyFont="1" applyBorder="1"/>
    <xf numFmtId="1" fontId="5" fillId="0" borderId="19" xfId="0" applyNumberFormat="1" applyFont="1" applyBorder="1"/>
    <xf numFmtId="166" fontId="9" fillId="0" borderId="19" xfId="0" applyNumberFormat="1" applyFont="1" applyBorder="1" applyAlignment="1">
      <alignment horizontal="center"/>
    </xf>
    <xf numFmtId="166" fontId="9" fillId="0" borderId="18" xfId="0" applyNumberFormat="1" applyFont="1" applyBorder="1" applyAlignment="1">
      <alignment horizontal="center"/>
    </xf>
    <xf numFmtId="166" fontId="5" fillId="0" borderId="18" xfId="0" applyNumberFormat="1" applyFont="1" applyBorder="1"/>
    <xf numFmtId="10" fontId="5" fillId="0" borderId="18" xfId="0" applyNumberFormat="1" applyFont="1" applyBorder="1" applyAlignment="1">
      <alignment horizontal="center"/>
    </xf>
    <xf numFmtId="10" fontId="5" fillId="0" borderId="18" xfId="0" applyNumberFormat="1" applyFont="1" applyFill="1" applyBorder="1" applyAlignment="1">
      <alignment horizontal="center"/>
    </xf>
    <xf numFmtId="10" fontId="5" fillId="0" borderId="0" xfId="0" applyNumberFormat="1" applyFont="1" applyBorder="1" applyAlignment="1">
      <alignment horizontal="center"/>
    </xf>
    <xf numFmtId="10" fontId="9" fillId="0" borderId="18" xfId="0" applyNumberFormat="1" applyFont="1" applyBorder="1" applyAlignment="1">
      <alignment horizontal="center"/>
    </xf>
    <xf numFmtId="166" fontId="5" fillId="0" borderId="19" xfId="0" applyNumberFormat="1" applyFont="1" applyBorder="1" applyAlignment="1">
      <alignment horizontal="center"/>
    </xf>
    <xf numFmtId="166" fontId="5" fillId="0" borderId="18" xfId="0" applyNumberFormat="1" applyFont="1" applyBorder="1" applyAlignment="1">
      <alignment horizontal="center"/>
    </xf>
    <xf numFmtId="166" fontId="5" fillId="0" borderId="19" xfId="0" applyNumberFormat="1" applyFont="1" applyFill="1" applyBorder="1" applyAlignment="1">
      <alignment horizontal="center"/>
    </xf>
    <xf numFmtId="166" fontId="5" fillId="0" borderId="20" xfId="0" applyNumberFormat="1" applyFont="1" applyFill="1" applyBorder="1" applyAlignment="1">
      <alignment horizontal="center"/>
    </xf>
    <xf numFmtId="3" fontId="6" fillId="0" borderId="40" xfId="0" applyNumberFormat="1" applyFont="1" applyFill="1" applyBorder="1" applyAlignment="1">
      <alignment horizontal="center" vertical="center"/>
    </xf>
    <xf numFmtId="3" fontId="5" fillId="10" borderId="16" xfId="0" applyNumberFormat="1" applyFont="1" applyFill="1" applyBorder="1" applyAlignment="1">
      <alignment horizontal="center" vertical="center"/>
    </xf>
  </cellXfs>
  <cellStyles count="13">
    <cellStyle name="_Data" xfId="1" xr:uid="{00000000-0005-0000-0000-000000000000}"/>
    <cellStyle name="_Header" xfId="2" xr:uid="{00000000-0005-0000-0000-000001000000}"/>
    <cellStyle name="_Row1" xfId="3" xr:uid="{00000000-0005-0000-0000-000002000000}"/>
    <cellStyle name="Lien hypertexte 2" xfId="9" xr:uid="{B53AD023-E566-6D43-8319-9E605B25B1FC}"/>
    <cellStyle name="Milliers" xfId="4" builtinId="3"/>
    <cellStyle name="Milliers 2" xfId="7" xr:uid="{40703E26-C99D-DE44-BB4D-E13C48F44733}"/>
    <cellStyle name="Monétaire 2" xfId="10" xr:uid="{3547EB5C-C99E-2445-8ECA-C4107C81AC7F}"/>
    <cellStyle name="Monétaire 3" xfId="11" xr:uid="{1999E761-428B-C640-AAEB-3029DAF0B96E}"/>
    <cellStyle name="Normal" xfId="0" builtinId="0"/>
    <cellStyle name="Normal 2" xfId="6" xr:uid="{7D46DBB8-D173-ED4A-923B-6BDB76AFFA7E}"/>
    <cellStyle name="Normal_Feuil1" xfId="5" xr:uid="{00000000-0005-0000-0000-000005000000}"/>
    <cellStyle name="Pourcentage 2" xfId="8" xr:uid="{B6C63EAA-F773-6446-BC66-A863AB400DF3}"/>
    <cellStyle name="Total 2" xfId="12" xr:uid="{AE8DFEE8-3F3A-944D-B260-71D59E196663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A2DD"/>
      <color rgb="FF043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Hugues BRAY" id="{6303F04D-A413-3746-A0CB-75A1764B6ADA}" userId="S::hugues@hugobass.onmicrosoft.com::59711900-286d-4a6f-b29c-5e368c093911" providerId="AD"/>
</personList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D6" dT="2022-06-13T07:18:40.99" personId="{6303F04D-A413-3746-A0CB-75A1764B6ADA}" id="{64DD8E2E-B718-9549-A324-13B7B1DA6CBB}">
    <text>Forum Excel pratique : Automatiquement vs Point mort avec +-ligne colonne</text>
  </threadedComment>
  <threadedComment ref="B19" dT="2022-06-13T07:18:16.16" personId="{6303F04D-A413-3746-A0CB-75A1764B6ADA}" id="{92BB58A4-CA86-8445-8DBB-FEEF5C49BFEC}">
    <text>Forum Excel pratique : Automatiquement vs Point mort avec +-ligne colonne</text>
  </threadedComment>
</ThreadedComments>
</file>

<file path=xl/worksheets/_rels/sheet6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B1:I32"/>
  <sheetViews>
    <sheetView showGridLines="0" zoomScale="150" zoomScaleNormal="150" workbookViewId="0">
      <selection activeCell="H5" sqref="H5"/>
    </sheetView>
  </sheetViews>
  <sheetFormatPr baseColWidth="10" defaultColWidth="12" defaultRowHeight="15"/>
  <cols>
    <col min="1" max="1" width="20.75" style="3" customWidth="1"/>
    <col min="2" max="2" width="5.25" style="3" customWidth="1"/>
    <col min="3" max="3" width="52.25" style="3" customWidth="1"/>
    <col min="4" max="4" width="5.75" style="20" customWidth="1"/>
    <col min="5" max="5" width="3.75" style="3" customWidth="1"/>
    <col min="6" max="6" width="15" style="3" customWidth="1"/>
    <col min="7" max="7" width="3.75" style="3" customWidth="1"/>
    <col min="8" max="8" width="16.25" style="3" customWidth="1"/>
    <col min="9" max="9" width="18" style="3" customWidth="1"/>
    <col min="10" max="16384" width="12" style="3"/>
  </cols>
  <sheetData>
    <row r="1" spans="2:9" ht="35" customHeight="1" thickBot="1">
      <c r="B1" s="214" t="s">
        <v>70</v>
      </c>
      <c r="C1" s="214"/>
      <c r="D1" s="214"/>
      <c r="E1" s="214"/>
      <c r="F1" s="214"/>
      <c r="G1" s="214"/>
    </row>
    <row r="2" spans="2:9" ht="8.25" customHeight="1" thickTop="1">
      <c r="B2" s="61"/>
      <c r="C2" s="61"/>
      <c r="D2" s="61"/>
      <c r="E2" s="61"/>
      <c r="F2" s="61"/>
      <c r="G2" s="61"/>
    </row>
    <row r="3" spans="2:9" ht="17" customHeight="1">
      <c r="B3" s="62" t="s">
        <v>33</v>
      </c>
      <c r="C3" s="1"/>
      <c r="D3" s="19"/>
      <c r="E3" s="55"/>
      <c r="F3" s="56"/>
      <c r="G3" s="55"/>
    </row>
    <row r="4" spans="2:9" ht="17" customHeight="1">
      <c r="B4" s="2"/>
      <c r="C4" s="3" t="s">
        <v>80</v>
      </c>
      <c r="F4" s="129">
        <v>60</v>
      </c>
      <c r="H4" s="111"/>
    </row>
    <row r="5" spans="2:9" ht="17" customHeight="1">
      <c r="B5" s="2"/>
      <c r="C5" s="3" t="s">
        <v>78</v>
      </c>
      <c r="F5" s="130">
        <v>25000</v>
      </c>
      <c r="H5" s="111">
        <f>F5/12</f>
        <v>2083.3333333333335</v>
      </c>
    </row>
    <row r="6" spans="2:9" ht="17" customHeight="1">
      <c r="B6" s="2"/>
      <c r="C6" s="3" t="s">
        <v>34</v>
      </c>
      <c r="F6" s="138">
        <f>(F4*60)</f>
        <v>3600</v>
      </c>
      <c r="H6" s="111"/>
    </row>
    <row r="7" spans="2:9" ht="17" customHeight="1">
      <c r="B7" s="2"/>
      <c r="C7" s="3" t="s">
        <v>35</v>
      </c>
      <c r="F7" s="138">
        <f>F4*15</f>
        <v>900</v>
      </c>
      <c r="H7" s="111"/>
    </row>
    <row r="8" spans="2:9" ht="17" customHeight="1">
      <c r="B8" s="62" t="s">
        <v>36</v>
      </c>
      <c r="C8" s="1"/>
      <c r="D8" s="19"/>
      <c r="E8" s="1"/>
      <c r="F8" s="5"/>
      <c r="G8" s="1"/>
      <c r="H8" s="111"/>
    </row>
    <row r="9" spans="2:9" ht="17" customHeight="1">
      <c r="B9" s="2"/>
      <c r="C9" s="3" t="s">
        <v>37</v>
      </c>
      <c r="F9" s="130">
        <v>1000</v>
      </c>
    </row>
    <row r="10" spans="2:9" ht="17" customHeight="1">
      <c r="B10" s="2"/>
      <c r="C10" s="3" t="s">
        <v>73</v>
      </c>
      <c r="F10" s="129">
        <v>55</v>
      </c>
      <c r="H10" s="111"/>
      <c r="I10" s="128"/>
    </row>
    <row r="11" spans="2:9" ht="17" customHeight="1">
      <c r="B11" s="2"/>
      <c r="C11" s="3" t="s">
        <v>38</v>
      </c>
      <c r="F11" s="6">
        <f>F9*F10</f>
        <v>55000</v>
      </c>
    </row>
    <row r="12" spans="2:9" ht="17" customHeight="1">
      <c r="B12" s="2"/>
      <c r="C12" s="3" t="s">
        <v>39</v>
      </c>
      <c r="F12" s="130">
        <v>78000</v>
      </c>
      <c r="H12" s="139"/>
    </row>
    <row r="13" spans="2:9" ht="17" customHeight="1">
      <c r="B13" s="2"/>
      <c r="C13" s="7" t="s">
        <v>40</v>
      </c>
      <c r="D13" s="21"/>
      <c r="E13" s="7"/>
      <c r="F13" s="131">
        <v>1000</v>
      </c>
    </row>
    <row r="14" spans="2:9" ht="17" customHeight="1">
      <c r="B14" s="2"/>
      <c r="C14" s="7" t="s">
        <v>41</v>
      </c>
      <c r="D14" s="21"/>
      <c r="E14" s="7"/>
      <c r="F14" s="131"/>
    </row>
    <row r="15" spans="2:9" ht="17" customHeight="1">
      <c r="B15" s="2"/>
      <c r="C15" s="7" t="s">
        <v>42</v>
      </c>
      <c r="D15" s="21"/>
      <c r="E15" s="7"/>
      <c r="F15" s="131">
        <v>12133</v>
      </c>
    </row>
    <row r="16" spans="2:9" ht="17" customHeight="1">
      <c r="B16" s="8"/>
      <c r="C16" s="9" t="s">
        <v>43</v>
      </c>
      <c r="D16" s="22"/>
      <c r="E16" s="9"/>
      <c r="F16" s="10">
        <f>SUM(F11:F15)</f>
        <v>146133</v>
      </c>
      <c r="G16" s="11"/>
    </row>
    <row r="17" spans="2:8" ht="17" customHeight="1">
      <c r="B17" s="2"/>
      <c r="C17" s="7" t="s">
        <v>81</v>
      </c>
      <c r="D17" s="21"/>
      <c r="E17" s="7"/>
      <c r="F17" s="131"/>
    </row>
    <row r="18" spans="2:8" ht="17" customHeight="1" thickBot="1">
      <c r="B18" s="2"/>
      <c r="C18" s="7" t="s">
        <v>77</v>
      </c>
      <c r="D18" s="21"/>
      <c r="E18" s="7"/>
      <c r="F18" s="131">
        <v>3000</v>
      </c>
    </row>
    <row r="19" spans="2:8" ht="17" customHeight="1" thickBot="1">
      <c r="B19" s="2"/>
      <c r="C19" s="12" t="s">
        <v>44</v>
      </c>
      <c r="D19" s="132">
        <v>2</v>
      </c>
      <c r="E19" s="12"/>
      <c r="F19" s="13">
        <f>(F5/12)*D19</f>
        <v>4166.666666666667</v>
      </c>
    </row>
    <row r="20" spans="2:8" ht="17" customHeight="1" thickBot="1">
      <c r="B20" s="2"/>
      <c r="C20" s="12" t="s">
        <v>45</v>
      </c>
      <c r="D20" s="23"/>
      <c r="E20" s="12"/>
      <c r="F20" s="129"/>
    </row>
    <row r="21" spans="2:8" ht="17" customHeight="1" thickBot="1">
      <c r="B21" s="2"/>
      <c r="C21" s="12" t="s">
        <v>46</v>
      </c>
      <c r="D21" s="132">
        <v>1</v>
      </c>
      <c r="E21" s="12"/>
      <c r="F21" s="13">
        <f>D21*(F5/12)</f>
        <v>2083.3333333333335</v>
      </c>
    </row>
    <row r="22" spans="2:8" ht="17" customHeight="1">
      <c r="B22" s="2"/>
      <c r="C22" s="3" t="s">
        <v>84</v>
      </c>
      <c r="F22" s="6">
        <f>F10*H22</f>
        <v>55000</v>
      </c>
      <c r="H22" s="3">
        <v>1000</v>
      </c>
    </row>
    <row r="23" spans="2:8" ht="17" customHeight="1">
      <c r="B23" s="2"/>
      <c r="C23" s="12" t="s">
        <v>47</v>
      </c>
      <c r="D23" s="23"/>
      <c r="E23" s="12"/>
      <c r="F23" s="133">
        <v>5000</v>
      </c>
    </row>
    <row r="24" spans="2:8" ht="17" customHeight="1">
      <c r="B24" s="2"/>
      <c r="C24" s="12" t="s">
        <v>48</v>
      </c>
      <c r="D24" s="23"/>
      <c r="E24" s="12"/>
      <c r="F24" s="133">
        <v>5000</v>
      </c>
    </row>
    <row r="25" spans="2:8" ht="17" customHeight="1">
      <c r="B25" s="8"/>
      <c r="C25" s="9" t="s">
        <v>49</v>
      </c>
      <c r="D25" s="22"/>
      <c r="E25" s="9"/>
      <c r="F25" s="10">
        <f>SUM(F17:F24)</f>
        <v>74250</v>
      </c>
      <c r="G25" s="11"/>
    </row>
    <row r="26" spans="2:8" ht="17" customHeight="1">
      <c r="B26" s="8"/>
      <c r="C26" s="14" t="s">
        <v>50</v>
      </c>
      <c r="D26" s="24"/>
      <c r="E26" s="14"/>
      <c r="F26" s="15">
        <f>F16+F25</f>
        <v>220383</v>
      </c>
      <c r="G26" s="11"/>
      <c r="H26" s="139"/>
    </row>
    <row r="27" spans="2:8" ht="17" customHeight="1" thickBot="1">
      <c r="B27" s="62" t="s">
        <v>51</v>
      </c>
      <c r="C27" s="16"/>
      <c r="D27" s="25"/>
      <c r="E27" s="16"/>
      <c r="F27" s="17"/>
      <c r="G27" s="1"/>
    </row>
    <row r="28" spans="2:8" ht="17" customHeight="1" thickBot="1">
      <c r="B28" s="2"/>
      <c r="C28" s="7" t="s">
        <v>52</v>
      </c>
      <c r="D28" s="140">
        <f>IFERROR(F28/F26,"")</f>
        <v>0.29494107984735662</v>
      </c>
      <c r="E28" s="18"/>
      <c r="F28" s="133">
        <v>65000</v>
      </c>
    </row>
    <row r="29" spans="2:8" ht="17" customHeight="1">
      <c r="B29" s="2"/>
      <c r="C29" s="12" t="s">
        <v>53</v>
      </c>
      <c r="D29" s="26"/>
      <c r="E29" s="18"/>
      <c r="F29" s="13">
        <f>F26-F28</f>
        <v>155383</v>
      </c>
    </row>
    <row r="30" spans="2:8" ht="17" customHeight="1">
      <c r="C30" s="12" t="s">
        <v>54</v>
      </c>
      <c r="F30" s="134">
        <v>4</v>
      </c>
    </row>
    <row r="31" spans="2:8" ht="17" customHeight="1">
      <c r="C31" s="12" t="s">
        <v>55</v>
      </c>
      <c r="F31" s="135">
        <v>0.04</v>
      </c>
    </row>
    <row r="32" spans="2:8" ht="17" customHeight="1">
      <c r="B32" s="1"/>
      <c r="C32" s="1"/>
      <c r="D32" s="19"/>
      <c r="E32" s="1"/>
      <c r="F32" s="1"/>
      <c r="G32" s="1"/>
    </row>
  </sheetData>
  <mergeCells count="1">
    <mergeCell ref="B1:G1"/>
  </mergeCells>
  <phoneticPr fontId="0" type="noConversion"/>
  <printOptions horizontalCentered="1"/>
  <pageMargins left="0.78740157480314965" right="0.78740157480314965" top="0.98425196850393704" bottom="0.98425196850393704" header="0.51181102362204722" footer="0.51181102362204722"/>
  <pageSetup paperSize="9" scale="95"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J297"/>
  <sheetViews>
    <sheetView showGridLines="0" topLeftCell="A31" zoomScale="140" zoomScaleNormal="140" workbookViewId="0">
      <selection activeCell="E6" sqref="E6"/>
    </sheetView>
  </sheetViews>
  <sheetFormatPr baseColWidth="10" defaultColWidth="12" defaultRowHeight="14"/>
  <cols>
    <col min="1" max="1" width="20.75" style="4" customWidth="1"/>
    <col min="2" max="2" width="11.5" style="4" customWidth="1"/>
    <col min="3" max="3" width="4.25" style="4" bestFit="1" customWidth="1"/>
    <col min="4" max="4" width="14.75" style="4" bestFit="1" customWidth="1"/>
    <col min="5" max="5" width="14" style="4" bestFit="1" customWidth="1"/>
    <col min="6" max="6" width="13.25" style="4" customWidth="1"/>
    <col min="7" max="7" width="13.25" style="4" bestFit="1" customWidth="1"/>
    <col min="8" max="8" width="15.75" style="4" bestFit="1" customWidth="1"/>
    <col min="9" max="16384" width="12" style="4"/>
  </cols>
  <sheetData>
    <row r="1" spans="2:10" ht="35" customHeight="1" thickBot="1">
      <c r="B1" s="215" t="s">
        <v>71</v>
      </c>
      <c r="C1" s="215"/>
      <c r="D1" s="215"/>
      <c r="E1" s="215"/>
      <c r="F1" s="215"/>
      <c r="G1" s="215"/>
      <c r="H1" s="215"/>
    </row>
    <row r="2" spans="2:10" ht="6.75" customHeight="1" thickTop="1">
      <c r="B2" s="61"/>
      <c r="C2" s="61"/>
      <c r="D2" s="61"/>
      <c r="E2" s="61"/>
      <c r="F2" s="61"/>
      <c r="G2" s="61"/>
      <c r="H2" s="61"/>
      <c r="I2" s="59"/>
    </row>
    <row r="3" spans="2:10">
      <c r="D3" s="52" t="s">
        <v>59</v>
      </c>
      <c r="E3" s="136">
        <f>Investissement!F29</f>
        <v>155383</v>
      </c>
      <c r="F3" s="57"/>
      <c r="G3" s="59"/>
      <c r="H3" s="59"/>
      <c r="J3" s="28"/>
    </row>
    <row r="4" spans="2:10">
      <c r="D4" s="52" t="s">
        <v>62</v>
      </c>
      <c r="E4" s="141">
        <f>Investissement!F31</f>
        <v>0.04</v>
      </c>
      <c r="G4" s="59"/>
      <c r="H4" s="59"/>
    </row>
    <row r="5" spans="2:10">
      <c r="D5" s="53" t="s">
        <v>60</v>
      </c>
      <c r="E5" s="58">
        <f>Investissement!F30</f>
        <v>4</v>
      </c>
      <c r="F5" s="58"/>
      <c r="G5" s="59"/>
      <c r="H5" s="59"/>
    </row>
    <row r="6" spans="2:10">
      <c r="D6" s="54" t="s">
        <v>72</v>
      </c>
      <c r="E6" s="137">
        <f>E5*12</f>
        <v>48</v>
      </c>
      <c r="F6" s="58"/>
      <c r="G6" s="60"/>
      <c r="H6" s="60"/>
    </row>
    <row r="7" spans="2:10">
      <c r="B7" s="29"/>
      <c r="C7" s="30"/>
      <c r="D7" s="31" t="s">
        <v>63</v>
      </c>
      <c r="E7" s="31" t="s">
        <v>64</v>
      </c>
      <c r="F7" s="32" t="s">
        <v>65</v>
      </c>
      <c r="G7" s="33" t="s">
        <v>66</v>
      </c>
      <c r="H7" s="34" t="s">
        <v>67</v>
      </c>
    </row>
    <row r="8" spans="2:10">
      <c r="B8" s="27" t="s">
        <v>61</v>
      </c>
      <c r="C8" s="35">
        <v>1</v>
      </c>
      <c r="D8" s="36">
        <f t="shared" ref="D8:D71" si="0">IF($C8&gt;$E$6,0,PMT(E$4/12,E$6,-E$3,0))</f>
        <v>3508.4012473897142</v>
      </c>
      <c r="E8" s="36">
        <f t="shared" ref="E8:E71" si="1">IF($C8&gt;$E$6,0,PPMT(E$4/12, C8, E$6, -E$3, 0))</f>
        <v>2990.4579140563806</v>
      </c>
      <c r="F8" s="37">
        <f t="shared" ref="F8:F71" si="2">IF($C8&gt;$E$6,0,IPMT(E$4/12, C8, E$6, -E$3, 0))</f>
        <v>517.94333333333338</v>
      </c>
      <c r="G8" s="38"/>
      <c r="H8" s="37"/>
      <c r="I8" s="39"/>
      <c r="J8" s="39"/>
    </row>
    <row r="9" spans="2:10">
      <c r="B9" s="27" t="s">
        <v>61</v>
      </c>
      <c r="C9" s="35">
        <v>2</v>
      </c>
      <c r="D9" s="36">
        <f t="shared" si="0"/>
        <v>3508.4012473897142</v>
      </c>
      <c r="E9" s="36">
        <f t="shared" si="1"/>
        <v>3000.4261071032352</v>
      </c>
      <c r="F9" s="37">
        <f t="shared" si="2"/>
        <v>507.97514028647879</v>
      </c>
      <c r="G9" s="38"/>
      <c r="H9" s="37"/>
      <c r="J9" s="40"/>
    </row>
    <row r="10" spans="2:10">
      <c r="B10" s="27" t="s">
        <v>61</v>
      </c>
      <c r="C10" s="35">
        <v>3</v>
      </c>
      <c r="D10" s="36">
        <f t="shared" si="0"/>
        <v>3508.4012473897142</v>
      </c>
      <c r="E10" s="36">
        <f t="shared" si="1"/>
        <v>3010.427527460246</v>
      </c>
      <c r="F10" s="37">
        <f t="shared" si="2"/>
        <v>497.97371992946802</v>
      </c>
      <c r="G10" s="38"/>
      <c r="H10" s="37"/>
    </row>
    <row r="11" spans="2:10">
      <c r="B11" s="27" t="s">
        <v>61</v>
      </c>
      <c r="C11" s="35">
        <v>4</v>
      </c>
      <c r="D11" s="36">
        <f t="shared" si="0"/>
        <v>3508.4012473897142</v>
      </c>
      <c r="E11" s="36">
        <f t="shared" si="1"/>
        <v>3020.4622858851135</v>
      </c>
      <c r="F11" s="37">
        <f t="shared" si="2"/>
        <v>487.93896150460051</v>
      </c>
      <c r="G11" s="38"/>
      <c r="H11" s="37"/>
    </row>
    <row r="12" spans="2:10">
      <c r="B12" s="27" t="s">
        <v>61</v>
      </c>
      <c r="C12" s="35">
        <v>5</v>
      </c>
      <c r="D12" s="36">
        <f t="shared" si="0"/>
        <v>3508.4012473897142</v>
      </c>
      <c r="E12" s="36">
        <f t="shared" si="1"/>
        <v>3030.5304935047307</v>
      </c>
      <c r="F12" s="37">
        <f t="shared" si="2"/>
        <v>477.87075388498357</v>
      </c>
      <c r="G12" s="38"/>
      <c r="H12" s="37"/>
    </row>
    <row r="13" spans="2:10">
      <c r="B13" s="27" t="s">
        <v>61</v>
      </c>
      <c r="C13" s="35">
        <v>6</v>
      </c>
      <c r="D13" s="36">
        <f t="shared" si="0"/>
        <v>3508.4012473897142</v>
      </c>
      <c r="E13" s="36">
        <f t="shared" si="1"/>
        <v>3040.6322618164131</v>
      </c>
      <c r="F13" s="37">
        <f t="shared" si="2"/>
        <v>467.76898557330105</v>
      </c>
      <c r="G13" s="38"/>
      <c r="H13" s="37"/>
    </row>
    <row r="14" spans="2:10">
      <c r="B14" s="27" t="s">
        <v>61</v>
      </c>
      <c r="C14" s="35">
        <v>7</v>
      </c>
      <c r="D14" s="36">
        <f t="shared" si="0"/>
        <v>3508.4012473897142</v>
      </c>
      <c r="E14" s="36">
        <f t="shared" si="1"/>
        <v>3050.7677026891347</v>
      </c>
      <c r="F14" s="37">
        <f t="shared" si="2"/>
        <v>457.63354470057959</v>
      </c>
      <c r="G14" s="38"/>
      <c r="H14" s="37"/>
    </row>
    <row r="15" spans="2:10">
      <c r="B15" s="27" t="s">
        <v>61</v>
      </c>
      <c r="C15" s="35">
        <v>8</v>
      </c>
      <c r="D15" s="36">
        <f t="shared" si="0"/>
        <v>3508.4012473897142</v>
      </c>
      <c r="E15" s="36">
        <f t="shared" si="1"/>
        <v>3060.9369283647648</v>
      </c>
      <c r="F15" s="37">
        <f t="shared" si="2"/>
        <v>447.46431902494925</v>
      </c>
      <c r="G15" s="38"/>
      <c r="H15" s="37"/>
    </row>
    <row r="16" spans="2:10">
      <c r="B16" s="27" t="s">
        <v>61</v>
      </c>
      <c r="C16" s="35">
        <v>9</v>
      </c>
      <c r="D16" s="36">
        <f t="shared" si="0"/>
        <v>3508.4012473897142</v>
      </c>
      <c r="E16" s="36">
        <f t="shared" si="1"/>
        <v>3071.1400514593142</v>
      </c>
      <c r="F16" s="37">
        <f t="shared" si="2"/>
        <v>437.26119593039999</v>
      </c>
      <c r="G16" s="38"/>
      <c r="H16" s="37"/>
    </row>
    <row r="17" spans="2:9">
      <c r="B17" s="27" t="s">
        <v>61</v>
      </c>
      <c r="C17" s="35">
        <v>10</v>
      </c>
      <c r="D17" s="36">
        <f t="shared" si="0"/>
        <v>3508.4012473897142</v>
      </c>
      <c r="E17" s="36">
        <f t="shared" si="1"/>
        <v>3081.3771849641785</v>
      </c>
      <c r="F17" s="37">
        <f t="shared" si="2"/>
        <v>427.02406242553559</v>
      </c>
      <c r="G17" s="38"/>
      <c r="H17" s="37"/>
    </row>
    <row r="18" spans="2:9">
      <c r="B18" s="27" t="s">
        <v>61</v>
      </c>
      <c r="C18" s="35">
        <v>11</v>
      </c>
      <c r="D18" s="36">
        <f t="shared" si="0"/>
        <v>3508.4012473897142</v>
      </c>
      <c r="E18" s="36">
        <f t="shared" si="1"/>
        <v>3091.6484422473923</v>
      </c>
      <c r="F18" s="37">
        <f t="shared" si="2"/>
        <v>416.75280514232173</v>
      </c>
      <c r="G18" s="38"/>
      <c r="H18" s="37"/>
    </row>
    <row r="19" spans="2:9">
      <c r="B19" s="41" t="s">
        <v>61</v>
      </c>
      <c r="C19" s="42">
        <v>12</v>
      </c>
      <c r="D19" s="43">
        <f t="shared" si="0"/>
        <v>3508.4012473897142</v>
      </c>
      <c r="E19" s="43">
        <f t="shared" si="1"/>
        <v>3101.9539370548837</v>
      </c>
      <c r="F19" s="44">
        <f t="shared" si="2"/>
        <v>406.44731033483038</v>
      </c>
      <c r="G19" s="45">
        <f>SUM(E8:E19)</f>
        <v>36550.76083660579</v>
      </c>
      <c r="H19" s="46">
        <f>SUM(F8:F19)</f>
        <v>5550.0541320707816</v>
      </c>
      <c r="I19" s="47"/>
    </row>
    <row r="20" spans="2:9">
      <c r="B20" s="27" t="s">
        <v>61</v>
      </c>
      <c r="C20" s="35">
        <v>13</v>
      </c>
      <c r="D20" s="36">
        <f t="shared" si="0"/>
        <v>3508.4012473897142</v>
      </c>
      <c r="E20" s="36">
        <f t="shared" si="1"/>
        <v>3112.2937835117336</v>
      </c>
      <c r="F20" s="37">
        <f t="shared" si="2"/>
        <v>396.10746387798082</v>
      </c>
      <c r="G20" s="38"/>
      <c r="H20" s="37"/>
    </row>
    <row r="21" spans="2:9">
      <c r="B21" s="27" t="s">
        <v>61</v>
      </c>
      <c r="C21" s="35">
        <v>14</v>
      </c>
      <c r="D21" s="36">
        <f t="shared" si="0"/>
        <v>3508.4012473897142</v>
      </c>
      <c r="E21" s="36">
        <f t="shared" si="1"/>
        <v>3122.6680961234392</v>
      </c>
      <c r="F21" s="37">
        <f t="shared" si="2"/>
        <v>385.733151266275</v>
      </c>
      <c r="G21" s="38"/>
      <c r="H21" s="37"/>
    </row>
    <row r="22" spans="2:9">
      <c r="B22" s="27" t="s">
        <v>61</v>
      </c>
      <c r="C22" s="35">
        <v>15</v>
      </c>
      <c r="D22" s="36">
        <f t="shared" si="0"/>
        <v>3508.4012473897142</v>
      </c>
      <c r="E22" s="36">
        <f t="shared" si="1"/>
        <v>3133.0769897771838</v>
      </c>
      <c r="F22" s="37">
        <f t="shared" si="2"/>
        <v>375.32425761253023</v>
      </c>
      <c r="G22" s="38"/>
      <c r="H22" s="37"/>
    </row>
    <row r="23" spans="2:9">
      <c r="B23" s="27" t="s">
        <v>61</v>
      </c>
      <c r="C23" s="35">
        <v>16</v>
      </c>
      <c r="D23" s="36">
        <f t="shared" si="0"/>
        <v>3508.4012473897142</v>
      </c>
      <c r="E23" s="36">
        <f t="shared" si="1"/>
        <v>3143.5205797431081</v>
      </c>
      <c r="F23" s="37">
        <f t="shared" si="2"/>
        <v>364.88066764660624</v>
      </c>
      <c r="G23" s="38"/>
      <c r="H23" s="37"/>
    </row>
    <row r="24" spans="2:9">
      <c r="B24" s="27" t="s">
        <v>61</v>
      </c>
      <c r="C24" s="35">
        <v>17</v>
      </c>
      <c r="D24" s="36">
        <f t="shared" si="0"/>
        <v>3508.4012473897142</v>
      </c>
      <c r="E24" s="36">
        <f t="shared" si="1"/>
        <v>3153.9989816755847</v>
      </c>
      <c r="F24" s="37">
        <f t="shared" si="2"/>
        <v>354.40226571412921</v>
      </c>
      <c r="G24" s="38"/>
      <c r="H24" s="37"/>
    </row>
    <row r="25" spans="2:9">
      <c r="B25" s="27" t="s">
        <v>61</v>
      </c>
      <c r="C25" s="35">
        <v>18</v>
      </c>
      <c r="D25" s="36">
        <f t="shared" si="0"/>
        <v>3508.4012473897142</v>
      </c>
      <c r="E25" s="36">
        <f t="shared" si="1"/>
        <v>3164.5123116145032</v>
      </c>
      <c r="F25" s="37">
        <f t="shared" si="2"/>
        <v>343.8889357752106</v>
      </c>
      <c r="G25" s="38"/>
      <c r="H25" s="37"/>
    </row>
    <row r="26" spans="2:9">
      <c r="B26" s="27" t="s">
        <v>61</v>
      </c>
      <c r="C26" s="35">
        <v>19</v>
      </c>
      <c r="D26" s="36">
        <f t="shared" si="0"/>
        <v>3508.4012473897142</v>
      </c>
      <c r="E26" s="36">
        <f t="shared" si="1"/>
        <v>3175.060685986552</v>
      </c>
      <c r="F26" s="37">
        <f t="shared" si="2"/>
        <v>333.34056140316233</v>
      </c>
      <c r="G26" s="38"/>
      <c r="H26" s="37"/>
    </row>
    <row r="27" spans="2:9">
      <c r="B27" s="27" t="s">
        <v>61</v>
      </c>
      <c r="C27" s="35">
        <v>20</v>
      </c>
      <c r="D27" s="36">
        <f t="shared" si="0"/>
        <v>3508.4012473897142</v>
      </c>
      <c r="E27" s="36">
        <f t="shared" si="1"/>
        <v>3185.644221606507</v>
      </c>
      <c r="F27" s="37">
        <f t="shared" si="2"/>
        <v>322.7570257832071</v>
      </c>
      <c r="G27" s="38"/>
      <c r="H27" s="37"/>
    </row>
    <row r="28" spans="2:9">
      <c r="B28" s="27" t="s">
        <v>61</v>
      </c>
      <c r="C28" s="35">
        <v>21</v>
      </c>
      <c r="D28" s="36">
        <f t="shared" si="0"/>
        <v>3508.4012473897142</v>
      </c>
      <c r="E28" s="36">
        <f t="shared" si="1"/>
        <v>3196.2630356785289</v>
      </c>
      <c r="F28" s="37">
        <f t="shared" si="2"/>
        <v>312.13821171118536</v>
      </c>
      <c r="G28" s="38"/>
      <c r="H28" s="37"/>
    </row>
    <row r="29" spans="2:9">
      <c r="B29" s="27" t="s">
        <v>61</v>
      </c>
      <c r="C29" s="35">
        <v>22</v>
      </c>
      <c r="D29" s="36">
        <f t="shared" si="0"/>
        <v>3508.4012473897142</v>
      </c>
      <c r="E29" s="36">
        <f t="shared" si="1"/>
        <v>3206.9172457974573</v>
      </c>
      <c r="F29" s="37">
        <f t="shared" si="2"/>
        <v>301.48400159225696</v>
      </c>
      <c r="G29" s="38"/>
      <c r="H29" s="37"/>
    </row>
    <row r="30" spans="2:9">
      <c r="B30" s="27" t="s">
        <v>61</v>
      </c>
      <c r="C30" s="35">
        <v>23</v>
      </c>
      <c r="D30" s="36">
        <f t="shared" si="0"/>
        <v>3508.4012473897142</v>
      </c>
      <c r="E30" s="36">
        <f t="shared" si="1"/>
        <v>3217.6069699501154</v>
      </c>
      <c r="F30" s="37">
        <f t="shared" si="2"/>
        <v>290.79427743959877</v>
      </c>
      <c r="G30" s="38"/>
      <c r="H30" s="37"/>
    </row>
    <row r="31" spans="2:9">
      <c r="B31" s="41" t="s">
        <v>61</v>
      </c>
      <c r="C31" s="42">
        <v>24</v>
      </c>
      <c r="D31" s="43">
        <f t="shared" si="0"/>
        <v>3508.4012473897142</v>
      </c>
      <c r="E31" s="43">
        <f t="shared" si="1"/>
        <v>3228.3323265166159</v>
      </c>
      <c r="F31" s="44">
        <f t="shared" si="2"/>
        <v>280.06892087309842</v>
      </c>
      <c r="G31" s="45">
        <f>SUM(E20:E31)</f>
        <v>38039.895227981331</v>
      </c>
      <c r="H31" s="46">
        <f>SUM(F20:F31)</f>
        <v>4060.9197406952408</v>
      </c>
    </row>
    <row r="32" spans="2:9">
      <c r="B32" s="27" t="s">
        <v>61</v>
      </c>
      <c r="C32" s="35">
        <v>25</v>
      </c>
      <c r="D32" s="36">
        <f t="shared" si="0"/>
        <v>3508.4012473897142</v>
      </c>
      <c r="E32" s="36">
        <f t="shared" si="1"/>
        <v>3239.093434271671</v>
      </c>
      <c r="F32" s="37">
        <f t="shared" si="2"/>
        <v>269.30781311804304</v>
      </c>
      <c r="G32" s="38"/>
      <c r="H32" s="37"/>
    </row>
    <row r="33" spans="2:8">
      <c r="B33" s="27" t="s">
        <v>61</v>
      </c>
      <c r="C33" s="35">
        <v>26</v>
      </c>
      <c r="D33" s="36">
        <f t="shared" si="0"/>
        <v>3508.4012473897142</v>
      </c>
      <c r="E33" s="36">
        <f t="shared" si="1"/>
        <v>3249.8904123859097</v>
      </c>
      <c r="F33" s="37">
        <f t="shared" si="2"/>
        <v>258.51083500380412</v>
      </c>
      <c r="G33" s="38"/>
      <c r="H33" s="37"/>
    </row>
    <row r="34" spans="2:8">
      <c r="B34" s="27" t="s">
        <v>61</v>
      </c>
      <c r="C34" s="35">
        <v>27</v>
      </c>
      <c r="D34" s="36">
        <f t="shared" si="0"/>
        <v>3508.4012473897142</v>
      </c>
      <c r="E34" s="36">
        <f t="shared" si="1"/>
        <v>3260.7233804271964</v>
      </c>
      <c r="F34" s="37">
        <f t="shared" si="2"/>
        <v>247.67786696251775</v>
      </c>
      <c r="G34" s="38"/>
      <c r="H34" s="37"/>
    </row>
    <row r="35" spans="2:8">
      <c r="B35" s="27" t="s">
        <v>61</v>
      </c>
      <c r="C35" s="35">
        <v>28</v>
      </c>
      <c r="D35" s="36">
        <f t="shared" si="0"/>
        <v>3508.4012473897142</v>
      </c>
      <c r="E35" s="36">
        <f t="shared" si="1"/>
        <v>3271.5924583619535</v>
      </c>
      <c r="F35" s="37">
        <f t="shared" si="2"/>
        <v>236.80878902776041</v>
      </c>
      <c r="G35" s="38"/>
      <c r="H35" s="37"/>
    </row>
    <row r="36" spans="2:8">
      <c r="B36" s="27" t="s">
        <v>61</v>
      </c>
      <c r="C36" s="35">
        <v>29</v>
      </c>
      <c r="D36" s="36">
        <f t="shared" si="0"/>
        <v>3508.4012473897142</v>
      </c>
      <c r="E36" s="36">
        <f t="shared" si="1"/>
        <v>3282.4977665564934</v>
      </c>
      <c r="F36" s="37">
        <f t="shared" si="2"/>
        <v>225.90348083322058</v>
      </c>
      <c r="G36" s="38"/>
      <c r="H36" s="37"/>
    </row>
    <row r="37" spans="2:8">
      <c r="B37" s="27" t="s">
        <v>61</v>
      </c>
      <c r="C37" s="35">
        <v>30</v>
      </c>
      <c r="D37" s="36">
        <f t="shared" si="0"/>
        <v>3508.4012473897142</v>
      </c>
      <c r="E37" s="36">
        <f t="shared" si="1"/>
        <v>3293.4394257783483</v>
      </c>
      <c r="F37" s="37">
        <f t="shared" si="2"/>
        <v>214.96182161136556</v>
      </c>
      <c r="G37" s="38"/>
      <c r="H37" s="37"/>
    </row>
    <row r="38" spans="2:8">
      <c r="B38" s="27" t="s">
        <v>61</v>
      </c>
      <c r="C38" s="35">
        <v>31</v>
      </c>
      <c r="D38" s="36">
        <f t="shared" si="0"/>
        <v>3508.4012473897142</v>
      </c>
      <c r="E38" s="36">
        <f t="shared" si="1"/>
        <v>3304.4175571976098</v>
      </c>
      <c r="F38" s="37">
        <f t="shared" si="2"/>
        <v>203.9836901921044</v>
      </c>
      <c r="G38" s="38"/>
      <c r="H38" s="37"/>
    </row>
    <row r="39" spans="2:8">
      <c r="B39" s="27" t="s">
        <v>61</v>
      </c>
      <c r="C39" s="35">
        <v>32</v>
      </c>
      <c r="D39" s="36">
        <f t="shared" si="0"/>
        <v>3508.4012473897142</v>
      </c>
      <c r="E39" s="36">
        <f t="shared" si="1"/>
        <v>3315.4322823882685</v>
      </c>
      <c r="F39" s="37">
        <f t="shared" si="2"/>
        <v>192.96896500144575</v>
      </c>
      <c r="G39" s="38"/>
      <c r="H39" s="37"/>
    </row>
    <row r="40" spans="2:8">
      <c r="B40" s="27" t="s">
        <v>61</v>
      </c>
      <c r="C40" s="35">
        <v>33</v>
      </c>
      <c r="D40" s="36">
        <f t="shared" si="0"/>
        <v>3508.4012473897142</v>
      </c>
      <c r="E40" s="36">
        <f t="shared" si="1"/>
        <v>3326.483723329563</v>
      </c>
      <c r="F40" s="37">
        <f t="shared" si="2"/>
        <v>181.91752406015149</v>
      </c>
      <c r="G40" s="38"/>
      <c r="H40" s="37"/>
    </row>
    <row r="41" spans="2:8">
      <c r="B41" s="27" t="s">
        <v>61</v>
      </c>
      <c r="C41" s="35">
        <v>34</v>
      </c>
      <c r="D41" s="36">
        <f t="shared" si="0"/>
        <v>3508.4012473897142</v>
      </c>
      <c r="E41" s="36">
        <f t="shared" si="1"/>
        <v>3337.5720024073275</v>
      </c>
      <c r="F41" s="37">
        <f t="shared" si="2"/>
        <v>170.82924498238631</v>
      </c>
      <c r="G41" s="38"/>
      <c r="H41" s="37"/>
    </row>
    <row r="42" spans="2:8">
      <c r="B42" s="27" t="s">
        <v>61</v>
      </c>
      <c r="C42" s="35">
        <v>35</v>
      </c>
      <c r="D42" s="36">
        <f t="shared" si="0"/>
        <v>3508.4012473897142</v>
      </c>
      <c r="E42" s="36">
        <f t="shared" si="1"/>
        <v>3348.6972424153523</v>
      </c>
      <c r="F42" s="37">
        <f t="shared" si="2"/>
        <v>159.70400497436185</v>
      </c>
      <c r="G42" s="38"/>
      <c r="H42" s="37"/>
    </row>
    <row r="43" spans="2:8">
      <c r="B43" s="41" t="s">
        <v>61</v>
      </c>
      <c r="C43" s="42">
        <v>36</v>
      </c>
      <c r="D43" s="43">
        <f t="shared" si="0"/>
        <v>3508.4012473897142</v>
      </c>
      <c r="E43" s="43">
        <f t="shared" si="1"/>
        <v>3359.8595665567368</v>
      </c>
      <c r="F43" s="44">
        <f t="shared" si="2"/>
        <v>148.54168083297736</v>
      </c>
      <c r="G43" s="45">
        <f>SUM(E32:E43)</f>
        <v>39589.699252076425</v>
      </c>
      <c r="H43" s="46">
        <f>SUM(F32:F43)</f>
        <v>2511.1157166001385</v>
      </c>
    </row>
    <row r="44" spans="2:8">
      <c r="B44" s="27" t="s">
        <v>61</v>
      </c>
      <c r="C44" s="35">
        <v>37</v>
      </c>
      <c r="D44" s="36">
        <f t="shared" si="0"/>
        <v>3508.4012473897142</v>
      </c>
      <c r="E44" s="36">
        <f t="shared" si="1"/>
        <v>3371.0590984452592</v>
      </c>
      <c r="F44" s="37">
        <f t="shared" si="2"/>
        <v>137.34214894445489</v>
      </c>
      <c r="G44" s="38"/>
      <c r="H44" s="37"/>
    </row>
    <row r="45" spans="2:8">
      <c r="B45" s="27" t="s">
        <v>61</v>
      </c>
      <c r="C45" s="35">
        <v>38</v>
      </c>
      <c r="D45" s="36">
        <f t="shared" si="0"/>
        <v>3508.4012473897142</v>
      </c>
      <c r="E45" s="36">
        <f t="shared" si="1"/>
        <v>3382.2959621067434</v>
      </c>
      <c r="F45" s="37">
        <f t="shared" si="2"/>
        <v>126.10528528297071</v>
      </c>
      <c r="G45" s="38"/>
      <c r="H45" s="37"/>
    </row>
    <row r="46" spans="2:8">
      <c r="B46" s="27" t="s">
        <v>61</v>
      </c>
      <c r="C46" s="35">
        <v>39</v>
      </c>
      <c r="D46" s="36">
        <f t="shared" si="0"/>
        <v>3508.4012473897142</v>
      </c>
      <c r="E46" s="36">
        <f t="shared" si="1"/>
        <v>3393.5702819804324</v>
      </c>
      <c r="F46" s="37">
        <f t="shared" si="2"/>
        <v>114.83096540928155</v>
      </c>
      <c r="G46" s="38"/>
      <c r="H46" s="37"/>
    </row>
    <row r="47" spans="2:8">
      <c r="B47" s="27" t="s">
        <v>61</v>
      </c>
      <c r="C47" s="35">
        <v>40</v>
      </c>
      <c r="D47" s="36">
        <f t="shared" si="0"/>
        <v>3508.4012473897142</v>
      </c>
      <c r="E47" s="36">
        <f t="shared" si="1"/>
        <v>3404.8821829203675</v>
      </c>
      <c r="F47" s="37">
        <f t="shared" si="2"/>
        <v>103.51906446934677</v>
      </c>
      <c r="G47" s="38"/>
      <c r="H47" s="37"/>
    </row>
    <row r="48" spans="2:8">
      <c r="B48" s="27" t="s">
        <v>61</v>
      </c>
      <c r="C48" s="35">
        <v>41</v>
      </c>
      <c r="D48" s="36">
        <f t="shared" si="0"/>
        <v>3508.4012473897142</v>
      </c>
      <c r="E48" s="36">
        <f t="shared" si="1"/>
        <v>3416.2317901967685</v>
      </c>
      <c r="F48" s="37">
        <f t="shared" si="2"/>
        <v>92.169457192945558</v>
      </c>
      <c r="G48" s="38"/>
      <c r="H48" s="37"/>
    </row>
    <row r="49" spans="2:8">
      <c r="B49" s="27" t="s">
        <v>61</v>
      </c>
      <c r="C49" s="35">
        <v>42</v>
      </c>
      <c r="D49" s="36">
        <f t="shared" si="0"/>
        <v>3508.4012473897142</v>
      </c>
      <c r="E49" s="36">
        <f t="shared" si="1"/>
        <v>3427.6192294974244</v>
      </c>
      <c r="F49" s="37">
        <f t="shared" si="2"/>
        <v>80.782017892289659</v>
      </c>
      <c r="G49" s="38"/>
      <c r="H49" s="37"/>
    </row>
    <row r="50" spans="2:8">
      <c r="B50" s="27" t="s">
        <v>61</v>
      </c>
      <c r="C50" s="35">
        <v>43</v>
      </c>
      <c r="D50" s="36">
        <f t="shared" si="0"/>
        <v>3508.4012473897142</v>
      </c>
      <c r="E50" s="36">
        <f t="shared" si="1"/>
        <v>3439.0446269290824</v>
      </c>
      <c r="F50" s="37">
        <f t="shared" si="2"/>
        <v>69.356620460631589</v>
      </c>
      <c r="G50" s="38"/>
      <c r="H50" s="37"/>
    </row>
    <row r="51" spans="2:8">
      <c r="B51" s="27" t="s">
        <v>61</v>
      </c>
      <c r="C51" s="35">
        <v>44</v>
      </c>
      <c r="D51" s="36">
        <f t="shared" si="0"/>
        <v>3508.4012473897142</v>
      </c>
      <c r="E51" s="36">
        <f t="shared" si="1"/>
        <v>3450.508109018846</v>
      </c>
      <c r="F51" s="37">
        <f t="shared" si="2"/>
        <v>57.893138370867966</v>
      </c>
      <c r="G51" s="38"/>
      <c r="H51" s="37"/>
    </row>
    <row r="52" spans="2:8">
      <c r="B52" s="27" t="s">
        <v>61</v>
      </c>
      <c r="C52" s="35">
        <v>45</v>
      </c>
      <c r="D52" s="36">
        <f t="shared" si="0"/>
        <v>3508.4012473897142</v>
      </c>
      <c r="E52" s="36">
        <f t="shared" si="1"/>
        <v>3462.0098027155755</v>
      </c>
      <c r="F52" s="37">
        <f t="shared" si="2"/>
        <v>46.391444674138477</v>
      </c>
      <c r="G52" s="38"/>
      <c r="H52" s="37"/>
    </row>
    <row r="53" spans="2:8">
      <c r="B53" s="27" t="s">
        <v>61</v>
      </c>
      <c r="C53" s="35">
        <v>46</v>
      </c>
      <c r="D53" s="36">
        <f t="shared" si="0"/>
        <v>3508.4012473897142</v>
      </c>
      <c r="E53" s="36">
        <f t="shared" si="1"/>
        <v>3473.549835391294</v>
      </c>
      <c r="F53" s="37">
        <f t="shared" si="2"/>
        <v>34.851411998419898</v>
      </c>
      <c r="G53" s="38"/>
      <c r="H53" s="37"/>
    </row>
    <row r="54" spans="2:8">
      <c r="B54" s="27" t="s">
        <v>61</v>
      </c>
      <c r="C54" s="35">
        <v>47</v>
      </c>
      <c r="D54" s="36">
        <f t="shared" si="0"/>
        <v>3508.4012473897142</v>
      </c>
      <c r="E54" s="36">
        <f t="shared" si="1"/>
        <v>3485.1283348425986</v>
      </c>
      <c r="F54" s="37">
        <f t="shared" si="2"/>
        <v>23.272912547115578</v>
      </c>
      <c r="G54" s="38"/>
      <c r="H54" s="37"/>
    </row>
    <row r="55" spans="2:8">
      <c r="B55" s="41" t="s">
        <v>61</v>
      </c>
      <c r="C55" s="42">
        <v>48</v>
      </c>
      <c r="D55" s="43">
        <f t="shared" si="0"/>
        <v>3508.4012473897142</v>
      </c>
      <c r="E55" s="43">
        <f t="shared" si="1"/>
        <v>3496.7454292920738</v>
      </c>
      <c r="F55" s="44">
        <f t="shared" si="2"/>
        <v>11.655818097640248</v>
      </c>
      <c r="G55" s="45">
        <f>SUM(E44:E55)</f>
        <v>41202.644683336468</v>
      </c>
      <c r="H55" s="46">
        <f>SUM(F44:F55)</f>
        <v>898.17028534010274</v>
      </c>
    </row>
    <row r="56" spans="2:8">
      <c r="B56" s="27" t="s">
        <v>61</v>
      </c>
      <c r="C56" s="35">
        <v>49</v>
      </c>
      <c r="D56" s="36">
        <f t="shared" si="0"/>
        <v>0</v>
      </c>
      <c r="E56" s="36">
        <f t="shared" si="1"/>
        <v>0</v>
      </c>
      <c r="F56" s="37">
        <f t="shared" si="2"/>
        <v>0</v>
      </c>
      <c r="G56" s="38"/>
      <c r="H56" s="37"/>
    </row>
    <row r="57" spans="2:8">
      <c r="B57" s="27" t="s">
        <v>61</v>
      </c>
      <c r="C57" s="35">
        <v>50</v>
      </c>
      <c r="D57" s="36">
        <f t="shared" si="0"/>
        <v>0</v>
      </c>
      <c r="E57" s="36">
        <f t="shared" si="1"/>
        <v>0</v>
      </c>
      <c r="F57" s="37">
        <f t="shared" si="2"/>
        <v>0</v>
      </c>
      <c r="G57" s="38"/>
      <c r="H57" s="37"/>
    </row>
    <row r="58" spans="2:8">
      <c r="B58" s="27" t="s">
        <v>61</v>
      </c>
      <c r="C58" s="35">
        <v>51</v>
      </c>
      <c r="D58" s="36">
        <f t="shared" si="0"/>
        <v>0</v>
      </c>
      <c r="E58" s="36">
        <f t="shared" si="1"/>
        <v>0</v>
      </c>
      <c r="F58" s="37">
        <f t="shared" si="2"/>
        <v>0</v>
      </c>
      <c r="G58" s="38"/>
      <c r="H58" s="37"/>
    </row>
    <row r="59" spans="2:8">
      <c r="B59" s="27" t="s">
        <v>61</v>
      </c>
      <c r="C59" s="35">
        <v>52</v>
      </c>
      <c r="D59" s="36">
        <f t="shared" si="0"/>
        <v>0</v>
      </c>
      <c r="E59" s="36">
        <f t="shared" si="1"/>
        <v>0</v>
      </c>
      <c r="F59" s="37">
        <f t="shared" si="2"/>
        <v>0</v>
      </c>
      <c r="G59" s="38"/>
      <c r="H59" s="37"/>
    </row>
    <row r="60" spans="2:8">
      <c r="B60" s="27" t="s">
        <v>61</v>
      </c>
      <c r="C60" s="35">
        <v>53</v>
      </c>
      <c r="D60" s="36">
        <f t="shared" si="0"/>
        <v>0</v>
      </c>
      <c r="E60" s="36">
        <f t="shared" si="1"/>
        <v>0</v>
      </c>
      <c r="F60" s="37">
        <f t="shared" si="2"/>
        <v>0</v>
      </c>
      <c r="G60" s="38"/>
      <c r="H60" s="37"/>
    </row>
    <row r="61" spans="2:8">
      <c r="B61" s="27" t="s">
        <v>61</v>
      </c>
      <c r="C61" s="35">
        <v>54</v>
      </c>
      <c r="D61" s="36">
        <f t="shared" si="0"/>
        <v>0</v>
      </c>
      <c r="E61" s="36">
        <f t="shared" si="1"/>
        <v>0</v>
      </c>
      <c r="F61" s="37">
        <f t="shared" si="2"/>
        <v>0</v>
      </c>
      <c r="G61" s="38"/>
      <c r="H61" s="37"/>
    </row>
    <row r="62" spans="2:8">
      <c r="B62" s="27" t="s">
        <v>61</v>
      </c>
      <c r="C62" s="35">
        <v>55</v>
      </c>
      <c r="D62" s="36">
        <f t="shared" si="0"/>
        <v>0</v>
      </c>
      <c r="E62" s="36">
        <f t="shared" si="1"/>
        <v>0</v>
      </c>
      <c r="F62" s="37">
        <f t="shared" si="2"/>
        <v>0</v>
      </c>
      <c r="G62" s="38"/>
      <c r="H62" s="37"/>
    </row>
    <row r="63" spans="2:8">
      <c r="B63" s="27" t="s">
        <v>61</v>
      </c>
      <c r="C63" s="35">
        <v>56</v>
      </c>
      <c r="D63" s="36">
        <f t="shared" si="0"/>
        <v>0</v>
      </c>
      <c r="E63" s="36">
        <f t="shared" si="1"/>
        <v>0</v>
      </c>
      <c r="F63" s="37">
        <f t="shared" si="2"/>
        <v>0</v>
      </c>
      <c r="G63" s="38"/>
      <c r="H63" s="37"/>
    </row>
    <row r="64" spans="2:8">
      <c r="B64" s="27" t="s">
        <v>61</v>
      </c>
      <c r="C64" s="35">
        <v>57</v>
      </c>
      <c r="D64" s="36">
        <f t="shared" si="0"/>
        <v>0</v>
      </c>
      <c r="E64" s="36">
        <f t="shared" si="1"/>
        <v>0</v>
      </c>
      <c r="F64" s="37">
        <f t="shared" si="2"/>
        <v>0</v>
      </c>
      <c r="G64" s="38"/>
      <c r="H64" s="37"/>
    </row>
    <row r="65" spans="2:10">
      <c r="B65" s="27" t="s">
        <v>61</v>
      </c>
      <c r="C65" s="35">
        <v>58</v>
      </c>
      <c r="D65" s="36">
        <f t="shared" si="0"/>
        <v>0</v>
      </c>
      <c r="E65" s="36">
        <f t="shared" si="1"/>
        <v>0</v>
      </c>
      <c r="F65" s="37">
        <f t="shared" si="2"/>
        <v>0</v>
      </c>
      <c r="G65" s="38"/>
      <c r="H65" s="37"/>
    </row>
    <row r="66" spans="2:10">
      <c r="B66" s="27" t="s">
        <v>61</v>
      </c>
      <c r="C66" s="35">
        <v>59</v>
      </c>
      <c r="D66" s="36">
        <f t="shared" si="0"/>
        <v>0</v>
      </c>
      <c r="E66" s="36">
        <f t="shared" si="1"/>
        <v>0</v>
      </c>
      <c r="F66" s="37">
        <f t="shared" si="2"/>
        <v>0</v>
      </c>
      <c r="G66" s="38"/>
      <c r="H66" s="37"/>
    </row>
    <row r="67" spans="2:10">
      <c r="B67" s="117" t="s">
        <v>61</v>
      </c>
      <c r="C67" s="118">
        <v>60</v>
      </c>
      <c r="D67" s="119">
        <f t="shared" si="0"/>
        <v>0</v>
      </c>
      <c r="E67" s="119">
        <f t="shared" si="1"/>
        <v>0</v>
      </c>
      <c r="F67" s="120">
        <f t="shared" si="2"/>
        <v>0</v>
      </c>
      <c r="G67" s="121">
        <f>SUM(E56:E67)</f>
        <v>0</v>
      </c>
      <c r="H67" s="122">
        <f>SUM(F56:F67)</f>
        <v>0</v>
      </c>
    </row>
    <row r="68" spans="2:10">
      <c r="B68" s="27" t="s">
        <v>61</v>
      </c>
      <c r="C68" s="35">
        <v>61</v>
      </c>
      <c r="D68" s="36">
        <f t="shared" si="0"/>
        <v>0</v>
      </c>
      <c r="E68" s="36">
        <f t="shared" si="1"/>
        <v>0</v>
      </c>
      <c r="F68" s="37">
        <f t="shared" si="2"/>
        <v>0</v>
      </c>
      <c r="G68" s="38"/>
      <c r="H68" s="37"/>
    </row>
    <row r="69" spans="2:10">
      <c r="B69" s="27" t="s">
        <v>61</v>
      </c>
      <c r="C69" s="35">
        <v>62</v>
      </c>
      <c r="D69" s="36">
        <f t="shared" si="0"/>
        <v>0</v>
      </c>
      <c r="E69" s="36">
        <f t="shared" si="1"/>
        <v>0</v>
      </c>
      <c r="F69" s="37">
        <f t="shared" si="2"/>
        <v>0</v>
      </c>
      <c r="G69" s="38"/>
      <c r="H69" s="37"/>
    </row>
    <row r="70" spans="2:10">
      <c r="B70" s="27" t="s">
        <v>61</v>
      </c>
      <c r="C70" s="35">
        <v>63</v>
      </c>
      <c r="D70" s="36">
        <f t="shared" si="0"/>
        <v>0</v>
      </c>
      <c r="E70" s="36">
        <f t="shared" si="1"/>
        <v>0</v>
      </c>
      <c r="F70" s="37">
        <f t="shared" si="2"/>
        <v>0</v>
      </c>
      <c r="G70" s="38"/>
      <c r="H70" s="37"/>
      <c r="I70" s="48"/>
      <c r="J70" s="48"/>
    </row>
    <row r="71" spans="2:10">
      <c r="B71" s="27" t="s">
        <v>61</v>
      </c>
      <c r="C71" s="35">
        <v>64</v>
      </c>
      <c r="D71" s="36">
        <f t="shared" si="0"/>
        <v>0</v>
      </c>
      <c r="E71" s="36">
        <f t="shared" si="1"/>
        <v>0</v>
      </c>
      <c r="F71" s="37">
        <f t="shared" si="2"/>
        <v>0</v>
      </c>
      <c r="G71" s="38"/>
      <c r="H71" s="37"/>
    </row>
    <row r="72" spans="2:10">
      <c r="B72" s="27" t="s">
        <v>61</v>
      </c>
      <c r="C72" s="35">
        <v>65</v>
      </c>
      <c r="D72" s="36">
        <f t="shared" ref="D72:D78" si="3">IF($C72&gt;$E$6,0,PMT(E$4/12,E$6,-E$3,0))</f>
        <v>0</v>
      </c>
      <c r="E72" s="36">
        <f t="shared" ref="E72:E78" si="4">IF($C72&gt;$E$6,0,PPMT(E$4/12, C72, E$6, -E$3, 0))</f>
        <v>0</v>
      </c>
      <c r="F72" s="37">
        <f t="shared" ref="F72:F78" si="5">IF($C72&gt;$E$6,0,IPMT(E$4/12, C72, E$6, -E$3, 0))</f>
        <v>0</v>
      </c>
      <c r="G72" s="38"/>
      <c r="H72" s="37"/>
    </row>
    <row r="73" spans="2:10">
      <c r="B73" s="27" t="s">
        <v>61</v>
      </c>
      <c r="C73" s="35">
        <v>66</v>
      </c>
      <c r="D73" s="36">
        <f t="shared" si="3"/>
        <v>0</v>
      </c>
      <c r="E73" s="36">
        <f t="shared" si="4"/>
        <v>0</v>
      </c>
      <c r="F73" s="37">
        <f t="shared" si="5"/>
        <v>0</v>
      </c>
      <c r="G73" s="38"/>
      <c r="H73" s="37"/>
    </row>
    <row r="74" spans="2:10">
      <c r="B74" s="27" t="s">
        <v>61</v>
      </c>
      <c r="C74" s="35">
        <v>67</v>
      </c>
      <c r="D74" s="36">
        <f t="shared" si="3"/>
        <v>0</v>
      </c>
      <c r="E74" s="36">
        <f t="shared" si="4"/>
        <v>0</v>
      </c>
      <c r="F74" s="37">
        <f t="shared" si="5"/>
        <v>0</v>
      </c>
      <c r="G74" s="38"/>
      <c r="H74" s="37"/>
    </row>
    <row r="75" spans="2:10">
      <c r="B75" s="27" t="s">
        <v>61</v>
      </c>
      <c r="C75" s="35">
        <v>68</v>
      </c>
      <c r="D75" s="36">
        <f t="shared" si="3"/>
        <v>0</v>
      </c>
      <c r="E75" s="36">
        <f t="shared" si="4"/>
        <v>0</v>
      </c>
      <c r="F75" s="37">
        <f t="shared" si="5"/>
        <v>0</v>
      </c>
      <c r="G75" s="38"/>
      <c r="H75" s="37"/>
    </row>
    <row r="76" spans="2:10">
      <c r="B76" s="27" t="s">
        <v>61</v>
      </c>
      <c r="C76" s="35">
        <v>69</v>
      </c>
      <c r="D76" s="36">
        <f t="shared" si="3"/>
        <v>0</v>
      </c>
      <c r="E76" s="36">
        <f t="shared" si="4"/>
        <v>0</v>
      </c>
      <c r="F76" s="37">
        <f t="shared" si="5"/>
        <v>0</v>
      </c>
      <c r="G76" s="38"/>
      <c r="H76" s="37"/>
    </row>
    <row r="77" spans="2:10">
      <c r="B77" s="27" t="s">
        <v>61</v>
      </c>
      <c r="C77" s="35">
        <v>70</v>
      </c>
      <c r="D77" s="36">
        <f t="shared" si="3"/>
        <v>0</v>
      </c>
      <c r="E77" s="36">
        <f t="shared" si="4"/>
        <v>0</v>
      </c>
      <c r="F77" s="37">
        <f t="shared" si="5"/>
        <v>0</v>
      </c>
      <c r="G77" s="38"/>
      <c r="H77" s="37"/>
    </row>
    <row r="78" spans="2:10">
      <c r="B78" s="27" t="s">
        <v>61</v>
      </c>
      <c r="C78" s="35">
        <v>71</v>
      </c>
      <c r="D78" s="36">
        <f t="shared" si="3"/>
        <v>0</v>
      </c>
      <c r="E78" s="36">
        <f t="shared" si="4"/>
        <v>0</v>
      </c>
      <c r="F78" s="37">
        <f t="shared" si="5"/>
        <v>0</v>
      </c>
      <c r="G78" s="38"/>
      <c r="H78" s="37"/>
    </row>
    <row r="79" spans="2:10">
      <c r="B79" s="117" t="s">
        <v>61</v>
      </c>
      <c r="C79" s="118">
        <v>72</v>
      </c>
      <c r="D79" s="119">
        <f>IF($C79&gt;$E$6,0,PMT(E$4/12,E$6,-E$3,0))</f>
        <v>0</v>
      </c>
      <c r="E79" s="119">
        <f>IF($C79&gt;$E$6,0,PPMT(E$4/12, C79, E$6, -E$3, 0))</f>
        <v>0</v>
      </c>
      <c r="F79" s="120">
        <f>IF($C79&gt;$E$6,0,IPMT(E$4/12, C79, E$6, -E$3, 0))</f>
        <v>0</v>
      </c>
      <c r="G79" s="121">
        <f>SUM(E68:E79)</f>
        <v>0</v>
      </c>
      <c r="H79" s="122">
        <f>SUM(F68:F79)</f>
        <v>0</v>
      </c>
    </row>
    <row r="80" spans="2:10">
      <c r="B80" s="27" t="s">
        <v>61</v>
      </c>
      <c r="C80" s="35">
        <v>73</v>
      </c>
      <c r="D80" s="36">
        <f>IF($C80&gt;$E$6,0,PMT(E$4/12,E$6,-E$3,0))</f>
        <v>0</v>
      </c>
      <c r="E80" s="36">
        <f>IF($C80&gt;$E$6,0,PPMT(E$4/12, C80, E$6, -E$3, 0))</f>
        <v>0</v>
      </c>
      <c r="F80" s="37">
        <f>IF($C80&gt;$E$6,0,IPMT(E$4/12, C80, E$6, -E$3, 0))</f>
        <v>0</v>
      </c>
      <c r="G80" s="38"/>
      <c r="H80" s="37"/>
    </row>
    <row r="81" spans="2:8">
      <c r="B81" s="27" t="s">
        <v>61</v>
      </c>
      <c r="C81" s="35">
        <v>74</v>
      </c>
      <c r="D81" s="36">
        <f t="shared" ref="D81:D90" si="6">IF($C81&gt;$E$6,0,PMT(E$4/12,E$6,-E$3,0))</f>
        <v>0</v>
      </c>
      <c r="E81" s="36">
        <f t="shared" ref="E81:E90" si="7">IF($C81&gt;$E$6,0,PPMT(E$4/12, C81, E$6, -E$3, 0))</f>
        <v>0</v>
      </c>
      <c r="F81" s="37">
        <f t="shared" ref="F81:F90" si="8">IF($C81&gt;$E$6,0,IPMT(E$4/12, C81, E$6, -E$3, 0))</f>
        <v>0</v>
      </c>
      <c r="G81" s="38"/>
      <c r="H81" s="37"/>
    </row>
    <row r="82" spans="2:8">
      <c r="B82" s="27" t="s">
        <v>61</v>
      </c>
      <c r="C82" s="35">
        <v>75</v>
      </c>
      <c r="D82" s="36">
        <f t="shared" si="6"/>
        <v>0</v>
      </c>
      <c r="E82" s="36">
        <f t="shared" si="7"/>
        <v>0</v>
      </c>
      <c r="F82" s="37">
        <f t="shared" si="8"/>
        <v>0</v>
      </c>
      <c r="G82" s="38"/>
      <c r="H82" s="37"/>
    </row>
    <row r="83" spans="2:8">
      <c r="B83" s="27" t="s">
        <v>61</v>
      </c>
      <c r="C83" s="35">
        <v>76</v>
      </c>
      <c r="D83" s="36">
        <f t="shared" si="6"/>
        <v>0</v>
      </c>
      <c r="E83" s="36">
        <f t="shared" si="7"/>
        <v>0</v>
      </c>
      <c r="F83" s="37">
        <f t="shared" si="8"/>
        <v>0</v>
      </c>
      <c r="G83" s="38"/>
      <c r="H83" s="37"/>
    </row>
    <row r="84" spans="2:8">
      <c r="B84" s="27" t="s">
        <v>61</v>
      </c>
      <c r="C84" s="35">
        <v>77</v>
      </c>
      <c r="D84" s="36">
        <f t="shared" si="6"/>
        <v>0</v>
      </c>
      <c r="E84" s="36">
        <f t="shared" si="7"/>
        <v>0</v>
      </c>
      <c r="F84" s="37">
        <f t="shared" si="8"/>
        <v>0</v>
      </c>
      <c r="G84" s="38"/>
      <c r="H84" s="37"/>
    </row>
    <row r="85" spans="2:8">
      <c r="B85" s="27" t="s">
        <v>61</v>
      </c>
      <c r="C85" s="35">
        <v>78</v>
      </c>
      <c r="D85" s="36">
        <f t="shared" si="6"/>
        <v>0</v>
      </c>
      <c r="E85" s="36">
        <f t="shared" si="7"/>
        <v>0</v>
      </c>
      <c r="F85" s="37">
        <f t="shared" si="8"/>
        <v>0</v>
      </c>
      <c r="G85" s="38"/>
      <c r="H85" s="37"/>
    </row>
    <row r="86" spans="2:8">
      <c r="B86" s="27" t="s">
        <v>61</v>
      </c>
      <c r="C86" s="35">
        <v>79</v>
      </c>
      <c r="D86" s="36">
        <f t="shared" si="6"/>
        <v>0</v>
      </c>
      <c r="E86" s="36">
        <f t="shared" si="7"/>
        <v>0</v>
      </c>
      <c r="F86" s="37">
        <f t="shared" si="8"/>
        <v>0</v>
      </c>
      <c r="G86" s="38"/>
      <c r="H86" s="37"/>
    </row>
    <row r="87" spans="2:8">
      <c r="B87" s="27" t="s">
        <v>61</v>
      </c>
      <c r="C87" s="35">
        <v>80</v>
      </c>
      <c r="D87" s="36">
        <f t="shared" si="6"/>
        <v>0</v>
      </c>
      <c r="E87" s="36">
        <f t="shared" si="7"/>
        <v>0</v>
      </c>
      <c r="F87" s="37">
        <f t="shared" si="8"/>
        <v>0</v>
      </c>
      <c r="G87" s="38"/>
      <c r="H87" s="37"/>
    </row>
    <row r="88" spans="2:8">
      <c r="B88" s="27" t="s">
        <v>61</v>
      </c>
      <c r="C88" s="35">
        <v>81</v>
      </c>
      <c r="D88" s="36">
        <f t="shared" si="6"/>
        <v>0</v>
      </c>
      <c r="E88" s="36">
        <f t="shared" si="7"/>
        <v>0</v>
      </c>
      <c r="F88" s="37">
        <f t="shared" si="8"/>
        <v>0</v>
      </c>
      <c r="G88" s="38"/>
      <c r="H88" s="37"/>
    </row>
    <row r="89" spans="2:8">
      <c r="B89" s="27" t="s">
        <v>61</v>
      </c>
      <c r="C89" s="35">
        <v>82</v>
      </c>
      <c r="D89" s="36">
        <f t="shared" si="6"/>
        <v>0</v>
      </c>
      <c r="E89" s="36">
        <f t="shared" si="7"/>
        <v>0</v>
      </c>
      <c r="F89" s="37">
        <f t="shared" si="8"/>
        <v>0</v>
      </c>
      <c r="G89" s="38"/>
      <c r="H89" s="37"/>
    </row>
    <row r="90" spans="2:8">
      <c r="B90" s="27" t="s">
        <v>61</v>
      </c>
      <c r="C90" s="35">
        <v>83</v>
      </c>
      <c r="D90" s="36">
        <f t="shared" si="6"/>
        <v>0</v>
      </c>
      <c r="E90" s="36">
        <f t="shared" si="7"/>
        <v>0</v>
      </c>
      <c r="F90" s="37">
        <f t="shared" si="8"/>
        <v>0</v>
      </c>
      <c r="G90" s="38"/>
      <c r="H90" s="37"/>
    </row>
    <row r="91" spans="2:8">
      <c r="B91" s="117" t="s">
        <v>61</v>
      </c>
      <c r="C91" s="118">
        <v>84</v>
      </c>
      <c r="D91" s="119">
        <f>IF($C91&gt;$E$6,0,PMT(E$4/12,E$6,-E$3,0))</f>
        <v>0</v>
      </c>
      <c r="E91" s="119">
        <f>IF($C91&gt;$E$6,0,PPMT(E$4/12, C91, E$6, -E$3, 0))</f>
        <v>0</v>
      </c>
      <c r="F91" s="120">
        <f>IF($C91&gt;$E$6,0,IPMT(E$4/12, C91, E$6, -E$3, 0))</f>
        <v>0</v>
      </c>
      <c r="G91" s="123">
        <f>SUM(E80:E91)</f>
        <v>0</v>
      </c>
      <c r="H91" s="124">
        <f>SUM(F80:F91)</f>
        <v>0</v>
      </c>
    </row>
    <row r="92" spans="2:8">
      <c r="B92" s="29"/>
      <c r="C92" s="49"/>
      <c r="D92" s="50">
        <f>SUM(D8:D91)</f>
        <v>168403.25987470621</v>
      </c>
      <c r="E92" s="50">
        <f>SUM(E8:E91)</f>
        <v>155382.99999999994</v>
      </c>
      <c r="F92" s="51">
        <f>SUM(F8:F91)</f>
        <v>13020.259874706264</v>
      </c>
      <c r="G92" s="50">
        <f>SUM(G8:G91)</f>
        <v>155383</v>
      </c>
      <c r="H92" s="51">
        <f>SUM(H8:H91)</f>
        <v>13020.259874706264</v>
      </c>
    </row>
    <row r="94" spans="2:8">
      <c r="C94" s="40"/>
      <c r="D94" s="40"/>
    </row>
    <row r="95" spans="2:8">
      <c r="C95" s="40"/>
      <c r="D95" s="40"/>
    </row>
    <row r="96" spans="2:8">
      <c r="C96" s="40"/>
      <c r="D96" s="40"/>
    </row>
    <row r="97" spans="3:4">
      <c r="C97" s="40"/>
      <c r="D97" s="40"/>
    </row>
    <row r="98" spans="3:4">
      <c r="C98" s="40"/>
      <c r="D98" s="40"/>
    </row>
    <row r="99" spans="3:4">
      <c r="C99" s="40"/>
      <c r="D99" s="40"/>
    </row>
    <row r="100" spans="3:4">
      <c r="C100" s="40"/>
      <c r="D100" s="40"/>
    </row>
    <row r="101" spans="3:4">
      <c r="C101" s="40"/>
      <c r="D101" s="40"/>
    </row>
    <row r="102" spans="3:4">
      <c r="C102" s="40"/>
      <c r="D102" s="40"/>
    </row>
    <row r="103" spans="3:4">
      <c r="C103" s="40"/>
      <c r="D103" s="40"/>
    </row>
    <row r="104" spans="3:4">
      <c r="C104" s="40"/>
      <c r="D104" s="40"/>
    </row>
    <row r="105" spans="3:4">
      <c r="C105" s="40"/>
      <c r="D105" s="40"/>
    </row>
    <row r="106" spans="3:4">
      <c r="C106" s="40"/>
      <c r="D106" s="40"/>
    </row>
    <row r="107" spans="3:4">
      <c r="C107" s="40"/>
      <c r="D107" s="40"/>
    </row>
    <row r="108" spans="3:4">
      <c r="C108" s="40"/>
      <c r="D108" s="40"/>
    </row>
    <row r="109" spans="3:4">
      <c r="C109" s="40"/>
      <c r="D109" s="40"/>
    </row>
    <row r="110" spans="3:4">
      <c r="C110" s="40"/>
      <c r="D110" s="40"/>
    </row>
    <row r="111" spans="3:4">
      <c r="C111" s="40"/>
      <c r="D111" s="40"/>
    </row>
    <row r="112" spans="3:4">
      <c r="C112" s="40"/>
      <c r="D112" s="40"/>
    </row>
    <row r="113" spans="3:4">
      <c r="C113" s="40"/>
      <c r="D113" s="40"/>
    </row>
    <row r="114" spans="3:4">
      <c r="C114" s="40"/>
      <c r="D114" s="40"/>
    </row>
    <row r="115" spans="3:4">
      <c r="C115" s="40"/>
      <c r="D115" s="40"/>
    </row>
    <row r="116" spans="3:4">
      <c r="C116" s="40"/>
      <c r="D116" s="40"/>
    </row>
    <row r="117" spans="3:4">
      <c r="C117" s="40"/>
      <c r="D117" s="40"/>
    </row>
    <row r="118" spans="3:4">
      <c r="C118" s="40"/>
      <c r="D118" s="40"/>
    </row>
    <row r="119" spans="3:4">
      <c r="C119" s="40"/>
      <c r="D119" s="40"/>
    </row>
    <row r="120" spans="3:4">
      <c r="C120" s="40"/>
      <c r="D120" s="40"/>
    </row>
    <row r="121" spans="3:4">
      <c r="C121" s="40"/>
      <c r="D121" s="40"/>
    </row>
    <row r="122" spans="3:4">
      <c r="C122" s="40"/>
      <c r="D122" s="40"/>
    </row>
    <row r="123" spans="3:4">
      <c r="C123" s="40"/>
      <c r="D123" s="40"/>
    </row>
    <row r="124" spans="3:4">
      <c r="C124" s="40"/>
      <c r="D124" s="40"/>
    </row>
    <row r="125" spans="3:4">
      <c r="C125" s="40"/>
      <c r="D125" s="40"/>
    </row>
    <row r="126" spans="3:4">
      <c r="C126" s="40"/>
      <c r="D126" s="40"/>
    </row>
    <row r="127" spans="3:4">
      <c r="C127" s="40"/>
      <c r="D127" s="40"/>
    </row>
    <row r="128" spans="3:4">
      <c r="C128" s="40"/>
      <c r="D128" s="40"/>
    </row>
    <row r="129" spans="3:4">
      <c r="C129" s="40"/>
      <c r="D129" s="40"/>
    </row>
    <row r="130" spans="3:4">
      <c r="C130" s="40"/>
      <c r="D130" s="40"/>
    </row>
    <row r="131" spans="3:4">
      <c r="C131" s="40"/>
      <c r="D131" s="40"/>
    </row>
    <row r="132" spans="3:4">
      <c r="C132" s="40"/>
      <c r="D132" s="40"/>
    </row>
    <row r="133" spans="3:4">
      <c r="C133" s="40"/>
      <c r="D133" s="40"/>
    </row>
    <row r="134" spans="3:4">
      <c r="C134" s="40"/>
      <c r="D134" s="40"/>
    </row>
    <row r="135" spans="3:4">
      <c r="C135" s="40"/>
      <c r="D135" s="40"/>
    </row>
    <row r="136" spans="3:4">
      <c r="C136" s="40"/>
      <c r="D136" s="40"/>
    </row>
    <row r="137" spans="3:4">
      <c r="C137" s="40"/>
      <c r="D137" s="40"/>
    </row>
    <row r="138" spans="3:4">
      <c r="C138" s="40"/>
      <c r="D138" s="40"/>
    </row>
    <row r="139" spans="3:4">
      <c r="C139" s="40"/>
      <c r="D139" s="40"/>
    </row>
    <row r="140" spans="3:4">
      <c r="C140" s="40"/>
      <c r="D140" s="40"/>
    </row>
    <row r="141" spans="3:4">
      <c r="C141" s="40"/>
      <c r="D141" s="40"/>
    </row>
    <row r="142" spans="3:4">
      <c r="C142" s="40"/>
      <c r="D142" s="40"/>
    </row>
    <row r="143" spans="3:4">
      <c r="C143" s="40"/>
      <c r="D143" s="40"/>
    </row>
    <row r="144" spans="3:4">
      <c r="C144" s="40"/>
      <c r="D144" s="40"/>
    </row>
    <row r="145" spans="3:4">
      <c r="C145" s="40"/>
      <c r="D145" s="40"/>
    </row>
    <row r="146" spans="3:4">
      <c r="C146" s="40"/>
      <c r="D146" s="40"/>
    </row>
    <row r="147" spans="3:4">
      <c r="C147" s="40"/>
      <c r="D147" s="40"/>
    </row>
    <row r="148" spans="3:4">
      <c r="C148" s="40"/>
      <c r="D148" s="40"/>
    </row>
    <row r="149" spans="3:4">
      <c r="C149" s="40"/>
      <c r="D149" s="40"/>
    </row>
    <row r="150" spans="3:4">
      <c r="C150" s="40"/>
      <c r="D150" s="40"/>
    </row>
    <row r="151" spans="3:4">
      <c r="C151" s="40"/>
      <c r="D151" s="40"/>
    </row>
    <row r="152" spans="3:4">
      <c r="C152" s="40"/>
      <c r="D152" s="40"/>
    </row>
    <row r="153" spans="3:4">
      <c r="C153" s="40"/>
      <c r="D153" s="40"/>
    </row>
    <row r="154" spans="3:4">
      <c r="C154" s="40"/>
      <c r="D154" s="40"/>
    </row>
    <row r="155" spans="3:4">
      <c r="C155" s="40"/>
      <c r="D155" s="40"/>
    </row>
    <row r="156" spans="3:4">
      <c r="C156" s="40"/>
      <c r="D156" s="40"/>
    </row>
    <row r="157" spans="3:4">
      <c r="C157" s="40"/>
      <c r="D157" s="40"/>
    </row>
    <row r="158" spans="3:4">
      <c r="C158" s="40"/>
      <c r="D158" s="40"/>
    </row>
    <row r="159" spans="3:4">
      <c r="C159" s="40"/>
      <c r="D159" s="40"/>
    </row>
    <row r="160" spans="3:4">
      <c r="C160" s="40"/>
      <c r="D160" s="40"/>
    </row>
    <row r="161" spans="3:4">
      <c r="C161" s="40"/>
      <c r="D161" s="40"/>
    </row>
    <row r="162" spans="3:4">
      <c r="C162" s="40"/>
      <c r="D162" s="40"/>
    </row>
    <row r="163" spans="3:4">
      <c r="C163" s="40"/>
      <c r="D163" s="40"/>
    </row>
    <row r="164" spans="3:4">
      <c r="C164" s="40"/>
      <c r="D164" s="40"/>
    </row>
    <row r="165" spans="3:4">
      <c r="C165" s="40"/>
      <c r="D165" s="40"/>
    </row>
    <row r="166" spans="3:4">
      <c r="C166" s="40"/>
      <c r="D166" s="40"/>
    </row>
    <row r="167" spans="3:4">
      <c r="C167" s="40"/>
      <c r="D167" s="40"/>
    </row>
    <row r="168" spans="3:4">
      <c r="C168" s="40"/>
      <c r="D168" s="40"/>
    </row>
    <row r="169" spans="3:4">
      <c r="C169" s="40"/>
      <c r="D169" s="40"/>
    </row>
    <row r="170" spans="3:4">
      <c r="C170" s="40"/>
      <c r="D170" s="40"/>
    </row>
    <row r="171" spans="3:4">
      <c r="C171" s="40"/>
      <c r="D171" s="40"/>
    </row>
    <row r="172" spans="3:4">
      <c r="C172" s="40"/>
      <c r="D172" s="40"/>
    </row>
    <row r="173" spans="3:4">
      <c r="C173" s="40"/>
      <c r="D173" s="40"/>
    </row>
    <row r="174" spans="3:4">
      <c r="C174" s="40"/>
      <c r="D174" s="40"/>
    </row>
    <row r="175" spans="3:4">
      <c r="C175" s="40"/>
      <c r="D175" s="40"/>
    </row>
    <row r="176" spans="3:4">
      <c r="C176" s="40"/>
      <c r="D176" s="40"/>
    </row>
    <row r="177" spans="3:4">
      <c r="C177" s="40"/>
      <c r="D177" s="40"/>
    </row>
    <row r="178" spans="3:4">
      <c r="C178" s="40"/>
      <c r="D178" s="40"/>
    </row>
    <row r="179" spans="3:4">
      <c r="C179" s="40"/>
      <c r="D179" s="40"/>
    </row>
    <row r="180" spans="3:4">
      <c r="C180" s="40"/>
      <c r="D180" s="40"/>
    </row>
    <row r="181" spans="3:4">
      <c r="C181" s="40"/>
      <c r="D181" s="40"/>
    </row>
    <row r="182" spans="3:4">
      <c r="C182" s="40"/>
      <c r="D182" s="40"/>
    </row>
    <row r="183" spans="3:4">
      <c r="C183" s="40"/>
      <c r="D183" s="40"/>
    </row>
    <row r="184" spans="3:4">
      <c r="C184" s="40"/>
      <c r="D184" s="40"/>
    </row>
    <row r="185" spans="3:4">
      <c r="C185" s="40"/>
      <c r="D185" s="40"/>
    </row>
    <row r="186" spans="3:4">
      <c r="C186" s="40"/>
      <c r="D186" s="40"/>
    </row>
    <row r="187" spans="3:4">
      <c r="C187" s="40"/>
      <c r="D187" s="40"/>
    </row>
    <row r="188" spans="3:4">
      <c r="C188" s="40"/>
      <c r="D188" s="40"/>
    </row>
    <row r="189" spans="3:4">
      <c r="C189" s="40"/>
      <c r="D189" s="40"/>
    </row>
    <row r="190" spans="3:4">
      <c r="C190" s="40"/>
      <c r="D190" s="40"/>
    </row>
    <row r="191" spans="3:4">
      <c r="C191" s="40"/>
      <c r="D191" s="40"/>
    </row>
    <row r="192" spans="3:4">
      <c r="C192" s="40"/>
      <c r="D192" s="40"/>
    </row>
    <row r="193" spans="3:4">
      <c r="C193" s="40"/>
      <c r="D193" s="40"/>
    </row>
    <row r="194" spans="3:4">
      <c r="C194" s="40"/>
      <c r="D194" s="40"/>
    </row>
    <row r="195" spans="3:4">
      <c r="C195" s="40"/>
      <c r="D195" s="40"/>
    </row>
    <row r="196" spans="3:4">
      <c r="C196" s="40"/>
      <c r="D196" s="40"/>
    </row>
    <row r="197" spans="3:4">
      <c r="C197" s="40"/>
      <c r="D197" s="40"/>
    </row>
    <row r="198" spans="3:4">
      <c r="C198" s="40"/>
      <c r="D198" s="40"/>
    </row>
    <row r="199" spans="3:4">
      <c r="C199" s="40"/>
      <c r="D199" s="40"/>
    </row>
    <row r="200" spans="3:4">
      <c r="C200" s="40"/>
      <c r="D200" s="40"/>
    </row>
    <row r="201" spans="3:4">
      <c r="C201" s="40"/>
      <c r="D201" s="40"/>
    </row>
    <row r="202" spans="3:4">
      <c r="C202" s="40"/>
      <c r="D202" s="40"/>
    </row>
    <row r="203" spans="3:4">
      <c r="C203" s="40"/>
      <c r="D203" s="40"/>
    </row>
    <row r="204" spans="3:4">
      <c r="C204" s="40"/>
      <c r="D204" s="40"/>
    </row>
    <row r="205" spans="3:4">
      <c r="C205" s="40"/>
      <c r="D205" s="40"/>
    </row>
    <row r="206" spans="3:4">
      <c r="C206" s="40"/>
      <c r="D206" s="40"/>
    </row>
    <row r="207" spans="3:4">
      <c r="C207" s="40"/>
      <c r="D207" s="40"/>
    </row>
    <row r="208" spans="3:4">
      <c r="C208" s="40"/>
      <c r="D208" s="40"/>
    </row>
    <row r="209" spans="3:4">
      <c r="C209" s="40"/>
      <c r="D209" s="40"/>
    </row>
    <row r="210" spans="3:4">
      <c r="C210" s="40"/>
      <c r="D210" s="40"/>
    </row>
    <row r="211" spans="3:4">
      <c r="C211" s="40"/>
      <c r="D211" s="40"/>
    </row>
    <row r="212" spans="3:4">
      <c r="C212" s="40"/>
      <c r="D212" s="40"/>
    </row>
    <row r="213" spans="3:4">
      <c r="C213" s="40"/>
      <c r="D213" s="40"/>
    </row>
    <row r="214" spans="3:4">
      <c r="C214" s="40"/>
      <c r="D214" s="40"/>
    </row>
    <row r="215" spans="3:4">
      <c r="C215" s="40"/>
      <c r="D215" s="40"/>
    </row>
    <row r="216" spans="3:4">
      <c r="C216" s="40"/>
      <c r="D216" s="40"/>
    </row>
    <row r="217" spans="3:4">
      <c r="C217" s="40"/>
      <c r="D217" s="40"/>
    </row>
    <row r="218" spans="3:4">
      <c r="C218" s="40"/>
      <c r="D218" s="40"/>
    </row>
    <row r="219" spans="3:4">
      <c r="C219" s="40"/>
      <c r="D219" s="40"/>
    </row>
    <row r="220" spans="3:4">
      <c r="C220" s="40"/>
      <c r="D220" s="40"/>
    </row>
    <row r="221" spans="3:4">
      <c r="C221" s="40"/>
      <c r="D221" s="40"/>
    </row>
    <row r="222" spans="3:4">
      <c r="C222" s="40"/>
      <c r="D222" s="40"/>
    </row>
    <row r="223" spans="3:4">
      <c r="C223" s="40"/>
      <c r="D223" s="40"/>
    </row>
    <row r="224" spans="3:4">
      <c r="C224" s="40"/>
      <c r="D224" s="40"/>
    </row>
    <row r="225" spans="3:4">
      <c r="C225" s="40"/>
      <c r="D225" s="40"/>
    </row>
    <row r="226" spans="3:4">
      <c r="C226" s="40"/>
      <c r="D226" s="40"/>
    </row>
    <row r="227" spans="3:4">
      <c r="C227" s="40"/>
      <c r="D227" s="40"/>
    </row>
    <row r="228" spans="3:4">
      <c r="C228" s="40"/>
      <c r="D228" s="40"/>
    </row>
    <row r="229" spans="3:4">
      <c r="C229" s="40"/>
      <c r="D229" s="40"/>
    </row>
    <row r="230" spans="3:4">
      <c r="C230" s="40"/>
      <c r="D230" s="40"/>
    </row>
    <row r="231" spans="3:4">
      <c r="C231" s="40"/>
      <c r="D231" s="40"/>
    </row>
    <row r="232" spans="3:4">
      <c r="C232" s="40"/>
      <c r="D232" s="40"/>
    </row>
    <row r="233" spans="3:4">
      <c r="C233" s="40"/>
      <c r="D233" s="40"/>
    </row>
    <row r="234" spans="3:4">
      <c r="C234" s="40"/>
      <c r="D234" s="40"/>
    </row>
    <row r="235" spans="3:4">
      <c r="C235" s="40"/>
      <c r="D235" s="40"/>
    </row>
    <row r="236" spans="3:4">
      <c r="C236" s="40"/>
      <c r="D236" s="40"/>
    </row>
    <row r="237" spans="3:4">
      <c r="C237" s="40"/>
      <c r="D237" s="40"/>
    </row>
    <row r="238" spans="3:4">
      <c r="C238" s="40"/>
      <c r="D238" s="40"/>
    </row>
    <row r="239" spans="3:4">
      <c r="C239" s="40"/>
      <c r="D239" s="40"/>
    </row>
    <row r="240" spans="3:4">
      <c r="C240" s="40"/>
      <c r="D240" s="40"/>
    </row>
    <row r="241" spans="3:4">
      <c r="C241" s="40"/>
      <c r="D241" s="40"/>
    </row>
    <row r="242" spans="3:4">
      <c r="C242" s="40"/>
      <c r="D242" s="40"/>
    </row>
    <row r="243" spans="3:4">
      <c r="C243" s="40"/>
      <c r="D243" s="40"/>
    </row>
    <row r="244" spans="3:4">
      <c r="C244" s="40"/>
      <c r="D244" s="40"/>
    </row>
    <row r="245" spans="3:4">
      <c r="C245" s="40"/>
      <c r="D245" s="40"/>
    </row>
    <row r="246" spans="3:4">
      <c r="C246" s="40"/>
      <c r="D246" s="40"/>
    </row>
    <row r="247" spans="3:4">
      <c r="C247" s="40"/>
      <c r="D247" s="40"/>
    </row>
    <row r="248" spans="3:4">
      <c r="C248" s="40"/>
      <c r="D248" s="40"/>
    </row>
    <row r="249" spans="3:4">
      <c r="C249" s="40"/>
      <c r="D249" s="40"/>
    </row>
    <row r="250" spans="3:4">
      <c r="C250" s="40"/>
      <c r="D250" s="40"/>
    </row>
    <row r="251" spans="3:4">
      <c r="C251" s="40"/>
      <c r="D251" s="40"/>
    </row>
    <row r="252" spans="3:4">
      <c r="C252" s="40"/>
      <c r="D252" s="40"/>
    </row>
    <row r="253" spans="3:4">
      <c r="C253" s="40"/>
      <c r="D253" s="40"/>
    </row>
    <row r="254" spans="3:4">
      <c r="C254" s="40"/>
      <c r="D254" s="40"/>
    </row>
    <row r="255" spans="3:4">
      <c r="C255" s="40"/>
      <c r="D255" s="40"/>
    </row>
    <row r="256" spans="3:4">
      <c r="C256" s="40"/>
      <c r="D256" s="40"/>
    </row>
    <row r="257" spans="3:4">
      <c r="C257" s="40"/>
      <c r="D257" s="40"/>
    </row>
    <row r="258" spans="3:4">
      <c r="C258" s="40"/>
      <c r="D258" s="40"/>
    </row>
    <row r="259" spans="3:4">
      <c r="C259" s="40"/>
      <c r="D259" s="40"/>
    </row>
    <row r="260" spans="3:4">
      <c r="C260" s="40"/>
      <c r="D260" s="40"/>
    </row>
    <row r="261" spans="3:4">
      <c r="C261" s="40"/>
      <c r="D261" s="40"/>
    </row>
    <row r="262" spans="3:4">
      <c r="C262" s="40"/>
      <c r="D262" s="40"/>
    </row>
    <row r="263" spans="3:4">
      <c r="C263" s="40"/>
      <c r="D263" s="40"/>
    </row>
    <row r="264" spans="3:4">
      <c r="C264" s="40"/>
      <c r="D264" s="40"/>
    </row>
    <row r="265" spans="3:4">
      <c r="C265" s="40"/>
      <c r="D265" s="40"/>
    </row>
    <row r="266" spans="3:4">
      <c r="C266" s="40"/>
      <c r="D266" s="40"/>
    </row>
    <row r="267" spans="3:4">
      <c r="C267" s="40"/>
      <c r="D267" s="40"/>
    </row>
    <row r="268" spans="3:4">
      <c r="C268" s="40"/>
      <c r="D268" s="40"/>
    </row>
    <row r="269" spans="3:4">
      <c r="C269" s="40"/>
      <c r="D269" s="40"/>
    </row>
    <row r="270" spans="3:4">
      <c r="C270" s="40"/>
      <c r="D270" s="40"/>
    </row>
    <row r="271" spans="3:4">
      <c r="C271" s="40"/>
      <c r="D271" s="40"/>
    </row>
    <row r="272" spans="3:4">
      <c r="C272" s="40"/>
      <c r="D272" s="40"/>
    </row>
    <row r="273" spans="3:4">
      <c r="C273" s="40"/>
      <c r="D273" s="40"/>
    </row>
    <row r="274" spans="3:4">
      <c r="C274" s="40"/>
      <c r="D274" s="40"/>
    </row>
    <row r="275" spans="3:4">
      <c r="C275" s="40"/>
      <c r="D275" s="40"/>
    </row>
    <row r="276" spans="3:4">
      <c r="C276" s="40"/>
      <c r="D276" s="40"/>
    </row>
    <row r="277" spans="3:4">
      <c r="C277" s="40"/>
      <c r="D277" s="40"/>
    </row>
    <row r="278" spans="3:4">
      <c r="C278" s="40"/>
      <c r="D278" s="40"/>
    </row>
    <row r="279" spans="3:4">
      <c r="C279" s="40"/>
      <c r="D279" s="40"/>
    </row>
    <row r="280" spans="3:4">
      <c r="C280" s="40"/>
      <c r="D280" s="40"/>
    </row>
    <row r="281" spans="3:4">
      <c r="C281" s="40"/>
      <c r="D281" s="40"/>
    </row>
    <row r="282" spans="3:4">
      <c r="C282" s="40"/>
      <c r="D282" s="40"/>
    </row>
    <row r="283" spans="3:4">
      <c r="C283" s="40"/>
      <c r="D283" s="40"/>
    </row>
    <row r="284" spans="3:4">
      <c r="C284" s="40"/>
      <c r="D284" s="40"/>
    </row>
    <row r="285" spans="3:4">
      <c r="C285" s="40"/>
      <c r="D285" s="40"/>
    </row>
    <row r="286" spans="3:4">
      <c r="C286" s="40"/>
      <c r="D286" s="40"/>
    </row>
    <row r="287" spans="3:4">
      <c r="C287" s="40"/>
      <c r="D287" s="40"/>
    </row>
    <row r="288" spans="3:4">
      <c r="C288" s="40"/>
      <c r="D288" s="40"/>
    </row>
    <row r="289" spans="3:4">
      <c r="C289" s="40"/>
      <c r="D289" s="40"/>
    </row>
    <row r="290" spans="3:4">
      <c r="C290" s="40"/>
      <c r="D290" s="40"/>
    </row>
    <row r="291" spans="3:4">
      <c r="C291" s="40"/>
      <c r="D291" s="40"/>
    </row>
    <row r="292" spans="3:4">
      <c r="C292" s="40"/>
      <c r="D292" s="40"/>
    </row>
    <row r="293" spans="3:4">
      <c r="C293" s="40"/>
      <c r="D293" s="40"/>
    </row>
    <row r="294" spans="3:4">
      <c r="C294" s="40"/>
      <c r="D294" s="40"/>
    </row>
    <row r="295" spans="3:4">
      <c r="C295" s="40"/>
      <c r="D295" s="40"/>
    </row>
    <row r="296" spans="3:4">
      <c r="C296" s="40"/>
      <c r="D296" s="40"/>
    </row>
    <row r="297" spans="3:4">
      <c r="C297" s="40"/>
      <c r="D297" s="40"/>
    </row>
  </sheetData>
  <mergeCells count="1">
    <mergeCell ref="B1:H1"/>
  </mergeCells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2C4B8-F98C-0E4A-96A3-4673E1FAE388}">
  <sheetPr codeName="Feuil6">
    <tabColor rgb="FFFFA2DD"/>
    <pageSetUpPr fitToPage="1"/>
  </sheetPr>
  <dimension ref="B1:G63"/>
  <sheetViews>
    <sheetView showGridLines="0" zoomScale="160" zoomScaleNormal="160" workbookViewId="0">
      <pane xSplit="5" ySplit="7" topLeftCell="F8" activePane="bottomRight" state="frozen"/>
      <selection pane="topRight" activeCell="F1" sqref="F1"/>
      <selection pane="bottomLeft" activeCell="A7" sqref="A7"/>
      <selection pane="bottomRight"/>
    </sheetView>
  </sheetViews>
  <sheetFormatPr baseColWidth="10" defaultColWidth="12" defaultRowHeight="14" customHeight="1"/>
  <cols>
    <col min="1" max="1" width="12.5" style="165" customWidth="1"/>
    <col min="2" max="2" width="44.5" style="174" bestFit="1" customWidth="1"/>
    <col min="3" max="3" width="11.75" style="165" customWidth="1"/>
    <col min="4" max="4" width="15.75" style="165" customWidth="1"/>
    <col min="5" max="7" width="14.75" style="165" customWidth="1"/>
    <col min="8" max="16384" width="12" style="165"/>
  </cols>
  <sheetData>
    <row r="1" spans="2:5" ht="14" customHeight="1">
      <c r="B1" s="175" t="s">
        <v>86</v>
      </c>
      <c r="C1" s="164"/>
      <c r="D1" s="164"/>
      <c r="E1" s="165" t="s">
        <v>97</v>
      </c>
    </row>
    <row r="2" spans="2:5" ht="14" customHeight="1">
      <c r="B2" s="159"/>
      <c r="C2" s="166"/>
      <c r="D2" s="166"/>
    </row>
    <row r="3" spans="2:5" ht="14" customHeight="1">
      <c r="B3" s="167" t="s">
        <v>88</v>
      </c>
      <c r="C3" s="168"/>
      <c r="D3" s="169">
        <f>E6</f>
        <v>442073.85825919168</v>
      </c>
    </row>
    <row r="4" spans="2:5" ht="14" customHeight="1">
      <c r="B4" s="167" t="s">
        <v>89</v>
      </c>
      <c r="C4" s="168"/>
      <c r="D4" s="170">
        <f>D3/D6-1</f>
        <v>0.10518464564797925</v>
      </c>
    </row>
    <row r="5" spans="2:5" ht="14" customHeight="1">
      <c r="B5" s="167"/>
      <c r="C5" s="168"/>
      <c r="D5" s="169"/>
    </row>
    <row r="6" spans="2:5" s="171" customFormat="1" ht="14" customHeight="1">
      <c r="B6" s="203" t="s">
        <v>0</v>
      </c>
      <c r="C6" s="189" t="s">
        <v>56</v>
      </c>
      <c r="D6" s="204">
        <v>400000</v>
      </c>
      <c r="E6" s="171">
        <v>442073.85825919168</v>
      </c>
    </row>
    <row r="7" spans="2:5" s="171" customFormat="1" ht="14" customHeight="1">
      <c r="B7" s="203" t="s">
        <v>1</v>
      </c>
      <c r="C7" s="189"/>
      <c r="D7" s="205">
        <f>D6/1.2</f>
        <v>333333.33333333337</v>
      </c>
      <c r="E7" s="171">
        <f>E6/1.2</f>
        <v>368394.88188265974</v>
      </c>
    </row>
    <row r="8" spans="2:5" ht="14" customHeight="1">
      <c r="B8" s="176" t="s">
        <v>29</v>
      </c>
      <c r="C8" s="177"/>
      <c r="D8" s="192"/>
    </row>
    <row r="9" spans="2:5" ht="14" customHeight="1">
      <c r="B9" s="178" t="s">
        <v>95</v>
      </c>
      <c r="C9" s="177"/>
      <c r="D9" s="192"/>
    </row>
    <row r="10" spans="2:5" ht="14" customHeight="1">
      <c r="B10" s="200" t="s">
        <v>96</v>
      </c>
      <c r="C10" s="201"/>
      <c r="D10" s="202">
        <f>D7+D8+D9</f>
        <v>333333.33333333337</v>
      </c>
      <c r="E10" s="165">
        <f>E7+E8+E9</f>
        <v>368394.88188265974</v>
      </c>
    </row>
    <row r="11" spans="2:5" ht="14" customHeight="1">
      <c r="B11" s="206" t="s">
        <v>83</v>
      </c>
      <c r="C11" s="208">
        <v>0.5</v>
      </c>
      <c r="D11" s="209">
        <f>D10*$C11</f>
        <v>166666.66666666669</v>
      </c>
      <c r="E11" s="165">
        <f>E10*$C11</f>
        <v>184197.44094132987</v>
      </c>
    </row>
    <row r="12" spans="2:5" ht="14" customHeight="1">
      <c r="B12" s="178" t="s">
        <v>30</v>
      </c>
      <c r="C12" s="180">
        <v>0.01</v>
      </c>
      <c r="D12" s="192">
        <f>D10*$C12</f>
        <v>3333.3333333333339</v>
      </c>
      <c r="E12" s="165">
        <f>E10*$C12</f>
        <v>3683.9488188265973</v>
      </c>
    </row>
    <row r="13" spans="2:5" ht="14" customHeight="1">
      <c r="B13" s="181"/>
      <c r="C13" s="182"/>
      <c r="D13" s="192"/>
      <c r="E13" s="165">
        <f>E10*$C13</f>
        <v>0</v>
      </c>
    </row>
    <row r="14" spans="2:5" ht="14" customHeight="1">
      <c r="B14" s="178"/>
      <c r="C14" s="182"/>
      <c r="D14" s="192"/>
      <c r="E14" s="165">
        <f>E10*$C14</f>
        <v>0</v>
      </c>
    </row>
    <row r="15" spans="2:5" ht="14" customHeight="1">
      <c r="B15" s="200" t="s">
        <v>85</v>
      </c>
      <c r="C15" s="207">
        <f>IFERROR(D15/D10,"")</f>
        <v>0.49</v>
      </c>
      <c r="D15" s="202">
        <f>D11-D12-D13-D14</f>
        <v>163333.33333333334</v>
      </c>
      <c r="E15" s="165">
        <f>E11-E12-E13-E14</f>
        <v>180513.49212250326</v>
      </c>
    </row>
    <row r="16" spans="2:5" ht="14" customHeight="1">
      <c r="B16" s="211" t="s">
        <v>2</v>
      </c>
      <c r="C16" s="212"/>
      <c r="D16" s="213"/>
    </row>
    <row r="17" spans="2:7" ht="14" customHeight="1">
      <c r="B17" s="176" t="s">
        <v>3</v>
      </c>
      <c r="C17" s="184">
        <v>5.0000000000000001E-3</v>
      </c>
      <c r="D17" s="193">
        <f>$D$10*C17</f>
        <v>1666.666666666667</v>
      </c>
      <c r="E17" s="165">
        <f>$E$10*C17</f>
        <v>1841.9744094132986</v>
      </c>
    </row>
    <row r="18" spans="2:7" ht="14" customHeight="1">
      <c r="B18" s="176" t="s">
        <v>4</v>
      </c>
      <c r="C18" s="184">
        <v>0.01</v>
      </c>
      <c r="D18" s="193">
        <f>$D$10*C18</f>
        <v>3333.3333333333339</v>
      </c>
      <c r="E18" s="165">
        <f>$E$10*C18</f>
        <v>3683.9488188265973</v>
      </c>
    </row>
    <row r="19" spans="2:7" ht="14" customHeight="1">
      <c r="B19" s="176" t="s">
        <v>5</v>
      </c>
      <c r="C19" s="184">
        <v>5.0000000000000001E-3</v>
      </c>
      <c r="D19" s="193">
        <f>$D$10*C19</f>
        <v>1666.666666666667</v>
      </c>
      <c r="E19" s="165">
        <f>$E$10*C19</f>
        <v>1841.9744094132986</v>
      </c>
    </row>
    <row r="20" spans="2:7" ht="14" customHeight="1">
      <c r="B20" s="176" t="s">
        <v>57</v>
      </c>
      <c r="C20" s="185"/>
      <c r="D20" s="194"/>
      <c r="E20" s="165">
        <f>D20</f>
        <v>0</v>
      </c>
    </row>
    <row r="21" spans="2:7" ht="14" customHeight="1">
      <c r="B21" s="186" t="s">
        <v>8</v>
      </c>
      <c r="C21" s="187">
        <f>IFERROR(D21/D10,"")</f>
        <v>7.4999999999999997E-2</v>
      </c>
      <c r="D21" s="192">
        <f>Investissement!F5</f>
        <v>25000</v>
      </c>
      <c r="E21" s="165">
        <f>D21</f>
        <v>25000</v>
      </c>
      <c r="F21" s="172"/>
      <c r="G21" s="173"/>
    </row>
    <row r="22" spans="2:7" ht="14" customHeight="1">
      <c r="B22" s="176" t="s">
        <v>6</v>
      </c>
      <c r="C22" s="185">
        <f>IFERROR(D22/D10,"")</f>
        <v>1.0799999999999999E-2</v>
      </c>
      <c r="D22" s="192">
        <f>Investissement!F6</f>
        <v>3600</v>
      </c>
      <c r="E22" s="165">
        <f>D22</f>
        <v>3600</v>
      </c>
    </row>
    <row r="23" spans="2:7" ht="14" customHeight="1">
      <c r="B23" s="188" t="s">
        <v>7</v>
      </c>
      <c r="C23" s="185"/>
      <c r="D23" s="194"/>
      <c r="E23" s="165">
        <f>D23</f>
        <v>0</v>
      </c>
    </row>
    <row r="24" spans="2:7" s="171" customFormat="1" ht="14" customHeight="1">
      <c r="B24" s="176" t="s">
        <v>9</v>
      </c>
      <c r="C24" s="187"/>
      <c r="D24" s="195"/>
      <c r="E24" s="171">
        <f>D24</f>
        <v>0</v>
      </c>
    </row>
    <row r="25" spans="2:7" s="171" customFormat="1" ht="14" customHeight="1">
      <c r="B25" s="176" t="s">
        <v>87</v>
      </c>
      <c r="C25" s="184">
        <v>5.0000000000000001E-3</v>
      </c>
      <c r="D25" s="193">
        <f>$D$10*C25</f>
        <v>1666.666666666667</v>
      </c>
      <c r="E25" s="171">
        <f>$E$10*C25</f>
        <v>1841.9744094132986</v>
      </c>
    </row>
    <row r="26" spans="2:7" ht="14" customHeight="1">
      <c r="B26" s="176" t="s">
        <v>10</v>
      </c>
      <c r="C26" s="184">
        <v>0.01</v>
      </c>
      <c r="D26" s="193">
        <f>$D$10*C26</f>
        <v>3333.3333333333339</v>
      </c>
      <c r="E26" s="165">
        <f>$E$10*C26</f>
        <v>3683.9488188265973</v>
      </c>
    </row>
    <row r="27" spans="2:7" ht="14" customHeight="1">
      <c r="B27" s="176" t="s">
        <v>11</v>
      </c>
      <c r="C27" s="185"/>
      <c r="D27" s="196">
        <v>3000</v>
      </c>
      <c r="E27" s="165">
        <f>D27</f>
        <v>3000</v>
      </c>
    </row>
    <row r="28" spans="2:7" ht="14" customHeight="1">
      <c r="B28" s="176" t="s">
        <v>12</v>
      </c>
      <c r="C28" s="185"/>
      <c r="D28" s="197">
        <v>5000</v>
      </c>
      <c r="E28" s="165">
        <f t="shared" ref="E28:E31" si="0">D28</f>
        <v>5000</v>
      </c>
    </row>
    <row r="29" spans="2:7" ht="14" customHeight="1">
      <c r="B29" s="176" t="s">
        <v>13</v>
      </c>
      <c r="C29" s="185"/>
      <c r="D29" s="194">
        <v>1500</v>
      </c>
      <c r="E29" s="165">
        <f t="shared" si="0"/>
        <v>1500</v>
      </c>
    </row>
    <row r="30" spans="2:7" ht="14" customHeight="1">
      <c r="B30" s="176" t="s">
        <v>14</v>
      </c>
      <c r="C30" s="185"/>
      <c r="D30" s="194">
        <v>2000</v>
      </c>
      <c r="E30" s="165">
        <f t="shared" si="0"/>
        <v>2000</v>
      </c>
    </row>
    <row r="31" spans="2:7" ht="14" customHeight="1">
      <c r="B31" s="176" t="s">
        <v>15</v>
      </c>
      <c r="C31" s="185"/>
      <c r="D31" s="194">
        <v>1000</v>
      </c>
      <c r="E31" s="165">
        <f t="shared" si="0"/>
        <v>1000</v>
      </c>
    </row>
    <row r="32" spans="2:7" ht="14" customHeight="1">
      <c r="B32" s="176" t="s">
        <v>16</v>
      </c>
      <c r="C32" s="184">
        <v>2E-3</v>
      </c>
      <c r="D32" s="193">
        <f>C32*D$10</f>
        <v>666.66666666666674</v>
      </c>
      <c r="E32" s="165">
        <f>C32*E$10</f>
        <v>736.78976376531955</v>
      </c>
    </row>
    <row r="33" spans="2:5" ht="14" customHeight="1">
      <c r="B33" s="176" t="s">
        <v>31</v>
      </c>
      <c r="C33" s="185"/>
      <c r="D33" s="197">
        <v>3000</v>
      </c>
      <c r="E33" s="165">
        <f>D33</f>
        <v>3000</v>
      </c>
    </row>
    <row r="34" spans="2:5" ht="14" customHeight="1">
      <c r="B34" s="176" t="s">
        <v>79</v>
      </c>
      <c r="C34" s="185"/>
      <c r="D34" s="197">
        <v>2000</v>
      </c>
      <c r="E34" s="165">
        <f t="shared" ref="E34:E36" si="1">D34</f>
        <v>2000</v>
      </c>
    </row>
    <row r="35" spans="2:5" ht="14" customHeight="1">
      <c r="B35" s="178" t="s">
        <v>94</v>
      </c>
      <c r="C35" s="185"/>
      <c r="D35" s="197"/>
      <c r="E35" s="165">
        <f t="shared" si="1"/>
        <v>0</v>
      </c>
    </row>
    <row r="36" spans="2:5" ht="14" customHeight="1">
      <c r="B36" s="176" t="s">
        <v>32</v>
      </c>
      <c r="C36" s="185"/>
      <c r="D36" s="194">
        <v>5000</v>
      </c>
      <c r="E36" s="165">
        <f t="shared" si="1"/>
        <v>5000</v>
      </c>
    </row>
    <row r="37" spans="2:5" ht="14" customHeight="1">
      <c r="B37" s="206" t="s">
        <v>90</v>
      </c>
      <c r="C37" s="207">
        <f>IFERROR(D37/D10,"")</f>
        <v>0.1903</v>
      </c>
      <c r="D37" s="209">
        <f>SUM(D17:D36)</f>
        <v>63433.333333333336</v>
      </c>
      <c r="E37" s="165">
        <f>SUM(E17:E36)</f>
        <v>64730.610629658411</v>
      </c>
    </row>
    <row r="38" spans="2:5" ht="14" customHeight="1">
      <c r="B38" s="211" t="s">
        <v>17</v>
      </c>
      <c r="C38" s="212"/>
      <c r="D38" s="213"/>
    </row>
    <row r="39" spans="2:5" ht="14" customHeight="1">
      <c r="B39" s="176" t="s">
        <v>18</v>
      </c>
      <c r="C39" s="180"/>
      <c r="D39" s="192">
        <f>C39*D7</f>
        <v>0</v>
      </c>
      <c r="E39" s="165">
        <f>C39*E7</f>
        <v>0</v>
      </c>
    </row>
    <row r="40" spans="2:5" ht="14" customHeight="1">
      <c r="B40" s="176"/>
      <c r="C40" s="180"/>
      <c r="D40" s="192"/>
    </row>
    <row r="41" spans="2:5" ht="14" customHeight="1">
      <c r="B41" s="176"/>
      <c r="C41" s="180"/>
      <c r="D41" s="192"/>
    </row>
    <row r="42" spans="2:5" ht="14" customHeight="1">
      <c r="B42" s="206" t="s">
        <v>91</v>
      </c>
      <c r="C42" s="210"/>
      <c r="D42" s="209">
        <f>D39</f>
        <v>0</v>
      </c>
      <c r="E42" s="165">
        <f>E39</f>
        <v>0</v>
      </c>
    </row>
    <row r="43" spans="2:5" ht="14" customHeight="1">
      <c r="B43" s="179" t="s">
        <v>19</v>
      </c>
      <c r="C43" s="183"/>
      <c r="D43" s="193"/>
    </row>
    <row r="44" spans="2:5" ht="14" customHeight="1">
      <c r="B44" s="176" t="s">
        <v>82</v>
      </c>
      <c r="C44" s="180">
        <v>0.2</v>
      </c>
      <c r="D44" s="193">
        <f>C44*D7</f>
        <v>66666.666666666672</v>
      </c>
      <c r="E44" s="165">
        <f>C44*E7</f>
        <v>73678.976376531951</v>
      </c>
    </row>
    <row r="45" spans="2:5" ht="14" customHeight="1">
      <c r="B45" s="176"/>
      <c r="C45" s="180"/>
      <c r="D45" s="193"/>
    </row>
    <row r="46" spans="2:5" ht="14" customHeight="1">
      <c r="B46" s="176"/>
      <c r="C46" s="180"/>
      <c r="D46" s="193"/>
    </row>
    <row r="47" spans="2:5" ht="14" customHeight="1">
      <c r="B47" s="179" t="s">
        <v>92</v>
      </c>
      <c r="C47" s="183"/>
      <c r="D47" s="198">
        <f>D44</f>
        <v>66666.666666666672</v>
      </c>
      <c r="E47" s="165">
        <f>E44</f>
        <v>73678.976376531951</v>
      </c>
    </row>
    <row r="48" spans="2:5" ht="14" customHeight="1">
      <c r="B48" s="179" t="s">
        <v>20</v>
      </c>
      <c r="C48" s="183"/>
      <c r="D48" s="193"/>
    </row>
    <row r="49" spans="2:5" ht="14" customHeight="1">
      <c r="B49" s="176" t="s">
        <v>75</v>
      </c>
      <c r="C49" s="183"/>
      <c r="D49" s="193">
        <f>Investissement!F16/B50</f>
        <v>36533.25</v>
      </c>
      <c r="E49" s="165">
        <f>D49</f>
        <v>36533.25</v>
      </c>
    </row>
    <row r="50" spans="2:5" ht="14" customHeight="1">
      <c r="B50" s="190">
        <v>4</v>
      </c>
      <c r="C50" s="183"/>
      <c r="D50" s="193"/>
    </row>
    <row r="51" spans="2:5" s="171" customFormat="1" ht="14" customHeight="1">
      <c r="B51" s="179" t="s">
        <v>93</v>
      </c>
      <c r="C51" s="191"/>
      <c r="D51" s="198">
        <f>D49</f>
        <v>36533.25</v>
      </c>
      <c r="E51" s="171">
        <f>E49</f>
        <v>36533.25</v>
      </c>
    </row>
    <row r="52" spans="2:5" s="171" customFormat="1" ht="14" customHeight="1">
      <c r="B52" s="179" t="s">
        <v>58</v>
      </c>
      <c r="C52" s="191">
        <f>IFERROR(D52/D7,"")</f>
        <v>-9.8997500000000127E-3</v>
      </c>
      <c r="D52" s="198">
        <f>D15-D37-D42-D47-D51</f>
        <v>-3299.9166666666715</v>
      </c>
      <c r="E52" s="171">
        <f>E15-E37-E42-E47-E51</f>
        <v>5570.6551163128897</v>
      </c>
    </row>
    <row r="53" spans="2:5" s="171" customFormat="1" ht="14" customHeight="1">
      <c r="B53" s="176" t="s">
        <v>21</v>
      </c>
      <c r="C53" s="191"/>
      <c r="D53" s="193"/>
    </row>
    <row r="54" spans="2:5" s="171" customFormat="1" ht="14" customHeight="1">
      <c r="B54" s="176" t="s">
        <v>68</v>
      </c>
      <c r="C54" s="191">
        <f>IFERROR(D54/D7,"")</f>
        <v>1.6650162396212344E-2</v>
      </c>
      <c r="D54" s="193">
        <f>'Emprunt 1'!H19</f>
        <v>5550.0541320707816</v>
      </c>
      <c r="E54" s="171">
        <f>D54</f>
        <v>5550.0541320707816</v>
      </c>
    </row>
    <row r="55" spans="2:5" s="171" customFormat="1" ht="14" customHeight="1">
      <c r="B55" s="176" t="s">
        <v>69</v>
      </c>
      <c r="C55" s="191"/>
      <c r="D55" s="193"/>
    </row>
    <row r="56" spans="2:5" s="171" customFormat="1" ht="14" customHeight="1">
      <c r="B56" s="179" t="s">
        <v>28</v>
      </c>
      <c r="C56" s="191"/>
      <c r="D56" s="198">
        <f>SUM(D53:D55)</f>
        <v>5550.0541320707816</v>
      </c>
      <c r="E56" s="171">
        <f>SUM(E53:E55)</f>
        <v>5550.0541320707816</v>
      </c>
    </row>
    <row r="57" spans="2:5" s="171" customFormat="1" ht="14" customHeight="1">
      <c r="B57" s="176"/>
      <c r="C57" s="191"/>
      <c r="D57" s="193"/>
    </row>
    <row r="58" spans="2:5" s="171" customFormat="1" ht="14" customHeight="1">
      <c r="B58" s="179" t="s">
        <v>27</v>
      </c>
      <c r="C58" s="191">
        <f>IFERROR(D58/D7,"")</f>
        <v>-2.6549912396212356E-2</v>
      </c>
      <c r="D58" s="198">
        <f>D52-D56</f>
        <v>-8849.9707987374532</v>
      </c>
      <c r="E58" s="171">
        <f>E52-E56</f>
        <v>20.600984242108098</v>
      </c>
    </row>
    <row r="59" spans="2:5" s="171" customFormat="1" ht="14" customHeight="1">
      <c r="B59" s="179" t="s">
        <v>25</v>
      </c>
      <c r="C59" s="191"/>
      <c r="D59" s="199">
        <f>IF(D58&lt;0,0,IF(D58&lt;38120,D58*0.15,38120*0.15+(D58-38120)/3))</f>
        <v>0</v>
      </c>
      <c r="E59" s="171">
        <f>IF(E58&lt;0,0,IF(E58&lt;38120,E58*0.15,38120*0.15+(E58-38120)/3))</f>
        <v>3.0901476363162144</v>
      </c>
    </row>
    <row r="60" spans="2:5" s="171" customFormat="1" ht="14" customHeight="1">
      <c r="B60" s="179" t="s">
        <v>26</v>
      </c>
      <c r="C60" s="191"/>
      <c r="D60" s="198">
        <f>D58-D59</f>
        <v>-8849.9707987374532</v>
      </c>
      <c r="E60" s="171">
        <f>E58-E59</f>
        <v>17.510836605791884</v>
      </c>
    </row>
    <row r="61" spans="2:5" s="171" customFormat="1" ht="14" customHeight="1">
      <c r="B61" s="179" t="s">
        <v>22</v>
      </c>
      <c r="C61" s="191"/>
      <c r="D61" s="198">
        <f>D60+D51</f>
        <v>27683.279201262547</v>
      </c>
      <c r="E61" s="171">
        <f>E60+E51</f>
        <v>36550.76083660579</v>
      </c>
    </row>
    <row r="62" spans="2:5" s="171" customFormat="1" ht="14" customHeight="1">
      <c r="B62" s="179" t="s">
        <v>23</v>
      </c>
      <c r="C62" s="191">
        <f>IFERROR(D62/D7,"")</f>
        <v>0.10965228250981736</v>
      </c>
      <c r="D62" s="198">
        <f>'Emprunt 1'!G19</f>
        <v>36550.76083660579</v>
      </c>
      <c r="E62" s="171">
        <f>D62</f>
        <v>36550.76083660579</v>
      </c>
    </row>
    <row r="63" spans="2:5" s="171" customFormat="1" ht="14" customHeight="1">
      <c r="B63" s="179" t="s">
        <v>24</v>
      </c>
      <c r="C63" s="191">
        <f>IFERROR(D63/D7,"")</f>
        <v>-2.6602444906029726E-2</v>
      </c>
      <c r="D63" s="198">
        <f>D61-D62</f>
        <v>-8867.4816353432434</v>
      </c>
      <c r="E63" s="171">
        <f>E61-E62</f>
        <v>0</v>
      </c>
    </row>
  </sheetData>
  <printOptions horizontalCentered="1"/>
  <pageMargins left="0" right="0" top="0.51181102362204722" bottom="0.51181102362204722" header="0.23622047244094491" footer="0.27559055118110237"/>
  <pageSetup paperSize="9" scale="86" orientation="portrait"/>
  <headerFooter alignWithMargins="0">
    <oddHeader>&amp;L&amp;"Century Gothic,Normal"&amp;F&amp;C&amp;"Century Gothic,Normal"
&amp;A</oddHeader>
    <oddFooter>&amp;L&amp;"Century Gothic,Italique"&amp;P/&amp;N&amp;R&amp;"Century Gothic,Italique"Imprimé le :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A2DD"/>
    <pageSetUpPr fitToPage="1"/>
  </sheetPr>
  <dimension ref="B1:J65"/>
  <sheetViews>
    <sheetView showGridLines="0" zoomScale="150" zoomScaleNormal="150" workbookViewId="0">
      <pane xSplit="2" ySplit="7" topLeftCell="C8" activePane="bottomRight" state="frozen"/>
      <selection pane="topRight" activeCell="D1" sqref="D1"/>
      <selection pane="bottomLeft" activeCell="A5" sqref="A5"/>
      <selection pane="bottomRight"/>
    </sheetView>
  </sheetViews>
  <sheetFormatPr baseColWidth="10" defaultColWidth="12" defaultRowHeight="14" customHeight="1"/>
  <cols>
    <col min="1" max="1" width="15.5" style="64" customWidth="1"/>
    <col min="2" max="2" width="45" style="161" bestFit="1" customWidth="1"/>
    <col min="3" max="3" width="11.75" style="64" customWidth="1"/>
    <col min="4" max="8" width="12.75" style="64" customWidth="1"/>
    <col min="9" max="9" width="12" style="64"/>
    <col min="10" max="10" width="45" style="64" bestFit="1" customWidth="1"/>
    <col min="11" max="16384" width="12" style="64"/>
  </cols>
  <sheetData>
    <row r="1" spans="2:10" ht="14" customHeight="1">
      <c r="B1" s="216" t="s">
        <v>76</v>
      </c>
      <c r="C1" s="216"/>
      <c r="D1" s="216"/>
      <c r="E1" s="216"/>
      <c r="F1" s="216"/>
      <c r="G1" s="216"/>
      <c r="H1" s="216"/>
    </row>
    <row r="2" spans="2:10" ht="14" customHeight="1">
      <c r="B2" s="159"/>
      <c r="C2" s="142"/>
      <c r="D2" s="142"/>
      <c r="E2" s="142"/>
      <c r="F2" s="142"/>
      <c r="G2" s="142"/>
      <c r="H2" s="142"/>
    </row>
    <row r="3" spans="2:10" ht="14" customHeight="1">
      <c r="B3" s="159"/>
      <c r="C3" s="142"/>
      <c r="D3" s="142"/>
      <c r="E3" s="142"/>
      <c r="F3" s="142"/>
      <c r="G3" s="142"/>
      <c r="H3" s="142"/>
    </row>
    <row r="4" spans="2:10" ht="14" customHeight="1">
      <c r="B4" s="159"/>
      <c r="C4" s="142"/>
      <c r="D4" s="142"/>
      <c r="E4" s="142"/>
      <c r="F4" s="142"/>
      <c r="G4" s="142"/>
      <c r="H4" s="142"/>
    </row>
    <row r="5" spans="2:10" ht="14" customHeight="1" thickBot="1">
      <c r="B5" s="160"/>
      <c r="C5" s="143"/>
      <c r="D5" s="144" t="s">
        <v>74</v>
      </c>
      <c r="E5" s="144"/>
      <c r="F5" s="144"/>
      <c r="G5" s="144"/>
      <c r="H5" s="144"/>
    </row>
    <row r="6" spans="2:10" s="65" customFormat="1" ht="14" customHeight="1">
      <c r="B6" s="146" t="str">
        <f>IF('Point mort sans +-ligne colonne'!B6="","",'Point mort sans +-ligne colonne'!B6)</f>
        <v>CA TTC</v>
      </c>
      <c r="C6" s="162" t="s">
        <v>56</v>
      </c>
      <c r="D6" s="125">
        <v>300000</v>
      </c>
      <c r="E6" s="76"/>
      <c r="F6" s="126">
        <v>310000</v>
      </c>
      <c r="G6" s="87"/>
      <c r="H6" s="127">
        <v>320000</v>
      </c>
      <c r="J6" s="66"/>
    </row>
    <row r="7" spans="2:10" s="65" customFormat="1" ht="14" customHeight="1" thickBot="1">
      <c r="B7" s="147" t="str">
        <f>IF('Point mort sans +-ligne colonne'!B7="","",'Point mort sans +-ligne colonne'!B7)</f>
        <v>CA HT</v>
      </c>
      <c r="C7" s="163"/>
      <c r="D7" s="77">
        <f>D6/1.2</f>
        <v>250000</v>
      </c>
      <c r="E7" s="77"/>
      <c r="F7" s="77">
        <f>F6/1.2</f>
        <v>258333.33333333334</v>
      </c>
      <c r="G7" s="88"/>
      <c r="H7" s="67">
        <f>H6/1.2</f>
        <v>266666.66666666669</v>
      </c>
      <c r="J7" s="66"/>
    </row>
    <row r="8" spans="2:10" ht="14" customHeight="1">
      <c r="B8" s="148" t="str">
        <f>IF('Point mort sans +-ligne colonne'!B8="","",'Point mort sans +-ligne colonne'!B8)</f>
        <v>Autres produits</v>
      </c>
      <c r="C8" s="89"/>
      <c r="D8" s="90"/>
      <c r="E8" s="78"/>
      <c r="F8" s="78"/>
      <c r="G8" s="90"/>
      <c r="H8" s="68"/>
      <c r="J8" s="145"/>
    </row>
    <row r="9" spans="2:10" ht="14" customHeight="1">
      <c r="B9" s="149" t="str">
        <f>IF('Point mort sans +-ligne colonne'!B9="","",'Point mort sans +-ligne colonne'!B9)</f>
        <v>Prestations diverses</v>
      </c>
      <c r="C9" s="89"/>
      <c r="D9" s="90"/>
      <c r="E9" s="78"/>
      <c r="F9" s="78"/>
      <c r="G9" s="90"/>
      <c r="H9" s="68"/>
      <c r="J9" s="145"/>
    </row>
    <row r="10" spans="2:10" ht="14" customHeight="1">
      <c r="B10" s="150" t="str">
        <f>IF('Point mort sans +-ligne colonne'!B10="","",'Point mort sans +-ligne colonne'!B10)</f>
        <v>TOTAL RECETTES</v>
      </c>
      <c r="C10" s="91"/>
      <c r="D10" s="92">
        <f>D7+D8+D9</f>
        <v>250000</v>
      </c>
      <c r="E10" s="79"/>
      <c r="F10" s="79">
        <f>F7+F8+F9</f>
        <v>258333.33333333334</v>
      </c>
      <c r="G10" s="92"/>
      <c r="H10" s="69">
        <f>H7+H8+H9</f>
        <v>266666.66666666669</v>
      </c>
      <c r="J10" s="145"/>
    </row>
    <row r="11" spans="2:10" ht="14" customHeight="1">
      <c r="B11" s="151" t="str">
        <f>IF('Point mort sans +-ligne colonne'!B11="","",'Point mort sans +-ligne colonne'!B11)</f>
        <v>MARGE BRUTE</v>
      </c>
      <c r="C11" s="93">
        <f>'Point mort avec +-ligne colonne'!C11</f>
        <v>0.5</v>
      </c>
      <c r="D11" s="94">
        <f>C11*D10</f>
        <v>125000</v>
      </c>
      <c r="E11" s="80"/>
      <c r="F11" s="80">
        <f>C11*F10</f>
        <v>129166.66666666667</v>
      </c>
      <c r="G11" s="94"/>
      <c r="H11" s="70">
        <f>C11*H10</f>
        <v>133333.33333333334</v>
      </c>
      <c r="J11" s="145"/>
    </row>
    <row r="12" spans="2:10" ht="14" customHeight="1">
      <c r="B12" s="149" t="str">
        <f>IF('Point mort sans +-ligne colonne'!B12="","",'Point mort sans +-ligne colonne'!B12)</f>
        <v>Démarque</v>
      </c>
      <c r="C12" s="93">
        <v>5.0000000000000001E-3</v>
      </c>
      <c r="D12" s="90">
        <f>D10*$C12</f>
        <v>1250</v>
      </c>
      <c r="E12" s="78"/>
      <c r="F12" s="78">
        <f>F10*$C12</f>
        <v>1291.6666666666667</v>
      </c>
      <c r="G12" s="90"/>
      <c r="H12" s="68">
        <f>H10*$C12</f>
        <v>1333.3333333333335</v>
      </c>
      <c r="J12" s="145"/>
    </row>
    <row r="13" spans="2:10" ht="14" customHeight="1">
      <c r="B13" s="158" t="str">
        <f>IF('Point mort sans +-ligne colonne'!B13="","",'Point mort sans +-ligne colonne'!B13)</f>
        <v/>
      </c>
      <c r="C13" s="91"/>
      <c r="D13" s="92">
        <f>D11-D12</f>
        <v>123750</v>
      </c>
      <c r="E13" s="79"/>
      <c r="F13" s="79">
        <f>F11-F12</f>
        <v>127875</v>
      </c>
      <c r="G13" s="92"/>
      <c r="H13" s="69">
        <f>H11-H12</f>
        <v>132000</v>
      </c>
      <c r="J13" s="145"/>
    </row>
    <row r="14" spans="2:10" ht="14" customHeight="1">
      <c r="B14" s="149" t="str">
        <f>IF('Point mort sans +-ligne colonne'!B14="","",'Point mort sans +-ligne colonne'!B14)</f>
        <v/>
      </c>
      <c r="C14" s="89"/>
      <c r="D14" s="90"/>
      <c r="E14" s="78"/>
      <c r="F14" s="78"/>
      <c r="G14" s="90"/>
      <c r="H14" s="68"/>
      <c r="J14" s="145"/>
    </row>
    <row r="15" spans="2:10" ht="14" customHeight="1">
      <c r="B15" s="152" t="str">
        <f>IF('Point mort sans +-ligne colonne'!B15="","",'Point mort sans +-ligne colonne'!B15)</f>
        <v>MARGE NETTE</v>
      </c>
      <c r="C15" s="89"/>
      <c r="D15" s="90"/>
      <c r="E15" s="78"/>
      <c r="F15" s="78"/>
      <c r="G15" s="90"/>
      <c r="H15" s="68"/>
      <c r="J15" s="145"/>
    </row>
    <row r="16" spans="2:10" ht="14" customHeight="1">
      <c r="B16" s="153" t="str">
        <f>IF('Point mort sans +-ligne colonne'!B16="","",'Point mort sans +-ligne colonne'!B16)</f>
        <v>CHARGES EXTERNES</v>
      </c>
      <c r="C16" s="95"/>
      <c r="D16" s="96"/>
      <c r="E16" s="81"/>
      <c r="F16" s="81"/>
      <c r="G16" s="96"/>
      <c r="H16" s="71"/>
      <c r="J16" s="145"/>
    </row>
    <row r="17" spans="2:10" ht="14" customHeight="1">
      <c r="B17" s="148" t="str">
        <f>IF('Point mort sans +-ligne colonne'!B17="","",'Point mort sans +-ligne colonne'!B17)</f>
        <v>Emballages</v>
      </c>
      <c r="C17" s="98">
        <f>'Point mort avec +-ligne colonne'!C17</f>
        <v>5.0000000000000001E-3</v>
      </c>
      <c r="D17" s="96">
        <f>$C17*D7</f>
        <v>1250</v>
      </c>
      <c r="E17" s="81"/>
      <c r="F17" s="81">
        <f>$C17*F7</f>
        <v>1291.6666666666667</v>
      </c>
      <c r="G17" s="96"/>
      <c r="H17" s="71">
        <f>$C17*H7</f>
        <v>1333.3333333333335</v>
      </c>
      <c r="J17" s="145"/>
    </row>
    <row r="18" spans="2:10" ht="14" customHeight="1">
      <c r="B18" s="148" t="str">
        <f>IF('Point mort sans +-ligne colonne'!B18="","",'Point mort sans +-ligne colonne'!B18)</f>
        <v>E.D.F.</v>
      </c>
      <c r="C18" s="98">
        <f>'Point mort avec +-ligne colonne'!C18</f>
        <v>0.01</v>
      </c>
      <c r="D18" s="96">
        <f>$C18*D7</f>
        <v>2500</v>
      </c>
      <c r="E18" s="81"/>
      <c r="F18" s="81">
        <f>$C18*F7</f>
        <v>2583.3333333333335</v>
      </c>
      <c r="G18" s="96"/>
      <c r="H18" s="71">
        <f>$C18*H7</f>
        <v>2666.666666666667</v>
      </c>
      <c r="J18" s="145"/>
    </row>
    <row r="19" spans="2:10" ht="14" customHeight="1">
      <c r="B19" s="148" t="str">
        <f>IF('Point mort sans +-ligne colonne'!B19="","",'Point mort sans +-ligne colonne'!B19)</f>
        <v>petit matériel</v>
      </c>
      <c r="C19" s="98">
        <f>'Point mort avec +-ligne colonne'!C20</f>
        <v>5.0000000000000001E-3</v>
      </c>
      <c r="D19" s="96">
        <f>$C19*D7</f>
        <v>1250</v>
      </c>
      <c r="E19" s="81"/>
      <c r="F19" s="81">
        <f>$C19*F7</f>
        <v>1291.6666666666667</v>
      </c>
      <c r="G19" s="96"/>
      <c r="H19" s="71">
        <f>$C19*H7</f>
        <v>1333.3333333333335</v>
      </c>
      <c r="J19" s="145"/>
    </row>
    <row r="20" spans="2:10" ht="14" customHeight="1">
      <c r="B20" s="148" t="str">
        <f>IF('Point mort sans +-ligne colonne'!B20="","",'Point mort sans +-ligne colonne'!B20)</f>
        <v>prestations informatiques et internet</v>
      </c>
      <c r="C20" s="98"/>
      <c r="D20" s="90">
        <f>'Point mort avec +-ligne colonne'!E21</f>
        <v>0</v>
      </c>
      <c r="E20" s="82"/>
      <c r="F20" s="78">
        <f>D20</f>
        <v>0</v>
      </c>
      <c r="G20" s="99"/>
      <c r="H20" s="68">
        <f>D20</f>
        <v>0</v>
      </c>
      <c r="J20" s="145"/>
    </row>
    <row r="21" spans="2:10" ht="14" customHeight="1">
      <c r="B21" s="154" t="str">
        <f>IF('Point mort sans +-ligne colonne'!B21="","",'Point mort sans +-ligne colonne'!B21)</f>
        <v>location immobilière</v>
      </c>
      <c r="C21" s="100">
        <f>D21/D10</f>
        <v>0.1</v>
      </c>
      <c r="D21" s="90">
        <f>'Point mort avec +-ligne colonne'!F22</f>
        <v>25000</v>
      </c>
      <c r="E21" s="112">
        <f>F21/F10</f>
        <v>0</v>
      </c>
      <c r="F21" s="78">
        <f>'Point mort avec +-ligne colonne'!G22</f>
        <v>0</v>
      </c>
      <c r="G21" s="112">
        <f>H21/H10</f>
        <v>0</v>
      </c>
      <c r="H21" s="68">
        <f>'Point mort avec +-ligne colonne'!H22</f>
        <v>0</v>
      </c>
      <c r="J21" s="145"/>
    </row>
    <row r="22" spans="2:10" ht="14" customHeight="1">
      <c r="B22" s="148" t="str">
        <f>IF('Point mort sans +-ligne colonne'!B22="","",'Point mort sans +-ligne colonne'!B22)</f>
        <v>charges locatives</v>
      </c>
      <c r="C22" s="98">
        <f>D22/D10</f>
        <v>1.44E-2</v>
      </c>
      <c r="D22" s="113">
        <f>Investissement!$F$6</f>
        <v>3600</v>
      </c>
      <c r="E22" s="114">
        <f>F22/F10</f>
        <v>1.3935483870967741E-2</v>
      </c>
      <c r="F22" s="115">
        <f>Investissement!$F$6</f>
        <v>3600</v>
      </c>
      <c r="G22" s="114">
        <f>H22/H10</f>
        <v>1.35E-2</v>
      </c>
      <c r="H22" s="68">
        <f>Investissement!$F$6</f>
        <v>3600</v>
      </c>
      <c r="J22" s="145"/>
    </row>
    <row r="23" spans="2:10" ht="14" customHeight="1">
      <c r="B23" s="155" t="str">
        <f>IF('Point mort sans +-ligne colonne'!B23="","",'Point mort sans +-ligne colonne'!B23)</f>
        <v>location enseigne</v>
      </c>
      <c r="C23" s="98"/>
      <c r="D23" s="90">
        <f>'Point mort avec +-ligne colonne'!E24</f>
        <v>0</v>
      </c>
      <c r="E23" s="78"/>
      <c r="F23" s="78">
        <f>D23</f>
        <v>0</v>
      </c>
      <c r="G23" s="90"/>
      <c r="H23" s="68">
        <f>D23</f>
        <v>0</v>
      </c>
      <c r="J23" s="145"/>
    </row>
    <row r="24" spans="2:10" s="65" customFormat="1" ht="14" customHeight="1">
      <c r="B24" s="148" t="str">
        <f>IF('Point mort sans +-ligne colonne'!B24="","",'Point mort sans +-ligne colonne'!B24)</f>
        <v>outil de suivi du trafic de clientèle</v>
      </c>
      <c r="C24" s="100"/>
      <c r="D24" s="90">
        <f>'Point mort avec +-ligne colonne'!E25</f>
        <v>0</v>
      </c>
      <c r="E24" s="78"/>
      <c r="F24" s="78">
        <f>D24</f>
        <v>0</v>
      </c>
      <c r="G24" s="90"/>
      <c r="H24" s="68">
        <f>D24</f>
        <v>0</v>
      </c>
      <c r="J24" s="66"/>
    </row>
    <row r="25" spans="2:10" s="65" customFormat="1" ht="14" customHeight="1">
      <c r="B25" s="148" t="str">
        <f>IF('Point mort sans +-ligne colonne'!B25="","",'Point mort sans +-ligne colonne'!B25)</f>
        <v>commission CB</v>
      </c>
      <c r="C25" s="100">
        <f>'Point mort avec +-ligne colonne'!C26</f>
        <v>5.0000000000000001E-3</v>
      </c>
      <c r="D25" s="96">
        <f>$C25*D7</f>
        <v>1250</v>
      </c>
      <c r="E25" s="81"/>
      <c r="F25" s="81">
        <f>$C25*F7</f>
        <v>1291.6666666666667</v>
      </c>
      <c r="G25" s="96"/>
      <c r="H25" s="71">
        <f>$C25*H7</f>
        <v>1333.3333333333335</v>
      </c>
      <c r="J25" s="66"/>
    </row>
    <row r="26" spans="2:10" ht="14" customHeight="1">
      <c r="B26" s="148" t="str">
        <f>IF('Point mort sans +-ligne colonne'!B26="","",'Point mort sans +-ligne colonne'!B26)</f>
        <v>assurances</v>
      </c>
      <c r="C26" s="100">
        <f>D26/D10</f>
        <v>1.3333333333333336E-2</v>
      </c>
      <c r="D26" s="96">
        <f>'Point mort avec +-ligne colonne'!E27</f>
        <v>3333.3333333333339</v>
      </c>
      <c r="E26" s="81"/>
      <c r="F26" s="81">
        <f t="shared" ref="F26:F31" si="0">D26</f>
        <v>3333.3333333333339</v>
      </c>
      <c r="G26" s="96"/>
      <c r="H26" s="71">
        <f t="shared" ref="H26:H31" si="1">D26</f>
        <v>3333.3333333333339</v>
      </c>
      <c r="J26" s="145"/>
    </row>
    <row r="27" spans="2:10" ht="14" customHeight="1">
      <c r="B27" s="148" t="str">
        <f>IF('Point mort sans +-ligne colonne'!B27="","",'Point mort sans +-ligne colonne'!B27)</f>
        <v>honoraires</v>
      </c>
      <c r="C27" s="98">
        <f>D27/D$10</f>
        <v>1.2E-2</v>
      </c>
      <c r="D27" s="96">
        <f>'Point mort avec +-ligne colonne'!E28</f>
        <v>3000</v>
      </c>
      <c r="E27" s="81"/>
      <c r="F27" s="81">
        <f>D27</f>
        <v>3000</v>
      </c>
      <c r="G27" s="96"/>
      <c r="H27" s="71">
        <f>F27</f>
        <v>3000</v>
      </c>
      <c r="J27" s="145"/>
    </row>
    <row r="28" spans="2:10" ht="14" customHeight="1">
      <c r="B28" s="148" t="str">
        <f>IF('Point mort sans +-ligne colonne'!B28="","",'Point mort sans +-ligne colonne'!B28)</f>
        <v>publicité</v>
      </c>
      <c r="C28" s="98"/>
      <c r="D28" s="96">
        <f>'Point mort avec +-ligne colonne'!E29</f>
        <v>5000</v>
      </c>
      <c r="E28" s="81"/>
      <c r="F28" s="81">
        <f t="shared" si="0"/>
        <v>5000</v>
      </c>
      <c r="G28" s="96"/>
      <c r="H28" s="71">
        <f t="shared" si="1"/>
        <v>5000</v>
      </c>
      <c r="J28" s="145"/>
    </row>
    <row r="29" spans="2:10" ht="14" customHeight="1">
      <c r="B29" s="148" t="str">
        <f>IF('Point mort sans +-ligne colonne'!B29="","",'Point mort sans +-ligne colonne'!B29)</f>
        <v>déplacements et réceptions</v>
      </c>
      <c r="C29" s="98">
        <f>D29/D$10</f>
        <v>6.0000000000000001E-3</v>
      </c>
      <c r="D29" s="96">
        <f>'Point mort avec +-ligne colonne'!E30</f>
        <v>1500</v>
      </c>
      <c r="E29" s="81"/>
      <c r="F29" s="81">
        <f t="shared" si="0"/>
        <v>1500</v>
      </c>
      <c r="G29" s="96"/>
      <c r="H29" s="71">
        <f t="shared" si="1"/>
        <v>1500</v>
      </c>
      <c r="J29" s="145"/>
    </row>
    <row r="30" spans="2:10" ht="14" customHeight="1">
      <c r="B30" s="148" t="str">
        <f>IF('Point mort sans +-ligne colonne'!B30="","",'Point mort sans +-ligne colonne'!B30)</f>
        <v>téléphone</v>
      </c>
      <c r="C30" s="98">
        <f>D30/D$10</f>
        <v>8.0000000000000002E-3</v>
      </c>
      <c r="D30" s="96">
        <f>'Point mort avec +-ligne colonne'!E31</f>
        <v>2000</v>
      </c>
      <c r="E30" s="81"/>
      <c r="F30" s="81">
        <f t="shared" si="0"/>
        <v>2000</v>
      </c>
      <c r="G30" s="96"/>
      <c r="H30" s="71">
        <f t="shared" si="1"/>
        <v>2000</v>
      </c>
      <c r="J30" s="145"/>
    </row>
    <row r="31" spans="2:10" ht="14" customHeight="1">
      <c r="B31" s="148" t="str">
        <f>IF('Point mort sans +-ligne colonne'!B31="","",'Point mort sans +-ligne colonne'!B31)</f>
        <v>affranchissement</v>
      </c>
      <c r="C31" s="98"/>
      <c r="D31" s="96">
        <f>'Point mort avec +-ligne colonne'!E32</f>
        <v>1000</v>
      </c>
      <c r="E31" s="81"/>
      <c r="F31" s="81">
        <f t="shared" si="0"/>
        <v>1000</v>
      </c>
      <c r="G31" s="96"/>
      <c r="H31" s="71">
        <f t="shared" si="1"/>
        <v>1000</v>
      </c>
      <c r="J31" s="145"/>
    </row>
    <row r="32" spans="2:10" ht="14" customHeight="1">
      <c r="B32" s="148" t="str">
        <f>IF('Point mort sans +-ligne colonne'!B32="","",'Point mort sans +-ligne colonne'!B32)</f>
        <v>services bancaires</v>
      </c>
      <c r="C32" s="98">
        <f>'Point mort avec +-ligne colonne'!C33</f>
        <v>2E-3</v>
      </c>
      <c r="D32" s="96">
        <f>$C32*D7</f>
        <v>500</v>
      </c>
      <c r="E32" s="81"/>
      <c r="F32" s="81">
        <f>$C32*F7</f>
        <v>516.66666666666674</v>
      </c>
      <c r="G32" s="96"/>
      <c r="H32" s="71">
        <f>$C32*H7</f>
        <v>533.33333333333337</v>
      </c>
      <c r="J32" s="145"/>
    </row>
    <row r="33" spans="2:10" ht="14" customHeight="1">
      <c r="B33" s="148" t="str">
        <f>IF('Point mort sans +-ligne colonne'!B33="","",'Point mort sans +-ligne colonne'!B33)</f>
        <v>comptabilité</v>
      </c>
      <c r="C33" s="98"/>
      <c r="D33" s="96">
        <v>3000</v>
      </c>
      <c r="E33" s="81"/>
      <c r="F33" s="81">
        <f>D33</f>
        <v>3000</v>
      </c>
      <c r="G33" s="96"/>
      <c r="H33" s="71">
        <f>F33</f>
        <v>3000</v>
      </c>
      <c r="J33" s="145"/>
    </row>
    <row r="34" spans="2:10" ht="14" customHeight="1">
      <c r="B34" s="148" t="str">
        <f>IF('Point mort sans +-ligne colonne'!B34="","",'Point mort sans +-ligne colonne'!B34)</f>
        <v>entretien (contrats, entretiens périodiques…)</v>
      </c>
      <c r="C34" s="98"/>
      <c r="D34" s="96">
        <v>1250</v>
      </c>
      <c r="E34" s="81"/>
      <c r="F34" s="81">
        <v>1250</v>
      </c>
      <c r="G34" s="96"/>
      <c r="H34" s="71">
        <v>1250</v>
      </c>
      <c r="J34" s="145"/>
    </row>
    <row r="35" spans="2:10" ht="14" customHeight="1">
      <c r="B35" s="149" t="str">
        <f>IF('Point mort sans +-ligne colonne'!B35="","",'Point mort sans +-ligne colonne'!B35)</f>
        <v>main d'oeuvre externe</v>
      </c>
      <c r="C35" s="97"/>
      <c r="D35" s="96">
        <f>'Point mort avec +-ligne colonne'!E36</f>
        <v>0</v>
      </c>
      <c r="E35" s="81"/>
      <c r="F35" s="81">
        <v>0</v>
      </c>
      <c r="G35" s="96"/>
      <c r="H35" s="71">
        <v>0</v>
      </c>
      <c r="J35" s="145"/>
    </row>
    <row r="36" spans="2:10" ht="14" customHeight="1">
      <c r="B36" s="148" t="str">
        <f>IF('Point mort sans +-ligne colonne'!B36="","",'Point mort sans +-ligne colonne'!B36)</f>
        <v xml:space="preserve">divers </v>
      </c>
      <c r="C36" s="98"/>
      <c r="D36" s="90">
        <f>'Point mort avec +-ligne colonne'!E37</f>
        <v>5000</v>
      </c>
      <c r="E36" s="78"/>
      <c r="F36" s="78">
        <v>3000</v>
      </c>
      <c r="G36" s="90"/>
      <c r="H36" s="68">
        <f>F36</f>
        <v>3000</v>
      </c>
      <c r="J36" s="145"/>
    </row>
    <row r="37" spans="2:10" ht="14" customHeight="1">
      <c r="B37" s="63" t="str">
        <f>IF('Point mort sans +-ligne colonne'!B37="","",'Point mort sans +-ligne colonne'!B37)</f>
        <v>TOTAL CHARGES EXTERNES</v>
      </c>
      <c r="C37" s="102"/>
      <c r="D37" s="103">
        <f>SUM(D17:D36)</f>
        <v>60433.333333333336</v>
      </c>
      <c r="E37" s="83"/>
      <c r="F37" s="83">
        <f>SUM(F17:F36)</f>
        <v>33658.333333333336</v>
      </c>
      <c r="G37" s="103"/>
      <c r="H37" s="72">
        <f>SUM(H17:H36)</f>
        <v>33883.333333333328</v>
      </c>
      <c r="J37" s="145"/>
    </row>
    <row r="38" spans="2:10" ht="14" customHeight="1">
      <c r="B38" s="156" t="str">
        <f>IF('Point mort sans +-ligne colonne'!B38="","",'Point mort sans +-ligne colonne'!B38)</f>
        <v>IMPOTS ET TAXES</v>
      </c>
      <c r="C38" s="101"/>
      <c r="D38" s="96"/>
      <c r="E38" s="81"/>
      <c r="F38" s="81"/>
      <c r="G38" s="96"/>
      <c r="H38" s="71"/>
      <c r="J38" s="145"/>
    </row>
    <row r="39" spans="2:10" ht="14" customHeight="1">
      <c r="B39" s="148" t="str">
        <f>IF('Point mort sans +-ligne colonne'!B39="","",'Point mort sans +-ligne colonne'!B39)</f>
        <v>Taxes diverses</v>
      </c>
      <c r="C39" s="101">
        <f>'Point mort avec +-ligne colonne'!C40</f>
        <v>0</v>
      </c>
      <c r="D39" s="96">
        <f>$C39*D7</f>
        <v>0</v>
      </c>
      <c r="E39" s="81"/>
      <c r="F39" s="81">
        <f>$C39*F7</f>
        <v>0</v>
      </c>
      <c r="G39" s="96"/>
      <c r="H39" s="71">
        <f>$C39*H7</f>
        <v>0</v>
      </c>
      <c r="J39" s="145"/>
    </row>
    <row r="40" spans="2:10" ht="14" customHeight="1">
      <c r="B40" s="148" t="str">
        <f>IF('Point mort sans +-ligne colonne'!B40="","",'Point mort sans +-ligne colonne'!B40)</f>
        <v/>
      </c>
      <c r="C40" s="101"/>
      <c r="D40" s="96"/>
      <c r="E40" s="81"/>
      <c r="F40" s="81"/>
      <c r="G40" s="96"/>
      <c r="H40" s="71"/>
      <c r="J40" s="145"/>
    </row>
    <row r="41" spans="2:10" ht="14" customHeight="1">
      <c r="B41" s="148" t="str">
        <f>IF('Point mort sans +-ligne colonne'!B41="","",'Point mort sans +-ligne colonne'!B41)</f>
        <v/>
      </c>
      <c r="C41" s="101"/>
      <c r="D41" s="96"/>
      <c r="E41" s="81"/>
      <c r="F41" s="81"/>
      <c r="G41" s="96"/>
      <c r="H41" s="71"/>
      <c r="J41" s="145"/>
    </row>
    <row r="42" spans="2:10" ht="14" customHeight="1">
      <c r="B42" s="63" t="str">
        <f>IF('Point mort sans +-ligne colonne'!B42="","",'Point mort sans +-ligne colonne'!B42)</f>
        <v>TOTAL IMPOTS ET TAXES</v>
      </c>
      <c r="C42" s="102"/>
      <c r="D42" s="103">
        <f>D39</f>
        <v>0</v>
      </c>
      <c r="E42" s="83"/>
      <c r="F42" s="83">
        <f>F39</f>
        <v>0</v>
      </c>
      <c r="G42" s="103"/>
      <c r="H42" s="72">
        <f>H39</f>
        <v>0</v>
      </c>
      <c r="J42" s="145"/>
    </row>
    <row r="43" spans="2:10" ht="14" customHeight="1">
      <c r="B43" s="156" t="str">
        <f>IF('Point mort sans +-ligne colonne'!B43="","",'Point mort sans +-ligne colonne'!B43)</f>
        <v>FRAIS DE PERSONNEL</v>
      </c>
      <c r="C43" s="101"/>
      <c r="D43" s="96"/>
      <c r="E43" s="81"/>
      <c r="F43" s="81"/>
      <c r="G43" s="96"/>
      <c r="H43" s="71"/>
      <c r="J43" s="145"/>
    </row>
    <row r="44" spans="2:10" ht="14" customHeight="1">
      <c r="B44" s="148" t="str">
        <f>IF('Point mort sans +-ligne colonne'!B44="","",'Point mort sans +-ligne colonne'!B44)</f>
        <v xml:space="preserve">Salaires et charges </v>
      </c>
      <c r="C44" s="104">
        <v>0.2</v>
      </c>
      <c r="D44" s="96">
        <f>$C44*D7</f>
        <v>50000</v>
      </c>
      <c r="E44" s="116">
        <v>0.19500000000000001</v>
      </c>
      <c r="F44" s="81">
        <f>E44*F10</f>
        <v>50375</v>
      </c>
      <c r="G44" s="116">
        <v>0.19</v>
      </c>
      <c r="H44" s="71">
        <f>G44*H10</f>
        <v>50666.666666666672</v>
      </c>
      <c r="J44" s="145"/>
    </row>
    <row r="45" spans="2:10" ht="14" customHeight="1">
      <c r="B45" s="148" t="str">
        <f>IF('Point mort sans +-ligne colonne'!B45="","",'Point mort sans +-ligne colonne'!B45)</f>
        <v/>
      </c>
      <c r="C45" s="104"/>
      <c r="D45" s="96"/>
      <c r="E45" s="116"/>
      <c r="F45" s="81"/>
      <c r="G45" s="116"/>
      <c r="H45" s="71"/>
      <c r="J45" s="145"/>
    </row>
    <row r="46" spans="2:10" ht="14" customHeight="1">
      <c r="B46" s="148" t="str">
        <f>IF('Point mort sans +-ligne colonne'!B46="","",'Point mort sans +-ligne colonne'!B46)</f>
        <v/>
      </c>
      <c r="C46" s="104"/>
      <c r="D46" s="96"/>
      <c r="E46" s="116"/>
      <c r="F46" s="81"/>
      <c r="G46" s="116"/>
      <c r="H46" s="71"/>
      <c r="J46" s="145"/>
    </row>
    <row r="47" spans="2:10" ht="14" customHeight="1">
      <c r="B47" s="63" t="str">
        <f>IF('Point mort sans +-ligne colonne'!B47="","",'Point mort sans +-ligne colonne'!B47)</f>
        <v>TOTAL FRAIS DE PERSONNEL</v>
      </c>
      <c r="C47" s="102"/>
      <c r="D47" s="103">
        <f>D44</f>
        <v>50000</v>
      </c>
      <c r="E47" s="83"/>
      <c r="F47" s="83">
        <f>F44</f>
        <v>50375</v>
      </c>
      <c r="G47" s="103"/>
      <c r="H47" s="72">
        <f>H44</f>
        <v>50666.666666666672</v>
      </c>
      <c r="J47" s="145"/>
    </row>
    <row r="48" spans="2:10" ht="14" customHeight="1">
      <c r="B48" s="156" t="str">
        <f>IF('Point mort sans +-ligne colonne'!B48="","",'Point mort sans +-ligne colonne'!B48)</f>
        <v>CHARGES DIVERSES</v>
      </c>
      <c r="C48" s="101"/>
      <c r="D48" s="96"/>
      <c r="E48" s="81"/>
      <c r="F48" s="81"/>
      <c r="G48" s="96"/>
      <c r="H48" s="71"/>
      <c r="J48" s="145"/>
    </row>
    <row r="49" spans="2:10" ht="14" customHeight="1">
      <c r="B49" s="148" t="str">
        <f>IF('Point mort sans +-ligne colonne'!B49="","",'Point mort sans +-ligne colonne'!B49)</f>
        <v>Dotation amortissements</v>
      </c>
      <c r="C49" s="101"/>
      <c r="D49" s="96">
        <f>Investissement!$F16/7</f>
        <v>20876.142857142859</v>
      </c>
      <c r="E49" s="81"/>
      <c r="F49" s="81">
        <f>Investissement!$F16/7</f>
        <v>20876.142857142859</v>
      </c>
      <c r="G49" s="96"/>
      <c r="H49" s="71">
        <f>Investissement!$F16/7</f>
        <v>20876.142857142859</v>
      </c>
      <c r="J49" s="145"/>
    </row>
    <row r="50" spans="2:10" ht="14" customHeight="1">
      <c r="B50" s="157">
        <f>IF('Point mort sans +-ligne colonne'!B50="","",'Point mort sans +-ligne colonne'!B50)</f>
        <v>4</v>
      </c>
      <c r="C50" s="101"/>
      <c r="D50" s="96"/>
      <c r="E50" s="81"/>
      <c r="F50" s="81"/>
      <c r="G50" s="96"/>
      <c r="H50" s="71"/>
      <c r="J50" s="145"/>
    </row>
    <row r="51" spans="2:10" s="65" customFormat="1" ht="14" customHeight="1">
      <c r="B51" s="63" t="str">
        <f>IF('Point mort sans +-ligne colonne'!B51="","",'Point mort sans +-ligne colonne'!B51)</f>
        <v>TOTAL CHARGES DIVERSES</v>
      </c>
      <c r="C51" s="106"/>
      <c r="D51" s="103">
        <f>D49</f>
        <v>20876.142857142859</v>
      </c>
      <c r="E51" s="83"/>
      <c r="F51" s="83">
        <f>F49</f>
        <v>20876.142857142859</v>
      </c>
      <c r="G51" s="103"/>
      <c r="H51" s="72">
        <f>H49</f>
        <v>20876.142857142859</v>
      </c>
      <c r="J51" s="66"/>
    </row>
    <row r="52" spans="2:10" s="65" customFormat="1" ht="14" customHeight="1">
      <c r="B52" s="63" t="str">
        <f>IF('Point mort sans +-ligne colonne'!B52="","",'Point mort sans +-ligne colonne'!B52)</f>
        <v>RESULTAT D'EXPLOITATION</v>
      </c>
      <c r="C52" s="106"/>
      <c r="D52" s="103">
        <f>D13-D37-D42-D47-D51</f>
        <v>-7559.4761904761945</v>
      </c>
      <c r="E52" s="83"/>
      <c r="F52" s="83">
        <f>F13-F37-F42-F47-F51</f>
        <v>22965.523809523798</v>
      </c>
      <c r="G52" s="103"/>
      <c r="H52" s="72">
        <f>H13-H37-H42-H47-H51</f>
        <v>26573.857142857141</v>
      </c>
      <c r="J52" s="66"/>
    </row>
    <row r="53" spans="2:10" s="66" customFormat="1" ht="14" customHeight="1">
      <c r="B53" s="148" t="str">
        <f>IF('Point mort sans +-ligne colonne'!B53="","",'Point mort sans +-ligne colonne'!B53)</f>
        <v>Produits financiers</v>
      </c>
      <c r="C53" s="105"/>
      <c r="D53" s="96"/>
      <c r="E53" s="81"/>
      <c r="F53" s="81"/>
      <c r="G53" s="96"/>
      <c r="H53" s="71"/>
    </row>
    <row r="54" spans="2:10" s="65" customFormat="1" ht="14" customHeight="1">
      <c r="B54" s="148" t="str">
        <f>IF('Point mort sans +-ligne colonne'!B54="","",'Point mort sans +-ligne colonne'!B54)</f>
        <v xml:space="preserve">Intérêts sur emprunts </v>
      </c>
      <c r="C54" s="105"/>
      <c r="D54" s="96">
        <f>'Emprunt 1'!H19</f>
        <v>5550.0541320707816</v>
      </c>
      <c r="E54" s="81"/>
      <c r="F54" s="81">
        <f>'Emprunt 1'!H31</f>
        <v>4060.9197406952408</v>
      </c>
      <c r="G54" s="96"/>
      <c r="H54" s="71">
        <f>'Emprunt 1'!H43</f>
        <v>2511.1157166001385</v>
      </c>
      <c r="J54" s="66"/>
    </row>
    <row r="55" spans="2:10" s="65" customFormat="1" ht="14" customHeight="1">
      <c r="B55" s="148" t="str">
        <f>IF('Point mort sans +-ligne colonne'!B55="","",'Point mort sans +-ligne colonne'!B55)</f>
        <v>Agios bancaires</v>
      </c>
      <c r="C55" s="105"/>
      <c r="D55" s="96"/>
      <c r="E55" s="81"/>
      <c r="F55" s="81"/>
      <c r="G55" s="96"/>
      <c r="H55" s="71"/>
      <c r="J55" s="66"/>
    </row>
    <row r="56" spans="2:10" s="65" customFormat="1" ht="14" customHeight="1">
      <c r="B56" s="63" t="str">
        <f>IF('Point mort sans +-ligne colonne'!B56="","",'Point mort sans +-ligne colonne'!B56)</f>
        <v>FRAIS FINANCIER</v>
      </c>
      <c r="C56" s="106"/>
      <c r="D56" s="103">
        <f>SUM(D53:D55)</f>
        <v>5550.0541320707816</v>
      </c>
      <c r="E56" s="83"/>
      <c r="F56" s="83">
        <f>SUM(F53:F55)</f>
        <v>4060.9197406952408</v>
      </c>
      <c r="G56" s="103"/>
      <c r="H56" s="72">
        <f>SUM(H53:H55)</f>
        <v>2511.1157166001385</v>
      </c>
      <c r="J56" s="66"/>
    </row>
    <row r="57" spans="2:10" s="65" customFormat="1" ht="14" customHeight="1">
      <c r="B57" s="148" t="str">
        <f>IF('Point mort sans +-ligne colonne'!B57="","",'Point mort sans +-ligne colonne'!B57)</f>
        <v/>
      </c>
      <c r="C57" s="105"/>
      <c r="D57" s="96"/>
      <c r="E57" s="81"/>
      <c r="F57" s="81"/>
      <c r="G57" s="96"/>
      <c r="H57" s="71"/>
      <c r="J57" s="66"/>
    </row>
    <row r="58" spans="2:10" s="65" customFormat="1" ht="14" customHeight="1">
      <c r="B58" s="63" t="str">
        <f>IF('Point mort sans +-ligne colonne'!B58="","",'Point mort sans +-ligne colonne'!B58)</f>
        <v>RESULTAT NET AVANT IS</v>
      </c>
      <c r="C58" s="106"/>
      <c r="D58" s="103">
        <f>D52-D56</f>
        <v>-13109.530322546976</v>
      </c>
      <c r="E58" s="83"/>
      <c r="F58" s="83">
        <f>F52-F56</f>
        <v>18904.604068828558</v>
      </c>
      <c r="G58" s="103"/>
      <c r="H58" s="72">
        <f>H52-H56</f>
        <v>24062.741426257002</v>
      </c>
      <c r="J58" s="66"/>
    </row>
    <row r="59" spans="2:10" s="65" customFormat="1" ht="14" customHeight="1">
      <c r="B59" s="156" t="str">
        <f>IF('Point mort sans +-ligne colonne'!B59="","",'Point mort sans +-ligne colonne'!B59)</f>
        <v>Impôt Sociétés</v>
      </c>
      <c r="C59" s="106"/>
      <c r="D59" s="107">
        <f>IF(D58&lt;0,0,IF(D58&lt;38120,D58*0.15,38120*0.15+(D58-38120)/3))</f>
        <v>0</v>
      </c>
      <c r="E59" s="84"/>
      <c r="F59" s="84">
        <f>IF(F58&lt;0,0,IF(F58&lt;38120,F58*0.15,38120*0.15+(F58-38120)/3))</f>
        <v>2835.6906103242836</v>
      </c>
      <c r="G59" s="107"/>
      <c r="H59" s="73">
        <f>IF(H58&lt;0,0,IF(H58&lt;38120,H58*0.15,38120*0.15+(H58-38120)/3))</f>
        <v>3609.4112139385502</v>
      </c>
      <c r="J59" s="66"/>
    </row>
    <row r="60" spans="2:10" s="65" customFormat="1" ht="14" customHeight="1">
      <c r="B60" s="63" t="str">
        <f>IF('Point mort sans +-ligne colonne'!B60="","",'Point mort sans +-ligne colonne'!B60)</f>
        <v>RESULTAT NET APRES IS</v>
      </c>
      <c r="C60" s="106"/>
      <c r="D60" s="103">
        <f>D58-D59</f>
        <v>-13109.530322546976</v>
      </c>
      <c r="E60" s="83"/>
      <c r="F60" s="83">
        <f>F58-F59</f>
        <v>16068.913458504274</v>
      </c>
      <c r="G60" s="103"/>
      <c r="H60" s="72">
        <f>H58-H59</f>
        <v>20453.330212318451</v>
      </c>
      <c r="J60" s="66"/>
    </row>
    <row r="61" spans="2:10" s="65" customFormat="1" ht="14" customHeight="1">
      <c r="B61" s="63" t="str">
        <f>IF('Point mort sans +-ligne colonne'!B61="","",'Point mort sans +-ligne colonne'!B61)</f>
        <v>CAF</v>
      </c>
      <c r="C61" s="106"/>
      <c r="D61" s="103">
        <f>D60+D51</f>
        <v>7766.6125345958826</v>
      </c>
      <c r="E61" s="83"/>
      <c r="F61" s="83">
        <f>F60+F51</f>
        <v>36945.056315647133</v>
      </c>
      <c r="G61" s="103"/>
      <c r="H61" s="72">
        <f>H60+H51</f>
        <v>41329.47306946131</v>
      </c>
      <c r="J61" s="66"/>
    </row>
    <row r="62" spans="2:10" s="65" customFormat="1" ht="14" customHeight="1">
      <c r="B62" s="156" t="str">
        <f>IF('Point mort sans +-ligne colonne'!B62="","",'Point mort sans +-ligne colonne'!B62)</f>
        <v>REMBOURSEMENT CAPITAL</v>
      </c>
      <c r="C62" s="105"/>
      <c r="D62" s="108">
        <f>'Emprunt 1'!G19</f>
        <v>36550.76083660579</v>
      </c>
      <c r="E62" s="85"/>
      <c r="F62" s="85">
        <f>'Emprunt 1'!G31</f>
        <v>38039.895227981331</v>
      </c>
      <c r="G62" s="108"/>
      <c r="H62" s="74">
        <f>'Emprunt 1'!G43</f>
        <v>39589.699252076425</v>
      </c>
      <c r="J62" s="66"/>
    </row>
    <row r="63" spans="2:10" s="65" customFormat="1" ht="14" customHeight="1" thickBot="1">
      <c r="B63" s="63" t="str">
        <f>IF('Point mort sans +-ligne colonne'!B63="","",'Point mort sans +-ligne colonne'!B63)</f>
        <v>CAF NETTE</v>
      </c>
      <c r="C63" s="109"/>
      <c r="D63" s="110">
        <f>D61-D62</f>
        <v>-28784.148302009908</v>
      </c>
      <c r="E63" s="86"/>
      <c r="F63" s="86">
        <f>F61-F62</f>
        <v>-1094.8389123341985</v>
      </c>
      <c r="G63" s="110"/>
      <c r="H63" s="75">
        <f>H61-H62</f>
        <v>1739.7738173848848</v>
      </c>
      <c r="J63" s="66"/>
    </row>
    <row r="64" spans="2:10" ht="14" customHeight="1" thickTop="1">
      <c r="J64" s="145"/>
    </row>
    <row r="65" spans="10:10" ht="14" customHeight="1">
      <c r="J65" s="145"/>
    </row>
  </sheetData>
  <mergeCells count="1">
    <mergeCell ref="B1:H1"/>
  </mergeCells>
  <phoneticPr fontId="20" type="noConversion"/>
  <printOptions horizontalCentered="1"/>
  <pageMargins left="0.71" right="0.71" top="0.47" bottom="0.47" header="0.31" footer="0.31"/>
  <pageSetup paperSize="9" fitToWidth="6" fitToHeight="2" orientation="landscape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0000"/>
    <pageSetUpPr fitToPage="1"/>
  </sheetPr>
  <dimension ref="B1:H64"/>
  <sheetViews>
    <sheetView showGridLines="0" tabSelected="1" zoomScale="160" zoomScaleNormal="160" workbookViewId="0">
      <pane xSplit="6" ySplit="7" topLeftCell="G8" activePane="bottomRight" state="frozen"/>
      <selection pane="topRight" activeCell="F1" sqref="F1"/>
      <selection pane="bottomLeft" activeCell="A7" sqref="A7"/>
      <selection pane="bottomRight"/>
    </sheetView>
  </sheetViews>
  <sheetFormatPr baseColWidth="10" defaultColWidth="12" defaultRowHeight="14" customHeight="1"/>
  <cols>
    <col min="1" max="1" width="12.5" style="165" customWidth="1"/>
    <col min="2" max="2" width="44.5" style="174" bestFit="1" customWidth="1"/>
    <col min="3" max="3" width="11.75" style="165" customWidth="1"/>
    <col min="4" max="4" width="25.5" style="171" bestFit="1" customWidth="1"/>
    <col min="5" max="5" width="15.75" style="165" customWidth="1"/>
    <col min="6" max="8" width="14.75" style="165" customWidth="1"/>
    <col min="9" max="16384" width="12" style="165"/>
  </cols>
  <sheetData>
    <row r="1" spans="2:6" ht="14" customHeight="1">
      <c r="B1" s="175" t="s">
        <v>86</v>
      </c>
      <c r="C1" s="164"/>
      <c r="D1" s="217"/>
      <c r="E1" s="164"/>
      <c r="F1" s="165" t="s">
        <v>97</v>
      </c>
    </row>
    <row r="2" spans="2:6" ht="14" customHeight="1">
      <c r="B2" s="159"/>
      <c r="C2" s="166"/>
      <c r="D2" s="218"/>
      <c r="E2" s="166"/>
    </row>
    <row r="3" spans="2:6" ht="14" customHeight="1">
      <c r="B3" s="167" t="s">
        <v>88</v>
      </c>
      <c r="C3" s="168"/>
      <c r="D3" s="219"/>
      <c r="E3" s="169">
        <f>F6</f>
        <v>442073.85825919168</v>
      </c>
    </row>
    <row r="4" spans="2:6" ht="14" customHeight="1">
      <c r="B4" s="167" t="s">
        <v>89</v>
      </c>
      <c r="C4" s="168"/>
      <c r="D4" s="219"/>
      <c r="E4" s="170">
        <f>E3/E6-1</f>
        <v>0.10518464564797925</v>
      </c>
    </row>
    <row r="5" spans="2:6" ht="14" customHeight="1">
      <c r="B5" s="167"/>
      <c r="C5" s="168"/>
      <c r="D5" s="219"/>
      <c r="E5" s="169"/>
    </row>
    <row r="6" spans="2:6" s="171" customFormat="1" ht="14" customHeight="1">
      <c r="B6" s="203" t="s">
        <v>0</v>
      </c>
      <c r="C6" s="189" t="s">
        <v>56</v>
      </c>
      <c r="D6" s="228" t="s">
        <v>99</v>
      </c>
      <c r="E6" s="204">
        <v>400000</v>
      </c>
      <c r="F6" s="171">
        <v>442073.85825919168</v>
      </c>
    </row>
    <row r="7" spans="2:6" s="171" customFormat="1" ht="14" customHeight="1">
      <c r="B7" s="203" t="s">
        <v>1</v>
      </c>
      <c r="C7" s="189"/>
      <c r="D7" s="189"/>
      <c r="E7" s="205">
        <f>E6/1.2</f>
        <v>333333.33333333337</v>
      </c>
      <c r="F7" s="171">
        <f>F6/1.2</f>
        <v>368394.88188265974</v>
      </c>
    </row>
    <row r="8" spans="2:6" ht="14" customHeight="1">
      <c r="B8" s="176" t="s">
        <v>29</v>
      </c>
      <c r="C8" s="177"/>
      <c r="D8" s="220"/>
      <c r="E8" s="192"/>
    </row>
    <row r="9" spans="2:6" ht="14" customHeight="1">
      <c r="B9" s="178" t="s">
        <v>95</v>
      </c>
      <c r="C9" s="177"/>
      <c r="D9" s="220"/>
      <c r="E9" s="192"/>
    </row>
    <row r="10" spans="2:6" ht="14" customHeight="1">
      <c r="B10" s="200" t="s">
        <v>96</v>
      </c>
      <c r="C10" s="201"/>
      <c r="D10" s="221"/>
      <c r="E10" s="202">
        <f>E7+E8+E9</f>
        <v>333333.33333333337</v>
      </c>
      <c r="F10" s="165">
        <f>F7+F8+F9</f>
        <v>368394.88188265974</v>
      </c>
    </row>
    <row r="11" spans="2:6" ht="14" customHeight="1">
      <c r="B11" s="206" t="s">
        <v>83</v>
      </c>
      <c r="C11" s="208">
        <v>0.5</v>
      </c>
      <c r="D11" s="222"/>
      <c r="E11" s="209">
        <f>E10*$C11</f>
        <v>166666.66666666669</v>
      </c>
      <c r="F11" s="165">
        <f>F10*$C11</f>
        <v>184197.44094132987</v>
      </c>
    </row>
    <row r="12" spans="2:6" ht="14" customHeight="1">
      <c r="B12" s="178" t="s">
        <v>30</v>
      </c>
      <c r="C12" s="180">
        <v>0.01</v>
      </c>
      <c r="D12" s="223"/>
      <c r="E12" s="192">
        <f>E10*$C12</f>
        <v>3333.3333333333339</v>
      </c>
      <c r="F12" s="165">
        <f>F10*$C12</f>
        <v>3683.9488188265973</v>
      </c>
    </row>
    <row r="13" spans="2:6" ht="14" customHeight="1">
      <c r="B13" s="181"/>
      <c r="C13" s="182"/>
      <c r="D13" s="223"/>
      <c r="E13" s="192"/>
      <c r="F13" s="165">
        <f>F10*$C13</f>
        <v>0</v>
      </c>
    </row>
    <row r="14" spans="2:6" ht="14" customHeight="1">
      <c r="B14" s="178"/>
      <c r="C14" s="182"/>
      <c r="D14" s="223"/>
      <c r="E14" s="192"/>
      <c r="F14" s="165">
        <f>F10*$C14</f>
        <v>0</v>
      </c>
    </row>
    <row r="15" spans="2:6" ht="14" customHeight="1">
      <c r="B15" s="200" t="s">
        <v>85</v>
      </c>
      <c r="C15" s="207">
        <f>IFERROR(E15/E10,"")</f>
        <v>0.49</v>
      </c>
      <c r="D15" s="224"/>
      <c r="E15" s="202">
        <f>E11-E12-E13-E14</f>
        <v>163333.33333333334</v>
      </c>
      <c r="F15" s="165">
        <f>F11-F12-F13-F14</f>
        <v>180513.49212250326</v>
      </c>
    </row>
    <row r="16" spans="2:6" ht="14" customHeight="1">
      <c r="B16" s="211" t="s">
        <v>2</v>
      </c>
      <c r="C16" s="212"/>
      <c r="D16" s="225"/>
      <c r="E16" s="213"/>
    </row>
    <row r="17" spans="2:8" ht="14" customHeight="1">
      <c r="B17" s="176" t="s">
        <v>3</v>
      </c>
      <c r="C17" s="184">
        <v>5.0000000000000001E-3</v>
      </c>
      <c r="D17" s="226"/>
      <c r="E17" s="193">
        <f>$E$10*C17</f>
        <v>1666.666666666667</v>
      </c>
      <c r="F17" s="165">
        <f>$F$10*C17</f>
        <v>1841.9744094132986</v>
      </c>
    </row>
    <row r="18" spans="2:8" ht="14" customHeight="1">
      <c r="B18" s="176" t="s">
        <v>4</v>
      </c>
      <c r="C18" s="184">
        <v>0.01</v>
      </c>
      <c r="D18" s="226"/>
      <c r="E18" s="193">
        <f>$E$10*C18</f>
        <v>3333.3333333333339</v>
      </c>
      <c r="F18" s="165">
        <f>$F$10*C18</f>
        <v>3683.9488188265973</v>
      </c>
    </row>
    <row r="19" spans="2:8" ht="14" customHeight="1">
      <c r="B19" s="228" t="s">
        <v>98</v>
      </c>
      <c r="C19" s="184"/>
      <c r="D19" s="226"/>
      <c r="E19" s="193"/>
    </row>
    <row r="20" spans="2:8" ht="14" customHeight="1">
      <c r="B20" s="176" t="s">
        <v>5</v>
      </c>
      <c r="C20" s="184">
        <v>5.0000000000000001E-3</v>
      </c>
      <c r="D20" s="226"/>
      <c r="E20" s="193">
        <f>$E$10*C20</f>
        <v>1666.666666666667</v>
      </c>
      <c r="F20" s="165">
        <f>$F$10*C20</f>
        <v>1841.9744094132986</v>
      </c>
    </row>
    <row r="21" spans="2:8" ht="14" customHeight="1">
      <c r="B21" s="176" t="s">
        <v>57</v>
      </c>
      <c r="C21" s="185"/>
      <c r="D21" s="187"/>
      <c r="E21" s="194"/>
      <c r="F21" s="165">
        <f>E21</f>
        <v>0</v>
      </c>
    </row>
    <row r="22" spans="2:8" ht="14" customHeight="1">
      <c r="B22" s="186" t="s">
        <v>8</v>
      </c>
      <c r="C22" s="187">
        <f>IFERROR(E22/E10,"")</f>
        <v>7.4999999999999997E-2</v>
      </c>
      <c r="D22" s="187"/>
      <c r="E22" s="192">
        <f>Investissement!F5</f>
        <v>25000</v>
      </c>
      <c r="F22" s="165">
        <f>E22</f>
        <v>25000</v>
      </c>
      <c r="G22" s="172"/>
      <c r="H22" s="173"/>
    </row>
    <row r="23" spans="2:8" ht="14" customHeight="1">
      <c r="B23" s="176" t="s">
        <v>6</v>
      </c>
      <c r="C23" s="185">
        <f>IFERROR(E23/E10,"")</f>
        <v>1.0799999999999999E-2</v>
      </c>
      <c r="D23" s="187"/>
      <c r="E23" s="192">
        <f>Investissement!F6</f>
        <v>3600</v>
      </c>
      <c r="F23" s="165">
        <f>E23</f>
        <v>3600</v>
      </c>
    </row>
    <row r="24" spans="2:8" ht="14" customHeight="1">
      <c r="B24" s="188" t="s">
        <v>7</v>
      </c>
      <c r="C24" s="185"/>
      <c r="D24" s="187"/>
      <c r="E24" s="194"/>
      <c r="F24" s="165">
        <f>E24</f>
        <v>0</v>
      </c>
    </row>
    <row r="25" spans="2:8" s="171" customFormat="1" ht="14" customHeight="1">
      <c r="B25" s="176" t="s">
        <v>9</v>
      </c>
      <c r="C25" s="187"/>
      <c r="D25" s="187"/>
      <c r="E25" s="195"/>
      <c r="F25" s="171">
        <f>E25</f>
        <v>0</v>
      </c>
    </row>
    <row r="26" spans="2:8" s="171" customFormat="1" ht="14" customHeight="1">
      <c r="B26" s="176" t="s">
        <v>87</v>
      </c>
      <c r="C26" s="184">
        <v>5.0000000000000001E-3</v>
      </c>
      <c r="D26" s="226"/>
      <c r="E26" s="193">
        <f>$E$10*C26</f>
        <v>1666.666666666667</v>
      </c>
      <c r="F26" s="171">
        <f>$F$10*C26</f>
        <v>1841.9744094132986</v>
      </c>
    </row>
    <row r="27" spans="2:8" ht="14" customHeight="1">
      <c r="B27" s="176" t="s">
        <v>10</v>
      </c>
      <c r="C27" s="184">
        <v>0.01</v>
      </c>
      <c r="D27" s="226"/>
      <c r="E27" s="193">
        <f>$E$10*C27</f>
        <v>3333.3333333333339</v>
      </c>
      <c r="F27" s="165">
        <f>$F$10*C27</f>
        <v>3683.9488188265973</v>
      </c>
    </row>
    <row r="28" spans="2:8" ht="14" customHeight="1">
      <c r="B28" s="176" t="s">
        <v>11</v>
      </c>
      <c r="C28" s="185"/>
      <c r="D28" s="187"/>
      <c r="E28" s="196">
        <v>3000</v>
      </c>
      <c r="F28" s="165">
        <f>E28</f>
        <v>3000</v>
      </c>
    </row>
    <row r="29" spans="2:8" ht="14" customHeight="1">
      <c r="B29" s="176" t="s">
        <v>12</v>
      </c>
      <c r="C29" s="185"/>
      <c r="D29" s="187"/>
      <c r="E29" s="197">
        <v>5000</v>
      </c>
      <c r="F29" s="165">
        <f t="shared" ref="F29:F32" si="0">E29</f>
        <v>5000</v>
      </c>
    </row>
    <row r="30" spans="2:8" ht="14" customHeight="1">
      <c r="B30" s="176" t="s">
        <v>13</v>
      </c>
      <c r="C30" s="185"/>
      <c r="D30" s="187"/>
      <c r="E30" s="194">
        <v>1500</v>
      </c>
      <c r="F30" s="165">
        <f t="shared" si="0"/>
        <v>1500</v>
      </c>
    </row>
    <row r="31" spans="2:8" ht="14" customHeight="1">
      <c r="B31" s="176" t="s">
        <v>14</v>
      </c>
      <c r="C31" s="185"/>
      <c r="D31" s="187"/>
      <c r="E31" s="194">
        <v>2000</v>
      </c>
      <c r="F31" s="165">
        <f t="shared" si="0"/>
        <v>2000</v>
      </c>
    </row>
    <row r="32" spans="2:8" ht="14" customHeight="1">
      <c r="B32" s="176" t="s">
        <v>15</v>
      </c>
      <c r="C32" s="185"/>
      <c r="D32" s="187"/>
      <c r="E32" s="194">
        <v>1000</v>
      </c>
      <c r="F32" s="165">
        <f t="shared" si="0"/>
        <v>1000</v>
      </c>
    </row>
    <row r="33" spans="2:6" ht="14" customHeight="1">
      <c r="B33" s="176" t="s">
        <v>16</v>
      </c>
      <c r="C33" s="184">
        <v>2E-3</v>
      </c>
      <c r="D33" s="226"/>
      <c r="E33" s="193">
        <f>C33*E$10</f>
        <v>666.66666666666674</v>
      </c>
      <c r="F33" s="165">
        <f>C33*F$10</f>
        <v>736.78976376531955</v>
      </c>
    </row>
    <row r="34" spans="2:6" ht="14" customHeight="1">
      <c r="B34" s="176" t="s">
        <v>31</v>
      </c>
      <c r="C34" s="185"/>
      <c r="D34" s="187"/>
      <c r="E34" s="197">
        <v>3000</v>
      </c>
      <c r="F34" s="165">
        <f>E34</f>
        <v>3000</v>
      </c>
    </row>
    <row r="35" spans="2:6" ht="14" customHeight="1">
      <c r="B35" s="176" t="s">
        <v>79</v>
      </c>
      <c r="C35" s="185"/>
      <c r="D35" s="187"/>
      <c r="E35" s="197">
        <v>2000</v>
      </c>
      <c r="F35" s="165">
        <f t="shared" ref="F35:F37" si="1">E35</f>
        <v>2000</v>
      </c>
    </row>
    <row r="36" spans="2:6" ht="14" customHeight="1">
      <c r="B36" s="178" t="s">
        <v>94</v>
      </c>
      <c r="C36" s="185"/>
      <c r="D36" s="187"/>
      <c r="E36" s="197"/>
      <c r="F36" s="165">
        <f t="shared" si="1"/>
        <v>0</v>
      </c>
    </row>
    <row r="37" spans="2:6" ht="14" customHeight="1">
      <c r="B37" s="176" t="s">
        <v>32</v>
      </c>
      <c r="C37" s="185"/>
      <c r="D37" s="187"/>
      <c r="E37" s="194">
        <v>5000</v>
      </c>
      <c r="F37" s="165">
        <f t="shared" si="1"/>
        <v>5000</v>
      </c>
    </row>
    <row r="38" spans="2:6" ht="14" customHeight="1">
      <c r="B38" s="206" t="s">
        <v>90</v>
      </c>
      <c r="C38" s="207">
        <f>IFERROR(E38/E10,"")</f>
        <v>0.1903</v>
      </c>
      <c r="D38" s="224"/>
      <c r="E38" s="209">
        <f>SUM(E17:E37)</f>
        <v>63433.333333333336</v>
      </c>
      <c r="F38" s="165">
        <f>SUM(F17:F37)</f>
        <v>64730.610629658411</v>
      </c>
    </row>
    <row r="39" spans="2:6" ht="14" customHeight="1">
      <c r="B39" s="211" t="s">
        <v>17</v>
      </c>
      <c r="C39" s="212"/>
      <c r="D39" s="225"/>
      <c r="E39" s="213"/>
    </row>
    <row r="40" spans="2:6" ht="14" customHeight="1">
      <c r="B40" s="176" t="s">
        <v>18</v>
      </c>
      <c r="C40" s="180"/>
      <c r="D40" s="223"/>
      <c r="E40" s="192">
        <f>C40*E7</f>
        <v>0</v>
      </c>
      <c r="F40" s="165">
        <f>C40*F7</f>
        <v>0</v>
      </c>
    </row>
    <row r="41" spans="2:6" ht="14" customHeight="1">
      <c r="B41" s="176"/>
      <c r="C41" s="180"/>
      <c r="D41" s="223"/>
      <c r="E41" s="192"/>
    </row>
    <row r="42" spans="2:6" ht="14" customHeight="1">
      <c r="B42" s="176"/>
      <c r="C42" s="180"/>
      <c r="D42" s="223"/>
      <c r="E42" s="192"/>
    </row>
    <row r="43" spans="2:6" ht="14" customHeight="1">
      <c r="B43" s="206" t="s">
        <v>91</v>
      </c>
      <c r="C43" s="210"/>
      <c r="D43" s="227"/>
      <c r="E43" s="209">
        <f>E40</f>
        <v>0</v>
      </c>
      <c r="F43" s="165">
        <f>F40</f>
        <v>0</v>
      </c>
    </row>
    <row r="44" spans="2:6" ht="14" customHeight="1">
      <c r="B44" s="179" t="s">
        <v>19</v>
      </c>
      <c r="C44" s="183"/>
      <c r="D44" s="191"/>
      <c r="E44" s="193"/>
    </row>
    <row r="45" spans="2:6" ht="14" customHeight="1">
      <c r="B45" s="176" t="s">
        <v>82</v>
      </c>
      <c r="C45" s="180">
        <v>0.2</v>
      </c>
      <c r="D45" s="223"/>
      <c r="E45" s="193">
        <f>C45*E7</f>
        <v>66666.666666666672</v>
      </c>
      <c r="F45" s="165">
        <f>C45*F7</f>
        <v>73678.976376531951</v>
      </c>
    </row>
    <row r="46" spans="2:6" ht="14" customHeight="1">
      <c r="B46" s="176"/>
      <c r="C46" s="180"/>
      <c r="D46" s="223"/>
      <c r="E46" s="193"/>
    </row>
    <row r="47" spans="2:6" ht="14" customHeight="1">
      <c r="B47" s="176"/>
      <c r="C47" s="180"/>
      <c r="D47" s="223"/>
      <c r="E47" s="193"/>
    </row>
    <row r="48" spans="2:6" ht="14" customHeight="1">
      <c r="B48" s="179" t="s">
        <v>92</v>
      </c>
      <c r="C48" s="183"/>
      <c r="D48" s="191"/>
      <c r="E48" s="198">
        <f>E45</f>
        <v>66666.666666666672</v>
      </c>
      <c r="F48" s="165">
        <f>F45</f>
        <v>73678.976376531951</v>
      </c>
    </row>
    <row r="49" spans="2:6" ht="14" customHeight="1">
      <c r="B49" s="179" t="s">
        <v>20</v>
      </c>
      <c r="C49" s="183"/>
      <c r="D49" s="191"/>
      <c r="E49" s="193"/>
    </row>
    <row r="50" spans="2:6" ht="14" customHeight="1">
      <c r="B50" s="176" t="s">
        <v>75</v>
      </c>
      <c r="C50" s="183"/>
      <c r="D50" s="191"/>
      <c r="E50" s="193">
        <f>Investissement!F16/B51</f>
        <v>36533.25</v>
      </c>
      <c r="F50" s="165">
        <f>E50</f>
        <v>36533.25</v>
      </c>
    </row>
    <row r="51" spans="2:6" ht="14" customHeight="1">
      <c r="B51" s="190">
        <v>4</v>
      </c>
      <c r="C51" s="183"/>
      <c r="D51" s="191"/>
      <c r="E51" s="193"/>
    </row>
    <row r="52" spans="2:6" s="171" customFormat="1" ht="14" customHeight="1">
      <c r="B52" s="179" t="s">
        <v>93</v>
      </c>
      <c r="C52" s="191"/>
      <c r="D52" s="191"/>
      <c r="E52" s="198">
        <f>E50</f>
        <v>36533.25</v>
      </c>
      <c r="F52" s="171">
        <f>F50</f>
        <v>36533.25</v>
      </c>
    </row>
    <row r="53" spans="2:6" s="171" customFormat="1" ht="14" customHeight="1">
      <c r="B53" s="179" t="s">
        <v>58</v>
      </c>
      <c r="C53" s="191">
        <f>IFERROR(E53/E7,"")</f>
        <v>-9.8997500000000127E-3</v>
      </c>
      <c r="D53" s="191"/>
      <c r="E53" s="198">
        <f>E15-E38-E43-E48-E52</f>
        <v>-3299.9166666666715</v>
      </c>
      <c r="F53" s="171">
        <f>F15-F38-F43-F48-F52</f>
        <v>5570.6551163128897</v>
      </c>
    </row>
    <row r="54" spans="2:6" s="171" customFormat="1" ht="14" customHeight="1">
      <c r="B54" s="176" t="s">
        <v>21</v>
      </c>
      <c r="C54" s="191"/>
      <c r="D54" s="191"/>
      <c r="E54" s="193"/>
    </row>
    <row r="55" spans="2:6" s="171" customFormat="1" ht="14" customHeight="1">
      <c r="B55" s="176" t="s">
        <v>68</v>
      </c>
      <c r="C55" s="191">
        <f>IFERROR(E55/E7,"")</f>
        <v>1.6650162396212344E-2</v>
      </c>
      <c r="D55" s="191"/>
      <c r="E55" s="193">
        <f>'Emprunt 1'!H19</f>
        <v>5550.0541320707816</v>
      </c>
      <c r="F55" s="171">
        <f>E55</f>
        <v>5550.0541320707816</v>
      </c>
    </row>
    <row r="56" spans="2:6" s="171" customFormat="1" ht="14" customHeight="1">
      <c r="B56" s="176" t="s">
        <v>69</v>
      </c>
      <c r="C56" s="191"/>
      <c r="D56" s="191"/>
      <c r="E56" s="193"/>
    </row>
    <row r="57" spans="2:6" s="171" customFormat="1" ht="14" customHeight="1">
      <c r="B57" s="179" t="s">
        <v>28</v>
      </c>
      <c r="C57" s="191"/>
      <c r="D57" s="191"/>
      <c r="E57" s="198">
        <f>SUM(E54:E56)</f>
        <v>5550.0541320707816</v>
      </c>
      <c r="F57" s="171">
        <f>SUM(F54:F56)</f>
        <v>5550.0541320707816</v>
      </c>
    </row>
    <row r="58" spans="2:6" s="171" customFormat="1" ht="14" customHeight="1">
      <c r="B58" s="176"/>
      <c r="C58" s="191"/>
      <c r="D58" s="191"/>
      <c r="E58" s="193"/>
    </row>
    <row r="59" spans="2:6" s="171" customFormat="1" ht="14" customHeight="1">
      <c r="B59" s="179" t="s">
        <v>27</v>
      </c>
      <c r="C59" s="191">
        <f>IFERROR(E59/E7,"")</f>
        <v>-2.6549912396212356E-2</v>
      </c>
      <c r="D59" s="191"/>
      <c r="E59" s="198">
        <f>E53-E57</f>
        <v>-8849.9707987374532</v>
      </c>
      <c r="F59" s="171">
        <f>F53-F57</f>
        <v>20.600984242108098</v>
      </c>
    </row>
    <row r="60" spans="2:6" s="171" customFormat="1" ht="14" customHeight="1">
      <c r="B60" s="179" t="s">
        <v>25</v>
      </c>
      <c r="C60" s="191"/>
      <c r="D60" s="191"/>
      <c r="E60" s="199">
        <f>IF(E59&lt;0,0,IF(E59&lt;38120,E59*0.15,38120*0.15+(E59-38120)/3))</f>
        <v>0</v>
      </c>
      <c r="F60" s="171">
        <f>IF(F59&lt;0,0,IF(F59&lt;38120,F59*0.15,38120*0.15+(F59-38120)/3))</f>
        <v>3.0901476363162144</v>
      </c>
    </row>
    <row r="61" spans="2:6" s="171" customFormat="1" ht="14" customHeight="1">
      <c r="B61" s="179" t="s">
        <v>26</v>
      </c>
      <c r="C61" s="191"/>
      <c r="D61" s="191"/>
      <c r="E61" s="198">
        <f>E59-E60</f>
        <v>-8849.9707987374532</v>
      </c>
      <c r="F61" s="171">
        <f>F59-F60</f>
        <v>17.510836605791884</v>
      </c>
    </row>
    <row r="62" spans="2:6" s="171" customFormat="1" ht="14" customHeight="1">
      <c r="B62" s="179" t="s">
        <v>22</v>
      </c>
      <c r="C62" s="191"/>
      <c r="D62" s="191"/>
      <c r="E62" s="198">
        <f>E61+E52</f>
        <v>27683.279201262547</v>
      </c>
      <c r="F62" s="171">
        <f>F61+F52</f>
        <v>36550.76083660579</v>
      </c>
    </row>
    <row r="63" spans="2:6" s="171" customFormat="1" ht="14" customHeight="1">
      <c r="B63" s="179" t="s">
        <v>23</v>
      </c>
      <c r="C63" s="191">
        <f>IFERROR(E63/E7,"")</f>
        <v>0.10965228250981736</v>
      </c>
      <c r="D63" s="191"/>
      <c r="E63" s="198">
        <f>'Emprunt 1'!G19</f>
        <v>36550.76083660579</v>
      </c>
      <c r="F63" s="171">
        <f>E63</f>
        <v>36550.76083660579</v>
      </c>
    </row>
    <row r="64" spans="2:6" s="171" customFormat="1" ht="14" customHeight="1">
      <c r="B64" s="179" t="s">
        <v>24</v>
      </c>
      <c r="C64" s="191">
        <f>IFERROR(E64/E7,"")</f>
        <v>-2.6602444906029726E-2</v>
      </c>
      <c r="D64" s="191"/>
      <c r="E64" s="198">
        <f>E62-E63</f>
        <v>-8867.4816353432434</v>
      </c>
      <c r="F64" s="171">
        <f>F62-F63</f>
        <v>0</v>
      </c>
    </row>
  </sheetData>
  <phoneticPr fontId="0" type="noConversion"/>
  <printOptions horizontalCentered="1"/>
  <pageMargins left="0" right="0" top="0.51181102362204722" bottom="0.51181102362204722" header="0.23622047244094491" footer="0.27559055118110237"/>
  <pageSetup paperSize="9" scale="86" orientation="portrait"/>
  <headerFooter alignWithMargins="0">
    <oddHeader>&amp;L&amp;"Century Gothic,Normal"&amp;F&amp;C&amp;"Century Gothic,Normal"
&amp;A</oddHeader>
    <oddFooter>&amp;L&amp;"Century Gothic,Italique"&amp;P/&amp;N&amp;R&amp;"Century Gothic,Italique"Imprimé le :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771855-4518-F241-B668-EFE5C8E6DF08}">
  <sheetPr codeName="Feuil5">
    <tabColor rgb="FFFF0000"/>
    <pageSetUpPr fitToPage="1"/>
  </sheetPr>
  <dimension ref="B1:K66"/>
  <sheetViews>
    <sheetView showGridLines="0" zoomScale="150" zoomScaleNormal="150" workbookViewId="0">
      <pane xSplit="2" ySplit="7" topLeftCell="C8" activePane="bottomRight" state="frozen"/>
      <selection pane="topRight" activeCell="D1" sqref="D1"/>
      <selection pane="bottomLeft" activeCell="A5" sqref="A5"/>
      <selection pane="bottomRight"/>
    </sheetView>
  </sheetViews>
  <sheetFormatPr baseColWidth="10" defaultColWidth="12" defaultRowHeight="14" customHeight="1"/>
  <cols>
    <col min="1" max="1" width="15.5" style="64" customWidth="1"/>
    <col min="2" max="2" width="45" style="161" bestFit="1" customWidth="1"/>
    <col min="3" max="3" width="11.75" style="64" customWidth="1"/>
    <col min="4" max="4" width="25.75" style="64" bestFit="1" customWidth="1"/>
    <col min="5" max="9" width="12.75" style="64" customWidth="1"/>
    <col min="10" max="10" width="12" style="64"/>
    <col min="11" max="11" width="45" style="64" bestFit="1" customWidth="1"/>
    <col min="12" max="16384" width="12" style="64"/>
  </cols>
  <sheetData>
    <row r="1" spans="2:11" ht="14" customHeight="1">
      <c r="B1" s="216" t="s">
        <v>76</v>
      </c>
      <c r="C1" s="216"/>
      <c r="D1" s="216"/>
      <c r="E1" s="216"/>
      <c r="F1" s="216"/>
      <c r="G1" s="216"/>
      <c r="H1" s="216"/>
      <c r="I1" s="216"/>
    </row>
    <row r="2" spans="2:11" ht="14" customHeight="1">
      <c r="B2" s="159"/>
      <c r="C2" s="142"/>
      <c r="D2" s="142"/>
      <c r="E2" s="142"/>
      <c r="F2" s="142"/>
      <c r="G2" s="142"/>
      <c r="H2" s="142"/>
      <c r="I2" s="142"/>
    </row>
    <row r="3" spans="2:11" ht="14" customHeight="1">
      <c r="B3" s="159"/>
      <c r="C3" s="142"/>
      <c r="D3" s="142"/>
      <c r="E3" s="142"/>
      <c r="F3" s="142"/>
      <c r="G3" s="142"/>
      <c r="H3" s="142"/>
      <c r="I3" s="142"/>
    </row>
    <row r="4" spans="2:11" ht="14" customHeight="1">
      <c r="B4" s="159"/>
      <c r="C4" s="142"/>
      <c r="D4" s="142"/>
      <c r="E4" s="142"/>
      <c r="F4" s="142"/>
      <c r="G4" s="142"/>
      <c r="H4" s="142"/>
      <c r="I4" s="142"/>
    </row>
    <row r="5" spans="2:11" ht="14" customHeight="1" thickBot="1">
      <c r="B5" s="160"/>
      <c r="C5" s="143"/>
      <c r="D5" s="143"/>
      <c r="E5" s="144" t="s">
        <v>74</v>
      </c>
      <c r="F5" s="144"/>
      <c r="G5" s="144"/>
      <c r="H5" s="144"/>
      <c r="I5" s="144"/>
    </row>
    <row r="6" spans="2:11" s="65" customFormat="1" ht="14" customHeight="1">
      <c r="B6" s="146" t="str">
        <f>IF('Point mort avec +-ligne colonne'!B6="","",'Point mort avec +-ligne colonne'!B6)</f>
        <v>CA TTC</v>
      </c>
      <c r="C6" s="162" t="s">
        <v>56</v>
      </c>
      <c r="D6" s="244" t="str">
        <f>'Point mort avec +-ligne colonne'!D6</f>
        <v>colonne insérée exemple</v>
      </c>
      <c r="E6" s="125">
        <v>300000</v>
      </c>
      <c r="F6" s="76"/>
      <c r="G6" s="126">
        <v>310000</v>
      </c>
      <c r="H6" s="87"/>
      <c r="I6" s="127">
        <v>320000</v>
      </c>
      <c r="K6" s="66"/>
    </row>
    <row r="7" spans="2:11" s="65" customFormat="1" ht="14" customHeight="1" thickBot="1">
      <c r="B7" s="147" t="str">
        <f>IF('Point mort avec +-ligne colonne'!B7="","",'Point mort avec +-ligne colonne'!B7)</f>
        <v>CA HT</v>
      </c>
      <c r="C7" s="163"/>
      <c r="D7" s="243"/>
      <c r="E7" s="77">
        <f>E6/1.2</f>
        <v>250000</v>
      </c>
      <c r="F7" s="77"/>
      <c r="G7" s="77">
        <f>G6/1.2</f>
        <v>258333.33333333334</v>
      </c>
      <c r="H7" s="88"/>
      <c r="I7" s="67">
        <f>I6/1.2</f>
        <v>266666.66666666669</v>
      </c>
      <c r="K7" s="66"/>
    </row>
    <row r="8" spans="2:11" ht="14" customHeight="1">
      <c r="B8" s="148" t="str">
        <f>IF('Point mort avec +-ligne colonne'!B8="","",'Point mort avec +-ligne colonne'!B8)</f>
        <v>Autres produits</v>
      </c>
      <c r="C8" s="89"/>
      <c r="D8" s="230"/>
      <c r="E8" s="90"/>
      <c r="F8" s="78"/>
      <c r="G8" s="78"/>
      <c r="H8" s="90"/>
      <c r="I8" s="68"/>
      <c r="K8" s="145"/>
    </row>
    <row r="9" spans="2:11" ht="14" customHeight="1">
      <c r="B9" s="149" t="str">
        <f>IF('Point mort avec +-ligne colonne'!B9="","",'Point mort avec +-ligne colonne'!B9)</f>
        <v>Prestations diverses</v>
      </c>
      <c r="C9" s="89"/>
      <c r="D9" s="230"/>
      <c r="E9" s="90"/>
      <c r="F9" s="78"/>
      <c r="G9" s="78"/>
      <c r="H9" s="90"/>
      <c r="I9" s="68"/>
      <c r="K9" s="145"/>
    </row>
    <row r="10" spans="2:11" ht="14" customHeight="1">
      <c r="B10" s="150" t="str">
        <f>IF('Point mort avec +-ligne colonne'!B10="","",'Point mort avec +-ligne colonne'!B10)</f>
        <v>TOTAL RECETTES</v>
      </c>
      <c r="C10" s="91"/>
      <c r="D10" s="231"/>
      <c r="E10" s="92">
        <f>E7+E8+E9</f>
        <v>250000</v>
      </c>
      <c r="F10" s="79"/>
      <c r="G10" s="79">
        <f>G7+G8+G9</f>
        <v>258333.33333333334</v>
      </c>
      <c r="H10" s="92"/>
      <c r="I10" s="69">
        <f>I7+I8+I9</f>
        <v>266666.66666666669</v>
      </c>
      <c r="K10" s="145"/>
    </row>
    <row r="11" spans="2:11" ht="14" customHeight="1">
      <c r="B11" s="151" t="str">
        <f>IF('Point mort avec +-ligne colonne'!B11="","",'Point mort avec +-ligne colonne'!B11)</f>
        <v>MARGE BRUTE</v>
      </c>
      <c r="C11" s="93">
        <f>'Point mort avec +-ligne colonne'!C11</f>
        <v>0.5</v>
      </c>
      <c r="D11" s="232"/>
      <c r="E11" s="94">
        <f>C11*E10</f>
        <v>125000</v>
      </c>
      <c r="F11" s="80"/>
      <c r="G11" s="80">
        <f>C11*G10</f>
        <v>129166.66666666667</v>
      </c>
      <c r="H11" s="94"/>
      <c r="I11" s="70">
        <f>C11*I10</f>
        <v>133333.33333333334</v>
      </c>
      <c r="K11" s="145"/>
    </row>
    <row r="12" spans="2:11" ht="14" customHeight="1">
      <c r="B12" s="149" t="str">
        <f>IF('Point mort avec +-ligne colonne'!B12="","",'Point mort avec +-ligne colonne'!B12)</f>
        <v>Démarque</v>
      </c>
      <c r="C12" s="93">
        <v>5.0000000000000001E-3</v>
      </c>
      <c r="D12" s="233"/>
      <c r="E12" s="90">
        <f>E10*$C12</f>
        <v>1250</v>
      </c>
      <c r="F12" s="78"/>
      <c r="G12" s="78">
        <f>G10*$C12</f>
        <v>1291.6666666666667</v>
      </c>
      <c r="H12" s="90"/>
      <c r="I12" s="68">
        <f>I10*$C12</f>
        <v>1333.3333333333335</v>
      </c>
      <c r="K12" s="145"/>
    </row>
    <row r="13" spans="2:11" ht="14" customHeight="1">
      <c r="B13" s="158" t="str">
        <f>IF('Point mort avec +-ligne colonne'!B13="","",'Point mort avec +-ligne colonne'!B13)</f>
        <v/>
      </c>
      <c r="C13" s="91"/>
      <c r="D13" s="231"/>
      <c r="E13" s="92">
        <f>E11-E12</f>
        <v>123750</v>
      </c>
      <c r="F13" s="79"/>
      <c r="G13" s="79">
        <f>G11-G12</f>
        <v>127875</v>
      </c>
      <c r="H13" s="92"/>
      <c r="I13" s="69">
        <f>I11-I12</f>
        <v>132000</v>
      </c>
      <c r="K13" s="145"/>
    </row>
    <row r="14" spans="2:11" ht="14" customHeight="1">
      <c r="B14" s="149" t="str">
        <f>IF('Point mort avec +-ligne colonne'!B14="","",'Point mort avec +-ligne colonne'!B14)</f>
        <v/>
      </c>
      <c r="C14" s="89"/>
      <c r="D14" s="230"/>
      <c r="E14" s="90"/>
      <c r="F14" s="78"/>
      <c r="G14" s="78"/>
      <c r="H14" s="90"/>
      <c r="I14" s="68"/>
      <c r="K14" s="145"/>
    </row>
    <row r="15" spans="2:11" ht="14" customHeight="1">
      <c r="B15" s="152" t="str">
        <f>IF('Point mort avec +-ligne colonne'!B15="","",'Point mort avec +-ligne colonne'!B15)</f>
        <v>MARGE NETTE</v>
      </c>
      <c r="C15" s="89"/>
      <c r="D15" s="230"/>
      <c r="E15" s="90"/>
      <c r="F15" s="78"/>
      <c r="G15" s="78"/>
      <c r="H15" s="90"/>
      <c r="I15" s="68"/>
      <c r="K15" s="145"/>
    </row>
    <row r="16" spans="2:11" ht="14" customHeight="1">
      <c r="B16" s="153" t="str">
        <f>IF('Point mort avec +-ligne colonne'!B16="","",'Point mort avec +-ligne colonne'!B16)</f>
        <v>CHARGES EXTERNES</v>
      </c>
      <c r="C16" s="95"/>
      <c r="D16" s="234"/>
      <c r="E16" s="96"/>
      <c r="F16" s="81"/>
      <c r="G16" s="81"/>
      <c r="H16" s="96"/>
      <c r="I16" s="71"/>
      <c r="K16" s="145"/>
    </row>
    <row r="17" spans="2:11" ht="14" customHeight="1">
      <c r="B17" s="148" t="str">
        <f>IF('Point mort avec +-ligne colonne'!B17="","",'Point mort avec +-ligne colonne'!B17)</f>
        <v>Emballages</v>
      </c>
      <c r="C17" s="98">
        <f>'Point mort avec +-ligne colonne'!C17</f>
        <v>5.0000000000000001E-3</v>
      </c>
      <c r="D17" s="235"/>
      <c r="E17" s="96">
        <f>$C17*E7</f>
        <v>1250</v>
      </c>
      <c r="F17" s="81"/>
      <c r="G17" s="81">
        <f>$C17*G7</f>
        <v>1291.6666666666667</v>
      </c>
      <c r="H17" s="96"/>
      <c r="I17" s="71">
        <f>$C17*I7</f>
        <v>1333.3333333333335</v>
      </c>
      <c r="K17" s="145"/>
    </row>
    <row r="18" spans="2:11" ht="14" customHeight="1">
      <c r="B18" s="148" t="str">
        <f>IF('Point mort avec +-ligne colonne'!B18="","",'Point mort avec +-ligne colonne'!B18)</f>
        <v>E.D.F.</v>
      </c>
      <c r="C18" s="98">
        <f>'Point mort avec +-ligne colonne'!C18</f>
        <v>0.01</v>
      </c>
      <c r="D18" s="235"/>
      <c r="E18" s="96">
        <f>$C18*E7</f>
        <v>2500</v>
      </c>
      <c r="F18" s="81"/>
      <c r="G18" s="81">
        <f>$C18*G7</f>
        <v>2583.3333333333335</v>
      </c>
      <c r="H18" s="96"/>
      <c r="I18" s="71">
        <f>$C18*I7</f>
        <v>2666.666666666667</v>
      </c>
      <c r="K18" s="145"/>
    </row>
    <row r="19" spans="2:11" ht="14" customHeight="1">
      <c r="B19" s="229" t="str">
        <f>'Point mort avec +-ligne colonne'!B19</f>
        <v>ligne insérée exemple</v>
      </c>
      <c r="C19" s="98"/>
      <c r="D19" s="235"/>
      <c r="E19" s="96"/>
      <c r="F19" s="81"/>
      <c r="G19" s="81"/>
      <c r="H19" s="96"/>
      <c r="I19" s="71"/>
      <c r="K19" s="145"/>
    </row>
    <row r="20" spans="2:11" ht="14" customHeight="1">
      <c r="B20" s="148" t="str">
        <f>IF('Point mort avec +-ligne colonne'!B20="","",'Point mort avec +-ligne colonne'!B20)</f>
        <v>petit matériel</v>
      </c>
      <c r="C20" s="98">
        <f>'Point mort avec +-ligne colonne'!C20</f>
        <v>5.0000000000000001E-3</v>
      </c>
      <c r="D20" s="235"/>
      <c r="E20" s="96">
        <f>$C20*E7</f>
        <v>1250</v>
      </c>
      <c r="F20" s="81"/>
      <c r="G20" s="81">
        <f>$C20*G7</f>
        <v>1291.6666666666667</v>
      </c>
      <c r="H20" s="96"/>
      <c r="I20" s="71">
        <f>$C20*I7</f>
        <v>1333.3333333333335</v>
      </c>
      <c r="K20" s="145"/>
    </row>
    <row r="21" spans="2:11" ht="14" customHeight="1">
      <c r="B21" s="148" t="str">
        <f>IF('Point mort avec +-ligne colonne'!B21="","",'Point mort avec +-ligne colonne'!B21)</f>
        <v>prestations informatiques et internet</v>
      </c>
      <c r="C21" s="98"/>
      <c r="D21" s="235"/>
      <c r="E21" s="90">
        <f>'Point mort avec +-ligne colonne'!E21</f>
        <v>0</v>
      </c>
      <c r="F21" s="82"/>
      <c r="G21" s="78">
        <f>E21</f>
        <v>0</v>
      </c>
      <c r="H21" s="99"/>
      <c r="I21" s="68">
        <f>E21</f>
        <v>0</v>
      </c>
      <c r="K21" s="145"/>
    </row>
    <row r="22" spans="2:11" ht="14" customHeight="1">
      <c r="B22" s="154" t="str">
        <f>IF('Point mort avec +-ligne colonne'!B22="","",'Point mort avec +-ligne colonne'!B22)</f>
        <v>location immobilière</v>
      </c>
      <c r="C22" s="100">
        <f>E22/E10</f>
        <v>0.1</v>
      </c>
      <c r="D22" s="236"/>
      <c r="E22" s="90">
        <f>'Point mort avec +-ligne colonne'!F22</f>
        <v>25000</v>
      </c>
      <c r="F22" s="112">
        <f>G22/G10</f>
        <v>0</v>
      </c>
      <c r="G22" s="78">
        <f>'Point mort avec +-ligne colonne'!G22</f>
        <v>0</v>
      </c>
      <c r="H22" s="112">
        <f>I22/I10</f>
        <v>0</v>
      </c>
      <c r="I22" s="68">
        <f>'Point mort avec +-ligne colonne'!H22</f>
        <v>0</v>
      </c>
      <c r="K22" s="145"/>
    </row>
    <row r="23" spans="2:11" ht="14" customHeight="1">
      <c r="B23" s="148" t="str">
        <f>IF('Point mort avec +-ligne colonne'!B23="","",'Point mort avec +-ligne colonne'!B23)</f>
        <v>charges locatives</v>
      </c>
      <c r="C23" s="98">
        <f>E23/E10</f>
        <v>1.44E-2</v>
      </c>
      <c r="D23" s="237"/>
      <c r="E23" s="113">
        <f>Investissement!$F$6</f>
        <v>3600</v>
      </c>
      <c r="F23" s="114">
        <f>G23/G10</f>
        <v>1.3935483870967741E-2</v>
      </c>
      <c r="G23" s="115">
        <f>Investissement!$F$6</f>
        <v>3600</v>
      </c>
      <c r="H23" s="114">
        <f>I23/I10</f>
        <v>1.35E-2</v>
      </c>
      <c r="I23" s="68">
        <f>Investissement!$F$6</f>
        <v>3600</v>
      </c>
      <c r="K23" s="145"/>
    </row>
    <row r="24" spans="2:11" ht="14" customHeight="1">
      <c r="B24" s="155" t="str">
        <f>IF('Point mort avec +-ligne colonne'!B24="","",'Point mort avec +-ligne colonne'!B24)</f>
        <v>location enseigne</v>
      </c>
      <c r="C24" s="98"/>
      <c r="D24" s="235"/>
      <c r="E24" s="90">
        <f>'Point mort avec +-ligne colonne'!E24</f>
        <v>0</v>
      </c>
      <c r="F24" s="78"/>
      <c r="G24" s="78">
        <f>E24</f>
        <v>0</v>
      </c>
      <c r="H24" s="90"/>
      <c r="I24" s="68">
        <f>E24</f>
        <v>0</v>
      </c>
      <c r="K24" s="145"/>
    </row>
    <row r="25" spans="2:11" s="65" customFormat="1" ht="14" customHeight="1">
      <c r="B25" s="148" t="str">
        <f>IF('Point mort avec +-ligne colonne'!B25="","",'Point mort avec +-ligne colonne'!B25)</f>
        <v>outil de suivi du trafic de clientèle</v>
      </c>
      <c r="C25" s="100"/>
      <c r="D25" s="236"/>
      <c r="E25" s="90">
        <f>'Point mort avec +-ligne colonne'!E25</f>
        <v>0</v>
      </c>
      <c r="F25" s="78"/>
      <c r="G25" s="78">
        <f>E25</f>
        <v>0</v>
      </c>
      <c r="H25" s="90"/>
      <c r="I25" s="68">
        <f>E25</f>
        <v>0</v>
      </c>
      <c r="K25" s="66"/>
    </row>
    <row r="26" spans="2:11" s="65" customFormat="1" ht="14" customHeight="1">
      <c r="B26" s="148" t="str">
        <f>IF('Point mort avec +-ligne colonne'!B26="","",'Point mort avec +-ligne colonne'!B26)</f>
        <v>commission CB</v>
      </c>
      <c r="C26" s="100">
        <f>'Point mort avec +-ligne colonne'!C26</f>
        <v>5.0000000000000001E-3</v>
      </c>
      <c r="D26" s="236"/>
      <c r="E26" s="96">
        <f>$C26*E7</f>
        <v>1250</v>
      </c>
      <c r="F26" s="81"/>
      <c r="G26" s="81">
        <f>$C26*G7</f>
        <v>1291.6666666666667</v>
      </c>
      <c r="H26" s="96"/>
      <c r="I26" s="71">
        <f>$C26*I7</f>
        <v>1333.3333333333335</v>
      </c>
      <c r="K26" s="66"/>
    </row>
    <row r="27" spans="2:11" ht="14" customHeight="1">
      <c r="B27" s="148" t="str">
        <f>IF('Point mort avec +-ligne colonne'!B27="","",'Point mort avec +-ligne colonne'!B27)</f>
        <v>assurances</v>
      </c>
      <c r="C27" s="100">
        <f>E27/E10</f>
        <v>1.3333333333333336E-2</v>
      </c>
      <c r="D27" s="236"/>
      <c r="E27" s="96">
        <f>'Point mort avec +-ligne colonne'!E27</f>
        <v>3333.3333333333339</v>
      </c>
      <c r="F27" s="81"/>
      <c r="G27" s="81">
        <f t="shared" ref="G27:G32" si="0">E27</f>
        <v>3333.3333333333339</v>
      </c>
      <c r="H27" s="96"/>
      <c r="I27" s="71">
        <f t="shared" ref="I27:I32" si="1">E27</f>
        <v>3333.3333333333339</v>
      </c>
      <c r="K27" s="145"/>
    </row>
    <row r="28" spans="2:11" ht="14" customHeight="1">
      <c r="B28" s="148" t="str">
        <f>IF('Point mort avec +-ligne colonne'!B28="","",'Point mort avec +-ligne colonne'!B28)</f>
        <v>honoraires</v>
      </c>
      <c r="C28" s="98">
        <f>E28/E$10</f>
        <v>1.2E-2</v>
      </c>
      <c r="D28" s="235"/>
      <c r="E28" s="96">
        <f>'Point mort avec +-ligne colonne'!E28</f>
        <v>3000</v>
      </c>
      <c r="F28" s="81"/>
      <c r="G28" s="81">
        <f>E28</f>
        <v>3000</v>
      </c>
      <c r="H28" s="96"/>
      <c r="I28" s="71">
        <f>G28</f>
        <v>3000</v>
      </c>
      <c r="K28" s="145"/>
    </row>
    <row r="29" spans="2:11" ht="14" customHeight="1">
      <c r="B29" s="148" t="str">
        <f>IF('Point mort avec +-ligne colonne'!B29="","",'Point mort avec +-ligne colonne'!B29)</f>
        <v>publicité</v>
      </c>
      <c r="C29" s="98"/>
      <c r="D29" s="235"/>
      <c r="E29" s="96">
        <f>'Point mort avec +-ligne colonne'!E29</f>
        <v>5000</v>
      </c>
      <c r="F29" s="81"/>
      <c r="G29" s="81">
        <f t="shared" si="0"/>
        <v>5000</v>
      </c>
      <c r="H29" s="96"/>
      <c r="I29" s="71">
        <f t="shared" si="1"/>
        <v>5000</v>
      </c>
      <c r="K29" s="145"/>
    </row>
    <row r="30" spans="2:11" ht="14" customHeight="1">
      <c r="B30" s="148" t="str">
        <f>IF('Point mort avec +-ligne colonne'!B30="","",'Point mort avec +-ligne colonne'!B30)</f>
        <v>déplacements et réceptions</v>
      </c>
      <c r="C30" s="98">
        <f>E30/E$10</f>
        <v>6.0000000000000001E-3</v>
      </c>
      <c r="D30" s="235"/>
      <c r="E30" s="96">
        <f>'Point mort avec +-ligne colonne'!E30</f>
        <v>1500</v>
      </c>
      <c r="F30" s="81"/>
      <c r="G30" s="81">
        <f t="shared" si="0"/>
        <v>1500</v>
      </c>
      <c r="H30" s="96"/>
      <c r="I30" s="71">
        <f t="shared" si="1"/>
        <v>1500</v>
      </c>
      <c r="K30" s="145"/>
    </row>
    <row r="31" spans="2:11" ht="14" customHeight="1">
      <c r="B31" s="148" t="str">
        <f>IF('Point mort avec +-ligne colonne'!B31="","",'Point mort avec +-ligne colonne'!B31)</f>
        <v>téléphone</v>
      </c>
      <c r="C31" s="98">
        <f>E31/E$10</f>
        <v>8.0000000000000002E-3</v>
      </c>
      <c r="D31" s="235"/>
      <c r="E31" s="96">
        <f>'Point mort avec +-ligne colonne'!E31</f>
        <v>2000</v>
      </c>
      <c r="F31" s="81"/>
      <c r="G31" s="81">
        <f t="shared" si="0"/>
        <v>2000</v>
      </c>
      <c r="H31" s="96"/>
      <c r="I31" s="71">
        <f t="shared" si="1"/>
        <v>2000</v>
      </c>
      <c r="K31" s="145"/>
    </row>
    <row r="32" spans="2:11" ht="14" customHeight="1">
      <c r="B32" s="148" t="str">
        <f>IF('Point mort avec +-ligne colonne'!B32="","",'Point mort avec +-ligne colonne'!B32)</f>
        <v>affranchissement</v>
      </c>
      <c r="C32" s="98"/>
      <c r="D32" s="235"/>
      <c r="E32" s="96">
        <f>'Point mort avec +-ligne colonne'!E32</f>
        <v>1000</v>
      </c>
      <c r="F32" s="81"/>
      <c r="G32" s="81">
        <f t="shared" si="0"/>
        <v>1000</v>
      </c>
      <c r="H32" s="96"/>
      <c r="I32" s="71">
        <f t="shared" si="1"/>
        <v>1000</v>
      </c>
      <c r="K32" s="145"/>
    </row>
    <row r="33" spans="2:11" ht="14" customHeight="1">
      <c r="B33" s="148" t="str">
        <f>IF('Point mort avec +-ligne colonne'!B33="","",'Point mort avec +-ligne colonne'!B33)</f>
        <v>services bancaires</v>
      </c>
      <c r="C33" s="98">
        <f>'Point mort avec +-ligne colonne'!C33</f>
        <v>2E-3</v>
      </c>
      <c r="D33" s="235"/>
      <c r="E33" s="96">
        <f>$C33*E7</f>
        <v>500</v>
      </c>
      <c r="F33" s="81"/>
      <c r="G33" s="81">
        <f>$C33*G7</f>
        <v>516.66666666666674</v>
      </c>
      <c r="H33" s="96"/>
      <c r="I33" s="71">
        <f>$C33*I7</f>
        <v>533.33333333333337</v>
      </c>
      <c r="K33" s="145"/>
    </row>
    <row r="34" spans="2:11" ht="14" customHeight="1">
      <c r="B34" s="148" t="str">
        <f>IF('Point mort avec +-ligne colonne'!B34="","",'Point mort avec +-ligne colonne'!B34)</f>
        <v>comptabilité</v>
      </c>
      <c r="C34" s="98"/>
      <c r="D34" s="235"/>
      <c r="E34" s="96">
        <v>3000</v>
      </c>
      <c r="F34" s="81"/>
      <c r="G34" s="81">
        <f>E34</f>
        <v>3000</v>
      </c>
      <c r="H34" s="96"/>
      <c r="I34" s="71">
        <f>G34</f>
        <v>3000</v>
      </c>
      <c r="K34" s="145"/>
    </row>
    <row r="35" spans="2:11" ht="14" customHeight="1">
      <c r="B35" s="148" t="str">
        <f>IF('Point mort avec +-ligne colonne'!B35="","",'Point mort avec +-ligne colonne'!B35)</f>
        <v>entretien (contrats, entretiens périodiques…)</v>
      </c>
      <c r="C35" s="98"/>
      <c r="D35" s="235"/>
      <c r="E35" s="96">
        <v>1250</v>
      </c>
      <c r="F35" s="81"/>
      <c r="G35" s="81">
        <v>1250</v>
      </c>
      <c r="H35" s="96"/>
      <c r="I35" s="71">
        <v>1250</v>
      </c>
      <c r="K35" s="145"/>
    </row>
    <row r="36" spans="2:11" ht="14" customHeight="1">
      <c r="B36" s="149" t="str">
        <f>IF('Point mort avec +-ligne colonne'!B36="","",'Point mort avec +-ligne colonne'!B36)</f>
        <v>main d'oeuvre externe</v>
      </c>
      <c r="C36" s="97"/>
      <c r="D36" s="238"/>
      <c r="E36" s="96">
        <f>'Point mort avec +-ligne colonne'!E36</f>
        <v>0</v>
      </c>
      <c r="F36" s="81"/>
      <c r="G36" s="81">
        <v>0</v>
      </c>
      <c r="H36" s="96"/>
      <c r="I36" s="71">
        <v>0</v>
      </c>
      <c r="K36" s="145"/>
    </row>
    <row r="37" spans="2:11" ht="14" customHeight="1">
      <c r="B37" s="148" t="str">
        <f>IF('Point mort avec +-ligne colonne'!B37="","",'Point mort avec +-ligne colonne'!B37)</f>
        <v xml:space="preserve">divers </v>
      </c>
      <c r="C37" s="98"/>
      <c r="D37" s="235"/>
      <c r="E37" s="90">
        <f>'Point mort avec +-ligne colonne'!E37</f>
        <v>5000</v>
      </c>
      <c r="F37" s="78"/>
      <c r="G37" s="78">
        <v>3000</v>
      </c>
      <c r="H37" s="90"/>
      <c r="I37" s="68">
        <f>G37</f>
        <v>3000</v>
      </c>
      <c r="K37" s="145"/>
    </row>
    <row r="38" spans="2:11" ht="14" customHeight="1">
      <c r="B38" s="63" t="str">
        <f>IF('Point mort avec +-ligne colonne'!B38="","",'Point mort avec +-ligne colonne'!B38)</f>
        <v>TOTAL CHARGES EXTERNES</v>
      </c>
      <c r="C38" s="102"/>
      <c r="D38" s="239"/>
      <c r="E38" s="103">
        <f>SUM(E17:E37)</f>
        <v>60433.333333333336</v>
      </c>
      <c r="F38" s="83"/>
      <c r="G38" s="83">
        <f>SUM(G17:G37)</f>
        <v>33658.333333333336</v>
      </c>
      <c r="H38" s="103"/>
      <c r="I38" s="72">
        <f>SUM(I17:I37)</f>
        <v>33883.333333333328</v>
      </c>
      <c r="K38" s="145"/>
    </row>
    <row r="39" spans="2:11" ht="14" customHeight="1">
      <c r="B39" s="156" t="str">
        <f>IF('Point mort avec +-ligne colonne'!B39="","",'Point mort avec +-ligne colonne'!B39)</f>
        <v>IMPOTS ET TAXES</v>
      </c>
      <c r="C39" s="101"/>
      <c r="D39" s="240"/>
      <c r="E39" s="96"/>
      <c r="F39" s="81"/>
      <c r="G39" s="81"/>
      <c r="H39" s="96"/>
      <c r="I39" s="71"/>
      <c r="K39" s="145"/>
    </row>
    <row r="40" spans="2:11" ht="14" customHeight="1">
      <c r="B40" s="148" t="str">
        <f>IF('Point mort avec +-ligne colonne'!B40="","",'Point mort avec +-ligne colonne'!B40)</f>
        <v>Taxes diverses</v>
      </c>
      <c r="C40" s="101">
        <f>'Point mort avec +-ligne colonne'!C40</f>
        <v>0</v>
      </c>
      <c r="D40" s="240"/>
      <c r="E40" s="96">
        <f>$C40*E7</f>
        <v>0</v>
      </c>
      <c r="F40" s="81"/>
      <c r="G40" s="81">
        <f>$C40*G7</f>
        <v>0</v>
      </c>
      <c r="H40" s="96"/>
      <c r="I40" s="71">
        <f>$C40*I7</f>
        <v>0</v>
      </c>
      <c r="K40" s="145"/>
    </row>
    <row r="41" spans="2:11" ht="14" customHeight="1">
      <c r="B41" s="148"/>
      <c r="C41" s="101"/>
      <c r="D41" s="240"/>
      <c r="E41" s="96"/>
      <c r="F41" s="81"/>
      <c r="G41" s="81"/>
      <c r="H41" s="96"/>
      <c r="I41" s="71"/>
      <c r="K41" s="145"/>
    </row>
    <row r="42" spans="2:11" ht="14" customHeight="1">
      <c r="B42" s="148"/>
      <c r="C42" s="101"/>
      <c r="D42" s="240"/>
      <c r="E42" s="96"/>
      <c r="F42" s="81"/>
      <c r="G42" s="81"/>
      <c r="H42" s="96"/>
      <c r="I42" s="71"/>
      <c r="K42" s="145"/>
    </row>
    <row r="43" spans="2:11" ht="14" customHeight="1">
      <c r="B43" s="63" t="str">
        <f>IF('Point mort avec +-ligne colonne'!B43="","",'Point mort avec +-ligne colonne'!B43)</f>
        <v>TOTAL IMPOTS ET TAXES</v>
      </c>
      <c r="C43" s="102"/>
      <c r="D43" s="239"/>
      <c r="E43" s="103">
        <f>E40</f>
        <v>0</v>
      </c>
      <c r="F43" s="83"/>
      <c r="G43" s="83">
        <f>G40</f>
        <v>0</v>
      </c>
      <c r="H43" s="103"/>
      <c r="I43" s="72">
        <f>I40</f>
        <v>0</v>
      </c>
      <c r="K43" s="145"/>
    </row>
    <row r="44" spans="2:11" ht="14" customHeight="1">
      <c r="B44" s="156" t="str">
        <f>IF('Point mort avec +-ligne colonne'!B44="","",'Point mort avec +-ligne colonne'!B44)</f>
        <v>FRAIS DE PERSONNEL</v>
      </c>
      <c r="C44" s="101"/>
      <c r="D44" s="240"/>
      <c r="E44" s="96"/>
      <c r="F44" s="81"/>
      <c r="G44" s="81"/>
      <c r="H44" s="96"/>
      <c r="I44" s="71"/>
      <c r="K44" s="145"/>
    </row>
    <row r="45" spans="2:11" ht="14" customHeight="1">
      <c r="B45" s="148" t="str">
        <f>IF('Point mort avec +-ligne colonne'!B45="","",'Point mort avec +-ligne colonne'!B45)</f>
        <v xml:space="preserve">Salaires et charges </v>
      </c>
      <c r="C45" s="104">
        <v>0.2</v>
      </c>
      <c r="D45" s="233"/>
      <c r="E45" s="96">
        <f>$C45*E7</f>
        <v>50000</v>
      </c>
      <c r="F45" s="116">
        <v>0.19500000000000001</v>
      </c>
      <c r="G45" s="81">
        <f>F45*G10</f>
        <v>50375</v>
      </c>
      <c r="H45" s="116">
        <v>0.19</v>
      </c>
      <c r="I45" s="71">
        <f>H45*I10</f>
        <v>50666.666666666672</v>
      </c>
      <c r="K45" s="145"/>
    </row>
    <row r="46" spans="2:11" ht="14" customHeight="1">
      <c r="B46" s="148"/>
      <c r="C46" s="104"/>
      <c r="D46" s="233"/>
      <c r="E46" s="96"/>
      <c r="F46" s="116"/>
      <c r="G46" s="81"/>
      <c r="H46" s="116"/>
      <c r="I46" s="71"/>
      <c r="K46" s="145"/>
    </row>
    <row r="47" spans="2:11" ht="14" customHeight="1">
      <c r="B47" s="148"/>
      <c r="C47" s="104"/>
      <c r="D47" s="233"/>
      <c r="E47" s="96"/>
      <c r="F47" s="116"/>
      <c r="G47" s="81"/>
      <c r="H47" s="116"/>
      <c r="I47" s="71"/>
      <c r="K47" s="145"/>
    </row>
    <row r="48" spans="2:11" ht="14" customHeight="1">
      <c r="B48" s="63" t="str">
        <f>IF('Point mort avec +-ligne colonne'!B48="","",'Point mort avec +-ligne colonne'!B48)</f>
        <v>TOTAL FRAIS DE PERSONNEL</v>
      </c>
      <c r="C48" s="102"/>
      <c r="D48" s="239"/>
      <c r="E48" s="103">
        <f>E45</f>
        <v>50000</v>
      </c>
      <c r="F48" s="83"/>
      <c r="G48" s="83">
        <f>G45</f>
        <v>50375</v>
      </c>
      <c r="H48" s="103"/>
      <c r="I48" s="72">
        <f>I45</f>
        <v>50666.666666666672</v>
      </c>
      <c r="K48" s="145"/>
    </row>
    <row r="49" spans="2:11" ht="14" customHeight="1">
      <c r="B49" s="156" t="str">
        <f>IF('Point mort avec +-ligne colonne'!B49="","",'Point mort avec +-ligne colonne'!B49)</f>
        <v>CHARGES DIVERSES</v>
      </c>
      <c r="C49" s="101"/>
      <c r="D49" s="240"/>
      <c r="E49" s="96"/>
      <c r="F49" s="81"/>
      <c r="G49" s="81"/>
      <c r="H49" s="96"/>
      <c r="I49" s="71"/>
      <c r="K49" s="145"/>
    </row>
    <row r="50" spans="2:11" ht="14" customHeight="1">
      <c r="B50" s="148" t="str">
        <f>IF('Point mort avec +-ligne colonne'!B50="","",'Point mort avec +-ligne colonne'!B50)</f>
        <v>Dotation amortissements</v>
      </c>
      <c r="C50" s="101"/>
      <c r="D50" s="240"/>
      <c r="E50" s="96">
        <f>Investissement!$F16/7</f>
        <v>20876.142857142859</v>
      </c>
      <c r="F50" s="81"/>
      <c r="G50" s="81">
        <f>Investissement!$F16/7</f>
        <v>20876.142857142859</v>
      </c>
      <c r="H50" s="96"/>
      <c r="I50" s="71">
        <f>Investissement!$F16/7</f>
        <v>20876.142857142859</v>
      </c>
      <c r="K50" s="145"/>
    </row>
    <row r="51" spans="2:11" ht="14" customHeight="1">
      <c r="B51" s="157">
        <f>IF('Point mort avec +-ligne colonne'!B51="","",'Point mort avec +-ligne colonne'!B51)</f>
        <v>4</v>
      </c>
      <c r="C51" s="101"/>
      <c r="D51" s="240"/>
      <c r="E51" s="96"/>
      <c r="F51" s="81"/>
      <c r="G51" s="81"/>
      <c r="H51" s="96"/>
      <c r="I51" s="71"/>
      <c r="K51" s="145"/>
    </row>
    <row r="52" spans="2:11" s="65" customFormat="1" ht="14" customHeight="1">
      <c r="B52" s="63" t="str">
        <f>IF('Point mort avec +-ligne colonne'!B52="","",'Point mort avec +-ligne colonne'!B52)</f>
        <v>TOTAL CHARGES DIVERSES</v>
      </c>
      <c r="C52" s="106"/>
      <c r="D52" s="241"/>
      <c r="E52" s="103">
        <f>E50</f>
        <v>20876.142857142859</v>
      </c>
      <c r="F52" s="83"/>
      <c r="G52" s="83">
        <f>G50</f>
        <v>20876.142857142859</v>
      </c>
      <c r="H52" s="103"/>
      <c r="I52" s="72">
        <f>I50</f>
        <v>20876.142857142859</v>
      </c>
      <c r="K52" s="66"/>
    </row>
    <row r="53" spans="2:11" s="65" customFormat="1" ht="14" customHeight="1">
      <c r="B53" s="63" t="str">
        <f>IF('Point mort avec +-ligne colonne'!B53="","",'Point mort avec +-ligne colonne'!B53)</f>
        <v>RESULTAT D'EXPLOITATION</v>
      </c>
      <c r="C53" s="106"/>
      <c r="D53" s="241"/>
      <c r="E53" s="103">
        <f>E13-E38-E43-E48-E52</f>
        <v>-7559.4761904761945</v>
      </c>
      <c r="F53" s="83"/>
      <c r="G53" s="83">
        <f>G13-G38-G43-G48-G52</f>
        <v>22965.523809523798</v>
      </c>
      <c r="H53" s="103"/>
      <c r="I53" s="72">
        <f>I13-I38-I43-I48-I52</f>
        <v>26573.857142857141</v>
      </c>
      <c r="K53" s="66"/>
    </row>
    <row r="54" spans="2:11" s="66" customFormat="1" ht="14" customHeight="1">
      <c r="B54" s="148" t="str">
        <f>IF('Point mort avec +-ligne colonne'!B54="","",'Point mort avec +-ligne colonne'!B54)</f>
        <v>Produits financiers</v>
      </c>
      <c r="C54" s="105"/>
      <c r="D54" s="116"/>
      <c r="E54" s="96"/>
      <c r="F54" s="81"/>
      <c r="G54" s="81"/>
      <c r="H54" s="96"/>
      <c r="I54" s="71"/>
    </row>
    <row r="55" spans="2:11" s="65" customFormat="1" ht="14" customHeight="1">
      <c r="B55" s="148" t="str">
        <f>IF('Point mort avec +-ligne colonne'!B55="","",'Point mort avec +-ligne colonne'!B55)</f>
        <v xml:space="preserve">Intérêts sur emprunts </v>
      </c>
      <c r="C55" s="105"/>
      <c r="D55" s="116"/>
      <c r="E55" s="96">
        <f>'Emprunt 1'!H19</f>
        <v>5550.0541320707816</v>
      </c>
      <c r="F55" s="81"/>
      <c r="G55" s="81">
        <f>'Emprunt 1'!H31</f>
        <v>4060.9197406952408</v>
      </c>
      <c r="H55" s="96"/>
      <c r="I55" s="71">
        <f>'Emprunt 1'!H43</f>
        <v>2511.1157166001385</v>
      </c>
      <c r="K55" s="66"/>
    </row>
    <row r="56" spans="2:11" s="65" customFormat="1" ht="14" customHeight="1">
      <c r="B56" s="148" t="str">
        <f>IF('Point mort avec +-ligne colonne'!B56="","",'Point mort avec +-ligne colonne'!B56)</f>
        <v>Agios bancaires</v>
      </c>
      <c r="C56" s="105"/>
      <c r="D56" s="116"/>
      <c r="E56" s="96"/>
      <c r="F56" s="81"/>
      <c r="G56" s="81"/>
      <c r="H56" s="96"/>
      <c r="I56" s="71"/>
      <c r="K56" s="66"/>
    </row>
    <row r="57" spans="2:11" s="65" customFormat="1" ht="14" customHeight="1">
      <c r="B57" s="63" t="str">
        <f>IF('Point mort avec +-ligne colonne'!B57="","",'Point mort avec +-ligne colonne'!B57)</f>
        <v>FRAIS FINANCIER</v>
      </c>
      <c r="C57" s="106"/>
      <c r="D57" s="241"/>
      <c r="E57" s="103">
        <f>SUM(E54:E56)</f>
        <v>5550.0541320707816</v>
      </c>
      <c r="F57" s="83"/>
      <c r="G57" s="83">
        <f>SUM(G54:G56)</f>
        <v>4060.9197406952408</v>
      </c>
      <c r="H57" s="103"/>
      <c r="I57" s="72">
        <f>SUM(I54:I56)</f>
        <v>2511.1157166001385</v>
      </c>
      <c r="K57" s="66"/>
    </row>
    <row r="58" spans="2:11" s="65" customFormat="1" ht="14" customHeight="1">
      <c r="B58" s="148" t="str">
        <f>IF('Point mort avec +-ligne colonne'!B58="","",'Point mort avec +-ligne colonne'!B58)</f>
        <v/>
      </c>
      <c r="C58" s="105"/>
      <c r="D58" s="116"/>
      <c r="E58" s="96"/>
      <c r="F58" s="81"/>
      <c r="G58" s="81"/>
      <c r="H58" s="96"/>
      <c r="I58" s="71"/>
      <c r="K58" s="66"/>
    </row>
    <row r="59" spans="2:11" s="65" customFormat="1" ht="14" customHeight="1">
      <c r="B59" s="63" t="str">
        <f>IF('Point mort avec +-ligne colonne'!B59="","",'Point mort avec +-ligne colonne'!B59)</f>
        <v>RESULTAT NET AVANT IS</v>
      </c>
      <c r="C59" s="106"/>
      <c r="D59" s="241"/>
      <c r="E59" s="103">
        <f>E53-E57</f>
        <v>-13109.530322546976</v>
      </c>
      <c r="F59" s="83"/>
      <c r="G59" s="83">
        <f>G53-G57</f>
        <v>18904.604068828558</v>
      </c>
      <c r="H59" s="103"/>
      <c r="I59" s="72">
        <f>I53-I57</f>
        <v>24062.741426257002</v>
      </c>
      <c r="K59" s="66"/>
    </row>
    <row r="60" spans="2:11" s="65" customFormat="1" ht="14" customHeight="1">
      <c r="B60" s="156" t="str">
        <f>IF('Point mort avec +-ligne colonne'!B60="","",'Point mort avec +-ligne colonne'!B60)</f>
        <v>Impôt Sociétés</v>
      </c>
      <c r="C60" s="106"/>
      <c r="D60" s="116"/>
      <c r="E60" s="107">
        <f>IF(E59&lt;0,0,IF(E59&lt;38120,E59*0.15,38120*0.15+(E59-38120)/3))</f>
        <v>0</v>
      </c>
      <c r="F60" s="84"/>
      <c r="G60" s="84">
        <f>IF(G59&lt;0,0,IF(G59&lt;38120,G59*0.15,38120*0.15+(G59-38120)/3))</f>
        <v>2835.6906103242836</v>
      </c>
      <c r="H60" s="107"/>
      <c r="I60" s="73">
        <f>IF(I59&lt;0,0,IF(I59&lt;38120,I59*0.15,38120*0.15+(I59-38120)/3))</f>
        <v>3609.4112139385502</v>
      </c>
      <c r="K60" s="66"/>
    </row>
    <row r="61" spans="2:11" s="65" customFormat="1" ht="14" customHeight="1">
      <c r="B61" s="63" t="str">
        <f>IF('Point mort avec +-ligne colonne'!B61="","",'Point mort avec +-ligne colonne'!B61)</f>
        <v>RESULTAT NET APRES IS</v>
      </c>
      <c r="C61" s="106"/>
      <c r="D61" s="241"/>
      <c r="E61" s="103">
        <f>E59-E60</f>
        <v>-13109.530322546976</v>
      </c>
      <c r="F61" s="83"/>
      <c r="G61" s="83">
        <f>G59-G60</f>
        <v>16068.913458504274</v>
      </c>
      <c r="H61" s="103"/>
      <c r="I61" s="72">
        <f>I59-I60</f>
        <v>20453.330212318451</v>
      </c>
      <c r="K61" s="66"/>
    </row>
    <row r="62" spans="2:11" s="65" customFormat="1" ht="14" customHeight="1">
      <c r="B62" s="63" t="str">
        <f>IF('Point mort avec +-ligne colonne'!B62="","",'Point mort avec +-ligne colonne'!B62)</f>
        <v>CAF</v>
      </c>
      <c r="C62" s="106"/>
      <c r="D62" s="241"/>
      <c r="E62" s="103">
        <f>E61+E52</f>
        <v>7766.6125345958826</v>
      </c>
      <c r="F62" s="83"/>
      <c r="G62" s="83">
        <f>G61+G52</f>
        <v>36945.056315647133</v>
      </c>
      <c r="H62" s="103"/>
      <c r="I62" s="72">
        <f>I61+I52</f>
        <v>41329.47306946131</v>
      </c>
      <c r="K62" s="66"/>
    </row>
    <row r="63" spans="2:11" s="65" customFormat="1" ht="14" customHeight="1">
      <c r="B63" s="156" t="str">
        <f>IF('Point mort avec +-ligne colonne'!B63="","",'Point mort avec +-ligne colonne'!B63)</f>
        <v>REMBOURSEMENT CAPITAL</v>
      </c>
      <c r="C63" s="105"/>
      <c r="D63" s="116"/>
      <c r="E63" s="108">
        <f>'Emprunt 1'!G19</f>
        <v>36550.76083660579</v>
      </c>
      <c r="F63" s="85"/>
      <c r="G63" s="85">
        <f>'Emprunt 1'!G31</f>
        <v>38039.895227981331</v>
      </c>
      <c r="H63" s="108"/>
      <c r="I63" s="74">
        <f>'Emprunt 1'!G43</f>
        <v>39589.699252076425</v>
      </c>
      <c r="K63" s="66"/>
    </row>
    <row r="64" spans="2:11" s="65" customFormat="1" ht="14" customHeight="1" thickBot="1">
      <c r="B64" s="63" t="str">
        <f>IF('Point mort avec +-ligne colonne'!B64="","",'Point mort avec +-ligne colonne'!B64)</f>
        <v>CAF NETTE</v>
      </c>
      <c r="C64" s="109"/>
      <c r="D64" s="242"/>
      <c r="E64" s="110">
        <f>E62-E63</f>
        <v>-28784.148302009908</v>
      </c>
      <c r="F64" s="86"/>
      <c r="G64" s="86">
        <f>G62-G63</f>
        <v>-1094.8389123341985</v>
      </c>
      <c r="H64" s="110"/>
      <c r="I64" s="75">
        <f>I62-I63</f>
        <v>1739.7738173848848</v>
      </c>
      <c r="K64" s="66"/>
    </row>
    <row r="65" spans="11:11" ht="14" customHeight="1" thickTop="1">
      <c r="K65" s="145"/>
    </row>
    <row r="66" spans="11:11" ht="14" customHeight="1">
      <c r="K66" s="145"/>
    </row>
  </sheetData>
  <mergeCells count="1">
    <mergeCell ref="B1:I1"/>
  </mergeCells>
  <printOptions horizontalCentered="1"/>
  <pageMargins left="0.71" right="0.71" top="0.47" bottom="0.47" header="0.31" footer="0.31"/>
  <pageSetup paperSize="9" fitToWidth="6" fitToHeight="2" orientation="landscape" horizontalDpi="300" verticalDpi="300"/>
  <headerFooter alignWithMargins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Investissement</vt:lpstr>
      <vt:lpstr>Emprunt 1</vt:lpstr>
      <vt:lpstr>Point mort sans +-ligne colonne</vt:lpstr>
      <vt:lpstr>P&amp;L sans +- ligne colonne </vt:lpstr>
      <vt:lpstr>Point mort avec +-ligne colonne</vt:lpstr>
      <vt:lpstr>P&amp;L attendu +- ligne ou colonne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E.JURY</dc:creator>
  <cp:lastModifiedBy>Hugues BRAY</cp:lastModifiedBy>
  <cp:lastPrinted>2020-04-21T09:33:59Z</cp:lastPrinted>
  <dcterms:created xsi:type="dcterms:W3CDTF">2002-11-28T16:31:44Z</dcterms:created>
  <dcterms:modified xsi:type="dcterms:W3CDTF">2022-06-13T07:30:47Z</dcterms:modified>
</cp:coreProperties>
</file>