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120" yWindow="135" windowWidth="7995" windowHeight="5385" tabRatio="817" activeTab="3"/>
  </bookViews>
  <sheets>
    <sheet name="Données_générales" sheetId="72" r:id="rId1"/>
    <sheet name="Plan_compta" sheetId="68" r:id="rId2"/>
    <sheet name="BD" sheetId="71" r:id="rId3"/>
    <sheet name="Dépense" sheetId="69" r:id="rId4"/>
    <sheet name="Recette" sheetId="77" r:id="rId5"/>
    <sheet name="Virement" sheetId="76" r:id="rId6"/>
    <sheet name="Analytique" sheetId="70" r:id="rId7"/>
    <sheet name="Bilan" sheetId="65" r:id="rId8"/>
    <sheet name="Compte de résultat" sheetId="64" r:id="rId9"/>
  </sheets>
  <definedNames>
    <definedName name="CODE_ANAL">Analytique!$A$2:$A$18</definedName>
    <definedName name="MODE_PAIEMENT">BD!$B$2:$B$9</definedName>
    <definedName name="N_COMPTE">Données_générales!$G$3:$G$7</definedName>
    <definedName name="OPERATION">BD!$A$2:$A$3</definedName>
    <definedName name="plan" localSheetId="4">#REF!,#REF!,#REF!,#REF!,#REF!,#REF!,#REF!,#REF!,#REF!,#REF!,#REF!,#REF!,#REF!,#REF!,#REF!,#REF!,#REF!,#REF!,#REF!,#REF!,#REF!</definedName>
    <definedName name="plan">#REF!,#REF!,#REF!,#REF!,#REF!,#REF!,#REF!,#REF!,#REF!,#REF!,#REF!,#REF!,#REF!,#REF!,#REF!,#REF!,#REF!,#REF!,#REF!,#REF!,#REF!</definedName>
  </definedNames>
  <calcPr calcId="125725"/>
</workbook>
</file>

<file path=xl/calcChain.xml><?xml version="1.0" encoding="utf-8"?>
<calcChain xmlns="http://schemas.openxmlformats.org/spreadsheetml/2006/main">
  <c r="V2" i="77"/>
  <c r="U2"/>
  <c r="T2"/>
  <c r="S2"/>
  <c r="K2"/>
  <c r="G2"/>
  <c r="U2" i="69"/>
  <c r="T2"/>
  <c r="S2"/>
  <c r="D4" i="70"/>
  <c r="D5"/>
  <c r="D6"/>
  <c r="D7"/>
  <c r="D9"/>
  <c r="D10"/>
  <c r="D11"/>
  <c r="D12"/>
  <c r="D13"/>
  <c r="D14"/>
  <c r="D15"/>
  <c r="D16"/>
  <c r="D17"/>
  <c r="D18"/>
  <c r="C4"/>
  <c r="C5"/>
  <c r="C6"/>
  <c r="C7"/>
  <c r="C9"/>
  <c r="C10"/>
  <c r="C11"/>
  <c r="C12"/>
  <c r="C13"/>
  <c r="C14"/>
  <c r="C15"/>
  <c r="C16"/>
  <c r="C17"/>
  <c r="C18"/>
  <c r="D2"/>
  <c r="D8"/>
  <c r="C8"/>
  <c r="C2"/>
  <c r="V2" i="69"/>
  <c r="D16" i="72"/>
  <c r="T2" i="76"/>
  <c r="S2"/>
  <c r="R2"/>
  <c r="N2"/>
  <c r="L2"/>
  <c r="K2"/>
  <c r="I2"/>
  <c r="K2" i="69"/>
  <c r="E22" i="72"/>
  <c r="E21"/>
  <c r="B10" i="68"/>
  <c r="B11"/>
  <c r="B12"/>
  <c r="B13"/>
  <c r="B14"/>
  <c r="B15"/>
  <c r="B16"/>
  <c r="B17"/>
  <c r="B18"/>
  <c r="B23"/>
  <c r="B24"/>
  <c r="B30"/>
  <c r="B31"/>
  <c r="B32"/>
  <c r="B33"/>
  <c r="B34"/>
  <c r="B35"/>
  <c r="B40"/>
  <c r="B41"/>
  <c r="B44"/>
  <c r="B45"/>
  <c r="B46"/>
  <c r="B47"/>
  <c r="B48"/>
  <c r="B49"/>
  <c r="B52"/>
  <c r="B53"/>
  <c r="B54"/>
  <c r="B55"/>
  <c r="B57"/>
  <c r="B59"/>
  <c r="B60"/>
  <c r="B61"/>
  <c r="B63"/>
  <c r="B64"/>
  <c r="B65"/>
  <c r="B66"/>
  <c r="B67"/>
  <c r="B68"/>
  <c r="B69"/>
  <c r="B70"/>
  <c r="B72"/>
  <c r="B73"/>
  <c r="B74"/>
  <c r="B76"/>
  <c r="B77"/>
  <c r="B78"/>
  <c r="B79"/>
  <c r="B80"/>
  <c r="B81"/>
  <c r="B85"/>
  <c r="B86"/>
  <c r="B87"/>
  <c r="B88"/>
  <c r="B89"/>
  <c r="B90"/>
  <c r="B91"/>
  <c r="B92"/>
  <c r="B94"/>
  <c r="B95"/>
  <c r="B96"/>
  <c r="B97"/>
  <c r="B102"/>
  <c r="B103"/>
  <c r="B106"/>
  <c r="B107"/>
  <c r="B108"/>
  <c r="B109"/>
  <c r="B110"/>
  <c r="B112"/>
  <c r="B113"/>
  <c r="B114"/>
  <c r="B116"/>
  <c r="B117"/>
  <c r="B118"/>
  <c r="B119"/>
  <c r="B121"/>
  <c r="B122"/>
  <c r="B123"/>
  <c r="B124"/>
  <c r="B125"/>
  <c r="B126"/>
  <c r="B127"/>
  <c r="B128"/>
  <c r="B129"/>
  <c r="B130"/>
  <c r="B131"/>
  <c r="B132"/>
  <c r="B133"/>
  <c r="B134"/>
  <c r="B135"/>
  <c r="B140"/>
  <c r="B141"/>
  <c r="B142"/>
  <c r="B144"/>
  <c r="B145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7"/>
  <c r="B168"/>
  <c r="B169"/>
  <c r="B170"/>
  <c r="B171"/>
  <c r="B172"/>
  <c r="B173"/>
  <c r="B174"/>
  <c r="B175"/>
  <c r="B176"/>
  <c r="B177"/>
  <c r="B182"/>
  <c r="B186"/>
  <c r="B187"/>
  <c r="B188"/>
  <c r="B189"/>
  <c r="B190"/>
  <c r="B191"/>
  <c r="B192"/>
  <c r="B193"/>
  <c r="B199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9"/>
  <c r="B220"/>
  <c r="B223"/>
  <c r="B224"/>
  <c r="B225"/>
  <c r="B228"/>
  <c r="B231"/>
  <c r="B232"/>
  <c r="B233"/>
  <c r="B236"/>
  <c r="B237"/>
  <c r="B238"/>
  <c r="B239"/>
  <c r="B240"/>
  <c r="B241"/>
  <c r="B242"/>
  <c r="B243"/>
  <c r="B244"/>
  <c r="B245"/>
  <c r="B246"/>
  <c r="B247"/>
  <c r="B249"/>
  <c r="B250"/>
  <c r="B255"/>
  <c r="B258"/>
  <c r="B260"/>
  <c r="B267"/>
  <c r="B268"/>
  <c r="B278"/>
  <c r="B280"/>
  <c r="B298"/>
  <c r="B299"/>
  <c r="B300"/>
  <c r="B302"/>
  <c r="B305"/>
  <c r="B308"/>
  <c r="B309"/>
  <c r="B312"/>
  <c r="B313"/>
  <c r="B314"/>
  <c r="B315"/>
  <c r="B317"/>
  <c r="B320"/>
  <c r="B326"/>
  <c r="B327"/>
  <c r="G2" i="69" s="1"/>
  <c r="B331" i="68"/>
  <c r="B332"/>
  <c r="B334"/>
  <c r="B339"/>
  <c r="B343"/>
  <c r="B345"/>
  <c r="B347"/>
  <c r="B351"/>
  <c r="B352"/>
  <c r="J32" i="65"/>
  <c r="L32" s="1"/>
  <c r="J33"/>
  <c r="L33" s="1"/>
  <c r="C23"/>
  <c r="C82" i="64"/>
  <c r="E82" s="1"/>
  <c r="C80"/>
  <c r="E80" s="1"/>
  <c r="C21"/>
  <c r="E21" s="1"/>
  <c r="C19"/>
  <c r="E19" s="1"/>
  <c r="C17"/>
  <c r="E17" s="1"/>
  <c r="C16"/>
  <c r="E16" s="1"/>
  <c r="C14"/>
  <c r="C12"/>
  <c r="E12" s="1"/>
  <c r="C8"/>
  <c r="E8" s="1"/>
  <c r="E23" s="1"/>
  <c r="C55"/>
  <c r="E55" s="1"/>
  <c r="E57" s="1"/>
  <c r="C53"/>
  <c r="E53" s="1"/>
  <c r="C51"/>
  <c r="E51" s="1"/>
  <c r="C50"/>
  <c r="E50" s="1"/>
  <c r="C46"/>
  <c r="E46" s="1"/>
  <c r="C44"/>
  <c r="E44" s="1"/>
  <c r="C43"/>
  <c r="E43" s="1"/>
  <c r="C42"/>
  <c r="E42" s="1"/>
  <c r="C41"/>
  <c r="E41" s="1"/>
  <c r="C40"/>
  <c r="E40" s="1"/>
  <c r="C39"/>
  <c r="E39" s="1"/>
  <c r="C37"/>
  <c r="E37" s="1"/>
  <c r="C35"/>
  <c r="E35" s="1"/>
  <c r="C34"/>
  <c r="E34" s="1"/>
  <c r="C33"/>
  <c r="E33" s="1"/>
  <c r="C32"/>
  <c r="E32" s="1"/>
  <c r="C31"/>
  <c r="E31" s="1"/>
  <c r="C29"/>
  <c r="E29" s="1"/>
  <c r="J30" i="65"/>
  <c r="L30" s="1"/>
  <c r="J29"/>
  <c r="L29" s="1"/>
  <c r="C10" i="64"/>
  <c r="E10" s="1"/>
  <c r="C27"/>
  <c r="E27" s="1"/>
  <c r="C74"/>
  <c r="E74" s="1"/>
  <c r="C63"/>
  <c r="E63" s="1"/>
  <c r="C61"/>
  <c r="E61" s="1"/>
  <c r="C69"/>
  <c r="E69" s="1"/>
  <c r="J16" i="65"/>
  <c r="L16" s="1"/>
  <c r="J15"/>
  <c r="L15" s="1"/>
  <c r="J10"/>
  <c r="L10" s="1"/>
  <c r="J13"/>
  <c r="L13" s="1"/>
  <c r="J14"/>
  <c r="L14" s="1"/>
  <c r="J12"/>
  <c r="L12" s="1"/>
  <c r="J11"/>
  <c r="L11" s="1"/>
  <c r="J31"/>
  <c r="L31" s="1"/>
  <c r="C22"/>
  <c r="C24" s="1"/>
  <c r="J26"/>
  <c r="L26" s="1"/>
  <c r="J25"/>
  <c r="L25" s="1"/>
  <c r="J20"/>
  <c r="J22" s="1"/>
  <c r="J38"/>
  <c r="J40" s="1"/>
  <c r="K18"/>
  <c r="K22"/>
  <c r="K35"/>
  <c r="F30"/>
  <c r="C25"/>
  <c r="E25" s="1"/>
  <c r="G25" s="1"/>
  <c r="C28"/>
  <c r="E28" s="1"/>
  <c r="G28" s="1"/>
  <c r="C26"/>
  <c r="D21"/>
  <c r="D30" s="1"/>
  <c r="C21"/>
  <c r="C12"/>
  <c r="C11"/>
  <c r="D10"/>
  <c r="D18" s="1"/>
  <c r="D24"/>
  <c r="D23"/>
  <c r="D26"/>
  <c r="C38"/>
  <c r="C40" s="1"/>
  <c r="D12"/>
  <c r="D11"/>
  <c r="D98" i="64"/>
  <c r="C97"/>
  <c r="E97" s="1"/>
  <c r="C96"/>
  <c r="E96" s="1"/>
  <c r="C95"/>
  <c r="C98" s="1"/>
  <c r="D93"/>
  <c r="C92"/>
  <c r="E92" s="1"/>
  <c r="C91"/>
  <c r="E91" s="1"/>
  <c r="C90"/>
  <c r="E90" s="1"/>
  <c r="C81"/>
  <c r="E81" s="1"/>
  <c r="C72"/>
  <c r="E72" s="1"/>
  <c r="C10" i="65"/>
  <c r="A3"/>
  <c r="D4" i="64"/>
  <c r="D24" s="1"/>
  <c r="A2"/>
  <c r="L5" i="65"/>
  <c r="G5"/>
  <c r="E4" i="64"/>
  <c r="E24" s="1"/>
  <c r="C5" i="65"/>
  <c r="J5" s="1"/>
  <c r="F18"/>
  <c r="E3" i="64"/>
  <c r="D3"/>
  <c r="C3"/>
  <c r="B3"/>
  <c r="A3"/>
  <c r="E2"/>
  <c r="D2"/>
  <c r="C2"/>
  <c r="B2"/>
  <c r="C4"/>
  <c r="C24" s="1"/>
  <c r="C76"/>
  <c r="E76" s="1"/>
  <c r="C71"/>
  <c r="E71" s="1"/>
  <c r="D78"/>
  <c r="D65"/>
  <c r="K40" i="65"/>
  <c r="F40"/>
  <c r="F41" s="1"/>
  <c r="D40"/>
  <c r="D48" i="64"/>
  <c r="D57" s="1"/>
  <c r="D14"/>
  <c r="D23" s="1"/>
  <c r="K41" i="65"/>
  <c r="D3" i="70" l="1"/>
  <c r="E98" i="64"/>
  <c r="C3" i="70"/>
  <c r="E3" s="1"/>
  <c r="E6"/>
  <c r="P2" i="76"/>
  <c r="D59" i="64"/>
  <c r="D67" s="1"/>
  <c r="D84" s="1"/>
  <c r="E14"/>
  <c r="E18" i="70"/>
  <c r="E5"/>
  <c r="E9"/>
  <c r="E17"/>
  <c r="E23" i="65"/>
  <c r="G23" s="1"/>
  <c r="E14" i="70"/>
  <c r="C93" i="64"/>
  <c r="E93" s="1"/>
  <c r="L20" i="65"/>
  <c r="E13" i="70"/>
  <c r="E4"/>
  <c r="E12"/>
  <c r="E2"/>
  <c r="F5" i="65"/>
  <c r="K5" s="1"/>
  <c r="E11" i="70"/>
  <c r="J18" i="65"/>
  <c r="L18" s="1"/>
  <c r="C27"/>
  <c r="E27" s="1"/>
  <c r="G27" s="1"/>
  <c r="E21"/>
  <c r="G21" s="1"/>
  <c r="G30" s="1"/>
  <c r="C30"/>
  <c r="C57" i="64"/>
  <c r="D41" i="65"/>
  <c r="E10"/>
  <c r="E18" s="1"/>
  <c r="E65" i="64"/>
  <c r="L38" i="65"/>
  <c r="L40" s="1"/>
  <c r="E7" i="70"/>
  <c r="E16"/>
  <c r="E8"/>
  <c r="E10"/>
  <c r="E15"/>
  <c r="L22" i="65"/>
  <c r="E24"/>
  <c r="G24" s="1"/>
  <c r="L35"/>
  <c r="E38"/>
  <c r="E12"/>
  <c r="G12" s="1"/>
  <c r="E78" i="64"/>
  <c r="E11" i="65"/>
  <c r="G11" s="1"/>
  <c r="E26"/>
  <c r="G26" s="1"/>
  <c r="C18"/>
  <c r="C41" s="1"/>
  <c r="E95" i="64"/>
  <c r="C78"/>
  <c r="J35" i="65"/>
  <c r="C65" i="64"/>
  <c r="C48"/>
  <c r="E48" s="1"/>
  <c r="C23"/>
  <c r="C59" l="1"/>
  <c r="E59" s="1"/>
  <c r="J41" i="65"/>
  <c r="E30"/>
  <c r="L41"/>
  <c r="G10"/>
  <c r="G18" s="1"/>
  <c r="G38"/>
  <c r="G40" s="1"/>
  <c r="E40"/>
  <c r="C67" i="64" l="1"/>
  <c r="E67" s="1"/>
  <c r="E41" i="65"/>
  <c r="G41" s="1"/>
  <c r="C84" i="64" l="1"/>
  <c r="B84" s="1"/>
  <c r="I46" i="65"/>
  <c r="E84" i="64" l="1"/>
  <c r="I47" i="65"/>
  <c r="I45" s="1"/>
</calcChain>
</file>

<file path=xl/sharedStrings.xml><?xml version="1.0" encoding="utf-8"?>
<sst xmlns="http://schemas.openxmlformats.org/spreadsheetml/2006/main" count="620" uniqueCount="565">
  <si>
    <t>Subventions d'exploitation</t>
  </si>
  <si>
    <t>Dons</t>
  </si>
  <si>
    <t>Date</t>
  </si>
  <si>
    <t>N°</t>
  </si>
  <si>
    <t>N° compte</t>
  </si>
  <si>
    <t>N° de compte</t>
  </si>
  <si>
    <t>Intitulé des comptes</t>
  </si>
  <si>
    <t>Intitulé</t>
  </si>
  <si>
    <t>Libellé de l'écriture</t>
  </si>
  <si>
    <t>Nomenclature des comptes</t>
  </si>
  <si>
    <t>Libellé</t>
  </si>
  <si>
    <t>PRODUITS D'EXPLOITATION</t>
  </si>
  <si>
    <t>- Cotisation</t>
  </si>
  <si>
    <t>TOTAL I</t>
  </si>
  <si>
    <t>CHARGES D'EXPLOITATION</t>
  </si>
  <si>
    <t>- Sous-traitance</t>
  </si>
  <si>
    <t>- Locations et charges</t>
  </si>
  <si>
    <t>- Entretien, réparations et maintenance</t>
  </si>
  <si>
    <t>- Primes d'assurances</t>
  </si>
  <si>
    <t>- Rémunérations d'intermédiaires et honoraires</t>
  </si>
  <si>
    <t xml:space="preserve">- Publicité, relations publiques </t>
  </si>
  <si>
    <t xml:space="preserve">- Déplacements, missions et réceptions </t>
  </si>
  <si>
    <t>- Frais postaux et frais de télécommunication</t>
  </si>
  <si>
    <t>- Services bancaires et assimilés</t>
  </si>
  <si>
    <t xml:space="preserve">- Cotisations diverses </t>
  </si>
  <si>
    <t>- Rémunération du personnel</t>
  </si>
  <si>
    <t>- Charges de sécurité sociale et de prévoyance</t>
  </si>
  <si>
    <t>Autres charges courantes</t>
  </si>
  <si>
    <t>Résultat d'exploitation</t>
  </si>
  <si>
    <t>TOTAL II</t>
  </si>
  <si>
    <t>Résultat financier</t>
  </si>
  <si>
    <t>Résultat courant</t>
  </si>
  <si>
    <t>TOTAL III</t>
  </si>
  <si>
    <t>TOTAL IV</t>
  </si>
  <si>
    <t>ACTIF</t>
  </si>
  <si>
    <t>PASSIF</t>
  </si>
  <si>
    <t>Valeur d'acquisition</t>
  </si>
  <si>
    <t>Amortissements</t>
  </si>
  <si>
    <t>Valeur Nette</t>
  </si>
  <si>
    <t>- Résultat de l'exercice</t>
  </si>
  <si>
    <t>- Stocks</t>
  </si>
  <si>
    <t>- Créances clients</t>
  </si>
  <si>
    <t>- Autres créances</t>
  </si>
  <si>
    <t>COMPTES DE REGULARISATION PASSIF</t>
  </si>
  <si>
    <t>- Charges constatées d'avances</t>
  </si>
  <si>
    <t>- Produits constates d'avance</t>
  </si>
  <si>
    <t>TOTAL ACTIF</t>
  </si>
  <si>
    <t>TOTAL PASSIF</t>
  </si>
  <si>
    <t>Ventes de produits finis, prestations de service et marchandises (70)</t>
  </si>
  <si>
    <t>Production stockée et immobilisée (71 et 72)</t>
  </si>
  <si>
    <t>Subventions d'exploitation (74)</t>
  </si>
  <si>
    <t>Autres produits de gestion courante (75)</t>
  </si>
  <si>
    <t>Dont :</t>
  </si>
  <si>
    <t>- Produits divers de gestion courante (dons…)</t>
  </si>
  <si>
    <t>Reprises sur amortissements et provisions (781)</t>
  </si>
  <si>
    <t>Transfert de charges (791)</t>
  </si>
  <si>
    <t>Achats matières premières et marchandises</t>
  </si>
  <si>
    <t>FRANCE</t>
  </si>
  <si>
    <t>Association</t>
  </si>
  <si>
    <t>Nom :</t>
  </si>
  <si>
    <t>Adresse :</t>
  </si>
  <si>
    <t>Logo</t>
  </si>
  <si>
    <t>Anné de départ:</t>
  </si>
  <si>
    <t>Mois de Début</t>
  </si>
  <si>
    <t>Mois de Fin:</t>
  </si>
  <si>
    <t>Période Référence</t>
  </si>
  <si>
    <t>Creation des comptes de banques</t>
  </si>
  <si>
    <t>Libellé et compte</t>
  </si>
  <si>
    <t>Credit agricole Chpt</t>
  </si>
  <si>
    <t>Credit agricole Dépôt</t>
  </si>
  <si>
    <t>Credit agricole Livret</t>
  </si>
  <si>
    <t>Solde initial</t>
  </si>
  <si>
    <t>Solde caisse</t>
  </si>
  <si>
    <t>Fonds Associatif</t>
  </si>
  <si>
    <t>Somme</t>
  </si>
  <si>
    <t>Montant</t>
  </si>
  <si>
    <t>N° Compte</t>
  </si>
  <si>
    <t>Operation</t>
  </si>
  <si>
    <t>Opération</t>
  </si>
  <si>
    <t>Dépense</t>
  </si>
  <si>
    <t>Virement</t>
  </si>
  <si>
    <t>-</t>
  </si>
  <si>
    <t>Nom du compte</t>
  </si>
  <si>
    <t>Cora</t>
  </si>
  <si>
    <t>Mode de paiement</t>
  </si>
  <si>
    <t>Prevelement</t>
  </si>
  <si>
    <t>Espèces</t>
  </si>
  <si>
    <t>CB</t>
  </si>
  <si>
    <t>Chèque</t>
  </si>
  <si>
    <t>N° de paiement</t>
  </si>
  <si>
    <t>Remise de cheque</t>
  </si>
  <si>
    <t>Bordereau d'especes</t>
  </si>
  <si>
    <t>Commentaire</t>
  </si>
  <si>
    <t>- Etudes, documentations, séminaires, conférences</t>
  </si>
  <si>
    <t>Dotations aux amortissements et provisions</t>
  </si>
  <si>
    <t>Services extérieurs</t>
  </si>
  <si>
    <t>Autres services extérieurs</t>
  </si>
  <si>
    <t>Impôts et taxes</t>
  </si>
  <si>
    <t>Charges de personnel</t>
  </si>
  <si>
    <t>Impôt sur les sociétés</t>
  </si>
  <si>
    <t>Produits exceptionnels</t>
  </si>
  <si>
    <t>Charges exceptionnelles</t>
  </si>
  <si>
    <t>Produits financiers</t>
  </si>
  <si>
    <t>Charges financières</t>
  </si>
  <si>
    <t>- Produits de cessions des éléments actif cédés (cpte 775)</t>
  </si>
  <si>
    <t>- Quote-part des sub d'invest. virées au compte de résultat (compte 777)</t>
  </si>
  <si>
    <t>- Valeurs comptables des éléments d'actif cédés (compte 675)</t>
  </si>
  <si>
    <t>Résultat exceptionnel</t>
  </si>
  <si>
    <t>Report de ressources non utilisées des exercices antérieurs (+)</t>
  </si>
  <si>
    <t>Engagement à réaliser sur ressources affectées (-)</t>
  </si>
  <si>
    <t>Année de création</t>
  </si>
  <si>
    <t>Année de l'exercice à saisir</t>
  </si>
  <si>
    <t>- Immobilisations incorporelles</t>
  </si>
  <si>
    <t>- Immobilisations corporelles (mobiliers et matériels)</t>
  </si>
  <si>
    <t>- Immobilisations financières (titres et dépôts de garantie)</t>
  </si>
  <si>
    <t>ACTIF CIRCULANT</t>
  </si>
  <si>
    <t>- Report à nouveau</t>
  </si>
  <si>
    <t>COMPTES DE REGULARISATION ACTIF</t>
  </si>
  <si>
    <t>Evaluation des contributions volontaires en nature</t>
  </si>
  <si>
    <t>Produits</t>
  </si>
  <si>
    <t>- Bénévolat</t>
  </si>
  <si>
    <t>- Prestations en nature</t>
  </si>
  <si>
    <t>- Dons en nature</t>
  </si>
  <si>
    <t>Charges</t>
  </si>
  <si>
    <t>Total évaluation charges</t>
  </si>
  <si>
    <t>Total évaluation produits</t>
  </si>
  <si>
    <t>- Secours en nature</t>
  </si>
  <si>
    <t>- Mise à disposition gratuites de biens et services</t>
  </si>
  <si>
    <t>- Personnel bénévole</t>
  </si>
  <si>
    <t>- Valeurs mobilières de placement</t>
  </si>
  <si>
    <t>- Disponibilés (autres que caisse)</t>
  </si>
  <si>
    <t>- Caisse</t>
  </si>
  <si>
    <t>dont subventions à recevoir</t>
  </si>
  <si>
    <t>FONDS ASSOCIATIFS ET RESERVES</t>
  </si>
  <si>
    <t>PROVISIONS POUR RISQUES ET CHARGES</t>
  </si>
  <si>
    <t>Fonds propres :</t>
  </si>
  <si>
    <t>- Fonds Associatif sans droit de reprise</t>
  </si>
  <si>
    <t>- Réserves</t>
  </si>
  <si>
    <t>Autres fonds associatifs :</t>
  </si>
  <si>
    <t>dont sub d'invest à des biens renouvelables par l'asso.</t>
  </si>
  <si>
    <t>Code analytique</t>
  </si>
  <si>
    <t>Code</t>
  </si>
  <si>
    <t>Depenses</t>
  </si>
  <si>
    <t>Recette</t>
  </si>
  <si>
    <t>Solde</t>
  </si>
  <si>
    <t>Animations</t>
  </si>
  <si>
    <t>BUR</t>
  </si>
  <si>
    <t>Frais de bureau</t>
  </si>
  <si>
    <t>COMP_INT</t>
  </si>
  <si>
    <t>COMP_EXT</t>
  </si>
  <si>
    <t>ANIM</t>
  </si>
  <si>
    <t>Competition exterieure</t>
  </si>
  <si>
    <t>Competition interieure</t>
  </si>
  <si>
    <t>Deplacement championnat de France</t>
  </si>
  <si>
    <t>SUB</t>
  </si>
  <si>
    <t>SUBVENTION</t>
  </si>
  <si>
    <t>SPO</t>
  </si>
  <si>
    <t>SPONSOR</t>
  </si>
  <si>
    <t>MAIL</t>
  </si>
  <si>
    <t>Tenue de club</t>
  </si>
  <si>
    <t>LIC</t>
  </si>
  <si>
    <t>Licences</t>
  </si>
  <si>
    <t>PM</t>
  </si>
  <si>
    <t>GM</t>
  </si>
  <si>
    <t>Gros materiel (investissement)</t>
  </si>
  <si>
    <t>Petit materiel (blasons, arc initiation,…)</t>
  </si>
  <si>
    <t>DIS</t>
  </si>
  <si>
    <t>Distinction FFTA (Fleches)</t>
  </si>
  <si>
    <t>REGION</t>
  </si>
  <si>
    <t>Deplacement competition regionale</t>
  </si>
  <si>
    <t>SITE</t>
  </si>
  <si>
    <t>Tir de roy</t>
  </si>
  <si>
    <t>Tir de noel</t>
  </si>
  <si>
    <t>Tir de la galette des roi</t>
  </si>
  <si>
    <t>Site internet</t>
  </si>
  <si>
    <t>TIR_ROY</t>
  </si>
  <si>
    <t>TIR_NOEL</t>
  </si>
  <si>
    <t>TIR_GALETTE</t>
  </si>
  <si>
    <t>dont sub d'invest à des biens non renouvelables par l'asso.</t>
  </si>
  <si>
    <t>FONDS DEDIES</t>
  </si>
  <si>
    <t>DETTES</t>
  </si>
  <si>
    <t>- sur subventions de fonctionnement</t>
  </si>
  <si>
    <t>- sur autres ressources</t>
  </si>
  <si>
    <t>ACTIF IMMOBILISE</t>
  </si>
  <si>
    <t>- Avances et acomptes reçus sur commandes en cours</t>
  </si>
  <si>
    <t>- Fournisseurs et comptes rattachés</t>
  </si>
  <si>
    <t>- Autres</t>
  </si>
  <si>
    <t>- Avances et acomptes versés sur commande</t>
  </si>
  <si>
    <t>Vérification</t>
  </si>
  <si>
    <t>Ecart bilan</t>
  </si>
  <si>
    <t>Résultat compte de résultat</t>
  </si>
  <si>
    <t>- Emprunts et dettes assimilées plus d'un an</t>
  </si>
  <si>
    <t>- Emprunts et dettes financières à moins d'un an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</si>
  <si>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</si>
  <si>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</si>
  <si>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</si>
  <si>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</si>
  <si>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</si>
  <si>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</si>
  <si>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</si>
  <si>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</si>
  <si>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</si>
  <si>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t>6011 Materiel pour le club</t>
  </si>
  <si>
    <t>6041 Point phone</t>
  </si>
  <si>
    <t>6042 Frais sur partenariat</t>
  </si>
  <si>
    <t>6043 Impression sérigraphie</t>
  </si>
  <si>
    <t>6044 Photos</t>
  </si>
  <si>
    <t>6061 Electricité gaz</t>
  </si>
  <si>
    <t>6062 Pharmacie</t>
  </si>
  <si>
    <t>6063 Petit materiel (Blasons, arc,etc..)</t>
  </si>
  <si>
    <t>6064 Fournitures administratives</t>
  </si>
  <si>
    <t>6065 Fournitures Bar / Buvette</t>
  </si>
  <si>
    <t>6071 Achats produits publicitaires</t>
  </si>
  <si>
    <t>6072 Achats bar / Boissons / nourriture</t>
  </si>
  <si>
    <t>6073 Achats festivités club</t>
  </si>
  <si>
    <t>6074 Coupes et médailles</t>
  </si>
  <si>
    <t>6133 Locations divers</t>
  </si>
  <si>
    <t>6134 Location materiel et outillage</t>
  </si>
  <si>
    <t>6151 Entretien locaux</t>
  </si>
  <si>
    <t>6153 Entretien materiel</t>
  </si>
  <si>
    <t>Frais reunion diverses</t>
  </si>
  <si>
    <t>6183. Documentation technique - Stages</t>
  </si>
  <si>
    <t>6223 Honoraires CAC</t>
  </si>
  <si>
    <t>6224 Honoraires juridiques avocat</t>
  </si>
  <si>
    <t>6225 Honoraires consultant</t>
  </si>
  <si>
    <t>6235 Publications</t>
  </si>
  <si>
    <t>6241 Transports sur achats</t>
  </si>
  <si>
    <t>6242 Transports collectifs</t>
  </si>
  <si>
    <t>6243 Transports autres</t>
  </si>
  <si>
    <t>6244 Transports divers</t>
  </si>
  <si>
    <t>6252 Deplacement autres</t>
  </si>
  <si>
    <t>Frais de déplacements</t>
  </si>
  <si>
    <t>6262 Téléphone</t>
  </si>
  <si>
    <t>6265. Téléphone mobile</t>
  </si>
  <si>
    <t>6271 Frais sur retard paiement fournisseurs</t>
  </si>
  <si>
    <t>6511. Redevances pour concessions, brevets, licences, marques, procédés, logiciels - Sacem</t>
  </si>
  <si>
    <t>6581 Affiliation (fédération, groupement,…)</t>
  </si>
  <si>
    <t>6582 Reversements (licences,adhesions)</t>
  </si>
  <si>
    <t>6583 Licences,adhesions</t>
  </si>
  <si>
    <t>6584 Cotisations competitions</t>
  </si>
  <si>
    <t>6587 Stages</t>
  </si>
  <si>
    <t>6588 Prets</t>
  </si>
  <si>
    <t>6671 Penalites et amanedes fiscales ou penales</t>
  </si>
  <si>
    <t>6672 Dons, liberalités</t>
  </si>
  <si>
    <t>6673 Créances irrecouvrables de l'exercice</t>
  </si>
  <si>
    <t>6675 Rappels d'impots (autres / benefices)</t>
  </si>
  <si>
    <t>6677 charges ex. sur operations de gestion</t>
  </si>
  <si>
    <t>X</t>
  </si>
  <si>
    <t>7011 Ventes de marchandises</t>
  </si>
  <si>
    <t>7061 Licenses + cotisations</t>
  </si>
  <si>
    <t>7062 Recettes greffe competitions</t>
  </si>
  <si>
    <t>7063 Recette animations</t>
  </si>
  <si>
    <t>7064 Publicité</t>
  </si>
  <si>
    <t>7065 Sponsoring</t>
  </si>
  <si>
    <t>7066 Divers</t>
  </si>
  <si>
    <t>7081 Ventes materiel licenciés</t>
  </si>
  <si>
    <t>7082 Stages</t>
  </si>
  <si>
    <t>7083 Recetttes manifestations club</t>
  </si>
  <si>
    <t>7084 Photos calendrier divers</t>
  </si>
  <si>
    <t>7085 Locations d'arc</t>
  </si>
  <si>
    <t>741 Commune</t>
  </si>
  <si>
    <t>742 Conseil General</t>
  </si>
  <si>
    <t>743 Intercomunalité</t>
  </si>
  <si>
    <t>744 CNDS</t>
  </si>
  <si>
    <t>745 Conseil Regional</t>
  </si>
  <si>
    <t>746 Federation, Groupement</t>
  </si>
  <si>
    <t>747 Etat ministere</t>
  </si>
  <si>
    <t>748 Autres</t>
  </si>
  <si>
    <t>7481 CD03</t>
  </si>
  <si>
    <t>7482 Ligue</t>
  </si>
  <si>
    <t>7671 Interet compte rémunérés</t>
  </si>
  <si>
    <t>7713 Libéralités perçues - Don</t>
  </si>
  <si>
    <t>7911 Indemnités emplois jeunes</t>
  </si>
  <si>
    <t>7912 Indemnités contrats aidées</t>
  </si>
  <si>
    <t>7913 Indemnités diverses</t>
  </si>
  <si>
    <t>60. ACHATS ( SAUF 603 )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</si>
  <si>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</si>
  <si>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</si>
  <si>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</si>
  <si>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</si>
  <si>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</si>
  <si>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</si>
  <si>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</si>
  <si>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</si>
  <si>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</si>
  <si>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</si>
  <si>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</si>
  <si>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</si>
  <si>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</si>
  <si>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</si>
  <si>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</si>
  <si>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</si>
  <si>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</si>
  <si>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</si>
  <si>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</si>
  <si>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</si>
  <si>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</si>
  <si>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</si>
  <si>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</si>
  <si>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</si>
  <si>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</si>
  <si>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</si>
  <si>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</si>
  <si>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</si>
  <si>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</si>
  <si>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</si>
  <si>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</si>
  <si>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</si>
  <si>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615. Entretien et réparations</t>
  </si>
  <si>
    <t>6152. sur biens immobiliers</t>
  </si>
  <si>
    <t>6155. sur biens mobiliers</t>
  </si>
  <si>
    <t>6156. Maintenance</t>
  </si>
  <si>
    <t>616. Primes d'assurance</t>
  </si>
  <si>
    <t>6161. Multirisques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</si>
  <si>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</si>
  <si>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</si>
  <si>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</si>
  <si>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</si>
  <si>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</si>
  <si>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</si>
  <si>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</si>
  <si>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</si>
  <si>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</si>
  <si>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</si>
  <si>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</si>
  <si>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</si>
  <si>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</si>
  <si>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</si>
  <si>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</si>
  <si>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</si>
  <si>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</si>
  <si>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</si>
  <si>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</si>
  <si>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</si>
  <si>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</si>
  <si>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</si>
  <si>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</si>
  <si>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</si>
  <si>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</si>
  <si>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</si>
  <si>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</si>
  <si>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</si>
  <si>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</si>
  <si>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</si>
  <si>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</si>
  <si>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</si>
  <si>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</si>
  <si>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</si>
  <si>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</si>
  <si>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</si>
  <si>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</si>
  <si>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</si>
  <si>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</si>
  <si>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</si>
  <si>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</si>
  <si>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</si>
  <si>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</si>
  <si>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</si>
  <si>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</si>
  <si>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</si>
  <si>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</si>
  <si>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</si>
  <si>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</si>
  <si>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</si>
  <si>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</si>
  <si>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</si>
  <si>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</si>
  <si>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</si>
  <si>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</si>
  <si>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</si>
  <si>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</si>
  <si>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</si>
  <si>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</si>
  <si>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</si>
  <si>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</si>
  <si>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</si>
  <si>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</si>
  <si>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</si>
  <si>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</si>
  <si>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</si>
  <si>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</si>
  <si>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</si>
  <si>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</si>
  <si>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</si>
  <si>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</si>
  <si>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</si>
  <si>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</si>
  <si>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</si>
  <si>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</si>
  <si>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</si>
  <si>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</si>
  <si>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</si>
  <si>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</si>
  <si>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</si>
  <si>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</si>
  <si>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</si>
  <si>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</si>
  <si>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</si>
  <si>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</si>
  <si>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</si>
  <si>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</si>
  <si>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</si>
  <si>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</si>
  <si>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</si>
  <si>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</si>
  <si>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</si>
  <si>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</si>
  <si>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</si>
  <si>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</si>
  <si>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</si>
  <si>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</si>
  <si>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</si>
  <si>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</si>
  <si>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</si>
  <si>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</si>
  <si>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</si>
  <si>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</si>
  <si>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</si>
  <si>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</si>
  <si>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</si>
  <si>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</si>
  <si>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</si>
  <si>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</si>
  <si>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</si>
  <si>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</si>
  <si>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</si>
  <si>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</si>
  <si>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</si>
  <si>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</si>
  <si>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</si>
  <si>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</si>
  <si>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</si>
  <si>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</si>
  <si>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</si>
  <si>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</si>
  <si>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</si>
  <si>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</si>
  <si>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</si>
  <si>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</si>
  <si>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</si>
  <si>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</si>
  <si>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</si>
  <si>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</si>
  <si>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</si>
  <si>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</si>
  <si>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</si>
  <si>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</si>
  <si>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</si>
  <si>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</si>
  <si>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</si>
  <si>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</si>
  <si>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</si>
  <si>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</si>
  <si>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</si>
  <si>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</si>
  <si>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</si>
  <si>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</si>
  <si>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</si>
  <si>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</si>
  <si>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</si>
  <si>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</si>
  <si>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</si>
  <si>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</si>
  <si>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</si>
  <si>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</si>
  <si>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</si>
  <si>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</si>
  <si>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</si>
  <si>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</si>
  <si>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</si>
  <si>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</si>
  <si>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</si>
  <si>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</si>
  <si>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</si>
  <si>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</si>
  <si>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</si>
  <si>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</si>
  <si>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</si>
  <si>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</si>
  <si>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</si>
  <si>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</si>
  <si>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</si>
  <si>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</si>
  <si>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</si>
  <si>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</si>
  <si>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</si>
  <si>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</si>
  <si>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</si>
  <si>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</si>
  <si>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</si>
  <si>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</si>
  <si>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</si>
  <si>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</si>
  <si>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</si>
  <si>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</si>
  <si>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</si>
  <si>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</si>
  <si>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</si>
  <si>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</si>
  <si>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</si>
  <si>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756 Cotisations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</si>
  <si>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</si>
  <si>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</si>
  <si>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</si>
  <si>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</si>
  <si>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</si>
  <si>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</si>
  <si>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</si>
  <si>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</si>
  <si>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</si>
  <si>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</si>
  <si>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</si>
  <si>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</si>
  <si>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</si>
  <si>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</si>
  <si>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</si>
  <si>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</si>
  <si>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</si>
  <si>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</si>
  <si>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</si>
  <si>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</si>
  <si>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</si>
  <si>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</si>
  <si>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</si>
  <si>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</si>
  <si>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</si>
  <si>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</si>
  <si>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</si>
  <si>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</si>
  <si>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</si>
  <si>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</si>
  <si>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</si>
  <si>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</si>
  <si>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</si>
  <si>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</si>
  <si>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</si>
  <si>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</si>
  <si>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</si>
  <si>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</si>
  <si>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</si>
  <si>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</si>
  <si>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</si>
  <si>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</si>
  <si>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</si>
  <si>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</si>
  <si>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</si>
  <si>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CLASSE 6</t>
  </si>
  <si>
    <t>CLASSE 7</t>
  </si>
  <si>
    <t>N° de 
piece</t>
  </si>
  <si>
    <t>N° de piece 
comptable</t>
  </si>
  <si>
    <t>Code 
analytique
1</t>
  </si>
  <si>
    <t>Somme code
analytique
1</t>
  </si>
  <si>
    <t>Code 
analytique
2</t>
  </si>
  <si>
    <t>Somme code
analytique
2</t>
  </si>
  <si>
    <t>Code 
analytique
3</t>
  </si>
  <si>
    <t>Somme code
analytique
3</t>
  </si>
  <si>
    <t>Mode 
de paiement</t>
  </si>
  <si>
    <t>N° du
mode 
de paiement</t>
  </si>
  <si>
    <t>Verification
analytique</t>
  </si>
  <si>
    <t>Dépense
1</t>
  </si>
  <si>
    <t>Dépense
2</t>
  </si>
  <si>
    <t>Dépense
3</t>
  </si>
  <si>
    <t>Recette
1</t>
  </si>
  <si>
    <t>Recette
2</t>
  </si>
  <si>
    <t>Recette
3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</si>
</sst>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;@"/>
  </numFmts>
  <fonts count="24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b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i/>
      <sz val="10"/>
      <name val="Comic Sans MS"/>
      <family val="4"/>
    </font>
    <font>
      <sz val="10"/>
      <color indexed="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ck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6">
    <xf numFmtId="0" fontId="0" fillId="0" borderId="0"/>
    <xf numFmtId="43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23" fillId="0" borderId="0" applyFont="0" applyFill="0" applyBorder="0" applyAlignment="0" applyProtection="0"/>
  </cellStyleXfs>
  <cellXfs count="40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4" fontId="0" fillId="0" borderId="0" xfId="0" applyNumberFormat="1"/>
    <xf numFmtId="0" fontId="3" fillId="0" borderId="0" xfId="0" applyFont="1"/>
    <xf numFmtId="0" fontId="6" fillId="0" borderId="0" xfId="0" applyFont="1"/>
    <xf numFmtId="0" fontId="0" fillId="0" borderId="1" xfId="0" applyBorder="1"/>
    <xf numFmtId="49" fontId="0" fillId="0" borderId="0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3" fillId="0" borderId="0" xfId="0" applyNumberFormat="1" applyFont="1" applyBorder="1" applyAlignment="1">
      <alignment horizontal="right"/>
    </xf>
    <xf numFmtId="4" fontId="3" fillId="0" borderId="1" xfId="0" applyNumberFormat="1" applyFont="1" applyBorder="1"/>
    <xf numFmtId="4" fontId="3" fillId="0" borderId="3" xfId="0" applyNumberFormat="1" applyFont="1" applyBorder="1"/>
    <xf numFmtId="4" fontId="0" fillId="0" borderId="1" xfId="0" applyNumberFormat="1" applyBorder="1"/>
    <xf numFmtId="4" fontId="0" fillId="0" borderId="3" xfId="0" applyNumberFormat="1" applyBorder="1"/>
    <xf numFmtId="49" fontId="8" fillId="0" borderId="1" xfId="0" quotePrefix="1" applyNumberFormat="1" applyFont="1" applyBorder="1" applyAlignment="1">
      <alignment horizontal="left"/>
    </xf>
    <xf numFmtId="4" fontId="9" fillId="0" borderId="1" xfId="0" applyNumberFormat="1" applyFont="1" applyBorder="1"/>
    <xf numFmtId="4" fontId="9" fillId="0" borderId="3" xfId="0" applyNumberFormat="1" applyFont="1" applyBorder="1"/>
    <xf numFmtId="4" fontId="9" fillId="0" borderId="4" xfId="0" applyNumberFormat="1" applyFont="1" applyBorder="1"/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10" fillId="0" borderId="0" xfId="0" applyNumberFormat="1" applyFont="1" applyBorder="1"/>
    <xf numFmtId="49" fontId="8" fillId="0" borderId="1" xfId="0" quotePrefix="1" applyNumberFormat="1" applyFont="1" applyBorder="1"/>
    <xf numFmtId="49" fontId="11" fillId="0" borderId="0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0" fontId="0" fillId="0" borderId="5" xfId="0" applyBorder="1"/>
    <xf numFmtId="4" fontId="3" fillId="2" borderId="6" xfId="0" applyNumberFormat="1" applyFont="1" applyFill="1" applyBorder="1"/>
    <xf numFmtId="4" fontId="3" fillId="2" borderId="7" xfId="0" applyNumberFormat="1" applyFont="1" applyFill="1" applyBorder="1"/>
    <xf numFmtId="4" fontId="3" fillId="2" borderId="8" xfId="0" applyNumberFormat="1" applyFont="1" applyFill="1" applyBorder="1"/>
    <xf numFmtId="49" fontId="3" fillId="0" borderId="9" xfId="0" applyNumberFormat="1" applyFont="1" applyBorder="1" applyAlignment="1">
      <alignment horizontal="right"/>
    </xf>
    <xf numFmtId="0" fontId="0" fillId="0" borderId="10" xfId="0" applyFill="1" applyBorder="1"/>
    <xf numFmtId="0" fontId="0" fillId="0" borderId="11" xfId="0" applyBorder="1"/>
    <xf numFmtId="4" fontId="3" fillId="0" borderId="1" xfId="0" applyNumberFormat="1" applyFont="1" applyFill="1" applyBorder="1"/>
    <xf numFmtId="4" fontId="9" fillId="0" borderId="1" xfId="0" applyNumberFormat="1" applyFont="1" applyFill="1" applyBorder="1"/>
    <xf numFmtId="4" fontId="9" fillId="0" borderId="3" xfId="0" applyNumberFormat="1" applyFont="1" applyFill="1" applyBorder="1"/>
    <xf numFmtId="1" fontId="0" fillId="0" borderId="1" xfId="0" applyNumberFormat="1" applyFill="1" applyBorder="1" applyAlignment="1">
      <alignment horizontal="right"/>
    </xf>
    <xf numFmtId="1" fontId="12" fillId="0" borderId="0" xfId="0" applyNumberFormat="1" applyFont="1" applyFill="1" applyBorder="1"/>
    <xf numFmtId="2" fontId="0" fillId="0" borderId="1" xfId="0" applyNumberFormat="1" applyBorder="1"/>
    <xf numFmtId="49" fontId="7" fillId="0" borderId="1" xfId="0" applyNumberFormat="1" applyFont="1" applyFill="1" applyBorder="1" applyAlignment="1">
      <alignment horizontal="left"/>
    </xf>
    <xf numFmtId="1" fontId="0" fillId="0" borderId="1" xfId="0" applyNumberFormat="1" applyFill="1" applyBorder="1"/>
    <xf numFmtId="1" fontId="0" fillId="0" borderId="0" xfId="0" applyNumberFormat="1" applyBorder="1"/>
    <xf numFmtId="2" fontId="3" fillId="0" borderId="4" xfId="0" applyNumberFormat="1" applyFont="1" applyBorder="1"/>
    <xf numFmtId="0" fontId="9" fillId="0" borderId="5" xfId="0" applyNumberFormat="1" applyFont="1" applyBorder="1" applyAlignment="1"/>
    <xf numFmtId="0" fontId="9" fillId="0" borderId="12" xfId="0" applyNumberFormat="1" applyFont="1" applyBorder="1" applyAlignment="1"/>
    <xf numFmtId="4" fontId="0" fillId="0" borderId="13" xfId="0" applyNumberFormat="1" applyFill="1" applyBorder="1"/>
    <xf numFmtId="0" fontId="0" fillId="0" borderId="14" xfId="0" applyBorder="1"/>
    <xf numFmtId="4" fontId="3" fillId="2" borderId="15" xfId="0" applyNumberFormat="1" applyFont="1" applyFill="1" applyBorder="1"/>
    <xf numFmtId="0" fontId="0" fillId="0" borderId="16" xfId="0" applyBorder="1"/>
    <xf numFmtId="49" fontId="3" fillId="0" borderId="17" xfId="0" applyNumberFormat="1" applyFont="1" applyFill="1" applyBorder="1" applyAlignment="1">
      <alignment horizontal="right"/>
    </xf>
    <xf numFmtId="0" fontId="0" fillId="0" borderId="18" xfId="0" applyBorder="1"/>
    <xf numFmtId="4" fontId="0" fillId="0" borderId="19" xfId="0" applyNumberFormat="1" applyFill="1" applyBorder="1"/>
    <xf numFmtId="0" fontId="0" fillId="0" borderId="17" xfId="0" applyBorder="1"/>
    <xf numFmtId="49" fontId="5" fillId="2" borderId="20" xfId="0" applyNumberFormat="1" applyFont="1" applyFill="1" applyBorder="1" applyAlignment="1">
      <alignment horizontal="right"/>
    </xf>
    <xf numFmtId="4" fontId="3" fillId="2" borderId="21" xfId="0" applyNumberFormat="1" applyFont="1" applyFill="1" applyBorder="1"/>
    <xf numFmtId="4" fontId="3" fillId="2" borderId="22" xfId="0" applyNumberFormat="1" applyFont="1" applyFill="1" applyBorder="1"/>
    <xf numFmtId="4" fontId="3" fillId="2" borderId="20" xfId="0" applyNumberFormat="1" applyFont="1" applyFill="1" applyBorder="1"/>
    <xf numFmtId="49" fontId="0" fillId="0" borderId="4" xfId="0" applyNumberFormat="1" applyBorder="1"/>
    <xf numFmtId="0" fontId="0" fillId="0" borderId="1" xfId="0" applyBorder="1" applyAlignment="1">
      <alignment horizontal="right"/>
    </xf>
    <xf numFmtId="49" fontId="3" fillId="0" borderId="23" xfId="0" applyNumberFormat="1" applyFont="1" applyFill="1" applyBorder="1" applyAlignment="1">
      <alignment horizontal="right"/>
    </xf>
    <xf numFmtId="49" fontId="3" fillId="0" borderId="24" xfId="0" applyNumberFormat="1" applyFont="1" applyFill="1" applyBorder="1" applyAlignment="1">
      <alignment horizontal="right"/>
    </xf>
    <xf numFmtId="0" fontId="0" fillId="0" borderId="25" xfId="0" applyBorder="1"/>
    <xf numFmtId="4" fontId="3" fillId="0" borderId="26" xfId="0" applyNumberFormat="1" applyFont="1" applyFill="1" applyBorder="1"/>
    <xf numFmtId="4" fontId="3" fillId="0" borderId="24" xfId="0" applyNumberFormat="1" applyFont="1" applyFill="1" applyBorder="1"/>
    <xf numFmtId="49" fontId="3" fillId="2" borderId="27" xfId="0" applyNumberFormat="1" applyFont="1" applyFill="1" applyBorder="1" applyAlignment="1">
      <alignment horizontal="right"/>
    </xf>
    <xf numFmtId="0" fontId="0" fillId="0" borderId="1" xfId="0" applyBorder="1" applyAlignment="1">
      <alignment horizontal="left" indent="1"/>
    </xf>
    <xf numFmtId="49" fontId="0" fillId="0" borderId="4" xfId="0" applyNumberFormat="1" applyBorder="1" applyAlignment="1">
      <alignment horizontal="left" indent="1"/>
    </xf>
    <xf numFmtId="49" fontId="3" fillId="0" borderId="0" xfId="0" applyNumberFormat="1" applyFont="1" applyBorder="1" applyAlignment="1">
      <alignment horizontal="left"/>
    </xf>
    <xf numFmtId="49" fontId="3" fillId="0" borderId="27" xfId="0" applyNumberFormat="1" applyFont="1" applyFill="1" applyBorder="1" applyAlignment="1">
      <alignment horizontal="right"/>
    </xf>
    <xf numFmtId="49" fontId="3" fillId="0" borderId="20" xfId="0" applyNumberFormat="1" applyFont="1" applyFill="1" applyBorder="1" applyAlignment="1">
      <alignment horizontal="right"/>
    </xf>
    <xf numFmtId="0" fontId="0" fillId="0" borderId="21" xfId="0" applyBorder="1"/>
    <xf numFmtId="4" fontId="3" fillId="0" borderId="22" xfId="0" applyNumberFormat="1" applyFont="1" applyFill="1" applyBorder="1"/>
    <xf numFmtId="0" fontId="0" fillId="0" borderId="27" xfId="0" applyBorder="1"/>
    <xf numFmtId="4" fontId="0" fillId="0" borderId="22" xfId="0" applyNumberFormat="1" applyBorder="1"/>
    <xf numFmtId="0" fontId="0" fillId="0" borderId="20" xfId="0" applyBorder="1"/>
    <xf numFmtId="49" fontId="5" fillId="3" borderId="7" xfId="0" applyNumberFormat="1" applyFont="1" applyFill="1" applyBorder="1" applyAlignment="1">
      <alignment horizontal="center"/>
    </xf>
    <xf numFmtId="49" fontId="5" fillId="3" borderId="15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9" fillId="0" borderId="1" xfId="0" applyFont="1" applyBorder="1"/>
    <xf numFmtId="0" fontId="0" fillId="0" borderId="10" xfId="0" applyBorder="1"/>
    <xf numFmtId="4" fontId="3" fillId="0" borderId="13" xfId="0" applyNumberFormat="1" applyFont="1" applyBorder="1"/>
    <xf numFmtId="2" fontId="9" fillId="0" borderId="3" xfId="0" applyNumberFormat="1" applyFont="1" applyBorder="1"/>
    <xf numFmtId="0" fontId="9" fillId="0" borderId="4" xfId="0" applyFont="1" applyBorder="1"/>
    <xf numFmtId="4" fontId="3" fillId="2" borderId="25" xfId="0" applyNumberFormat="1" applyFont="1" applyFill="1" applyBorder="1"/>
    <xf numFmtId="4" fontId="3" fillId="2" borderId="26" xfId="0" applyNumberFormat="1" applyFont="1" applyFill="1" applyBorder="1"/>
    <xf numFmtId="4" fontId="3" fillId="2" borderId="28" xfId="0" applyNumberFormat="1" applyFont="1" applyFill="1" applyBorder="1"/>
    <xf numFmtId="49" fontId="3" fillId="0" borderId="0" xfId="0" applyNumberFormat="1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left"/>
    </xf>
    <xf numFmtId="4" fontId="9" fillId="0" borderId="4" xfId="0" applyNumberFormat="1" applyFont="1" applyFill="1" applyBorder="1"/>
    <xf numFmtId="0" fontId="0" fillId="0" borderId="29" xfId="0" applyBorder="1"/>
    <xf numFmtId="0" fontId="0" fillId="0" borderId="22" xfId="0" applyFill="1" applyBorder="1"/>
    <xf numFmtId="0" fontId="9" fillId="0" borderId="0" xfId="0" applyFont="1" applyBorder="1"/>
    <xf numFmtId="4" fontId="3" fillId="2" borderId="30" xfId="0" applyNumberFormat="1" applyFont="1" applyFill="1" applyBorder="1"/>
    <xf numFmtId="0" fontId="13" fillId="0" borderId="1" xfId="0" applyFont="1" applyBorder="1" applyAlignment="1">
      <alignment horizontal="left" vertical="center" indent="1"/>
    </xf>
    <xf numFmtId="0" fontId="0" fillId="3" borderId="5" xfId="0" applyFill="1" applyBorder="1"/>
    <xf numFmtId="4" fontId="3" fillId="3" borderId="5" xfId="0" applyNumberFormat="1" applyFont="1" applyFill="1" applyBorder="1"/>
    <xf numFmtId="4" fontId="3" fillId="3" borderId="31" xfId="0" applyNumberFormat="1" applyFont="1" applyFill="1" applyBorder="1"/>
    <xf numFmtId="49" fontId="4" fillId="0" borderId="1" xfId="0" quotePrefix="1" applyNumberFormat="1" applyFont="1" applyFill="1" applyBorder="1" applyAlignment="1">
      <alignment horizontal="left"/>
    </xf>
    <xf numFmtId="0" fontId="0" fillId="0" borderId="1" xfId="0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right" vertical="center"/>
    </xf>
    <xf numFmtId="4" fontId="9" fillId="0" borderId="3" xfId="1" applyNumberFormat="1" applyFont="1" applyBorder="1" applyAlignment="1">
      <alignment vertical="center"/>
    </xf>
    <xf numFmtId="4" fontId="3" fillId="0" borderId="0" xfId="1" applyNumberFormat="1" applyFont="1" applyBorder="1" applyAlignment="1">
      <alignment vertical="center"/>
    </xf>
    <xf numFmtId="4" fontId="3" fillId="0" borderId="3" xfId="1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4" fontId="9" fillId="0" borderId="4" xfId="1" applyNumberFormat="1" applyFont="1" applyBorder="1" applyAlignment="1">
      <alignment vertical="center"/>
    </xf>
    <xf numFmtId="4" fontId="9" fillId="0" borderId="1" xfId="1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" fontId="9" fillId="0" borderId="0" xfId="1" applyNumberFormat="1" applyFont="1" applyBorder="1" applyAlignment="1">
      <alignment vertical="center"/>
    </xf>
    <xf numFmtId="4" fontId="3" fillId="0" borderId="0" xfId="1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4" fontId="3" fillId="2" borderId="22" xfId="1" applyNumberFormat="1" applyFont="1" applyFill="1" applyBorder="1" applyAlignment="1">
      <alignment vertical="center"/>
    </xf>
    <xf numFmtId="4" fontId="3" fillId="2" borderId="27" xfId="0" applyNumberFormat="1" applyFont="1" applyFill="1" applyBorder="1" applyAlignment="1">
      <alignment vertical="center"/>
    </xf>
    <xf numFmtId="4" fontId="3" fillId="2" borderId="22" xfId="0" applyNumberFormat="1" applyFont="1" applyFill="1" applyBorder="1" applyAlignment="1">
      <alignment vertical="center"/>
    </xf>
    <xf numFmtId="4" fontId="3" fillId="2" borderId="20" xfId="0" applyNumberFormat="1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right" vertical="center"/>
    </xf>
    <xf numFmtId="49" fontId="5" fillId="4" borderId="0" xfId="0" applyNumberFormat="1" applyFont="1" applyFill="1" applyBorder="1" applyAlignment="1">
      <alignment horizontal="right" vertical="center"/>
    </xf>
    <xf numFmtId="4" fontId="3" fillId="4" borderId="3" xfId="1" applyNumberFormat="1" applyFont="1" applyFill="1" applyBorder="1" applyAlignment="1">
      <alignment vertical="center"/>
    </xf>
    <xf numFmtId="4" fontId="3" fillId="4" borderId="0" xfId="1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3" fillId="4" borderId="3" xfId="0" applyNumberFormat="1" applyFont="1" applyFill="1" applyBorder="1" applyAlignment="1">
      <alignment vertical="center"/>
    </xf>
    <xf numFmtId="4" fontId="3" fillId="4" borderId="4" xfId="0" applyNumberFormat="1" applyFont="1" applyFill="1" applyBorder="1" applyAlignment="1">
      <alignment vertical="center"/>
    </xf>
    <xf numFmtId="4" fontId="9" fillId="0" borderId="3" xfId="1" applyNumberForma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" fontId="3" fillId="0" borderId="3" xfId="1" applyNumberFormat="1" applyFont="1" applyFill="1" applyBorder="1" applyAlignment="1">
      <alignment vertical="center"/>
    </xf>
    <xf numFmtId="20" fontId="0" fillId="0" borderId="0" xfId="0" applyNumberFormat="1" applyAlignment="1">
      <alignment vertical="center"/>
    </xf>
    <xf numFmtId="49" fontId="0" fillId="0" borderId="0" xfId="0" applyNumberFormat="1" applyBorder="1" applyAlignment="1">
      <alignment vertical="center"/>
    </xf>
    <xf numFmtId="4" fontId="9" fillId="0" borderId="0" xfId="1" applyNumberFormat="1" applyBorder="1" applyAlignment="1">
      <alignment vertical="center"/>
    </xf>
    <xf numFmtId="4" fontId="8" fillId="0" borderId="3" xfId="1" applyNumberFormat="1" applyFont="1" applyBorder="1" applyAlignment="1">
      <alignment vertical="center"/>
    </xf>
    <xf numFmtId="4" fontId="8" fillId="0" borderId="0" xfId="1" applyNumberFormat="1" applyFont="1" applyBorder="1" applyAlignment="1">
      <alignment vertical="center"/>
    </xf>
    <xf numFmtId="4" fontId="3" fillId="2" borderId="21" xfId="1" applyNumberFormat="1" applyFont="1" applyFill="1" applyBorder="1" applyAlignment="1">
      <alignment vertical="center"/>
    </xf>
    <xf numFmtId="4" fontId="3" fillId="3" borderId="26" xfId="1" applyNumberFormat="1" applyFont="1" applyFill="1" applyBorder="1" applyAlignment="1">
      <alignment vertical="center"/>
    </xf>
    <xf numFmtId="4" fontId="3" fillId="3" borderId="25" xfId="1" applyNumberFormat="1" applyFont="1" applyFill="1" applyBorder="1" applyAlignment="1">
      <alignment vertical="center"/>
    </xf>
    <xf numFmtId="4" fontId="3" fillId="3" borderId="23" xfId="0" applyNumberFormat="1" applyFont="1" applyFill="1" applyBorder="1" applyAlignment="1">
      <alignment vertical="center"/>
    </xf>
    <xf numFmtId="4" fontId="3" fillId="3" borderId="26" xfId="0" applyNumberFormat="1" applyFont="1" applyFill="1" applyBorder="1" applyAlignment="1">
      <alignment vertical="center"/>
    </xf>
    <xf numFmtId="4" fontId="3" fillId="3" borderId="24" xfId="0" applyNumberFormat="1" applyFont="1" applyFill="1" applyBorder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4" fontId="4" fillId="4" borderId="3" xfId="0" applyNumberFormat="1" applyFont="1" applyFill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4" fontId="18" fillId="0" borderId="1" xfId="0" applyNumberFormat="1" applyFont="1" applyBorder="1" applyAlignment="1">
      <alignment vertical="center"/>
    </xf>
    <xf numFmtId="4" fontId="8" fillId="0" borderId="4" xfId="1" applyNumberFormat="1" applyFont="1" applyBorder="1" applyAlignment="1">
      <alignment vertical="center"/>
    </xf>
    <xf numFmtId="0" fontId="4" fillId="0" borderId="32" xfId="0" applyFont="1" applyBorder="1"/>
    <xf numFmtId="2" fontId="5" fillId="3" borderId="14" xfId="0" applyNumberFormat="1" applyFont="1" applyFill="1" applyBorder="1" applyAlignment="1">
      <alignment horizontal="right"/>
    </xf>
    <xf numFmtId="4" fontId="0" fillId="0" borderId="32" xfId="0" applyNumberFormat="1" applyBorder="1"/>
    <xf numFmtId="0" fontId="3" fillId="0" borderId="32" xfId="0" applyFont="1" applyBorder="1"/>
    <xf numFmtId="4" fontId="3" fillId="0" borderId="32" xfId="0" applyNumberFormat="1" applyFont="1" applyBorder="1"/>
    <xf numFmtId="0" fontId="4" fillId="0" borderId="0" xfId="0" quotePrefix="1" applyFont="1" applyAlignment="1">
      <alignment vertical="center"/>
    </xf>
    <xf numFmtId="0" fontId="2" fillId="4" borderId="32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6" fillId="5" borderId="32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left"/>
    </xf>
    <xf numFmtId="0" fontId="4" fillId="2" borderId="32" xfId="0" applyFont="1" applyFill="1" applyBorder="1"/>
    <xf numFmtId="0" fontId="17" fillId="2" borderId="32" xfId="0" applyFont="1" applyFill="1" applyBorder="1" applyAlignment="1">
      <alignment horizontal="left"/>
    </xf>
    <xf numFmtId="0" fontId="4" fillId="4" borderId="32" xfId="0" applyFont="1" applyFill="1" applyBorder="1"/>
    <xf numFmtId="0" fontId="4" fillId="2" borderId="32" xfId="0" applyFont="1" applyFill="1" applyBorder="1" applyAlignment="1">
      <alignment horizontal="right"/>
    </xf>
    <xf numFmtId="0" fontId="4" fillId="0" borderId="32" xfId="0" applyFont="1" applyFill="1" applyBorder="1"/>
    <xf numFmtId="0" fontId="2" fillId="0" borderId="32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44" fontId="0" fillId="0" borderId="0" xfId="2" applyFont="1"/>
    <xf numFmtId="8" fontId="0" fillId="0" borderId="0" xfId="0" applyNumberForma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164" fontId="20" fillId="5" borderId="35" xfId="0" applyNumberFormat="1" applyFont="1" applyFill="1" applyBorder="1" applyAlignment="1">
      <alignment horizontal="center"/>
    </xf>
    <xf numFmtId="164" fontId="20" fillId="5" borderId="36" xfId="0" applyNumberFormat="1" applyFont="1" applyFill="1" applyBorder="1" applyAlignment="1">
      <alignment horizontal="center"/>
    </xf>
    <xf numFmtId="0" fontId="0" fillId="0" borderId="0" xfId="0" applyAlignment="1"/>
    <xf numFmtId="8" fontId="0" fillId="0" borderId="35" xfId="2" applyNumberFormat="1" applyFont="1" applyBorder="1"/>
    <xf numFmtId="0" fontId="0" fillId="0" borderId="33" xfId="0" applyBorder="1"/>
    <xf numFmtId="0" fontId="0" fillId="0" borderId="35" xfId="0" applyBorder="1"/>
    <xf numFmtId="0" fontId="0" fillId="0" borderId="37" xfId="0" applyBorder="1"/>
    <xf numFmtId="0" fontId="0" fillId="0" borderId="36" xfId="0" applyBorder="1"/>
    <xf numFmtId="0" fontId="0" fillId="0" borderId="7" xfId="0" applyBorder="1" applyAlignment="1">
      <alignment horizontal="center"/>
    </xf>
    <xf numFmtId="0" fontId="3" fillId="0" borderId="0" xfId="0" applyFont="1" applyBorder="1" applyAlignment="1"/>
    <xf numFmtId="8" fontId="0" fillId="0" borderId="38" xfId="2" applyNumberFormat="1" applyFont="1" applyBorder="1"/>
    <xf numFmtId="0" fontId="0" fillId="0" borderId="7" xfId="0" applyBorder="1"/>
    <xf numFmtId="0" fontId="3" fillId="0" borderId="0" xfId="0" applyFont="1" applyAlignment="1">
      <alignment horizontal="center"/>
    </xf>
    <xf numFmtId="0" fontId="0" fillId="0" borderId="39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0" xfId="0" applyBorder="1"/>
    <xf numFmtId="0" fontId="0" fillId="0" borderId="13" xfId="0" applyBorder="1"/>
    <xf numFmtId="0" fontId="22" fillId="5" borderId="41" xfId="0" applyFont="1" applyFill="1" applyBorder="1" applyAlignment="1" applyProtection="1">
      <alignment horizontal="center"/>
      <protection locked="0"/>
    </xf>
    <xf numFmtId="0" fontId="22" fillId="5" borderId="41" xfId="0" applyFont="1" applyFill="1" applyBorder="1" applyAlignment="1">
      <alignment horizontal="center"/>
    </xf>
    <xf numFmtId="4" fontId="22" fillId="5" borderId="41" xfId="0" applyNumberFormat="1" applyFont="1" applyFill="1" applyBorder="1" applyAlignment="1" applyProtection="1">
      <alignment horizontal="right"/>
      <protection locked="0"/>
    </xf>
    <xf numFmtId="0" fontId="22" fillId="0" borderId="0" xfId="0" applyFont="1"/>
    <xf numFmtId="0" fontId="22" fillId="0" borderId="32" xfId="0" applyFont="1" applyBorder="1" applyAlignment="1">
      <alignment horizontal="center" vertical="center"/>
    </xf>
    <xf numFmtId="14" fontId="21" fillId="0" borderId="32" xfId="0" applyNumberFormat="1" applyFont="1" applyBorder="1" applyAlignment="1">
      <alignment horizontal="center" vertical="center"/>
    </xf>
    <xf numFmtId="14" fontId="21" fillId="0" borderId="32" xfId="0" applyNumberFormat="1" applyFont="1" applyBorder="1" applyAlignment="1">
      <alignment horizontal="left" vertical="center"/>
    </xf>
    <xf numFmtId="44" fontId="21" fillId="0" borderId="32" xfId="2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2" xfId="0" applyFont="1" applyBorder="1" applyAlignment="1">
      <alignment vertical="center"/>
    </xf>
    <xf numFmtId="0" fontId="21" fillId="0" borderId="32" xfId="0" applyFont="1" applyFill="1" applyBorder="1" applyAlignment="1">
      <alignment vertical="center"/>
    </xf>
    <xf numFmtId="44" fontId="21" fillId="0" borderId="32" xfId="2" applyFont="1" applyBorder="1" applyAlignment="1">
      <alignment vertical="center"/>
    </xf>
    <xf numFmtId="49" fontId="21" fillId="0" borderId="32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4" fontId="21" fillId="0" borderId="46" xfId="0" applyNumberFormat="1" applyFont="1" applyBorder="1" applyAlignment="1">
      <alignment horizontal="left" vertical="center"/>
    </xf>
    <xf numFmtId="44" fontId="21" fillId="0" borderId="46" xfId="2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46" xfId="0" applyFont="1" applyBorder="1" applyAlignment="1">
      <alignment vertical="center"/>
    </xf>
    <xf numFmtId="44" fontId="21" fillId="0" borderId="46" xfId="2" applyFont="1" applyBorder="1" applyAlignment="1">
      <alignment vertical="center"/>
    </xf>
    <xf numFmtId="0" fontId="0" fillId="0" borderId="32" xfId="0" applyBorder="1" applyAlignment="1">
      <alignment horizontal="center"/>
    </xf>
    <xf numFmtId="44" fontId="21" fillId="0" borderId="46" xfId="2" applyFont="1" applyFill="1" applyBorder="1" applyAlignment="1">
      <alignment vertical="center"/>
    </xf>
    <xf numFmtId="0" fontId="0" fillId="0" borderId="32" xfId="0" applyBorder="1"/>
    <xf numFmtId="0" fontId="0" fillId="0" borderId="55" xfId="0" applyBorder="1"/>
    <xf numFmtId="0" fontId="0" fillId="0" borderId="56" xfId="0" applyBorder="1"/>
    <xf numFmtId="0" fontId="0" fillId="0" borderId="56" xfId="0" applyBorder="1" applyAlignment="1">
      <alignment horizontal="center"/>
    </xf>
    <xf numFmtId="0" fontId="3" fillId="0" borderId="54" xfId="0" applyFont="1" applyBorder="1" applyAlignment="1">
      <alignment horizontal="center"/>
    </xf>
    <xf numFmtId="14" fontId="0" fillId="0" borderId="54" xfId="0" applyNumberFormat="1" applyBorder="1" applyAlignment="1">
      <alignment horizontal="center"/>
    </xf>
    <xf numFmtId="0" fontId="0" fillId="0" borderId="54" xfId="0" applyBorder="1" applyAlignment="1">
      <alignment horizontal="center"/>
    </xf>
    <xf numFmtId="0" fontId="22" fillId="0" borderId="58" xfId="0" applyFont="1" applyBorder="1" applyAlignment="1">
      <alignment horizontal="center" vertical="center"/>
    </xf>
    <xf numFmtId="14" fontId="21" fillId="0" borderId="58" xfId="0" applyNumberFormat="1" applyFont="1" applyBorder="1" applyAlignment="1">
      <alignment horizontal="center" vertical="center"/>
    </xf>
    <xf numFmtId="44" fontId="21" fillId="0" borderId="60" xfId="2" applyFont="1" applyBorder="1" applyAlignment="1">
      <alignment horizontal="center" vertical="center"/>
    </xf>
    <xf numFmtId="49" fontId="21" fillId="0" borderId="59" xfId="0" applyNumberFormat="1" applyFont="1" applyBorder="1" applyAlignment="1">
      <alignment horizontal="center" vertical="center"/>
    </xf>
    <xf numFmtId="49" fontId="21" fillId="0" borderId="60" xfId="0" applyNumberFormat="1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0" borderId="60" xfId="0" applyFont="1" applyBorder="1" applyAlignment="1">
      <alignment vertical="center"/>
    </xf>
    <xf numFmtId="44" fontId="21" fillId="0" borderId="60" xfId="2" applyFont="1" applyFill="1" applyBorder="1" applyAlignment="1">
      <alignment vertical="center"/>
    </xf>
    <xf numFmtId="0" fontId="22" fillId="5" borderId="57" xfId="0" applyFont="1" applyFill="1" applyBorder="1" applyAlignment="1" applyProtection="1">
      <alignment horizontal="center" vertical="center" wrapText="1"/>
      <protection locked="0"/>
    </xf>
    <xf numFmtId="0" fontId="22" fillId="5" borderId="57" xfId="0" applyFont="1" applyFill="1" applyBorder="1" applyAlignment="1" applyProtection="1">
      <alignment horizontal="center" vertical="center"/>
      <protection locked="0"/>
    </xf>
    <xf numFmtId="0" fontId="22" fillId="5" borderId="61" xfId="0" applyFont="1" applyFill="1" applyBorder="1" applyAlignment="1" applyProtection="1">
      <alignment horizontal="center" vertical="center" wrapText="1"/>
      <protection locked="0"/>
    </xf>
    <xf numFmtId="0" fontId="22" fillId="5" borderId="62" xfId="0" applyFont="1" applyFill="1" applyBorder="1" applyAlignment="1" applyProtection="1">
      <alignment horizontal="center" vertical="center"/>
      <protection locked="0"/>
    </xf>
    <xf numFmtId="0" fontId="22" fillId="5" borderId="62" xfId="0" applyFont="1" applyFill="1" applyBorder="1" applyAlignment="1" applyProtection="1">
      <alignment horizontal="center" vertical="center" wrapText="1"/>
      <protection locked="0"/>
    </xf>
    <xf numFmtId="0" fontId="22" fillId="5" borderId="63" xfId="0" applyFont="1" applyFill="1" applyBorder="1" applyAlignment="1" applyProtection="1">
      <alignment horizontal="center" vertical="center"/>
      <protection locked="0"/>
    </xf>
    <xf numFmtId="0" fontId="22" fillId="5" borderId="61" xfId="0" applyFont="1" applyFill="1" applyBorder="1" applyAlignment="1">
      <alignment horizontal="center" vertical="center"/>
    </xf>
    <xf numFmtId="0" fontId="22" fillId="7" borderId="62" xfId="0" applyFont="1" applyFill="1" applyBorder="1" applyAlignment="1" applyProtection="1">
      <alignment horizontal="center" vertical="center" wrapText="1"/>
      <protection locked="0"/>
    </xf>
    <xf numFmtId="0" fontId="22" fillId="8" borderId="62" xfId="0" applyFont="1" applyFill="1" applyBorder="1" applyAlignment="1" applyProtection="1">
      <alignment horizontal="center" vertical="center" wrapText="1"/>
      <protection locked="0"/>
    </xf>
    <xf numFmtId="0" fontId="22" fillId="8" borderId="63" xfId="0" applyFont="1" applyFill="1" applyBorder="1" applyAlignment="1" applyProtection="1">
      <alignment horizontal="center" vertical="center" wrapText="1"/>
      <protection locked="0"/>
    </xf>
    <xf numFmtId="44" fontId="21" fillId="0" borderId="59" xfId="2" applyFont="1" applyBorder="1" applyAlignment="1">
      <alignment vertical="center"/>
    </xf>
    <xf numFmtId="44" fontId="0" fillId="0" borderId="0" xfId="3" applyFont="1" applyBorder="1" applyAlignment="1"/>
    <xf numFmtId="44" fontId="0" fillId="0" borderId="0" xfId="2" applyFont="1" applyBorder="1"/>
    <xf numFmtId="8" fontId="0" fillId="0" borderId="4" xfId="0" applyNumberFormat="1" applyBorder="1"/>
    <xf numFmtId="49" fontId="0" fillId="0" borderId="1" xfId="0" applyNumberFormat="1" applyBorder="1"/>
    <xf numFmtId="44" fontId="0" fillId="0" borderId="12" xfId="2" applyFont="1" applyBorder="1"/>
    <xf numFmtId="8" fontId="0" fillId="0" borderId="14" xfId="0" applyNumberFormat="1" applyBorder="1"/>
    <xf numFmtId="0" fontId="22" fillId="5" borderId="64" xfId="0" applyFont="1" applyFill="1" applyBorder="1" applyAlignment="1" applyProtection="1">
      <alignment horizontal="center" vertical="center"/>
      <protection locked="0"/>
    </xf>
    <xf numFmtId="0" fontId="21" fillId="0" borderId="65" xfId="0" applyFont="1" applyFill="1" applyBorder="1" applyAlignment="1">
      <alignment vertical="center"/>
    </xf>
    <xf numFmtId="0" fontId="0" fillId="0" borderId="66" xfId="0" applyBorder="1"/>
    <xf numFmtId="44" fontId="21" fillId="0" borderId="60" xfId="0" applyNumberFormat="1" applyFont="1" applyBorder="1" applyAlignment="1">
      <alignment vertical="center"/>
    </xf>
    <xf numFmtId="4" fontId="22" fillId="10" borderId="61" xfId="0" applyNumberFormat="1" applyFont="1" applyFill="1" applyBorder="1" applyAlignment="1" applyProtection="1">
      <alignment horizontal="center" vertical="center" wrapText="1"/>
      <protection locked="0"/>
    </xf>
    <xf numFmtId="4" fontId="22" fillId="11" borderId="62" xfId="0" applyNumberFormat="1" applyFont="1" applyFill="1" applyBorder="1" applyAlignment="1" applyProtection="1">
      <alignment horizontal="center" vertical="center" wrapText="1"/>
      <protection locked="0"/>
    </xf>
    <xf numFmtId="4" fontId="22" fillId="12" borderId="63" xfId="0" applyNumberFormat="1" applyFont="1" applyFill="1" applyBorder="1" applyAlignment="1" applyProtection="1">
      <alignment horizontal="center" vertical="center" wrapText="1"/>
      <protection locked="0"/>
    </xf>
    <xf numFmtId="0" fontId="22" fillId="9" borderId="67" xfId="0" applyFont="1" applyFill="1" applyBorder="1" applyAlignment="1">
      <alignment horizontal="center" vertical="center" wrapText="1"/>
    </xf>
    <xf numFmtId="44" fontId="0" fillId="0" borderId="12" xfId="3" applyFont="1" applyBorder="1" applyAlignment="1"/>
    <xf numFmtId="0" fontId="0" fillId="0" borderId="6" xfId="0" applyBorder="1"/>
    <xf numFmtId="0" fontId="0" fillId="0" borderId="15" xfId="0" applyBorder="1"/>
    <xf numFmtId="44" fontId="0" fillId="0" borderId="15" xfId="2" applyFont="1" applyBorder="1" applyAlignment="1">
      <alignment horizontal="center"/>
    </xf>
    <xf numFmtId="8" fontId="0" fillId="0" borderId="8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6" xfId="0" applyBorder="1" applyAlignment="1"/>
    <xf numFmtId="0" fontId="0" fillId="0" borderId="15" xfId="0" applyBorder="1" applyAlignment="1"/>
    <xf numFmtId="0" fontId="0" fillId="0" borderId="8" xfId="0" applyBorder="1" applyAlignment="1"/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3" xfId="0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43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3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44" fontId="0" fillId="0" borderId="43" xfId="2" applyFont="1" applyBorder="1" applyAlignment="1">
      <alignment horizontal="center"/>
    </xf>
    <xf numFmtId="44" fontId="0" fillId="0" borderId="36" xfId="2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0" fillId="0" borderId="44" xfId="0" applyBorder="1" applyAlignment="1">
      <alignment horizontal="center"/>
    </xf>
    <xf numFmtId="44" fontId="0" fillId="0" borderId="41" xfId="2" applyFont="1" applyBorder="1" applyAlignment="1">
      <alignment horizontal="center"/>
    </xf>
    <xf numFmtId="44" fontId="0" fillId="0" borderId="42" xfId="2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43" xfId="0" applyBorder="1" applyAlignment="1">
      <alignment horizontal="left"/>
    </xf>
    <xf numFmtId="0" fontId="14" fillId="2" borderId="0" xfId="0" applyFont="1" applyFill="1" applyAlignment="1">
      <alignment horizont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4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 wrapText="1"/>
    </xf>
    <xf numFmtId="2" fontId="5" fillId="3" borderId="13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9" fontId="5" fillId="3" borderId="23" xfId="0" applyNumberFormat="1" applyFont="1" applyFill="1" applyBorder="1" applyAlignment="1">
      <alignment horizontal="right" vertical="center"/>
    </xf>
    <xf numFmtId="49" fontId="5" fillId="3" borderId="25" xfId="0" applyNumberFormat="1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5" fillId="2" borderId="27" xfId="0" applyNumberFormat="1" applyFont="1" applyFill="1" applyBorder="1" applyAlignment="1">
      <alignment horizontal="right" vertical="center"/>
    </xf>
    <xf numFmtId="49" fontId="5" fillId="2" borderId="21" xfId="0" applyNumberFormat="1" applyFont="1" applyFill="1" applyBorder="1" applyAlignment="1">
      <alignment horizontal="right" vertic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/>
    </xf>
    <xf numFmtId="49" fontId="3" fillId="0" borderId="4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8" fillId="0" borderId="1" xfId="0" quotePrefix="1" applyNumberFormat="1" applyFont="1" applyBorder="1" applyAlignment="1">
      <alignment horizontal="left"/>
    </xf>
    <xf numFmtId="49" fontId="8" fillId="0" borderId="0" xfId="0" quotePrefix="1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5" fillId="2" borderId="6" xfId="0" applyNumberFormat="1" applyFont="1" applyFill="1" applyBorder="1" applyAlignment="1">
      <alignment horizontal="right"/>
    </xf>
    <xf numFmtId="49" fontId="5" fillId="2" borderId="8" xfId="0" applyNumberFormat="1" applyFont="1" applyFill="1" applyBorder="1" applyAlignment="1">
      <alignment horizontal="right"/>
    </xf>
    <xf numFmtId="0" fontId="5" fillId="3" borderId="10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2" fontId="5" fillId="3" borderId="14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 wrapText="1"/>
    </xf>
    <xf numFmtId="0" fontId="5" fillId="3" borderId="1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49" fontId="5" fillId="2" borderId="27" xfId="0" applyNumberFormat="1" applyFont="1" applyFill="1" applyBorder="1" applyAlignment="1">
      <alignment horizontal="right"/>
    </xf>
    <xf numFmtId="49" fontId="5" fillId="2" borderId="20" xfId="0" applyNumberFormat="1" applyFont="1" applyFill="1" applyBorder="1" applyAlignment="1">
      <alignment horizontal="right"/>
    </xf>
    <xf numFmtId="49" fontId="3" fillId="0" borderId="4" xfId="0" applyNumberFormat="1" applyFont="1" applyBorder="1" applyAlignment="1">
      <alignment horizontal="left"/>
    </xf>
    <xf numFmtId="49" fontId="5" fillId="2" borderId="23" xfId="0" applyNumberFormat="1" applyFont="1" applyFill="1" applyBorder="1" applyAlignment="1">
      <alignment horizontal="right"/>
    </xf>
    <xf numFmtId="49" fontId="5" fillId="2" borderId="24" xfId="0" applyNumberFormat="1" applyFont="1" applyFill="1" applyBorder="1" applyAlignment="1">
      <alignment horizontal="right"/>
    </xf>
  </cellXfs>
  <cellStyles count="6">
    <cellStyle name="Comma_cac2006" xfId="1"/>
    <cellStyle name="Euro" xfId="2"/>
    <cellStyle name="Euro 2" xfId="5"/>
    <cellStyle name="Monétaire" xfId="3" builtinId="4"/>
    <cellStyle name="Normal" xfId="0" builtinId="0"/>
    <cellStyle name="Normal 2" xfId="4"/>
  </cellStyles>
  <dxfs count="57">
    <dxf>
      <font>
        <b/>
        <i val="0"/>
        <strike/>
        <condense val="0"/>
        <extend val="0"/>
        <color indexed="10"/>
      </font>
      <fill>
        <patternFill>
          <bgColor indexed="8"/>
        </patternFill>
      </fill>
    </dxf>
    <dxf>
      <font>
        <b/>
        <i val="0"/>
        <strike/>
        <condense val="0"/>
        <extend val="0"/>
        <color indexed="10"/>
      </font>
      <fill>
        <patternFill>
          <bgColor indexed="8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13607</xdr:rowOff>
    </xdr:from>
    <xdr:to>
      <xdr:col>12</xdr:col>
      <xdr:colOff>340178</xdr:colOff>
      <xdr:row>41</xdr:row>
      <xdr:rowOff>95250</xdr:rowOff>
    </xdr:to>
    <xdr:cxnSp macro="">
      <xdr:nvCxnSpPr>
        <xdr:cNvPr id="3" name="Connecteur droit 2"/>
        <xdr:cNvCxnSpPr/>
      </xdr:nvCxnSpPr>
      <xdr:spPr>
        <a:xfrm>
          <a:off x="381000" y="176893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489857</xdr:colOff>
      <xdr:row>2</xdr:row>
      <xdr:rowOff>54428</xdr:rowOff>
    </xdr:from>
    <xdr:to>
      <xdr:col>11</xdr:col>
      <xdr:colOff>802821</xdr:colOff>
      <xdr:row>40</xdr:row>
      <xdr:rowOff>136071</xdr:rowOff>
    </xdr:to>
    <xdr:cxnSp macro="">
      <xdr:nvCxnSpPr>
        <xdr:cNvPr id="4" name="Connecteur droit 3"/>
        <xdr:cNvCxnSpPr/>
      </xdr:nvCxnSpPr>
      <xdr:spPr>
        <a:xfrm flipH="1">
          <a:off x="489857" y="394607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2" name="Text Box 1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3" name="Text Box 2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85725</xdr:colOff>
      <xdr:row>83</xdr:row>
      <xdr:rowOff>209550</xdr:rowOff>
    </xdr:to>
    <xdr:sp macro="" textlink="">
      <xdr:nvSpPr>
        <xdr:cNvPr id="1504" name="Text Box 3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85725</xdr:colOff>
      <xdr:row>83</xdr:row>
      <xdr:rowOff>209550</xdr:rowOff>
    </xdr:to>
    <xdr:sp macro="" textlink="">
      <xdr:nvSpPr>
        <xdr:cNvPr id="1505" name="Text Box 4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6" name="Text Box 3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7" name="Text Box 4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217715</xdr:colOff>
      <xdr:row>2</xdr:row>
      <xdr:rowOff>136071</xdr:rowOff>
    </xdr:from>
    <xdr:to>
      <xdr:col>6</xdr:col>
      <xdr:colOff>81643</xdr:colOff>
      <xdr:row>70</xdr:row>
      <xdr:rowOff>54428</xdr:rowOff>
    </xdr:to>
    <xdr:cxnSp macro="">
      <xdr:nvCxnSpPr>
        <xdr:cNvPr id="8" name="Connecteur droit 7"/>
        <xdr:cNvCxnSpPr/>
      </xdr:nvCxnSpPr>
      <xdr:spPr>
        <a:xfrm>
          <a:off x="217715" y="476250"/>
          <a:ext cx="7837714" cy="11742964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81643</xdr:colOff>
      <xdr:row>2</xdr:row>
      <xdr:rowOff>136071</xdr:rowOff>
    </xdr:from>
    <xdr:to>
      <xdr:col>5</xdr:col>
      <xdr:colOff>163286</xdr:colOff>
      <xdr:row>74</xdr:row>
      <xdr:rowOff>136071</xdr:rowOff>
    </xdr:to>
    <xdr:cxnSp macro="">
      <xdr:nvCxnSpPr>
        <xdr:cNvPr id="9" name="Connecteur droit 8"/>
        <xdr:cNvCxnSpPr/>
      </xdr:nvCxnSpPr>
      <xdr:spPr>
        <a:xfrm flipH="1">
          <a:off x="81643" y="476250"/>
          <a:ext cx="7293429" cy="12477750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22"/>
  <sheetViews>
    <sheetView workbookViewId="0">
      <selection activeCell="D16" sqref="D16"/>
    </sheetView>
  </sheetViews>
  <sheetFormatPr baseColWidth="10" defaultRowHeight="12.75"/>
  <cols>
    <col min="1" max="1" width="10.7109375" bestFit="1" customWidth="1"/>
  </cols>
  <sheetData>
    <row r="1" spans="1:12" ht="13.5" thickBot="1">
      <c r="A1" s="302" t="s">
        <v>58</v>
      </c>
      <c r="B1" s="303"/>
      <c r="C1" s="303"/>
      <c r="D1" s="304"/>
      <c r="G1" s="318" t="s">
        <v>66</v>
      </c>
      <c r="H1" s="319"/>
      <c r="I1" s="319"/>
      <c r="J1" s="319"/>
      <c r="K1" s="320"/>
      <c r="L1" s="196"/>
    </row>
    <row r="2" spans="1:12" ht="13.5" thickBot="1">
      <c r="A2" s="187" t="s">
        <v>59</v>
      </c>
      <c r="B2" s="311"/>
      <c r="C2" s="311"/>
      <c r="D2" s="306"/>
      <c r="G2" s="208" t="s">
        <v>76</v>
      </c>
      <c r="H2" s="324" t="s">
        <v>67</v>
      </c>
      <c r="I2" s="325"/>
      <c r="J2" s="326"/>
      <c r="K2" s="202" t="s">
        <v>71</v>
      </c>
    </row>
    <row r="3" spans="1:12">
      <c r="A3" s="6" t="s">
        <v>60</v>
      </c>
      <c r="B3" s="312"/>
      <c r="C3" s="312"/>
      <c r="D3" s="308"/>
      <c r="G3" s="207">
        <v>512000</v>
      </c>
      <c r="H3" s="283" t="s">
        <v>68</v>
      </c>
      <c r="I3" s="283"/>
      <c r="J3" s="283"/>
      <c r="K3" s="204">
        <v>100</v>
      </c>
    </row>
    <row r="4" spans="1:12">
      <c r="A4" s="6"/>
      <c r="B4" s="312"/>
      <c r="C4" s="312"/>
      <c r="D4" s="308"/>
      <c r="G4" s="192">
        <v>512100</v>
      </c>
      <c r="H4" s="327" t="s">
        <v>69</v>
      </c>
      <c r="I4" s="327"/>
      <c r="J4" s="327"/>
      <c r="K4" s="197">
        <v>200</v>
      </c>
    </row>
    <row r="5" spans="1:12">
      <c r="A5" s="6"/>
      <c r="B5" s="188"/>
      <c r="C5" s="188"/>
      <c r="D5" s="186"/>
      <c r="G5" s="192">
        <v>512200</v>
      </c>
      <c r="H5" s="327" t="s">
        <v>70</v>
      </c>
      <c r="I5" s="327"/>
      <c r="J5" s="327"/>
      <c r="K5" s="197">
        <v>300</v>
      </c>
    </row>
    <row r="6" spans="1:12" ht="13.5" thickBot="1">
      <c r="A6" s="6"/>
      <c r="B6" s="190"/>
      <c r="C6" s="190"/>
      <c r="D6" s="191"/>
      <c r="G6" s="198"/>
      <c r="H6" s="327"/>
      <c r="I6" s="327"/>
      <c r="J6" s="327"/>
      <c r="K6" s="199"/>
    </row>
    <row r="7" spans="1:12" ht="13.5" thickBot="1">
      <c r="A7" s="6" t="s">
        <v>61</v>
      </c>
      <c r="B7" s="305"/>
      <c r="C7" s="306"/>
      <c r="D7" s="10"/>
      <c r="G7" s="200"/>
      <c r="H7" s="328"/>
      <c r="I7" s="328"/>
      <c r="J7" s="328"/>
      <c r="K7" s="201"/>
    </row>
    <row r="8" spans="1:12">
      <c r="A8" s="6"/>
      <c r="B8" s="307"/>
      <c r="C8" s="308"/>
      <c r="D8" s="10"/>
    </row>
    <row r="9" spans="1:12">
      <c r="A9" s="6"/>
      <c r="B9" s="307"/>
      <c r="C9" s="308"/>
      <c r="D9" s="10"/>
    </row>
    <row r="10" spans="1:12" ht="13.5" thickBot="1">
      <c r="A10" s="6"/>
      <c r="B10" s="307"/>
      <c r="C10" s="308"/>
      <c r="D10" s="10"/>
    </row>
    <row r="11" spans="1:12" ht="13.5" thickBot="1">
      <c r="A11" s="6"/>
      <c r="B11" s="307"/>
      <c r="C11" s="308"/>
      <c r="D11" s="10"/>
      <c r="G11" s="290" t="s">
        <v>72</v>
      </c>
      <c r="H11" s="291"/>
      <c r="I11" s="292"/>
      <c r="J11" s="203"/>
      <c r="K11" s="203"/>
    </row>
    <row r="12" spans="1:12" ht="13.5" thickBot="1">
      <c r="A12" s="6"/>
      <c r="B12" s="309"/>
      <c r="C12" s="310"/>
      <c r="D12" s="10"/>
      <c r="G12" s="202" t="s">
        <v>76</v>
      </c>
      <c r="H12" s="321" t="s">
        <v>71</v>
      </c>
      <c r="I12" s="299"/>
    </row>
    <row r="13" spans="1:12" ht="13.5" thickBot="1">
      <c r="A13" s="29"/>
      <c r="B13" s="189"/>
      <c r="C13" s="189"/>
      <c r="D13" s="49"/>
      <c r="G13" s="193">
        <v>513000</v>
      </c>
      <c r="H13" s="322">
        <v>200</v>
      </c>
      <c r="I13" s="323"/>
    </row>
    <row r="14" spans="1:12" ht="13.5" thickBot="1">
      <c r="G14" s="209"/>
      <c r="H14" s="313"/>
      <c r="I14" s="314"/>
    </row>
    <row r="15" spans="1:12" ht="13.5" thickBot="1">
      <c r="A15" s="287" t="s">
        <v>110</v>
      </c>
      <c r="B15" s="288"/>
      <c r="C15" s="289"/>
      <c r="D15" s="202">
        <v>1980</v>
      </c>
    </row>
    <row r="16" spans="1:12" ht="13.5" thickBot="1">
      <c r="A16" s="284" t="s">
        <v>111</v>
      </c>
      <c r="B16" s="285"/>
      <c r="C16" s="286"/>
      <c r="D16" s="202">
        <f>C20</f>
        <v>2015</v>
      </c>
    </row>
    <row r="17" spans="1:9" ht="13.5" thickBot="1"/>
    <row r="18" spans="1:9" ht="13.5" thickBot="1">
      <c r="G18" s="315" t="s">
        <v>73</v>
      </c>
      <c r="H18" s="316"/>
      <c r="I18" s="317"/>
    </row>
    <row r="19" spans="1:9" ht="13.5" thickBot="1">
      <c r="A19" s="290" t="s">
        <v>65</v>
      </c>
      <c r="B19" s="291"/>
      <c r="C19" s="291"/>
      <c r="D19" s="291"/>
      <c r="E19" s="292"/>
      <c r="G19" s="282" t="s">
        <v>74</v>
      </c>
      <c r="H19" s="283"/>
      <c r="I19" s="204">
        <v>0</v>
      </c>
    </row>
    <row r="20" spans="1:9">
      <c r="A20" s="300" t="s">
        <v>62</v>
      </c>
      <c r="B20" s="298"/>
      <c r="C20" s="298">
        <v>2015</v>
      </c>
      <c r="D20" s="298"/>
      <c r="E20" s="299"/>
      <c r="G20" s="6"/>
      <c r="H20" s="2"/>
      <c r="I20" s="10"/>
    </row>
    <row r="21" spans="1:9" ht="13.5" thickBot="1">
      <c r="A21" s="301" t="s">
        <v>63</v>
      </c>
      <c r="B21" s="296"/>
      <c r="C21" s="295">
        <v>42005</v>
      </c>
      <c r="D21" s="296"/>
      <c r="E21" s="194">
        <f>C21</f>
        <v>42005</v>
      </c>
      <c r="G21" s="29"/>
      <c r="H21" s="189"/>
      <c r="I21" s="49"/>
    </row>
    <row r="22" spans="1:9" ht="13.5" thickBot="1">
      <c r="A22" s="293" t="s">
        <v>64</v>
      </c>
      <c r="B22" s="294"/>
      <c r="C22" s="297">
        <v>42369</v>
      </c>
      <c r="D22" s="294"/>
      <c r="E22" s="195">
        <f>C22</f>
        <v>42369</v>
      </c>
    </row>
  </sheetData>
  <mergeCells count="27">
    <mergeCell ref="H14:I14"/>
    <mergeCell ref="G18:I18"/>
    <mergeCell ref="G1:K1"/>
    <mergeCell ref="H12:I12"/>
    <mergeCell ref="H13:I13"/>
    <mergeCell ref="G11:I11"/>
    <mergeCell ref="H2:J2"/>
    <mergeCell ref="H3:J3"/>
    <mergeCell ref="H4:J4"/>
    <mergeCell ref="H5:J5"/>
    <mergeCell ref="H6:J6"/>
    <mergeCell ref="H7:J7"/>
    <mergeCell ref="A1:D1"/>
    <mergeCell ref="B7:C12"/>
    <mergeCell ref="B2:D2"/>
    <mergeCell ref="B3:D3"/>
    <mergeCell ref="B4:D4"/>
    <mergeCell ref="G19:H19"/>
    <mergeCell ref="A16:C16"/>
    <mergeCell ref="A15:C15"/>
    <mergeCell ref="A19:E19"/>
    <mergeCell ref="A22:B22"/>
    <mergeCell ref="C21:D21"/>
    <mergeCell ref="C22:D22"/>
    <mergeCell ref="C20:E20"/>
    <mergeCell ref="A20:B20"/>
    <mergeCell ref="A21:B21"/>
  </mergeCells>
  <phoneticPr fontId="19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360"/>
  <sheetViews>
    <sheetView showGridLines="0" workbookViewId="0">
      <selection activeCell="D6" sqref="D6"/>
    </sheetView>
  </sheetViews>
  <sheetFormatPr baseColWidth="10" defaultRowHeight="12.75"/>
  <cols>
    <col min="1" max="1" width="5.85546875" style="183" customWidth="1"/>
    <col min="2" max="2" width="15" style="172" bestFit="1" customWidth="1"/>
    <col min="3" max="3" width="84" style="173" bestFit="1" customWidth="1"/>
    <col min="4" max="16384" width="11.42578125" style="173"/>
  </cols>
  <sheetData>
    <row r="1" spans="2:3" ht="26.25" customHeight="1">
      <c r="B1" s="329" t="s">
        <v>9</v>
      </c>
      <c r="C1" s="329"/>
    </row>
    <row r="2" spans="2:3" ht="13.5" customHeight="1">
      <c r="B2" s="174"/>
      <c r="C2" s="174"/>
    </row>
    <row r="4" spans="2:3" ht="15">
      <c r="B4" s="175" t="s">
        <v>5</v>
      </c>
      <c r="C4" s="175" t="s">
        <v>6</v>
      </c>
    </row>
    <row r="5" spans="2:3">
      <c r="B5" s="176"/>
      <c r="C5" s="176" t="s">
        <v>546</v>
      </c>
    </row>
    <row r="6" spans="2:3">
      <c r="B6" s="177"/>
      <c r="C6" s="178" t="s">
        <v>275</v>
      </c>
    </row>
    <row r="7" spans="2:3">
      <c r="B7" s="179">
        <v>601000</v>
      </c>
      <c r="C7" s="171" t="s">
        <v>276</v>
      </c>
    </row>
    <row r="8" spans="2:3">
      <c r="B8" s="179">
        <v>601100</v>
      </c>
      <c r="C8" s="171" t="s">
        <v>202</v>
      </c>
    </row>
    <row r="9" spans="2:3">
      <c r="B9" s="179">
        <v>602000</v>
      </c>
      <c r="C9" s="171" t="s">
        <v>277</v>
      </c>
    </row>
    <row r="10" spans="2:3">
      <c r="B10" s="179">
        <f>LEFT(C10,4)*100</f>
        <v>602100</v>
      </c>
      <c r="C10" s="171" t="s">
        <v>278</v>
      </c>
    </row>
    <row r="11" spans="2:3">
      <c r="B11" s="179">
        <f>LEFT(C11,4)*100</f>
        <v>602200</v>
      </c>
      <c r="C11" s="171" t="s">
        <v>279</v>
      </c>
    </row>
    <row r="12" spans="2:3">
      <c r="B12" s="179">
        <f>LEFT(C12,5)*10</f>
        <v>602210</v>
      </c>
      <c r="C12" s="171" t="s">
        <v>280</v>
      </c>
    </row>
    <row r="13" spans="2:3">
      <c r="B13" s="179">
        <f>LEFT(C13,5)*10</f>
        <v>602220</v>
      </c>
      <c r="C13" s="171" t="s">
        <v>281</v>
      </c>
    </row>
    <row r="14" spans="2:3">
      <c r="B14" s="179">
        <f>LEFT(C14,5)*10</f>
        <v>602230</v>
      </c>
      <c r="C14" s="171" t="s">
        <v>282</v>
      </c>
    </row>
    <row r="15" spans="2:3">
      <c r="B15" s="179">
        <f>LEFT(C15,5)*10</f>
        <v>602240</v>
      </c>
      <c r="C15" s="171" t="s">
        <v>283</v>
      </c>
    </row>
    <row r="16" spans="2:3">
      <c r="B16" s="179">
        <f>LEFT(C16,5)*10</f>
        <v>602250</v>
      </c>
      <c r="C16" s="171" t="s">
        <v>284</v>
      </c>
    </row>
    <row r="17" spans="2:3">
      <c r="B17" s="179">
        <f>LEFT(C17,3)*1000</f>
        <v>603000</v>
      </c>
      <c r="C17" s="171" t="s">
        <v>285</v>
      </c>
    </row>
    <row r="18" spans="2:3">
      <c r="B18" s="179">
        <f>LEFT(C18,3)*1000</f>
        <v>604000</v>
      </c>
      <c r="C18" s="171" t="s">
        <v>286</v>
      </c>
    </row>
    <row r="19" spans="2:3">
      <c r="B19" s="179">
        <v>604100</v>
      </c>
      <c r="C19" s="171" t="s">
        <v>203</v>
      </c>
    </row>
    <row r="20" spans="2:3">
      <c r="B20" s="179">
        <v>604200</v>
      </c>
      <c r="C20" s="171" t="s">
        <v>204</v>
      </c>
    </row>
    <row r="21" spans="2:3">
      <c r="B21" s="179">
        <v>604300</v>
      </c>
      <c r="C21" s="171" t="s">
        <v>205</v>
      </c>
    </row>
    <row r="22" spans="2:3">
      <c r="B22" s="179">
        <v>604400</v>
      </c>
      <c r="C22" s="171" t="s">
        <v>206</v>
      </c>
    </row>
    <row r="23" spans="2:3">
      <c r="B23" s="179">
        <f>LEFT(C23,3)*1000</f>
        <v>605000</v>
      </c>
      <c r="C23" s="171" t="s">
        <v>287</v>
      </c>
    </row>
    <row r="24" spans="2:3">
      <c r="B24" s="179">
        <f>LEFT(C24,3)*1000</f>
        <v>606000</v>
      </c>
      <c r="C24" s="171" t="s">
        <v>288</v>
      </c>
    </row>
    <row r="25" spans="2:3">
      <c r="B25" s="179">
        <v>606100</v>
      </c>
      <c r="C25" s="171" t="s">
        <v>207</v>
      </c>
    </row>
    <row r="26" spans="2:3">
      <c r="B26" s="179">
        <v>606200</v>
      </c>
      <c r="C26" s="171" t="s">
        <v>208</v>
      </c>
    </row>
    <row r="27" spans="2:3">
      <c r="B27" s="179">
        <v>606300</v>
      </c>
      <c r="C27" s="171" t="s">
        <v>209</v>
      </c>
    </row>
    <row r="28" spans="2:3">
      <c r="B28" s="179">
        <v>606400</v>
      </c>
      <c r="C28" s="171" t="s">
        <v>210</v>
      </c>
    </row>
    <row r="29" spans="2:3">
      <c r="B29" s="179">
        <v>606500</v>
      </c>
      <c r="C29" s="171" t="s">
        <v>211</v>
      </c>
    </row>
    <row r="30" spans="2:3">
      <c r="B30" s="179">
        <f>LEFT(C30,4)*100</f>
        <v>606100</v>
      </c>
      <c r="C30" s="171" t="s">
        <v>289</v>
      </c>
    </row>
    <row r="31" spans="2:3">
      <c r="B31" s="179">
        <f>LEFT(C31,4)*100</f>
        <v>606300</v>
      </c>
      <c r="C31" s="171" t="s">
        <v>290</v>
      </c>
    </row>
    <row r="32" spans="2:3">
      <c r="B32" s="179">
        <f>LEFT(C32,4)*100</f>
        <v>606400</v>
      </c>
      <c r="C32" s="171" t="s">
        <v>291</v>
      </c>
    </row>
    <row r="33" spans="2:3">
      <c r="B33" s="179">
        <f>LEFT(C33,4)*100</f>
        <v>606500</v>
      </c>
      <c r="C33" s="171" t="s">
        <v>292</v>
      </c>
    </row>
    <row r="34" spans="2:3">
      <c r="B34" s="179">
        <f>LEFT(C34,4)*100</f>
        <v>606800</v>
      </c>
      <c r="C34" s="171" t="s">
        <v>293</v>
      </c>
    </row>
    <row r="35" spans="2:3">
      <c r="B35" s="179">
        <f>LEFT(C35,3)*1000</f>
        <v>607000</v>
      </c>
      <c r="C35" s="171" t="s">
        <v>294</v>
      </c>
    </row>
    <row r="36" spans="2:3">
      <c r="B36" s="179">
        <v>607100</v>
      </c>
      <c r="C36" s="171" t="s">
        <v>212</v>
      </c>
    </row>
    <row r="37" spans="2:3">
      <c r="B37" s="179">
        <v>607200</v>
      </c>
      <c r="C37" s="171" t="s">
        <v>213</v>
      </c>
    </row>
    <row r="38" spans="2:3">
      <c r="B38" s="179">
        <v>607300</v>
      </c>
      <c r="C38" s="171" t="s">
        <v>214</v>
      </c>
    </row>
    <row r="39" spans="2:3">
      <c r="B39" s="179">
        <v>607400</v>
      </c>
      <c r="C39" s="171" t="s">
        <v>215</v>
      </c>
    </row>
    <row r="40" spans="2:3">
      <c r="B40" s="179">
        <f>LEFT(C40,3)*1000</f>
        <v>608000</v>
      </c>
      <c r="C40" s="171" t="s">
        <v>295</v>
      </c>
    </row>
    <row r="41" spans="2:3">
      <c r="B41" s="179">
        <f>LEFT(C41,3)*1000</f>
        <v>609000</v>
      </c>
      <c r="C41" s="171" t="s">
        <v>296</v>
      </c>
    </row>
    <row r="42" spans="2:3">
      <c r="B42" s="180"/>
      <c r="C42" s="178" t="s">
        <v>297</v>
      </c>
    </row>
    <row r="43" spans="2:3">
      <c r="B43" s="177"/>
      <c r="C43" s="178" t="s">
        <v>298</v>
      </c>
    </row>
    <row r="44" spans="2:3">
      <c r="B44" s="179">
        <f>LEFT(C44,3)*1000</f>
        <v>611000</v>
      </c>
      <c r="C44" s="171" t="s">
        <v>299</v>
      </c>
    </row>
    <row r="45" spans="2:3">
      <c r="B45" s="179">
        <f>LEFT(C45,3)*1000</f>
        <v>612000</v>
      </c>
      <c r="C45" s="171" t="s">
        <v>300</v>
      </c>
    </row>
    <row r="46" spans="2:3">
      <c r="B46" s="179">
        <f>LEFT(C46,4)*100</f>
        <v>612200</v>
      </c>
      <c r="C46" s="171" t="s">
        <v>301</v>
      </c>
    </row>
    <row r="47" spans="2:3">
      <c r="B47" s="179">
        <f>LEFT(C47,4)*100</f>
        <v>612500</v>
      </c>
      <c r="C47" s="171" t="s">
        <v>302</v>
      </c>
    </row>
    <row r="48" spans="2:3">
      <c r="B48" s="179">
        <f>LEFT(C48,3)*1000</f>
        <v>613000</v>
      </c>
      <c r="C48" s="171" t="s">
        <v>303</v>
      </c>
    </row>
    <row r="49" spans="2:3">
      <c r="B49" s="179">
        <f>LEFT(C49,4)*100</f>
        <v>613200</v>
      </c>
      <c r="C49" s="171" t="s">
        <v>304</v>
      </c>
    </row>
    <row r="50" spans="2:3">
      <c r="B50" s="179">
        <v>613300</v>
      </c>
      <c r="C50" s="171" t="s">
        <v>216</v>
      </c>
    </row>
    <row r="51" spans="2:3">
      <c r="B51" s="179">
        <v>613400</v>
      </c>
      <c r="C51" s="171" t="s">
        <v>217</v>
      </c>
    </row>
    <row r="52" spans="2:3">
      <c r="B52" s="179">
        <f>LEFT(C52,4)*100</f>
        <v>613500</v>
      </c>
      <c r="C52" s="171" t="s">
        <v>305</v>
      </c>
    </row>
    <row r="53" spans="2:3">
      <c r="B53" s="179">
        <f>LEFT(C53,4)*100</f>
        <v>613600</v>
      </c>
      <c r="C53" s="171" t="s">
        <v>306</v>
      </c>
    </row>
    <row r="54" spans="2:3">
      <c r="B54" s="179">
        <f>LEFT(C54,3)*1000</f>
        <v>614000</v>
      </c>
      <c r="C54" s="171" t="s">
        <v>307</v>
      </c>
    </row>
    <row r="55" spans="2:3">
      <c r="B55" s="179">
        <f>LEFT(C55,3)*1000</f>
        <v>615000</v>
      </c>
      <c r="C55" s="171" t="s">
        <v>308</v>
      </c>
    </row>
    <row r="56" spans="2:3">
      <c r="B56" s="179">
        <v>615100</v>
      </c>
      <c r="C56" s="171" t="s">
        <v>218</v>
      </c>
    </row>
    <row r="57" spans="2:3">
      <c r="B57" s="179">
        <f>LEFT(C57,4)*100</f>
        <v>615200</v>
      </c>
      <c r="C57" s="171" t="s">
        <v>309</v>
      </c>
    </row>
    <row r="58" spans="2:3">
      <c r="B58" s="179">
        <v>615300</v>
      </c>
      <c r="C58" s="171" t="s">
        <v>219</v>
      </c>
    </row>
    <row r="59" spans="2:3">
      <c r="B59" s="179">
        <f>LEFT(C59,4)*100</f>
        <v>615500</v>
      </c>
      <c r="C59" s="171" t="s">
        <v>310</v>
      </c>
    </row>
    <row r="60" spans="2:3">
      <c r="B60" s="179">
        <f>LEFT(C60,4)*100</f>
        <v>615600</v>
      </c>
      <c r="C60" s="171" t="s">
        <v>311</v>
      </c>
    </row>
    <row r="61" spans="2:3">
      <c r="B61" s="179">
        <f>LEFT(C61,3)*1000</f>
        <v>616000</v>
      </c>
      <c r="C61" s="171" t="s">
        <v>312</v>
      </c>
    </row>
    <row r="62" spans="2:3">
      <c r="B62" s="179">
        <v>616100</v>
      </c>
      <c r="C62" s="171" t="s">
        <v>313</v>
      </c>
    </row>
    <row r="63" spans="2:3">
      <c r="B63" s="179">
        <f>LEFT(C63,4)*100</f>
        <v>616200</v>
      </c>
      <c r="C63" s="171" t="s">
        <v>314</v>
      </c>
    </row>
    <row r="64" spans="2:3">
      <c r="B64" s="179">
        <f>LEFT(C64,4)*100</f>
        <v>616300</v>
      </c>
      <c r="C64" s="171" t="s">
        <v>315</v>
      </c>
    </row>
    <row r="65" spans="2:3">
      <c r="B65" s="179">
        <f>LEFT(C65,4)*100</f>
        <v>616400</v>
      </c>
      <c r="C65" s="171" t="s">
        <v>316</v>
      </c>
    </row>
    <row r="66" spans="2:3">
      <c r="B66" s="179">
        <f>LEFT(C66,4)*100</f>
        <v>616500</v>
      </c>
      <c r="C66" s="171" t="s">
        <v>317</v>
      </c>
    </row>
    <row r="67" spans="2:3">
      <c r="B67" s="179">
        <f>LEFT(C67,4)*100</f>
        <v>616800</v>
      </c>
      <c r="C67" s="171" t="s">
        <v>318</v>
      </c>
    </row>
    <row r="68" spans="2:3">
      <c r="B68" s="179">
        <f>LEFT(C68,3)*1000</f>
        <v>617000</v>
      </c>
      <c r="C68" s="171" t="s">
        <v>319</v>
      </c>
    </row>
    <row r="69" spans="2:3">
      <c r="B69" s="179">
        <f>LEFT(C69,3)*1000</f>
        <v>618000</v>
      </c>
      <c r="C69" s="171" t="s">
        <v>320</v>
      </c>
    </row>
    <row r="70" spans="2:3">
      <c r="B70" s="179">
        <f>LEFT(C70,4)*100</f>
        <v>618100</v>
      </c>
      <c r="C70" s="171" t="s">
        <v>321</v>
      </c>
    </row>
    <row r="71" spans="2:3">
      <c r="B71" s="179">
        <v>618200</v>
      </c>
      <c r="C71" s="171" t="s">
        <v>220</v>
      </c>
    </row>
    <row r="72" spans="2:3">
      <c r="B72" s="179">
        <f>LEFT(C72,4)*100</f>
        <v>618300</v>
      </c>
      <c r="C72" s="171" t="s">
        <v>221</v>
      </c>
    </row>
    <row r="73" spans="2:3">
      <c r="B73" s="179">
        <f>LEFT(C73,4)*100</f>
        <v>618500</v>
      </c>
      <c r="C73" s="171" t="s">
        <v>322</v>
      </c>
    </row>
    <row r="74" spans="2:3">
      <c r="B74" s="179">
        <f>LEFT(C74,3)*1000</f>
        <v>619000</v>
      </c>
      <c r="C74" s="171" t="s">
        <v>323</v>
      </c>
    </row>
    <row r="75" spans="2:3">
      <c r="B75" s="177"/>
      <c r="C75" s="178" t="s">
        <v>324</v>
      </c>
    </row>
    <row r="76" spans="2:3">
      <c r="B76" s="179">
        <f>LEFT(C76,3)*1000</f>
        <v>621000</v>
      </c>
      <c r="C76" s="171" t="s">
        <v>325</v>
      </c>
    </row>
    <row r="77" spans="2:3">
      <c r="B77" s="179">
        <f>LEFT(C77,4)*100</f>
        <v>621100</v>
      </c>
      <c r="C77" s="171" t="s">
        <v>326</v>
      </c>
    </row>
    <row r="78" spans="2:3">
      <c r="B78" s="179">
        <f>LEFT(C78,4)*100</f>
        <v>621400</v>
      </c>
      <c r="C78" s="171" t="s">
        <v>327</v>
      </c>
    </row>
    <row r="79" spans="2:3">
      <c r="B79" s="179">
        <f>LEFT(C79,3)*1000</f>
        <v>622000</v>
      </c>
      <c r="C79" s="171" t="s">
        <v>328</v>
      </c>
    </row>
    <row r="80" spans="2:3">
      <c r="B80" s="179">
        <f>LEFT(C80,4)*100</f>
        <v>622100</v>
      </c>
      <c r="C80" s="171" t="s">
        <v>329</v>
      </c>
    </row>
    <row r="81" spans="2:3">
      <c r="B81" s="179">
        <f>LEFT(C81,4)*100</f>
        <v>622200</v>
      </c>
      <c r="C81" s="171" t="s">
        <v>330</v>
      </c>
    </row>
    <row r="82" spans="2:3">
      <c r="B82" s="179">
        <v>622300</v>
      </c>
      <c r="C82" s="171" t="s">
        <v>222</v>
      </c>
    </row>
    <row r="83" spans="2:3">
      <c r="B83" s="179">
        <v>622400</v>
      </c>
      <c r="C83" s="171" t="s">
        <v>223</v>
      </c>
    </row>
    <row r="84" spans="2:3">
      <c r="B84" s="179">
        <v>622500</v>
      </c>
      <c r="C84" s="171" t="s">
        <v>224</v>
      </c>
    </row>
    <row r="85" spans="2:3">
      <c r="B85" s="179">
        <f>LEFT(C85,4)*100</f>
        <v>622600</v>
      </c>
      <c r="C85" s="171" t="s">
        <v>331</v>
      </c>
    </row>
    <row r="86" spans="2:3">
      <c r="B86" s="179">
        <f>LEFT(C86,4)*100</f>
        <v>622700</v>
      </c>
      <c r="C86" s="171" t="s">
        <v>332</v>
      </c>
    </row>
    <row r="87" spans="2:3">
      <c r="B87" s="179">
        <f>LEFT(C87,4)*100</f>
        <v>622800</v>
      </c>
      <c r="C87" s="171" t="s">
        <v>333</v>
      </c>
    </row>
    <row r="88" spans="2:3">
      <c r="B88" s="179">
        <f>LEFT(C88,3)*1000</f>
        <v>623000</v>
      </c>
      <c r="C88" s="171" t="s">
        <v>334</v>
      </c>
    </row>
    <row r="89" spans="2:3">
      <c r="B89" s="179">
        <f>LEFT(C89,4)*100</f>
        <v>623100</v>
      </c>
      <c r="C89" s="171" t="s">
        <v>335</v>
      </c>
    </row>
    <row r="90" spans="2:3">
      <c r="B90" s="179">
        <f>LEFT(C90,4)*100</f>
        <v>623200</v>
      </c>
      <c r="C90" s="171" t="s">
        <v>336</v>
      </c>
    </row>
    <row r="91" spans="2:3">
      <c r="B91" s="179">
        <f>LEFT(C91,4)*100</f>
        <v>623300</v>
      </c>
      <c r="C91" s="171" t="s">
        <v>337</v>
      </c>
    </row>
    <row r="92" spans="2:3">
      <c r="B92" s="179">
        <f>LEFT(C92,4)*100</f>
        <v>623400</v>
      </c>
      <c r="C92" s="171" t="s">
        <v>338</v>
      </c>
    </row>
    <row r="93" spans="2:3">
      <c r="B93" s="179">
        <v>623500</v>
      </c>
      <c r="C93" s="171" t="s">
        <v>225</v>
      </c>
    </row>
    <row r="94" spans="2:3">
      <c r="B94" s="179">
        <f>LEFT(C94,4)*100</f>
        <v>623600</v>
      </c>
      <c r="C94" s="171" t="s">
        <v>339</v>
      </c>
    </row>
    <row r="95" spans="2:3">
      <c r="B95" s="179">
        <f>LEFT(C95,4)*100</f>
        <v>623700</v>
      </c>
      <c r="C95" s="171" t="s">
        <v>340</v>
      </c>
    </row>
    <row r="96" spans="2:3">
      <c r="B96" s="179">
        <f>LEFT(C96,4)*100</f>
        <v>623800</v>
      </c>
      <c r="C96" s="171" t="s">
        <v>341</v>
      </c>
    </row>
    <row r="97" spans="2:3">
      <c r="B97" s="179">
        <f>LEFT(C97,3)*1000</f>
        <v>624000</v>
      </c>
      <c r="C97" s="171" t="s">
        <v>342</v>
      </c>
    </row>
    <row r="98" spans="2:3">
      <c r="B98" s="179">
        <v>624100</v>
      </c>
      <c r="C98" s="171" t="s">
        <v>226</v>
      </c>
    </row>
    <row r="99" spans="2:3">
      <c r="B99" s="179">
        <v>624200</v>
      </c>
      <c r="C99" s="171" t="s">
        <v>227</v>
      </c>
    </row>
    <row r="100" spans="2:3">
      <c r="B100" s="179">
        <v>624300</v>
      </c>
      <c r="C100" s="171" t="s">
        <v>228</v>
      </c>
    </row>
    <row r="101" spans="2:3">
      <c r="B101" s="179">
        <v>624400</v>
      </c>
      <c r="C101" s="171" t="s">
        <v>229</v>
      </c>
    </row>
    <row r="102" spans="2:3">
      <c r="B102" s="179">
        <f>LEFT(C102,3)*1000</f>
        <v>625000</v>
      </c>
      <c r="C102" s="171" t="s">
        <v>343</v>
      </c>
    </row>
    <row r="103" spans="2:3">
      <c r="B103" s="179">
        <f>LEFT(C103,4)*100</f>
        <v>625100</v>
      </c>
      <c r="C103" s="171" t="s">
        <v>344</v>
      </c>
    </row>
    <row r="104" spans="2:3">
      <c r="B104" s="179">
        <v>625200</v>
      </c>
      <c r="C104" s="171" t="s">
        <v>230</v>
      </c>
    </row>
    <row r="105" spans="2:3">
      <c r="B105" s="179">
        <v>625400</v>
      </c>
      <c r="C105" s="171" t="s">
        <v>231</v>
      </c>
    </row>
    <row r="106" spans="2:3">
      <c r="B106" s="179">
        <f>LEFT(C106,4)*100</f>
        <v>625500</v>
      </c>
      <c r="C106" s="171" t="s">
        <v>345</v>
      </c>
    </row>
    <row r="107" spans="2:3">
      <c r="B107" s="179">
        <f>LEFT(C107,4)*100</f>
        <v>625600</v>
      </c>
      <c r="C107" s="171" t="s">
        <v>346</v>
      </c>
    </row>
    <row r="108" spans="2:3">
      <c r="B108" s="179">
        <f>LEFT(C108,4)*100</f>
        <v>625700</v>
      </c>
      <c r="C108" s="171" t="s">
        <v>347</v>
      </c>
    </row>
    <row r="109" spans="2:3">
      <c r="B109" s="179">
        <f>LEFT(C109,3)*1000</f>
        <v>626000</v>
      </c>
      <c r="C109" s="171" t="s">
        <v>348</v>
      </c>
    </row>
    <row r="110" spans="2:3">
      <c r="B110" s="179">
        <f>LEFT(C110,4)*100</f>
        <v>626100</v>
      </c>
      <c r="C110" s="171" t="s">
        <v>349</v>
      </c>
    </row>
    <row r="111" spans="2:3">
      <c r="B111" s="179">
        <v>626200</v>
      </c>
      <c r="C111" s="171" t="s">
        <v>232</v>
      </c>
    </row>
    <row r="112" spans="2:3">
      <c r="B112" s="179">
        <f>LEFT(C112,4)*100</f>
        <v>626300</v>
      </c>
      <c r="C112" s="171" t="s">
        <v>350</v>
      </c>
    </row>
    <row r="113" spans="2:3">
      <c r="B113" s="179">
        <f>LEFT(C113,4)*100</f>
        <v>626500</v>
      </c>
      <c r="C113" s="171" t="s">
        <v>233</v>
      </c>
    </row>
    <row r="114" spans="2:3">
      <c r="B114" s="179">
        <f>LEFT(C114,3)*1000</f>
        <v>627000</v>
      </c>
      <c r="C114" s="171" t="s">
        <v>351</v>
      </c>
    </row>
    <row r="115" spans="2:3">
      <c r="B115" s="179">
        <v>627100</v>
      </c>
      <c r="C115" s="171" t="s">
        <v>234</v>
      </c>
    </row>
    <row r="116" spans="2:3">
      <c r="B116" s="179">
        <f>LEFT(C116,3)*1000</f>
        <v>628000</v>
      </c>
      <c r="C116" s="171" t="s">
        <v>352</v>
      </c>
    </row>
    <row r="117" spans="2:3">
      <c r="B117" s="179">
        <f>LEFT(C117,4)*100</f>
        <v>628100</v>
      </c>
      <c r="C117" s="171" t="s">
        <v>353</v>
      </c>
    </row>
    <row r="118" spans="2:3">
      <c r="B118" s="179">
        <f>LEFT(C118,4)*100</f>
        <v>628400</v>
      </c>
      <c r="C118" s="171" t="s">
        <v>354</v>
      </c>
    </row>
    <row r="119" spans="2:3">
      <c r="B119" s="179">
        <f>LEFT(C119,3)*1000</f>
        <v>629000</v>
      </c>
      <c r="C119" s="171" t="s">
        <v>355</v>
      </c>
    </row>
    <row r="120" spans="2:3">
      <c r="B120" s="177"/>
      <c r="C120" s="178" t="s">
        <v>356</v>
      </c>
    </row>
    <row r="121" spans="2:3">
      <c r="B121" s="179">
        <f>LEFT(C121,3)*1000</f>
        <v>631000</v>
      </c>
      <c r="C121" s="171" t="s">
        <v>357</v>
      </c>
    </row>
    <row r="122" spans="2:3">
      <c r="B122" s="179">
        <f>LEFT(C122,4)*100</f>
        <v>631100</v>
      </c>
      <c r="C122" s="171" t="s">
        <v>358</v>
      </c>
    </row>
    <row r="123" spans="2:3">
      <c r="B123" s="179">
        <f>LEFT(C123,4)*100</f>
        <v>631200</v>
      </c>
      <c r="C123" s="171" t="s">
        <v>359</v>
      </c>
    </row>
    <row r="124" spans="2:3">
      <c r="B124" s="179">
        <f>LEFT(C124,4)*100</f>
        <v>631300</v>
      </c>
      <c r="C124" s="171" t="s">
        <v>360</v>
      </c>
    </row>
    <row r="125" spans="2:3">
      <c r="B125" s="179">
        <f>LEFT(C125,4)*100</f>
        <v>631400</v>
      </c>
      <c r="C125" s="171" t="s">
        <v>361</v>
      </c>
    </row>
    <row r="126" spans="2:3">
      <c r="B126" s="179">
        <f>LEFT(C126,4)*100</f>
        <v>631800</v>
      </c>
      <c r="C126" s="171" t="s">
        <v>362</v>
      </c>
    </row>
    <row r="127" spans="2:3">
      <c r="B127" s="179">
        <f>LEFT(C127,3)*1000</f>
        <v>633000</v>
      </c>
      <c r="C127" s="171" t="s">
        <v>363</v>
      </c>
    </row>
    <row r="128" spans="2:3">
      <c r="B128" s="179">
        <f t="shared" ref="B128:B133" si="0">LEFT(C128,4)*100</f>
        <v>633100</v>
      </c>
      <c r="C128" s="171" t="s">
        <v>364</v>
      </c>
    </row>
    <row r="129" spans="2:3">
      <c r="B129" s="179">
        <f t="shared" si="0"/>
        <v>633200</v>
      </c>
      <c r="C129" s="171" t="s">
        <v>365</v>
      </c>
    </row>
    <row r="130" spans="2:3">
      <c r="B130" s="179">
        <f t="shared" si="0"/>
        <v>633300</v>
      </c>
      <c r="C130" s="171" t="s">
        <v>366</v>
      </c>
    </row>
    <row r="131" spans="2:3">
      <c r="B131" s="179">
        <f t="shared" si="0"/>
        <v>633400</v>
      </c>
      <c r="C131" s="171" t="s">
        <v>367</v>
      </c>
    </row>
    <row r="132" spans="2:3">
      <c r="B132" s="179">
        <f t="shared" si="0"/>
        <v>633500</v>
      </c>
      <c r="C132" s="171" t="s">
        <v>368</v>
      </c>
    </row>
    <row r="133" spans="2:3">
      <c r="B133" s="179">
        <f t="shared" si="0"/>
        <v>633800</v>
      </c>
      <c r="C133" s="171" t="s">
        <v>369</v>
      </c>
    </row>
    <row r="134" spans="2:3">
      <c r="B134" s="179">
        <f>LEFT(C134,3)*1000</f>
        <v>635000</v>
      </c>
      <c r="C134" s="171" t="s">
        <v>370</v>
      </c>
    </row>
    <row r="135" spans="2:3">
      <c r="B135" s="179">
        <f>LEFT(C135,4)*100</f>
        <v>635100</v>
      </c>
      <c r="C135" s="171" t="s">
        <v>371</v>
      </c>
    </row>
    <row r="136" spans="2:3">
      <c r="B136" s="179">
        <v>635110</v>
      </c>
      <c r="C136" s="171" t="s">
        <v>372</v>
      </c>
    </row>
    <row r="137" spans="2:3">
      <c r="B137" s="179">
        <v>625120</v>
      </c>
      <c r="C137" s="171" t="s">
        <v>373</v>
      </c>
    </row>
    <row r="138" spans="2:3">
      <c r="B138" s="179">
        <v>635130</v>
      </c>
      <c r="C138" s="171" t="s">
        <v>374</v>
      </c>
    </row>
    <row r="139" spans="2:3">
      <c r="B139" s="179">
        <v>635180</v>
      </c>
      <c r="C139" s="171" t="s">
        <v>375</v>
      </c>
    </row>
    <row r="140" spans="2:3">
      <c r="B140" s="179">
        <f>LEFT(C140,4)*100</f>
        <v>635200</v>
      </c>
      <c r="C140" s="171" t="s">
        <v>376</v>
      </c>
    </row>
    <row r="141" spans="2:3">
      <c r="B141" s="179">
        <f>LEFT(C141,4)*100</f>
        <v>635300</v>
      </c>
      <c r="C141" s="171" t="s">
        <v>377</v>
      </c>
    </row>
    <row r="142" spans="2:3">
      <c r="B142" s="179">
        <f>LEFT(C142,4)*100</f>
        <v>635400</v>
      </c>
      <c r="C142" s="171" t="s">
        <v>378</v>
      </c>
    </row>
    <row r="143" spans="2:3">
      <c r="B143" s="179">
        <v>635410</v>
      </c>
      <c r="C143" s="171" t="s">
        <v>379</v>
      </c>
    </row>
    <row r="144" spans="2:3">
      <c r="B144" s="179">
        <f>LEFT(C144,4)*100</f>
        <v>635800</v>
      </c>
      <c r="C144" s="171" t="s">
        <v>380</v>
      </c>
    </row>
    <row r="145" spans="2:3">
      <c r="B145" s="179">
        <f>LEFT(C145,3)*1000</f>
        <v>637000</v>
      </c>
      <c r="C145" s="171" t="s">
        <v>381</v>
      </c>
    </row>
    <row r="146" spans="2:3">
      <c r="B146" s="177"/>
      <c r="C146" s="178" t="s">
        <v>382</v>
      </c>
    </row>
    <row r="147" spans="2:3">
      <c r="B147" s="179">
        <f>LEFT(C147,3)*1000</f>
        <v>641000</v>
      </c>
      <c r="C147" s="171" t="s">
        <v>383</v>
      </c>
    </row>
    <row r="148" spans="2:3">
      <c r="B148" s="179">
        <f>LEFT(C148,4)*100</f>
        <v>641100</v>
      </c>
      <c r="C148" s="171" t="s">
        <v>384</v>
      </c>
    </row>
    <row r="149" spans="2:3">
      <c r="B149" s="179">
        <f>LEFT(C149,4)*100</f>
        <v>641200</v>
      </c>
      <c r="C149" s="171" t="s">
        <v>385</v>
      </c>
    </row>
    <row r="150" spans="2:3">
      <c r="B150" s="179">
        <f>LEFT(C150,4)*100</f>
        <v>641300</v>
      </c>
      <c r="C150" s="171" t="s">
        <v>386</v>
      </c>
    </row>
    <row r="151" spans="2:3">
      <c r="B151" s="179">
        <f>LEFT(C151,4)*100</f>
        <v>641400</v>
      </c>
      <c r="C151" s="171" t="s">
        <v>387</v>
      </c>
    </row>
    <row r="152" spans="2:3">
      <c r="B152" s="179">
        <f>LEFT(C152,4)*100</f>
        <v>641500</v>
      </c>
      <c r="C152" s="171" t="s">
        <v>388</v>
      </c>
    </row>
    <row r="153" spans="2:3">
      <c r="B153" s="179">
        <f>LEFT(C153,3)*1000</f>
        <v>645000</v>
      </c>
      <c r="C153" s="171" t="s">
        <v>389</v>
      </c>
    </row>
    <row r="154" spans="2:3">
      <c r="B154" s="179">
        <f>LEFT(C154,4)*100</f>
        <v>645100</v>
      </c>
      <c r="C154" s="171" t="s">
        <v>390</v>
      </c>
    </row>
    <row r="155" spans="2:3">
      <c r="B155" s="179">
        <f>LEFT(C155,4)*100</f>
        <v>645200</v>
      </c>
      <c r="C155" s="171" t="s">
        <v>391</v>
      </c>
    </row>
    <row r="156" spans="2:3">
      <c r="B156" s="179">
        <f>LEFT(C156,4)*100</f>
        <v>645300</v>
      </c>
      <c r="C156" s="171" t="s">
        <v>392</v>
      </c>
    </row>
    <row r="157" spans="2:3">
      <c r="B157" s="179">
        <f>LEFT(C157,4)*100</f>
        <v>645400</v>
      </c>
      <c r="C157" s="171" t="s">
        <v>393</v>
      </c>
    </row>
    <row r="158" spans="2:3">
      <c r="B158" s="179">
        <f>LEFT(C158,4)*100</f>
        <v>645800</v>
      </c>
      <c r="C158" s="171" t="s">
        <v>394</v>
      </c>
    </row>
    <row r="159" spans="2:3">
      <c r="B159" s="179">
        <f>LEFT(C159,3)*1000</f>
        <v>647000</v>
      </c>
      <c r="C159" s="171" t="s">
        <v>395</v>
      </c>
    </row>
    <row r="160" spans="2:3">
      <c r="B160" s="179">
        <f>LEFT(C160,4)*100</f>
        <v>647100</v>
      </c>
      <c r="C160" s="171" t="s">
        <v>396</v>
      </c>
    </row>
    <row r="161" spans="2:3">
      <c r="B161" s="179">
        <f>LEFT(C161,4)*100</f>
        <v>647200</v>
      </c>
      <c r="C161" s="171" t="s">
        <v>397</v>
      </c>
    </row>
    <row r="162" spans="2:3">
      <c r="B162" s="179">
        <f>LEFT(C162,4)*100</f>
        <v>647300</v>
      </c>
      <c r="C162" s="171" t="s">
        <v>398</v>
      </c>
    </row>
    <row r="163" spans="2:3">
      <c r="B163" s="179">
        <f>LEFT(C163,4)*100</f>
        <v>647400</v>
      </c>
      <c r="C163" s="171" t="s">
        <v>399</v>
      </c>
    </row>
    <row r="164" spans="2:3">
      <c r="B164" s="179">
        <f>LEFT(C164,4)*100</f>
        <v>647500</v>
      </c>
      <c r="C164" s="171" t="s">
        <v>400</v>
      </c>
    </row>
    <row r="165" spans="2:3">
      <c r="B165" s="179">
        <f>LEFT(C165,3)*1000</f>
        <v>648000</v>
      </c>
      <c r="C165" s="171" t="s">
        <v>401</v>
      </c>
    </row>
    <row r="166" spans="2:3">
      <c r="B166" s="177"/>
      <c r="C166" s="178" t="s">
        <v>402</v>
      </c>
    </row>
    <row r="167" spans="2:3">
      <c r="B167" s="179">
        <f>LEFT(C167,3)*1000</f>
        <v>651000</v>
      </c>
      <c r="C167" s="171" t="s">
        <v>403</v>
      </c>
    </row>
    <row r="168" spans="2:3">
      <c r="B168" s="179">
        <f>LEFT(C168,4)*100</f>
        <v>651100</v>
      </c>
      <c r="C168" s="171" t="s">
        <v>235</v>
      </c>
    </row>
    <row r="169" spans="2:3">
      <c r="B169" s="179">
        <f>LEFT(C169,4)*100</f>
        <v>651600</v>
      </c>
      <c r="C169" s="171" t="s">
        <v>404</v>
      </c>
    </row>
    <row r="170" spans="2:3">
      <c r="B170" s="179">
        <f>LEFT(C170,4)*100</f>
        <v>651800</v>
      </c>
      <c r="C170" s="171" t="s">
        <v>405</v>
      </c>
    </row>
    <row r="171" spans="2:3">
      <c r="B171" s="179">
        <f>LEFT(C171,3)*1000</f>
        <v>654000</v>
      </c>
      <c r="C171" s="171" t="s">
        <v>406</v>
      </c>
    </row>
    <row r="172" spans="2:3">
      <c r="B172" s="179">
        <f>LEFT(C172,4)*100</f>
        <v>654100</v>
      </c>
      <c r="C172" s="171" t="s">
        <v>407</v>
      </c>
    </row>
    <row r="173" spans="2:3">
      <c r="B173" s="179">
        <f>LEFT(C173,4)*100</f>
        <v>654400</v>
      </c>
      <c r="C173" s="171" t="s">
        <v>408</v>
      </c>
    </row>
    <row r="174" spans="2:3">
      <c r="B174" s="179">
        <f>LEFT(C174,3)*1000</f>
        <v>655000</v>
      </c>
      <c r="C174" s="171" t="s">
        <v>409</v>
      </c>
    </row>
    <row r="175" spans="2:3">
      <c r="B175" s="179">
        <f>LEFT(C175,3)*1000</f>
        <v>657000</v>
      </c>
      <c r="C175" s="171" t="s">
        <v>410</v>
      </c>
    </row>
    <row r="176" spans="2:3">
      <c r="B176" s="179">
        <f>LEFT(C176,4)*100</f>
        <v>657100</v>
      </c>
      <c r="C176" s="171" t="s">
        <v>411</v>
      </c>
    </row>
    <row r="177" spans="2:3">
      <c r="B177" s="179">
        <f>LEFT(C177,3)*1000</f>
        <v>658000</v>
      </c>
      <c r="C177" s="171" t="s">
        <v>412</v>
      </c>
    </row>
    <row r="178" spans="2:3">
      <c r="B178" s="179">
        <v>658100</v>
      </c>
      <c r="C178" s="171" t="s">
        <v>236</v>
      </c>
    </row>
    <row r="179" spans="2:3">
      <c r="B179" s="179">
        <v>658200</v>
      </c>
      <c r="C179" s="171" t="s">
        <v>237</v>
      </c>
    </row>
    <row r="180" spans="2:3">
      <c r="B180" s="179">
        <v>658300</v>
      </c>
      <c r="C180" s="171" t="s">
        <v>238</v>
      </c>
    </row>
    <row r="181" spans="2:3">
      <c r="B181" s="179">
        <v>658400</v>
      </c>
      <c r="C181" s="171" t="s">
        <v>239</v>
      </c>
    </row>
    <row r="182" spans="2:3">
      <c r="B182" s="179">
        <f>LEFT(C182,4)*100</f>
        <v>658600</v>
      </c>
      <c r="C182" s="171" t="s">
        <v>413</v>
      </c>
    </row>
    <row r="183" spans="2:3">
      <c r="B183" s="179">
        <v>658700</v>
      </c>
      <c r="C183" s="171" t="s">
        <v>240</v>
      </c>
    </row>
    <row r="184" spans="2:3">
      <c r="B184" s="179">
        <v>658800</v>
      </c>
      <c r="C184" s="171" t="s">
        <v>241</v>
      </c>
    </row>
    <row r="185" spans="2:3">
      <c r="B185" s="177"/>
      <c r="C185" s="178" t="s">
        <v>414</v>
      </c>
    </row>
    <row r="186" spans="2:3">
      <c r="B186" s="179">
        <f>LEFT(C186,3)*1000</f>
        <v>661000</v>
      </c>
      <c r="C186" s="171" t="s">
        <v>415</v>
      </c>
    </row>
    <row r="187" spans="2:3">
      <c r="B187" s="179">
        <f>LEFT(C187,4)*100</f>
        <v>661100</v>
      </c>
      <c r="C187" s="171" t="s">
        <v>416</v>
      </c>
    </row>
    <row r="188" spans="2:3">
      <c r="B188" s="179">
        <f>LEFT(C188,4)*100</f>
        <v>661600</v>
      </c>
      <c r="C188" s="171" t="s">
        <v>417</v>
      </c>
    </row>
    <row r="189" spans="2:3">
      <c r="B189" s="179">
        <f>LEFT(C189,4)*100</f>
        <v>661800</v>
      </c>
      <c r="C189" s="171" t="s">
        <v>418</v>
      </c>
    </row>
    <row r="190" spans="2:3">
      <c r="B190" s="179">
        <f>LEFT(C190,3)*1000</f>
        <v>664000</v>
      </c>
      <c r="C190" s="171" t="s">
        <v>419</v>
      </c>
    </row>
    <row r="191" spans="2:3">
      <c r="B191" s="179">
        <f>LEFT(C191,3)*1000</f>
        <v>665000</v>
      </c>
      <c r="C191" s="171" t="s">
        <v>420</v>
      </c>
    </row>
    <row r="192" spans="2:3">
      <c r="B192" s="179">
        <f>LEFT(C192,3)*1000</f>
        <v>666000</v>
      </c>
      <c r="C192" s="171" t="s">
        <v>421</v>
      </c>
    </row>
    <row r="193" spans="2:3">
      <c r="B193" s="179">
        <f>LEFT(C193,3)*1000</f>
        <v>667000</v>
      </c>
      <c r="C193" s="171" t="s">
        <v>422</v>
      </c>
    </row>
    <row r="194" spans="2:3">
      <c r="B194" s="179">
        <v>667100</v>
      </c>
      <c r="C194" s="171" t="s">
        <v>242</v>
      </c>
    </row>
    <row r="195" spans="2:3">
      <c r="B195" s="179">
        <v>667200</v>
      </c>
      <c r="C195" s="171" t="s">
        <v>243</v>
      </c>
    </row>
    <row r="196" spans="2:3">
      <c r="B196" s="179">
        <v>667300</v>
      </c>
      <c r="C196" s="171" t="s">
        <v>244</v>
      </c>
    </row>
    <row r="197" spans="2:3">
      <c r="B197" s="179">
        <v>667500</v>
      </c>
      <c r="C197" s="171" t="s">
        <v>245</v>
      </c>
    </row>
    <row r="198" spans="2:3">
      <c r="B198" s="179">
        <v>667700</v>
      </c>
      <c r="C198" s="171" t="s">
        <v>246</v>
      </c>
    </row>
    <row r="199" spans="2:3">
      <c r="B199" s="179">
        <f>LEFT(C199,3)*1000</f>
        <v>668000</v>
      </c>
      <c r="C199" s="171" t="s">
        <v>423</v>
      </c>
    </row>
    <row r="200" spans="2:3">
      <c r="B200" s="177"/>
      <c r="C200" s="178" t="s">
        <v>424</v>
      </c>
    </row>
    <row r="201" spans="2:3">
      <c r="B201" s="179">
        <f>LEFT(C201,3)*1000</f>
        <v>671000</v>
      </c>
      <c r="C201" s="171" t="s">
        <v>425</v>
      </c>
    </row>
    <row r="202" spans="2:3">
      <c r="B202" s="179">
        <f t="shared" ref="B202:B208" si="1">LEFT(C202,4)*100</f>
        <v>671100</v>
      </c>
      <c r="C202" s="171" t="s">
        <v>426</v>
      </c>
    </row>
    <row r="203" spans="2:3">
      <c r="B203" s="179">
        <f t="shared" si="1"/>
        <v>671200</v>
      </c>
      <c r="C203" s="171" t="s">
        <v>427</v>
      </c>
    </row>
    <row r="204" spans="2:3">
      <c r="B204" s="179">
        <f t="shared" si="1"/>
        <v>671300</v>
      </c>
      <c r="C204" s="171" t="s">
        <v>428</v>
      </c>
    </row>
    <row r="205" spans="2:3">
      <c r="B205" s="179">
        <f t="shared" si="1"/>
        <v>671400</v>
      </c>
      <c r="C205" s="171" t="s">
        <v>429</v>
      </c>
    </row>
    <row r="206" spans="2:3">
      <c r="B206" s="179">
        <f t="shared" si="1"/>
        <v>671500</v>
      </c>
      <c r="C206" s="171" t="s">
        <v>430</v>
      </c>
    </row>
    <row r="207" spans="2:3">
      <c r="B207" s="179">
        <f t="shared" si="1"/>
        <v>671700</v>
      </c>
      <c r="C207" s="171" t="s">
        <v>431</v>
      </c>
    </row>
    <row r="208" spans="2:3">
      <c r="B208" s="179">
        <f t="shared" si="1"/>
        <v>671800</v>
      </c>
      <c r="C208" s="171" t="s">
        <v>432</v>
      </c>
    </row>
    <row r="209" spans="2:3">
      <c r="B209" s="179">
        <f>LEFT(C209,3)*1000</f>
        <v>672000</v>
      </c>
      <c r="C209" s="171" t="s">
        <v>433</v>
      </c>
    </row>
    <row r="210" spans="2:3">
      <c r="B210" s="179">
        <f>LEFT(C210,3)*1000</f>
        <v>675000</v>
      </c>
      <c r="C210" s="171" t="s">
        <v>434</v>
      </c>
    </row>
    <row r="211" spans="2:3">
      <c r="B211" s="179">
        <f>LEFT(C211,4)*100</f>
        <v>675100</v>
      </c>
      <c r="C211" s="171" t="s">
        <v>435</v>
      </c>
    </row>
    <row r="212" spans="2:3">
      <c r="B212" s="179">
        <f>LEFT(C212,4)*100</f>
        <v>675200</v>
      </c>
      <c r="C212" s="171" t="s">
        <v>436</v>
      </c>
    </row>
    <row r="213" spans="2:3">
      <c r="B213" s="179">
        <f>LEFT(C213,4)*100</f>
        <v>675600</v>
      </c>
      <c r="C213" s="171" t="s">
        <v>437</v>
      </c>
    </row>
    <row r="214" spans="2:3">
      <c r="B214" s="179">
        <f>LEFT(C214,4)*100</f>
        <v>675800</v>
      </c>
      <c r="C214" s="171" t="s">
        <v>438</v>
      </c>
    </row>
    <row r="215" spans="2:3">
      <c r="B215" s="179">
        <f>LEFT(C215,3)*1000</f>
        <v>678000</v>
      </c>
      <c r="C215" s="171" t="s">
        <v>439</v>
      </c>
    </row>
    <row r="216" spans="2:3">
      <c r="B216" s="179">
        <f>LEFT(C216,4)*100</f>
        <v>678100</v>
      </c>
      <c r="C216" s="171" t="s">
        <v>440</v>
      </c>
    </row>
    <row r="217" spans="2:3">
      <c r="B217" s="179">
        <f>LEFT(C217,4)*100</f>
        <v>678800</v>
      </c>
      <c r="C217" s="171" t="s">
        <v>441</v>
      </c>
    </row>
    <row r="218" spans="2:3">
      <c r="B218" s="177"/>
      <c r="C218" s="178" t="s">
        <v>442</v>
      </c>
    </row>
    <row r="219" spans="2:3">
      <c r="B219" s="179">
        <f>LEFT(C219,3)*1000</f>
        <v>681000</v>
      </c>
      <c r="C219" s="171" t="s">
        <v>443</v>
      </c>
    </row>
    <row r="220" spans="2:3">
      <c r="B220" s="179">
        <f>LEFT(C220,4)*100</f>
        <v>681100</v>
      </c>
      <c r="C220" s="171" t="s">
        <v>444</v>
      </c>
    </row>
    <row r="221" spans="2:3">
      <c r="B221" s="179">
        <v>681110</v>
      </c>
      <c r="C221" s="171" t="s">
        <v>445</v>
      </c>
    </row>
    <row r="222" spans="2:3">
      <c r="B222" s="179">
        <v>681120</v>
      </c>
      <c r="C222" s="171" t="s">
        <v>446</v>
      </c>
    </row>
    <row r="223" spans="2:3">
      <c r="B223" s="179">
        <f>LEFT(C223,4)*100</f>
        <v>681200</v>
      </c>
      <c r="C223" s="171" t="s">
        <v>447</v>
      </c>
    </row>
    <row r="224" spans="2:3">
      <c r="B224" s="179">
        <f>LEFT(C224,4)*100</f>
        <v>681500</v>
      </c>
      <c r="C224" s="171" t="s">
        <v>448</v>
      </c>
    </row>
    <row r="225" spans="2:3">
      <c r="B225" s="179">
        <f>LEFT(C225,4)*100</f>
        <v>681600</v>
      </c>
      <c r="C225" s="171" t="s">
        <v>449</v>
      </c>
    </row>
    <row r="226" spans="2:3">
      <c r="B226" s="179">
        <v>681610</v>
      </c>
      <c r="C226" s="171" t="s">
        <v>450</v>
      </c>
    </row>
    <row r="227" spans="2:3">
      <c r="B227" s="179">
        <v>681620</v>
      </c>
      <c r="C227" s="171" t="s">
        <v>451</v>
      </c>
    </row>
    <row r="228" spans="2:3">
      <c r="B228" s="179">
        <f>LEFT(C228,4)*100</f>
        <v>681700</v>
      </c>
      <c r="C228" s="171" t="s">
        <v>452</v>
      </c>
    </row>
    <row r="229" spans="2:3">
      <c r="B229" s="179">
        <v>681730</v>
      </c>
      <c r="C229" s="171" t="s">
        <v>453</v>
      </c>
    </row>
    <row r="230" spans="2:3">
      <c r="B230" s="179">
        <v>681740</v>
      </c>
      <c r="C230" s="171" t="s">
        <v>454</v>
      </c>
    </row>
    <row r="231" spans="2:3">
      <c r="B231" s="179">
        <f>LEFT(C231,3)*1000</f>
        <v>686000</v>
      </c>
      <c r="C231" s="171" t="s">
        <v>455</v>
      </c>
    </row>
    <row r="232" spans="2:3">
      <c r="B232" s="179">
        <f>LEFT(C232,4)*100</f>
        <v>686500</v>
      </c>
      <c r="C232" s="171" t="s">
        <v>456</v>
      </c>
    </row>
    <row r="233" spans="2:3">
      <c r="B233" s="179">
        <f>LEFT(C233,4)*100</f>
        <v>686600</v>
      </c>
      <c r="C233" s="171" t="s">
        <v>457</v>
      </c>
    </row>
    <row r="234" spans="2:3">
      <c r="B234" s="179">
        <v>686620</v>
      </c>
      <c r="C234" s="171" t="s">
        <v>458</v>
      </c>
    </row>
    <row r="235" spans="2:3">
      <c r="B235" s="179">
        <v>686650</v>
      </c>
      <c r="C235" s="171" t="s">
        <v>459</v>
      </c>
    </row>
    <row r="236" spans="2:3">
      <c r="B236" s="179">
        <f>LEFT(C236,4)*100</f>
        <v>686800</v>
      </c>
      <c r="C236" s="171" t="s">
        <v>460</v>
      </c>
    </row>
    <row r="237" spans="2:3">
      <c r="B237" s="181">
        <f>LEFT(C237,3)*1000</f>
        <v>687000</v>
      </c>
      <c r="C237" s="182" t="s">
        <v>461</v>
      </c>
    </row>
    <row r="238" spans="2:3">
      <c r="B238" s="181">
        <f t="shared" ref="B238:B243" si="2">LEFT(C238,4)*100</f>
        <v>687100</v>
      </c>
      <c r="C238" s="182" t="s">
        <v>462</v>
      </c>
    </row>
    <row r="239" spans="2:3">
      <c r="B239" s="179">
        <f t="shared" si="2"/>
        <v>687200</v>
      </c>
      <c r="C239" s="171" t="s">
        <v>463</v>
      </c>
    </row>
    <row r="240" spans="2:3">
      <c r="B240" s="179">
        <f t="shared" si="2"/>
        <v>687300</v>
      </c>
      <c r="C240" s="171" t="s">
        <v>464</v>
      </c>
    </row>
    <row r="241" spans="1:3">
      <c r="B241" s="179">
        <f t="shared" si="2"/>
        <v>687400</v>
      </c>
      <c r="C241" s="171" t="s">
        <v>465</v>
      </c>
    </row>
    <row r="242" spans="1:3">
      <c r="B242" s="179">
        <f t="shared" si="2"/>
        <v>687500</v>
      </c>
      <c r="C242" s="171" t="s">
        <v>466</v>
      </c>
    </row>
    <row r="243" spans="1:3">
      <c r="B243" s="179">
        <f t="shared" si="2"/>
        <v>687600</v>
      </c>
      <c r="C243" s="171" t="s">
        <v>467</v>
      </c>
    </row>
    <row r="244" spans="1:3">
      <c r="B244" s="179">
        <f>LEFT(C244,3)*1000</f>
        <v>689000</v>
      </c>
      <c r="C244" s="171" t="s">
        <v>468</v>
      </c>
    </row>
    <row r="245" spans="1:3">
      <c r="B245" s="181">
        <f>LEFT(C245,4)*100</f>
        <v>689400</v>
      </c>
      <c r="C245" s="182" t="s">
        <v>469</v>
      </c>
    </row>
    <row r="246" spans="1:3">
      <c r="B246" s="181">
        <f>LEFT(C246,4)*100</f>
        <v>689500</v>
      </c>
      <c r="C246" s="182" t="s">
        <v>470</v>
      </c>
    </row>
    <row r="247" spans="1:3">
      <c r="B247" s="181">
        <f>LEFT(C247,4)*100</f>
        <v>689700</v>
      </c>
      <c r="C247" s="182" t="s">
        <v>471</v>
      </c>
    </row>
    <row r="248" spans="1:3">
      <c r="B248" s="177"/>
      <c r="C248" s="178" t="s">
        <v>472</v>
      </c>
    </row>
    <row r="249" spans="1:3">
      <c r="B249" s="179">
        <f>LEFT(C249,3)*1000</f>
        <v>691000</v>
      </c>
      <c r="C249" s="171" t="s">
        <v>473</v>
      </c>
    </row>
    <row r="250" spans="1:3">
      <c r="B250" s="179">
        <f>LEFT(C250,3)*1000</f>
        <v>695000</v>
      </c>
      <c r="C250" s="171" t="s">
        <v>474</v>
      </c>
    </row>
    <row r="251" spans="1:3">
      <c r="B251" s="179">
        <v>695100</v>
      </c>
      <c r="C251" s="171" t="s">
        <v>475</v>
      </c>
    </row>
    <row r="252" spans="1:3">
      <c r="B252" s="179">
        <v>695110</v>
      </c>
      <c r="C252" s="171" t="s">
        <v>476</v>
      </c>
    </row>
    <row r="253" spans="1:3">
      <c r="B253" s="179">
        <v>695120</v>
      </c>
      <c r="C253" s="171" t="s">
        <v>477</v>
      </c>
    </row>
    <row r="254" spans="1:3">
      <c r="B254" s="179">
        <v>695200</v>
      </c>
      <c r="C254" s="171" t="s">
        <v>478</v>
      </c>
    </row>
    <row r="255" spans="1:3">
      <c r="B255" s="179">
        <f>LEFT(C255,3)*1000</f>
        <v>697000</v>
      </c>
      <c r="C255" s="171" t="s">
        <v>479</v>
      </c>
    </row>
    <row r="256" spans="1:3">
      <c r="A256" s="183" t="s">
        <v>247</v>
      </c>
      <c r="B256" s="176"/>
      <c r="C256" s="176" t="s">
        <v>547</v>
      </c>
    </row>
    <row r="257" spans="2:3">
      <c r="B257" s="177"/>
      <c r="C257" s="178" t="s">
        <v>480</v>
      </c>
    </row>
    <row r="258" spans="2:3">
      <c r="B258" s="179">
        <f>LEFT(C258,3)*1000</f>
        <v>701000</v>
      </c>
      <c r="C258" s="171" t="s">
        <v>481</v>
      </c>
    </row>
    <row r="259" spans="2:3">
      <c r="B259" s="179">
        <v>701100</v>
      </c>
      <c r="C259" s="171" t="s">
        <v>248</v>
      </c>
    </row>
    <row r="260" spans="2:3">
      <c r="B260" s="179">
        <f>LEFT(C260,3)*1000</f>
        <v>706000</v>
      </c>
      <c r="C260" s="171" t="s">
        <v>482</v>
      </c>
    </row>
    <row r="261" spans="2:3">
      <c r="B261" s="179">
        <v>706100</v>
      </c>
      <c r="C261" s="171" t="s">
        <v>249</v>
      </c>
    </row>
    <row r="262" spans="2:3">
      <c r="B262" s="179">
        <v>706200</v>
      </c>
      <c r="C262" s="171" t="s">
        <v>250</v>
      </c>
    </row>
    <row r="263" spans="2:3">
      <c r="B263" s="179">
        <v>706300</v>
      </c>
      <c r="C263" s="171" t="s">
        <v>251</v>
      </c>
    </row>
    <row r="264" spans="2:3">
      <c r="B264" s="179">
        <v>706400</v>
      </c>
      <c r="C264" s="171" t="s">
        <v>252</v>
      </c>
    </row>
    <row r="265" spans="2:3">
      <c r="B265" s="179">
        <v>706500</v>
      </c>
      <c r="C265" s="171" t="s">
        <v>253</v>
      </c>
    </row>
    <row r="266" spans="2:3">
      <c r="B266" s="179">
        <v>706600</v>
      </c>
      <c r="C266" s="171" t="s">
        <v>254</v>
      </c>
    </row>
    <row r="267" spans="2:3">
      <c r="B267" s="179">
        <f>LEFT(C267,3)*1000</f>
        <v>707000</v>
      </c>
      <c r="C267" s="171" t="s">
        <v>483</v>
      </c>
    </row>
    <row r="268" spans="2:3">
      <c r="B268" s="179">
        <f>LEFT(C268,3)*1000</f>
        <v>708000</v>
      </c>
      <c r="C268" s="171" t="s">
        <v>484</v>
      </c>
    </row>
    <row r="269" spans="2:3">
      <c r="B269" s="179">
        <v>708100</v>
      </c>
      <c r="C269" s="171" t="s">
        <v>255</v>
      </c>
    </row>
    <row r="270" spans="2:3">
      <c r="B270" s="179">
        <v>708200</v>
      </c>
      <c r="C270" s="171" t="s">
        <v>256</v>
      </c>
    </row>
    <row r="271" spans="2:3">
      <c r="B271" s="179">
        <v>708300</v>
      </c>
      <c r="C271" s="171" t="s">
        <v>257</v>
      </c>
    </row>
    <row r="272" spans="2:3">
      <c r="B272" s="179">
        <v>708400</v>
      </c>
      <c r="C272" s="171" t="s">
        <v>258</v>
      </c>
    </row>
    <row r="273" spans="2:3">
      <c r="B273" s="179">
        <v>708500</v>
      </c>
      <c r="C273" s="171" t="s">
        <v>259</v>
      </c>
    </row>
    <row r="274" spans="2:3">
      <c r="B274" s="179">
        <v>708100</v>
      </c>
      <c r="C274" s="171" t="s">
        <v>485</v>
      </c>
    </row>
    <row r="275" spans="2:3">
      <c r="B275" s="179">
        <v>708300</v>
      </c>
      <c r="C275" s="171" t="s">
        <v>486</v>
      </c>
    </row>
    <row r="276" spans="2:3">
      <c r="B276" s="179">
        <v>708400</v>
      </c>
      <c r="C276" s="171" t="s">
        <v>487</v>
      </c>
    </row>
    <row r="277" spans="2:3">
      <c r="B277" s="179">
        <v>708800</v>
      </c>
      <c r="C277" s="171" t="s">
        <v>488</v>
      </c>
    </row>
    <row r="278" spans="2:3">
      <c r="B278" s="179">
        <f>LEFT(C278,3)*1000</f>
        <v>709000</v>
      </c>
      <c r="C278" s="171" t="s">
        <v>489</v>
      </c>
    </row>
    <row r="279" spans="2:3">
      <c r="B279" s="177"/>
      <c r="C279" s="178" t="s">
        <v>490</v>
      </c>
    </row>
    <row r="280" spans="2:3">
      <c r="B280" s="179">
        <f>LEFT(C280,3)*1000</f>
        <v>713000</v>
      </c>
      <c r="C280" s="171" t="s">
        <v>491</v>
      </c>
    </row>
    <row r="281" spans="2:3">
      <c r="B281" s="179">
        <v>713300</v>
      </c>
      <c r="C281" s="171" t="s">
        <v>492</v>
      </c>
    </row>
    <row r="282" spans="2:3">
      <c r="B282" s="179">
        <v>713400</v>
      </c>
      <c r="C282" s="171" t="s">
        <v>493</v>
      </c>
    </row>
    <row r="283" spans="2:3">
      <c r="B283" s="179">
        <v>713500</v>
      </c>
      <c r="C283" s="171" t="s">
        <v>494</v>
      </c>
    </row>
    <row r="284" spans="2:3">
      <c r="B284" s="177"/>
      <c r="C284" s="178" t="s">
        <v>495</v>
      </c>
    </row>
    <row r="285" spans="2:3">
      <c r="B285" s="177"/>
      <c r="C285" s="178" t="s">
        <v>496</v>
      </c>
    </row>
    <row r="286" spans="2:3">
      <c r="B286" s="179">
        <v>740000</v>
      </c>
      <c r="C286" s="171" t="s">
        <v>0</v>
      </c>
    </row>
    <row r="287" spans="2:3">
      <c r="B287" s="179">
        <v>741000</v>
      </c>
      <c r="C287" s="171" t="s">
        <v>260</v>
      </c>
    </row>
    <row r="288" spans="2:3">
      <c r="B288" s="179">
        <v>742000</v>
      </c>
      <c r="C288" s="171" t="s">
        <v>261</v>
      </c>
    </row>
    <row r="289" spans="2:3">
      <c r="B289" s="179">
        <v>743000</v>
      </c>
      <c r="C289" s="171" t="s">
        <v>262</v>
      </c>
    </row>
    <row r="290" spans="2:3">
      <c r="B290" s="179">
        <v>744000</v>
      </c>
      <c r="C290" s="171" t="s">
        <v>263</v>
      </c>
    </row>
    <row r="291" spans="2:3">
      <c r="B291" s="179">
        <v>745000</v>
      </c>
      <c r="C291" s="171" t="s">
        <v>264</v>
      </c>
    </row>
    <row r="292" spans="2:3">
      <c r="B292" s="179">
        <v>746000</v>
      </c>
      <c r="C292" s="171" t="s">
        <v>265</v>
      </c>
    </row>
    <row r="293" spans="2:3">
      <c r="B293" s="179">
        <v>747000</v>
      </c>
      <c r="C293" s="171" t="s">
        <v>266</v>
      </c>
    </row>
    <row r="294" spans="2:3">
      <c r="B294" s="179">
        <v>748000</v>
      </c>
      <c r="C294" s="171" t="s">
        <v>267</v>
      </c>
    </row>
    <row r="295" spans="2:3">
      <c r="B295" s="179">
        <v>748100</v>
      </c>
      <c r="C295" s="171" t="s">
        <v>268</v>
      </c>
    </row>
    <row r="296" spans="2:3">
      <c r="B296" s="179">
        <v>748200</v>
      </c>
      <c r="C296" s="171" t="s">
        <v>269</v>
      </c>
    </row>
    <row r="297" spans="2:3">
      <c r="B297" s="177"/>
      <c r="C297" s="178" t="s">
        <v>497</v>
      </c>
    </row>
    <row r="298" spans="2:3">
      <c r="B298" s="179">
        <f>LEFT(C298,3)*1000</f>
        <v>751000</v>
      </c>
      <c r="C298" s="171" t="s">
        <v>498</v>
      </c>
    </row>
    <row r="299" spans="2:3">
      <c r="B299" s="179">
        <f>LEFT(C299,3)*1000</f>
        <v>754000</v>
      </c>
      <c r="C299" s="171" t="s">
        <v>499</v>
      </c>
    </row>
    <row r="300" spans="2:3">
      <c r="B300" s="179">
        <f>LEFT(C300,3)*1000</f>
        <v>756000</v>
      </c>
      <c r="C300" s="171" t="s">
        <v>500</v>
      </c>
    </row>
    <row r="301" spans="2:3">
      <c r="B301" s="179">
        <v>756100</v>
      </c>
      <c r="C301" s="171" t="s">
        <v>193</v>
      </c>
    </row>
    <row r="302" spans="2:3">
      <c r="B302" s="179">
        <f>LEFT(C302,3)*1000</f>
        <v>757000</v>
      </c>
      <c r="C302" s="171" t="s">
        <v>501</v>
      </c>
    </row>
    <row r="303" spans="2:3">
      <c r="B303" s="179">
        <v>757100</v>
      </c>
      <c r="C303" s="171" t="s">
        <v>502</v>
      </c>
    </row>
    <row r="304" spans="2:3">
      <c r="B304" s="179">
        <v>757300</v>
      </c>
      <c r="C304" s="171" t="s">
        <v>503</v>
      </c>
    </row>
    <row r="305" spans="2:3">
      <c r="B305" s="179">
        <f>LEFT(C305,3)*1000</f>
        <v>758000</v>
      </c>
      <c r="C305" s="171" t="s">
        <v>504</v>
      </c>
    </row>
    <row r="306" spans="2:3">
      <c r="B306" s="179">
        <v>758100</v>
      </c>
      <c r="C306" s="171" t="s">
        <v>1</v>
      </c>
    </row>
    <row r="307" spans="2:3">
      <c r="B307" s="177"/>
      <c r="C307" s="178" t="s">
        <v>505</v>
      </c>
    </row>
    <row r="308" spans="2:3">
      <c r="B308" s="179">
        <f>LEFT(C308,3)*1000</f>
        <v>761000</v>
      </c>
      <c r="C308" s="171" t="s">
        <v>506</v>
      </c>
    </row>
    <row r="309" spans="2:3">
      <c r="B309" s="179">
        <f>LEFT(C309,3)*1000</f>
        <v>762000</v>
      </c>
      <c r="C309" s="171" t="s">
        <v>507</v>
      </c>
    </row>
    <row r="310" spans="2:3">
      <c r="B310" s="179">
        <v>762100</v>
      </c>
      <c r="C310" s="171" t="s">
        <v>508</v>
      </c>
    </row>
    <row r="311" spans="2:3">
      <c r="B311" s="179">
        <v>762400</v>
      </c>
      <c r="C311" s="171" t="s">
        <v>509</v>
      </c>
    </row>
    <row r="312" spans="2:3">
      <c r="B312" s="179">
        <f>LEFT(C312,3)*1000</f>
        <v>764000</v>
      </c>
      <c r="C312" s="171" t="s">
        <v>510</v>
      </c>
    </row>
    <row r="313" spans="2:3">
      <c r="B313" s="179">
        <f>LEFT(C313,3)*1000</f>
        <v>765000</v>
      </c>
      <c r="C313" s="171" t="s">
        <v>511</v>
      </c>
    </row>
    <row r="314" spans="2:3">
      <c r="B314" s="179">
        <f>LEFT(C314,3)*1000</f>
        <v>766000</v>
      </c>
      <c r="C314" s="171" t="s">
        <v>512</v>
      </c>
    </row>
    <row r="315" spans="2:3">
      <c r="B315" s="179">
        <f>LEFT(C315,3)*1000</f>
        <v>767000</v>
      </c>
      <c r="C315" s="171" t="s">
        <v>513</v>
      </c>
    </row>
    <row r="316" spans="2:3">
      <c r="B316" s="179">
        <v>767100</v>
      </c>
      <c r="C316" s="171" t="s">
        <v>270</v>
      </c>
    </row>
    <row r="317" spans="2:3">
      <c r="B317" s="179">
        <f>LEFT(C317,3)*1000</f>
        <v>768000</v>
      </c>
      <c r="C317" s="171" t="s">
        <v>514</v>
      </c>
    </row>
    <row r="318" spans="2:3">
      <c r="B318" s="179">
        <v>768100</v>
      </c>
      <c r="C318" s="171" t="s">
        <v>515</v>
      </c>
    </row>
    <row r="319" spans="2:3">
      <c r="B319" s="177"/>
      <c r="C319" s="178" t="s">
        <v>516</v>
      </c>
    </row>
    <row r="320" spans="2:3">
      <c r="B320" s="179">
        <f>LEFT(C320,3)*1000</f>
        <v>771000</v>
      </c>
      <c r="C320" s="171" t="s">
        <v>517</v>
      </c>
    </row>
    <row r="321" spans="2:3">
      <c r="B321" s="179">
        <v>771300</v>
      </c>
      <c r="C321" s="171" t="s">
        <v>271</v>
      </c>
    </row>
    <row r="322" spans="2:3">
      <c r="B322" s="179">
        <v>771400</v>
      </c>
      <c r="C322" s="171" t="s">
        <v>518</v>
      </c>
    </row>
    <row r="323" spans="2:3">
      <c r="B323" s="179">
        <v>771500</v>
      </c>
      <c r="C323" s="171" t="s">
        <v>519</v>
      </c>
    </row>
    <row r="324" spans="2:3">
      <c r="B324" s="179">
        <v>771700</v>
      </c>
      <c r="C324" s="171" t="s">
        <v>520</v>
      </c>
    </row>
    <row r="325" spans="2:3">
      <c r="B325" s="179">
        <v>771800</v>
      </c>
      <c r="C325" s="171" t="s">
        <v>521</v>
      </c>
    </row>
    <row r="326" spans="2:3">
      <c r="B326" s="179">
        <f>LEFT(C326,3)*1000</f>
        <v>772000</v>
      </c>
      <c r="C326" s="171" t="s">
        <v>522</v>
      </c>
    </row>
    <row r="327" spans="2:3">
      <c r="B327" s="179">
        <f>LEFT(C327,3)*1000</f>
        <v>775000</v>
      </c>
      <c r="C327" s="171" t="s">
        <v>523</v>
      </c>
    </row>
    <row r="328" spans="2:3">
      <c r="B328" s="179">
        <v>775100</v>
      </c>
      <c r="C328" s="171" t="s">
        <v>524</v>
      </c>
    </row>
    <row r="329" spans="2:3">
      <c r="B329" s="179">
        <v>775200</v>
      </c>
      <c r="C329" s="171" t="s">
        <v>525</v>
      </c>
    </row>
    <row r="330" spans="2:3">
      <c r="B330" s="179">
        <v>775600</v>
      </c>
      <c r="C330" s="171" t="s">
        <v>526</v>
      </c>
    </row>
    <row r="331" spans="2:3">
      <c r="B331" s="179">
        <f>LEFT(C331,3)*1000</f>
        <v>777000</v>
      </c>
      <c r="C331" s="171" t="s">
        <v>527</v>
      </c>
    </row>
    <row r="332" spans="2:3">
      <c r="B332" s="179">
        <f>LEFT(C332,3)*1000</f>
        <v>778000</v>
      </c>
      <c r="C332" s="171" t="s">
        <v>528</v>
      </c>
    </row>
    <row r="333" spans="2:3">
      <c r="B333" s="177"/>
      <c r="C333" s="178" t="s">
        <v>529</v>
      </c>
    </row>
    <row r="334" spans="2:3">
      <c r="B334" s="179">
        <f>LEFT(C334,3)*1000</f>
        <v>781000</v>
      </c>
      <c r="C334" s="171" t="s">
        <v>530</v>
      </c>
    </row>
    <row r="335" spans="2:3">
      <c r="B335" s="179">
        <v>781100</v>
      </c>
      <c r="C335" s="171" t="s">
        <v>531</v>
      </c>
    </row>
    <row r="336" spans="2:3">
      <c r="B336" s="179">
        <v>781500</v>
      </c>
      <c r="C336" s="171" t="s">
        <v>532</v>
      </c>
    </row>
    <row r="337" spans="2:3">
      <c r="B337" s="179">
        <v>781600</v>
      </c>
      <c r="C337" s="171" t="s">
        <v>533</v>
      </c>
    </row>
    <row r="338" spans="2:3">
      <c r="B338" s="179">
        <v>781700</v>
      </c>
      <c r="C338" s="171" t="s">
        <v>534</v>
      </c>
    </row>
    <row r="339" spans="2:3">
      <c r="B339" s="179">
        <f>LEFT(C339,3)*1000</f>
        <v>786000</v>
      </c>
      <c r="C339" s="171" t="s">
        <v>535</v>
      </c>
    </row>
    <row r="340" spans="2:3">
      <c r="B340" s="179">
        <v>786600</v>
      </c>
      <c r="C340" s="171" t="s">
        <v>536</v>
      </c>
    </row>
    <row r="341" spans="2:3">
      <c r="B341" s="179">
        <v>786620</v>
      </c>
      <c r="C341" s="171" t="s">
        <v>537</v>
      </c>
    </row>
    <row r="342" spans="2:3">
      <c r="B342" s="179">
        <v>786650</v>
      </c>
      <c r="C342" s="171" t="s">
        <v>538</v>
      </c>
    </row>
    <row r="343" spans="2:3">
      <c r="B343" s="179">
        <f>LEFT(C343,3)*1000</f>
        <v>787000</v>
      </c>
      <c r="C343" s="171" t="s">
        <v>539</v>
      </c>
    </row>
    <row r="344" spans="2:3">
      <c r="B344" s="179">
        <v>787600</v>
      </c>
      <c r="C344" s="171" t="s">
        <v>540</v>
      </c>
    </row>
    <row r="345" spans="2:3">
      <c r="B345" s="179">
        <f>LEFT(C345,3)*1000</f>
        <v>789000</v>
      </c>
      <c r="C345" s="171" t="s">
        <v>541</v>
      </c>
    </row>
    <row r="346" spans="2:3">
      <c r="B346" s="177"/>
      <c r="C346" s="178" t="s">
        <v>542</v>
      </c>
    </row>
    <row r="347" spans="2:3">
      <c r="B347" s="179">
        <f>LEFT(C347,3)*1000</f>
        <v>791000</v>
      </c>
      <c r="C347" s="171" t="s">
        <v>543</v>
      </c>
    </row>
    <row r="348" spans="2:3">
      <c r="B348" s="179">
        <v>7911</v>
      </c>
      <c r="C348" s="171" t="s">
        <v>272</v>
      </c>
    </row>
    <row r="349" spans="2:3">
      <c r="B349" s="179">
        <v>7912</v>
      </c>
      <c r="C349" s="171" t="s">
        <v>273</v>
      </c>
    </row>
    <row r="350" spans="2:3">
      <c r="B350" s="179">
        <v>7913</v>
      </c>
      <c r="C350" s="171" t="s">
        <v>274</v>
      </c>
    </row>
    <row r="351" spans="2:3">
      <c r="B351" s="179">
        <f>LEFT(C351,3)*1000</f>
        <v>796000</v>
      </c>
      <c r="C351" s="171" t="s">
        <v>544</v>
      </c>
    </row>
    <row r="352" spans="2:3">
      <c r="B352" s="179">
        <f>LEFT(C352,3)*1000</f>
        <v>797000</v>
      </c>
      <c r="C352" s="171" t="s">
        <v>545</v>
      </c>
    </row>
    <row r="353" spans="2:3">
      <c r="B353" s="177"/>
      <c r="C353" s="178" t="s">
        <v>194</v>
      </c>
    </row>
    <row r="354" spans="2:3">
      <c r="B354" s="179">
        <v>861000</v>
      </c>
      <c r="C354" s="171" t="s">
        <v>195</v>
      </c>
    </row>
    <row r="355" spans="2:3">
      <c r="B355" s="179">
        <v>862000</v>
      </c>
      <c r="C355" s="171" t="s">
        <v>196</v>
      </c>
    </row>
    <row r="356" spans="2:3">
      <c r="B356" s="179">
        <v>864000</v>
      </c>
      <c r="C356" s="171" t="s">
        <v>197</v>
      </c>
    </row>
    <row r="357" spans="2:3">
      <c r="B357" s="177"/>
      <c r="C357" s="178" t="s">
        <v>198</v>
      </c>
    </row>
    <row r="358" spans="2:3">
      <c r="B358" s="179">
        <v>870000</v>
      </c>
      <c r="C358" s="171" t="s">
        <v>199</v>
      </c>
    </row>
    <row r="359" spans="2:3">
      <c r="B359" s="179">
        <v>871000</v>
      </c>
      <c r="C359" s="171" t="s">
        <v>200</v>
      </c>
    </row>
    <row r="360" spans="2:3">
      <c r="B360" s="179">
        <v>875000</v>
      </c>
      <c r="C360" s="171" t="s">
        <v>201</v>
      </c>
    </row>
  </sheetData>
  <mergeCells count="1">
    <mergeCell ref="B1:C1"/>
  </mergeCells>
  <phoneticPr fontId="2" type="noConversion"/>
  <conditionalFormatting sqref="A1:A1048576">
    <cfRule type="expression" dxfId="56" priority="1" stopIfTrue="1">
      <formula>A1="X"</formula>
    </cfRule>
  </conditionalFormatting>
  <dataValidations count="1">
    <dataValidation type="list" allowBlank="1" showInputMessage="1" showErrorMessage="1" sqref="A5:A360">
      <formula1>"X"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9"/>
  <sheetViews>
    <sheetView workbookViewId="0">
      <selection activeCell="D13" sqref="D13"/>
    </sheetView>
  </sheetViews>
  <sheetFormatPr baseColWidth="10" defaultRowHeight="12.75"/>
  <cols>
    <col min="2" max="2" width="18.42578125" bestFit="1" customWidth="1"/>
  </cols>
  <sheetData>
    <row r="1" spans="1:2" ht="13.5" thickBot="1">
      <c r="A1" s="205" t="s">
        <v>78</v>
      </c>
      <c r="B1" s="205" t="s">
        <v>84</v>
      </c>
    </row>
    <row r="2" spans="1:2">
      <c r="A2" s="8" t="s">
        <v>79</v>
      </c>
      <c r="B2" s="82" t="s">
        <v>88</v>
      </c>
    </row>
    <row r="3" spans="1:2" ht="13.5" thickBot="1">
      <c r="A3" s="29" t="s">
        <v>143</v>
      </c>
      <c r="B3" s="9" t="s">
        <v>85</v>
      </c>
    </row>
    <row r="4" spans="1:2">
      <c r="A4" s="2"/>
      <c r="B4" s="9" t="s">
        <v>90</v>
      </c>
    </row>
    <row r="5" spans="1:2">
      <c r="A5" s="2"/>
      <c r="B5" s="9" t="s">
        <v>91</v>
      </c>
    </row>
    <row r="6" spans="1:2">
      <c r="A6" s="2"/>
      <c r="B6" s="9" t="s">
        <v>86</v>
      </c>
    </row>
    <row r="7" spans="1:2">
      <c r="A7" s="2"/>
      <c r="B7" s="9" t="s">
        <v>87</v>
      </c>
    </row>
    <row r="8" spans="1:2">
      <c r="B8" s="9" t="s">
        <v>81</v>
      </c>
    </row>
    <row r="9" spans="1:2" ht="13.5" thickBot="1">
      <c r="B9" s="210" t="s">
        <v>81</v>
      </c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00B0F0"/>
  </sheetPr>
  <dimension ref="A1:V1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1" sqref="G21"/>
    </sheetView>
  </sheetViews>
  <sheetFormatPr baseColWidth="10" defaultRowHeight="12.75"/>
  <cols>
    <col min="1" max="1" width="5.42578125" style="237" customWidth="1"/>
    <col min="2" max="2" width="10.140625" style="239" bestFit="1" customWidth="1"/>
    <col min="3" max="3" width="34.42578125" style="231" customWidth="1"/>
    <col min="4" max="4" width="10.140625" style="231" bestFit="1" customWidth="1"/>
    <col min="5" max="5" width="8.28515625" style="236" bestFit="1" customWidth="1"/>
    <col min="6" max="6" width="7" style="234" bestFit="1" customWidth="1"/>
    <col min="7" max="7" width="45.140625" style="235" bestFit="1" customWidth="1"/>
    <col min="8" max="8" width="11" style="234" bestFit="1" customWidth="1"/>
    <col min="9" max="9" width="11" style="233" bestFit="1" customWidth="1"/>
    <col min="10" max="10" width="9.42578125" style="233" bestFit="1" customWidth="1"/>
    <col min="11" max="11" width="16.7109375" style="235" bestFit="1" customWidth="1"/>
    <col min="12" max="12" width="9.28515625" style="234" bestFit="1" customWidth="1"/>
    <col min="13" max="13" width="11.7109375" style="233" bestFit="1" customWidth="1"/>
    <col min="14" max="14" width="9.28515625" style="233" bestFit="1" customWidth="1"/>
    <col min="15" max="15" width="11.7109375" style="233" customWidth="1"/>
    <col min="16" max="16" width="9.28515625" style="233" bestFit="1" customWidth="1"/>
    <col min="17" max="17" width="11.7109375" style="235" bestFit="1" customWidth="1"/>
    <col min="18" max="18" width="39.28515625" style="267" customWidth="1"/>
    <col min="19" max="19" width="9.7109375" style="234" customWidth="1"/>
    <col min="20" max="21" width="9.7109375" style="233" customWidth="1"/>
    <col min="22" max="22" width="11.42578125" style="235"/>
  </cols>
  <sheetData>
    <row r="1" spans="1:22" s="225" customFormat="1" ht="37.5" customHeight="1" thickTop="1" thickBot="1">
      <c r="A1" s="248" t="s">
        <v>548</v>
      </c>
      <c r="B1" s="249" t="s">
        <v>2</v>
      </c>
      <c r="C1" s="251" t="s">
        <v>10</v>
      </c>
      <c r="D1" s="252" t="s">
        <v>549</v>
      </c>
      <c r="E1" s="253" t="s">
        <v>75</v>
      </c>
      <c r="F1" s="254" t="s">
        <v>7</v>
      </c>
      <c r="G1" s="253" t="s">
        <v>8</v>
      </c>
      <c r="H1" s="250" t="s">
        <v>556</v>
      </c>
      <c r="I1" s="252" t="s">
        <v>557</v>
      </c>
      <c r="J1" s="251" t="s">
        <v>4</v>
      </c>
      <c r="K1" s="253" t="s">
        <v>82</v>
      </c>
      <c r="L1" s="250" t="s">
        <v>550</v>
      </c>
      <c r="M1" s="252" t="s">
        <v>551</v>
      </c>
      <c r="N1" s="255" t="s">
        <v>552</v>
      </c>
      <c r="O1" s="255" t="s">
        <v>553</v>
      </c>
      <c r="P1" s="256" t="s">
        <v>554</v>
      </c>
      <c r="Q1" s="257" t="s">
        <v>555</v>
      </c>
      <c r="R1" s="265" t="s">
        <v>92</v>
      </c>
      <c r="S1" s="269" t="s">
        <v>559</v>
      </c>
      <c r="T1" s="270" t="s">
        <v>560</v>
      </c>
      <c r="U1" s="271" t="s">
        <v>561</v>
      </c>
      <c r="V1" s="272" t="s">
        <v>558</v>
      </c>
    </row>
    <row r="2" spans="1:22" s="224" customFormat="1" thickTop="1">
      <c r="A2" s="240">
        <v>1</v>
      </c>
      <c r="B2" s="241">
        <v>41640</v>
      </c>
      <c r="C2" s="226" t="s">
        <v>83</v>
      </c>
      <c r="D2" s="226"/>
      <c r="E2" s="242">
        <v>10</v>
      </c>
      <c r="F2" s="243">
        <v>771000</v>
      </c>
      <c r="G2" s="244" t="str">
        <f>IF(F2="","",VLOOKUP(F2,Plan_compta!$B$7:$C$360,2))</f>
        <v>771 Produits exceptionnels sur opérations de gestion</v>
      </c>
      <c r="H2" s="245" t="s">
        <v>88</v>
      </c>
      <c r="I2" s="229"/>
      <c r="J2" s="228">
        <v>512000</v>
      </c>
      <c r="K2" s="246" t="str">
        <f>IF(J2="","",VLOOKUP(J2,Données_générales!G3:J7,2))</f>
        <v>Credit agricole Chpt</v>
      </c>
      <c r="L2" s="245" t="s">
        <v>146</v>
      </c>
      <c r="M2" s="227">
        <v>10</v>
      </c>
      <c r="N2" s="228"/>
      <c r="O2" s="232"/>
      <c r="P2" s="228"/>
      <c r="Q2" s="247"/>
      <c r="R2" s="266"/>
      <c r="S2" s="258">
        <f>M2</f>
        <v>10</v>
      </c>
      <c r="T2" s="230">
        <f>O2</f>
        <v>0</v>
      </c>
      <c r="U2" s="230">
        <f>Q2</f>
        <v>0</v>
      </c>
      <c r="V2" s="268">
        <f>M2+O2+Q2</f>
        <v>10</v>
      </c>
    </row>
    <row r="3" spans="1:22">
      <c r="B3" s="238"/>
      <c r="C3" s="281"/>
      <c r="D3" s="281"/>
    </row>
    <row r="4" spans="1:22">
      <c r="C4" s="279"/>
      <c r="D4" s="279"/>
    </row>
    <row r="5" spans="1:22">
      <c r="C5" s="280"/>
      <c r="D5" s="280"/>
    </row>
    <row r="6" spans="1:22">
      <c r="C6" s="280"/>
      <c r="D6" s="280"/>
    </row>
    <row r="7" spans="1:22">
      <c r="C7" s="280"/>
      <c r="D7" s="280"/>
    </row>
    <row r="8" spans="1:22">
      <c r="C8" s="280"/>
      <c r="D8" s="280"/>
    </row>
    <row r="11" spans="1:22">
      <c r="C11" s="280"/>
      <c r="D11" s="280"/>
    </row>
    <row r="12" spans="1:22">
      <c r="C12" s="280"/>
      <c r="D12" s="280"/>
    </row>
    <row r="13" spans="1:22">
      <c r="C13" s="280"/>
      <c r="D13" s="280"/>
    </row>
    <row r="14" spans="1:22">
      <c r="C14" s="280"/>
      <c r="D14" s="280"/>
    </row>
  </sheetData>
  <phoneticPr fontId="19" type="noConversion"/>
  <conditionalFormatting sqref="N2">
    <cfRule type="expression" dxfId="55" priority="20">
      <formula>E2=M2</formula>
    </cfRule>
    <cfRule type="expression" dxfId="54" priority="24">
      <formula>M2=""</formula>
    </cfRule>
    <cfRule type="expression" dxfId="53" priority="28">
      <formula>L2=""</formula>
    </cfRule>
  </conditionalFormatting>
  <conditionalFormatting sqref="P2">
    <cfRule type="expression" dxfId="52" priority="11">
      <formula>(M2+O2)=E2</formula>
    </cfRule>
    <cfRule type="expression" dxfId="51" priority="13">
      <formula>O2=""</formula>
    </cfRule>
    <cfRule type="expression" dxfId="50" priority="15">
      <formula>N2=""</formula>
    </cfRule>
    <cfRule type="expression" dxfId="49" priority="18">
      <formula>E2=M2</formula>
    </cfRule>
    <cfRule type="expression" dxfId="48" priority="22">
      <formula>M2=""</formula>
    </cfRule>
    <cfRule type="expression" dxfId="47" priority="26">
      <formula>L2=""</formula>
    </cfRule>
  </conditionalFormatting>
  <conditionalFormatting sqref="M2">
    <cfRule type="expression" dxfId="46" priority="29">
      <formula>L2=""</formula>
    </cfRule>
    <cfRule type="expression" dxfId="45" priority="30">
      <formula>E2=V2</formula>
    </cfRule>
    <cfRule type="expression" dxfId="44" priority="31">
      <formula>E2&lt;&gt;V2</formula>
    </cfRule>
  </conditionalFormatting>
  <conditionalFormatting sqref="O2">
    <cfRule type="expression" dxfId="43" priority="32">
      <formula>N2=""</formula>
    </cfRule>
    <cfRule type="expression" dxfId="42" priority="33">
      <formula>E2=M2</formula>
    </cfRule>
    <cfRule type="expression" dxfId="41" priority="34">
      <formula>M2=""</formula>
    </cfRule>
    <cfRule type="expression" dxfId="40" priority="35">
      <formula>L2=""</formula>
    </cfRule>
    <cfRule type="expression" dxfId="39" priority="36">
      <formula>E2=V2</formula>
    </cfRule>
    <cfRule type="expression" dxfId="38" priority="37">
      <formula>E2&lt;&gt;V2</formula>
    </cfRule>
  </conditionalFormatting>
  <conditionalFormatting sqref="Q2">
    <cfRule type="expression" dxfId="37" priority="38">
      <formula>P2=""</formula>
    </cfRule>
    <cfRule type="expression" dxfId="36" priority="39">
      <formula>(M2+O2)=E2</formula>
    </cfRule>
    <cfRule type="expression" dxfId="35" priority="40">
      <formula>O2=""</formula>
    </cfRule>
    <cfRule type="expression" dxfId="34" priority="41">
      <formula>N2=""</formula>
    </cfRule>
    <cfRule type="expression" dxfId="33" priority="42">
      <formula>E2=M2</formula>
    </cfRule>
    <cfRule type="expression" dxfId="32" priority="43">
      <formula>M2=""</formula>
    </cfRule>
    <cfRule type="expression" dxfId="31" priority="44">
      <formula>L2=""</formula>
    </cfRule>
    <cfRule type="expression" dxfId="30" priority="45">
      <formula>E2=V2</formula>
    </cfRule>
    <cfRule type="expression" dxfId="29" priority="46">
      <formula>E2&lt;&gt;V2</formula>
    </cfRule>
  </conditionalFormatting>
  <dataValidations count="3">
    <dataValidation type="list" allowBlank="1" showInputMessage="1" showErrorMessage="1" sqref="P2 N2 L2">
      <formula1>CODE_ANAL</formula1>
    </dataValidation>
    <dataValidation type="list" allowBlank="1" showInputMessage="1" showErrorMessage="1" sqref="J2">
      <formula1>N_COMPTE</formula1>
    </dataValidation>
    <dataValidation type="list" allowBlank="1" showInputMessage="1" showErrorMessage="1" sqref="H2">
      <formula1>MODE_PAIEMENT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A1:V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" sqref="A3:E3"/>
    </sheetView>
  </sheetViews>
  <sheetFormatPr baseColWidth="10" defaultRowHeight="12.75"/>
  <cols>
    <col min="1" max="1" width="5.42578125" style="237" customWidth="1"/>
    <col min="2" max="2" width="10.140625" style="239" bestFit="1" customWidth="1"/>
    <col min="3" max="3" width="34.42578125" style="278" customWidth="1"/>
    <col min="4" max="4" width="10.140625" style="278" bestFit="1" customWidth="1"/>
    <col min="5" max="5" width="8.28515625" style="236" bestFit="1" customWidth="1"/>
    <col min="6" max="6" width="7" style="234" bestFit="1" customWidth="1"/>
    <col min="7" max="7" width="45.140625" style="235" bestFit="1" customWidth="1"/>
    <col min="8" max="8" width="11" style="234" bestFit="1" customWidth="1"/>
    <col min="9" max="9" width="11" style="233" bestFit="1" customWidth="1"/>
    <col min="10" max="10" width="9.42578125" style="233" bestFit="1" customWidth="1"/>
    <col min="11" max="11" width="16.7109375" style="235" bestFit="1" customWidth="1"/>
    <col min="12" max="12" width="9.28515625" style="234" bestFit="1" customWidth="1"/>
    <col min="13" max="13" width="11.7109375" style="233" bestFit="1" customWidth="1"/>
    <col min="14" max="14" width="9.28515625" style="233" bestFit="1" customWidth="1"/>
    <col min="15" max="15" width="11.7109375" style="233" customWidth="1"/>
    <col min="16" max="16" width="9.28515625" style="233" bestFit="1" customWidth="1"/>
    <col min="17" max="17" width="11.7109375" style="235" bestFit="1" customWidth="1"/>
    <col min="18" max="18" width="39.28515625" style="267" customWidth="1"/>
    <col min="19" max="19" width="9.7109375" style="234" customWidth="1"/>
    <col min="20" max="21" width="9.7109375" style="233" customWidth="1"/>
    <col min="22" max="22" width="11.42578125" style="235"/>
  </cols>
  <sheetData>
    <row r="1" spans="1:22" s="225" customFormat="1" ht="37.5" customHeight="1" thickTop="1" thickBot="1">
      <c r="A1" s="248" t="s">
        <v>548</v>
      </c>
      <c r="B1" s="249" t="s">
        <v>2</v>
      </c>
      <c r="C1" s="251" t="s">
        <v>10</v>
      </c>
      <c r="D1" s="252" t="s">
        <v>549</v>
      </c>
      <c r="E1" s="253" t="s">
        <v>75</v>
      </c>
      <c r="F1" s="254" t="s">
        <v>7</v>
      </c>
      <c r="G1" s="253" t="s">
        <v>8</v>
      </c>
      <c r="H1" s="250" t="s">
        <v>556</v>
      </c>
      <c r="I1" s="252" t="s">
        <v>557</v>
      </c>
      <c r="J1" s="251" t="s">
        <v>4</v>
      </c>
      <c r="K1" s="253" t="s">
        <v>82</v>
      </c>
      <c r="L1" s="250" t="s">
        <v>550</v>
      </c>
      <c r="M1" s="252" t="s">
        <v>551</v>
      </c>
      <c r="N1" s="255" t="s">
        <v>552</v>
      </c>
      <c r="O1" s="255" t="s">
        <v>553</v>
      </c>
      <c r="P1" s="256" t="s">
        <v>554</v>
      </c>
      <c r="Q1" s="257" t="s">
        <v>555</v>
      </c>
      <c r="R1" s="265" t="s">
        <v>92</v>
      </c>
      <c r="S1" s="269" t="s">
        <v>562</v>
      </c>
      <c r="T1" s="270" t="s">
        <v>563</v>
      </c>
      <c r="U1" s="271" t="s">
        <v>564</v>
      </c>
      <c r="V1" s="272" t="s">
        <v>558</v>
      </c>
    </row>
    <row r="2" spans="1:22" s="224" customFormat="1" thickTop="1">
      <c r="A2" s="240">
        <v>2</v>
      </c>
      <c r="B2" s="241">
        <v>41640</v>
      </c>
      <c r="C2" s="226" t="s">
        <v>83</v>
      </c>
      <c r="D2" s="226"/>
      <c r="E2" s="242">
        <v>10</v>
      </c>
      <c r="F2" s="243">
        <v>771000</v>
      </c>
      <c r="G2" s="244" t="str">
        <f>IF(F2="","",VLOOKUP(F2,Plan_compta!$B$7:$C$360,2))</f>
        <v>771 Produits exceptionnels sur opérations de gestion</v>
      </c>
      <c r="H2" s="245" t="s">
        <v>88</v>
      </c>
      <c r="I2" s="229"/>
      <c r="J2" s="228">
        <v>512000</v>
      </c>
      <c r="K2" s="246" t="str">
        <f>IF(J2="","",VLOOKUP(J2,Données_générales!G3:J7,2))</f>
        <v>Credit agricole Chpt</v>
      </c>
      <c r="L2" s="245" t="s">
        <v>146</v>
      </c>
      <c r="M2" s="227">
        <v>10</v>
      </c>
      <c r="N2" s="228"/>
      <c r="O2" s="232"/>
      <c r="P2" s="228"/>
      <c r="Q2" s="247"/>
      <c r="R2" s="266"/>
      <c r="S2" s="258">
        <f>M2</f>
        <v>10</v>
      </c>
      <c r="T2" s="230">
        <f>O2</f>
        <v>0</v>
      </c>
      <c r="U2" s="230">
        <f>Q2</f>
        <v>0</v>
      </c>
      <c r="V2" s="268">
        <f>M2+O2+Q2</f>
        <v>10</v>
      </c>
    </row>
    <row r="3" spans="1:22">
      <c r="B3" s="241"/>
      <c r="C3" s="226"/>
      <c r="D3" s="226"/>
      <c r="E3" s="242"/>
    </row>
  </sheetData>
  <conditionalFormatting sqref="N2">
    <cfRule type="expression" dxfId="28" priority="25">
      <formula>E2=M2</formula>
    </cfRule>
    <cfRule type="expression" dxfId="27" priority="26">
      <formula>M2=""</formula>
    </cfRule>
    <cfRule type="expression" dxfId="26" priority="27">
      <formula>L2=""</formula>
    </cfRule>
  </conditionalFormatting>
  <conditionalFormatting sqref="P2">
    <cfRule type="expression" dxfId="25" priority="19">
      <formula>(M2+O2)=E2</formula>
    </cfRule>
    <cfRule type="expression" dxfId="24" priority="20">
      <formula>O2=""</formula>
    </cfRule>
    <cfRule type="expression" dxfId="23" priority="21">
      <formula>N2=""</formula>
    </cfRule>
    <cfRule type="expression" dxfId="22" priority="22">
      <formula>E2=M2</formula>
    </cfRule>
    <cfRule type="expression" dxfId="21" priority="23">
      <formula>M2=""</formula>
    </cfRule>
    <cfRule type="expression" dxfId="20" priority="24">
      <formula>L2=""</formula>
    </cfRule>
  </conditionalFormatting>
  <conditionalFormatting sqref="M2">
    <cfRule type="expression" dxfId="19" priority="16">
      <formula>L2=""</formula>
    </cfRule>
    <cfRule type="expression" dxfId="18" priority="17">
      <formula>E2=V2</formula>
    </cfRule>
    <cfRule type="expression" dxfId="17" priority="18">
      <formula>E2&lt;&gt;V2</formula>
    </cfRule>
  </conditionalFormatting>
  <conditionalFormatting sqref="O2">
    <cfRule type="expression" dxfId="16" priority="10">
      <formula>N2=""</formula>
    </cfRule>
    <cfRule type="expression" dxfId="15" priority="11">
      <formula>E2=M2</formula>
    </cfRule>
    <cfRule type="expression" dxfId="14" priority="12">
      <formula>M2=""</formula>
    </cfRule>
    <cfRule type="expression" dxfId="13" priority="13">
      <formula>L2=""</formula>
    </cfRule>
    <cfRule type="expression" dxfId="12" priority="14">
      <formula>E2=V2</formula>
    </cfRule>
    <cfRule type="expression" dxfId="11" priority="15">
      <formula>E2&lt;&gt;V2</formula>
    </cfRule>
  </conditionalFormatting>
  <conditionalFormatting sqref="Q2">
    <cfRule type="expression" dxfId="10" priority="1">
      <formula>P2=""</formula>
    </cfRule>
    <cfRule type="expression" dxfId="9" priority="2">
      <formula>(M2+O2)=E2</formula>
    </cfRule>
    <cfRule type="expression" dxfId="8" priority="3">
      <formula>O2=""</formula>
    </cfRule>
    <cfRule type="expression" dxfId="7" priority="4">
      <formula>N2=""</formula>
    </cfRule>
    <cfRule type="expression" dxfId="6" priority="5">
      <formula>E2=M2</formula>
    </cfRule>
    <cfRule type="expression" dxfId="5" priority="6">
      <formula>M2=""</formula>
    </cfRule>
    <cfRule type="expression" dxfId="4" priority="7">
      <formula>L2=""</formula>
    </cfRule>
    <cfRule type="expression" dxfId="3" priority="8">
      <formula>E2=V2</formula>
    </cfRule>
    <cfRule type="expression" dxfId="2" priority="9">
      <formula>E2&lt;&gt;V2</formula>
    </cfRule>
  </conditionalFormatting>
  <dataValidations count="3">
    <dataValidation type="list" allowBlank="1" showInputMessage="1" showErrorMessage="1" sqref="H2">
      <formula1>MODE_PAIEMENT</formula1>
    </dataValidation>
    <dataValidation type="list" allowBlank="1" showInputMessage="1" showErrorMessage="1" sqref="J2">
      <formula1>N_COMPTE</formula1>
    </dataValidation>
    <dataValidation type="list" allowBlank="1" showInputMessage="1" showErrorMessage="1" sqref="P2 N2 L2">
      <formula1>CODE_ANAL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A1:T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" sqref="A3:E4"/>
    </sheetView>
  </sheetViews>
  <sheetFormatPr baseColWidth="10" defaultRowHeight="12.75"/>
  <cols>
    <col min="1" max="1" width="5" style="206" bestFit="1" customWidth="1"/>
    <col min="2" max="2" width="11.42578125" style="1"/>
    <col min="3" max="3" width="9" style="1" bestFit="1" customWidth="1"/>
    <col min="4" max="4" width="30.7109375" style="1" customWidth="1"/>
    <col min="5" max="5" width="8.28515625" style="1" bestFit="1" customWidth="1"/>
    <col min="6" max="6" width="13.85546875" bestFit="1" customWidth="1"/>
    <col min="7" max="7" width="15.85546875" bestFit="1" customWidth="1"/>
    <col min="8" max="8" width="13.28515625" bestFit="1" customWidth="1"/>
    <col min="9" max="9" width="3.28515625" bestFit="1" customWidth="1"/>
    <col min="10" max="10" width="9.7109375" bestFit="1" customWidth="1"/>
    <col min="11" max="11" width="17.7109375" bestFit="1" customWidth="1"/>
    <col min="12" max="12" width="2" bestFit="1" customWidth="1"/>
    <col min="13" max="13" width="9.7109375" bestFit="1" customWidth="1"/>
    <col min="14" max="14" width="16.7109375" bestFit="1" customWidth="1"/>
    <col min="15" max="15" width="7" bestFit="1" customWidth="1"/>
    <col min="16" max="16" width="45.140625" bestFit="1" customWidth="1"/>
    <col min="17" max="17" width="15.7109375" customWidth="1"/>
    <col min="18" max="19" width="9.7109375" customWidth="1"/>
  </cols>
  <sheetData>
    <row r="1" spans="1:20" s="214" customFormat="1" ht="12">
      <c r="A1" s="211" t="s">
        <v>3</v>
      </c>
      <c r="B1" s="211" t="s">
        <v>2</v>
      </c>
      <c r="C1" s="211" t="s">
        <v>77</v>
      </c>
      <c r="D1" s="211" t="s">
        <v>10</v>
      </c>
      <c r="E1" s="211" t="s">
        <v>75</v>
      </c>
      <c r="F1" s="211" t="s">
        <v>140</v>
      </c>
      <c r="G1" s="211" t="s">
        <v>84</v>
      </c>
      <c r="H1" s="211" t="s">
        <v>89</v>
      </c>
      <c r="I1" s="211"/>
      <c r="J1" s="211" t="s">
        <v>4</v>
      </c>
      <c r="K1" s="211" t="s">
        <v>82</v>
      </c>
      <c r="L1" s="211"/>
      <c r="M1" s="211" t="s">
        <v>4</v>
      </c>
      <c r="N1" s="211" t="s">
        <v>82</v>
      </c>
      <c r="O1" s="212" t="s">
        <v>7</v>
      </c>
      <c r="P1" s="211" t="s">
        <v>8</v>
      </c>
      <c r="Q1" s="211" t="s">
        <v>92</v>
      </c>
      <c r="R1" s="213" t="s">
        <v>79</v>
      </c>
      <c r="S1" s="213" t="s">
        <v>143</v>
      </c>
      <c r="T1" s="213" t="s">
        <v>80</v>
      </c>
    </row>
    <row r="2" spans="1:20" s="220" customFormat="1" ht="12">
      <c r="A2" s="215">
        <v>3</v>
      </c>
      <c r="B2" s="216">
        <v>41640</v>
      </c>
      <c r="C2" s="216" t="s">
        <v>79</v>
      </c>
      <c r="D2" s="217" t="s">
        <v>83</v>
      </c>
      <c r="E2" s="218">
        <v>10</v>
      </c>
      <c r="F2" s="219" t="s">
        <v>150</v>
      </c>
      <c r="G2" s="220" t="s">
        <v>88</v>
      </c>
      <c r="H2" s="223">
        <v>24022596</v>
      </c>
      <c r="I2" s="220" t="str">
        <f>IF($C2="Virement","De","")</f>
        <v/>
      </c>
      <c r="J2" s="219">
        <v>512100</v>
      </c>
      <c r="K2" s="220" t="str">
        <f>IF(J2="","",VLOOKUP(J2,Données_générales!G3:J7,2))</f>
        <v>Credit agricole Dépôt</v>
      </c>
      <c r="L2" s="220" t="str">
        <f>IF($C2="Virement","A","")</f>
        <v/>
      </c>
      <c r="M2" s="220">
        <v>512000</v>
      </c>
      <c r="N2" s="220" t="str">
        <f>IF(M2="","",VLOOKUP(M2,Données_générales!G3:J7,2))</f>
        <v>Credit agricole Chpt</v>
      </c>
      <c r="O2" s="223">
        <v>771000</v>
      </c>
      <c r="P2" s="223" t="str">
        <f>IF(O2="","",VLOOKUP(O2,Plan_compta!$B$7:$C$360,2))</f>
        <v>771 Produits exceptionnels sur opérations de gestion</v>
      </c>
      <c r="Q2" s="221"/>
      <c r="R2" s="222">
        <f>IF(C2="Dépense",E2,0)</f>
        <v>10</v>
      </c>
      <c r="S2" s="222">
        <f>IF(C2="Recette",E2,0)</f>
        <v>0</v>
      </c>
      <c r="T2" s="222">
        <f>IF(C2="Virement",E2,0)</f>
        <v>0</v>
      </c>
    </row>
  </sheetData>
  <conditionalFormatting sqref="F2:H2 O2:P2">
    <cfRule type="expression" dxfId="1" priority="2" stopIfTrue="1">
      <formula>$C2="Virement"</formula>
    </cfRule>
  </conditionalFormatting>
  <conditionalFormatting sqref="L2:N2 I2">
    <cfRule type="expression" dxfId="0" priority="1" stopIfTrue="1">
      <formula>OR($C2="Dépense",$C2="Recette")</formula>
    </cfRule>
  </conditionalFormatting>
  <dataValidations count="4">
    <dataValidation type="list" allowBlank="1" showInputMessage="1" showErrorMessage="1" sqref="F2">
      <formula1>CODE_ANAL</formula1>
    </dataValidation>
    <dataValidation type="list" allowBlank="1" showInputMessage="1" showErrorMessage="1" sqref="J2 M2">
      <formula1>N_COMPTE</formula1>
    </dataValidation>
    <dataValidation type="list" allowBlank="1" showInputMessage="1" showErrorMessage="1" sqref="C2">
      <formula1>OPERATION</formula1>
    </dataValidation>
    <dataValidation type="list" allowBlank="1" showInputMessage="1" showErrorMessage="1" sqref="G2">
      <formula1>MODE_PAIEMENT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FFFF00"/>
  </sheetPr>
  <dimension ref="A1:E30"/>
  <sheetViews>
    <sheetView workbookViewId="0">
      <selection activeCell="C2" sqref="C2"/>
    </sheetView>
  </sheetViews>
  <sheetFormatPr baseColWidth="10" defaultRowHeight="12.75"/>
  <cols>
    <col min="1" max="1" width="13" bestFit="1" customWidth="1"/>
    <col min="2" max="2" width="34.28515625" bestFit="1" customWidth="1"/>
    <col min="3" max="4" width="11.42578125" style="184"/>
    <col min="5" max="5" width="11.42578125" style="185"/>
  </cols>
  <sheetData>
    <row r="1" spans="1:5" ht="13.5" thickBot="1">
      <c r="A1" s="274" t="s">
        <v>141</v>
      </c>
      <c r="B1" s="275" t="s">
        <v>10</v>
      </c>
      <c r="C1" s="276" t="s">
        <v>142</v>
      </c>
      <c r="D1" s="276" t="s">
        <v>143</v>
      </c>
      <c r="E1" s="277" t="s">
        <v>144</v>
      </c>
    </row>
    <row r="2" spans="1:5">
      <c r="A2" s="6" t="s">
        <v>150</v>
      </c>
      <c r="B2" s="2" t="s">
        <v>145</v>
      </c>
      <c r="C2" s="259">
        <f>SUMIF(Dépense!L:L,$A2,Dépense!S:S)+SUMIF(Dépense!N:N,$A2,Dépense!T:T)+SUMIF(Dépense!P:P,$A2,Dépense!U:U)</f>
        <v>0</v>
      </c>
      <c r="D2" s="260" t="e">
        <f>SUMIF(Dépense!L:L,$A2,Dépense!#REF!)+SUMIF(Dépense!N:N,$A2,Dépense!#REF!)+SUMIF(Dépense!P:P,$A2,Dépense!#REF!)</f>
        <v>#REF!</v>
      </c>
      <c r="E2" s="261" t="e">
        <f t="shared" ref="E2:E18" si="0">D2-C2</f>
        <v>#REF!</v>
      </c>
    </row>
    <row r="3" spans="1:5">
      <c r="A3" s="6" t="s">
        <v>146</v>
      </c>
      <c r="B3" s="2" t="s">
        <v>147</v>
      </c>
      <c r="C3" s="259">
        <f>SUMIF(Dépense!L:L,$A3,Dépense!S:S)+SUMIF(Dépense!N:N,$A3,Dépense!T:T)+SUMIF(Dépense!P:P,$A3,Dépense!U:U)</f>
        <v>10</v>
      </c>
      <c r="D3" s="260" t="e">
        <f>SUMIF(Dépense!L:L,$A3,Dépense!#REF!)+SUMIF(Dépense!N:N,$A3,Dépense!#REF!)+SUMIF(Dépense!P:P,$A3,Dépense!#REF!)</f>
        <v>#REF!</v>
      </c>
      <c r="E3" s="261" t="e">
        <f t="shared" si="0"/>
        <v>#REF!</v>
      </c>
    </row>
    <row r="4" spans="1:5">
      <c r="A4" s="6" t="s">
        <v>149</v>
      </c>
      <c r="B4" s="2" t="s">
        <v>151</v>
      </c>
      <c r="C4" s="259">
        <f>SUMIF(Dépense!L:L,$A4,Dépense!S:S)+SUMIF(Dépense!N:N,$A4,Dépense!T:T)+SUMIF(Dépense!P:P,$A4,Dépense!U:U)</f>
        <v>0</v>
      </c>
      <c r="D4" s="260" t="e">
        <f>SUMIF(Dépense!L:L,$A4,Dépense!#REF!)+SUMIF(Dépense!N:N,$A4,Dépense!#REF!)+SUMIF(Dépense!P:P,$A4,Dépense!#REF!)</f>
        <v>#REF!</v>
      </c>
      <c r="E4" s="261" t="e">
        <f t="shared" si="0"/>
        <v>#REF!</v>
      </c>
    </row>
    <row r="5" spans="1:5">
      <c r="A5" s="6" t="s">
        <v>148</v>
      </c>
      <c r="B5" s="2" t="s">
        <v>152</v>
      </c>
      <c r="C5" s="259">
        <f>SUMIF(Dépense!L:L,$A5,Dépense!S:S)+SUMIF(Dépense!N:N,$A5,Dépense!T:T)+SUMIF(Dépense!P:P,$A5,Dépense!U:U)</f>
        <v>0</v>
      </c>
      <c r="D5" s="260" t="e">
        <f>SUMIF(Dépense!L:L,$A5,Dépense!#REF!)+SUMIF(Dépense!N:N,$A5,Dépense!#REF!)+SUMIF(Dépense!P:P,$A5,Dépense!#REF!)</f>
        <v>#REF!</v>
      </c>
      <c r="E5" s="261" t="e">
        <f t="shared" si="0"/>
        <v>#REF!</v>
      </c>
    </row>
    <row r="6" spans="1:5">
      <c r="A6" s="262" t="s">
        <v>57</v>
      </c>
      <c r="B6" s="2" t="s">
        <v>153</v>
      </c>
      <c r="C6" s="259">
        <f>SUMIF(Dépense!L:L,$A6,Dépense!S:S)+SUMIF(Dépense!N:N,$A6,Dépense!T:T)+SUMIF(Dépense!P:P,$A6,Dépense!U:U)</f>
        <v>0</v>
      </c>
      <c r="D6" s="260" t="e">
        <f>SUMIF(Dépense!L:L,$A6,Dépense!#REF!)+SUMIF(Dépense!N:N,$A6,Dépense!#REF!)+SUMIF(Dépense!P:P,$A6,Dépense!#REF!)</f>
        <v>#REF!</v>
      </c>
      <c r="E6" s="261" t="e">
        <f t="shared" si="0"/>
        <v>#REF!</v>
      </c>
    </row>
    <row r="7" spans="1:5">
      <c r="A7" s="6" t="s">
        <v>154</v>
      </c>
      <c r="B7" s="2" t="s">
        <v>155</v>
      </c>
      <c r="C7" s="259">
        <f>SUMIF(Dépense!L:L,$A7,Dépense!S:S)+SUMIF(Dépense!N:N,$A7,Dépense!T:T)+SUMIF(Dépense!P:P,$A7,Dépense!U:U)</f>
        <v>0</v>
      </c>
      <c r="D7" s="260" t="e">
        <f>SUMIF(Dépense!L:L,$A7,Dépense!#REF!)+SUMIF(Dépense!N:N,$A7,Dépense!#REF!)+SUMIF(Dépense!P:P,$A7,Dépense!#REF!)</f>
        <v>#REF!</v>
      </c>
      <c r="E7" s="261" t="e">
        <f t="shared" si="0"/>
        <v>#REF!</v>
      </c>
    </row>
    <row r="8" spans="1:5">
      <c r="A8" s="6" t="s">
        <v>156</v>
      </c>
      <c r="B8" s="2" t="s">
        <v>157</v>
      </c>
      <c r="C8" s="259">
        <f>SUMIF(Dépense!L:L,$A8,Dépense!S:S)+SUMIF(Dépense!N:N,$A8,Dépense!T:T)+SUMIF(Dépense!P:P,$A8,Dépense!U:U)</f>
        <v>0</v>
      </c>
      <c r="D8" s="260" t="e">
        <f>SUMIF(Dépense!L:L,$A8,Dépense!#REF!)+SUMIF(Dépense!N:N,$A8,Dépense!#REF!)+SUMIF(Dépense!P:P,$A8,Dépense!#REF!)</f>
        <v>#REF!</v>
      </c>
      <c r="E8" s="261" t="e">
        <f t="shared" si="0"/>
        <v>#REF!</v>
      </c>
    </row>
    <row r="9" spans="1:5">
      <c r="A9" s="6" t="s">
        <v>158</v>
      </c>
      <c r="B9" s="2" t="s">
        <v>159</v>
      </c>
      <c r="C9" s="259">
        <f>SUMIF(Dépense!L:L,$A9,Dépense!S:S)+SUMIF(Dépense!N:N,$A9,Dépense!T:T)+SUMIF(Dépense!P:P,$A9,Dépense!U:U)</f>
        <v>0</v>
      </c>
      <c r="D9" s="260" t="e">
        <f>SUMIF(Dépense!L:L,$A9,Dépense!#REF!)+SUMIF(Dépense!N:N,$A9,Dépense!#REF!)+SUMIF(Dépense!P:P,$A9,Dépense!#REF!)</f>
        <v>#REF!</v>
      </c>
      <c r="E9" s="261" t="e">
        <f t="shared" si="0"/>
        <v>#REF!</v>
      </c>
    </row>
    <row r="10" spans="1:5">
      <c r="A10" s="6" t="s">
        <v>160</v>
      </c>
      <c r="B10" s="2" t="s">
        <v>161</v>
      </c>
      <c r="C10" s="259">
        <f>SUMIF(Dépense!L:L,$A10,Dépense!S:S)+SUMIF(Dépense!N:N,$A10,Dépense!T:T)+SUMIF(Dépense!P:P,$A10,Dépense!U:U)</f>
        <v>0</v>
      </c>
      <c r="D10" s="260" t="e">
        <f>SUMIF(Dépense!L:L,$A10,Dépense!#REF!)+SUMIF(Dépense!N:N,$A10,Dépense!#REF!)+SUMIF(Dépense!P:P,$A10,Dépense!#REF!)</f>
        <v>#REF!</v>
      </c>
      <c r="E10" s="261" t="e">
        <f t="shared" si="0"/>
        <v>#REF!</v>
      </c>
    </row>
    <row r="11" spans="1:5">
      <c r="A11" s="6" t="s">
        <v>162</v>
      </c>
      <c r="B11" s="2" t="s">
        <v>165</v>
      </c>
      <c r="C11" s="259">
        <f>SUMIF(Dépense!L:L,$A11,Dépense!S:S)+SUMIF(Dépense!N:N,$A11,Dépense!T:T)+SUMIF(Dépense!P:P,$A11,Dépense!U:U)</f>
        <v>0</v>
      </c>
      <c r="D11" s="260" t="e">
        <f>SUMIF(Dépense!L:L,$A11,Dépense!#REF!)+SUMIF(Dépense!N:N,$A11,Dépense!#REF!)+SUMIF(Dépense!P:P,$A11,Dépense!#REF!)</f>
        <v>#REF!</v>
      </c>
      <c r="E11" s="261" t="e">
        <f t="shared" si="0"/>
        <v>#REF!</v>
      </c>
    </row>
    <row r="12" spans="1:5">
      <c r="A12" s="6" t="s">
        <v>163</v>
      </c>
      <c r="B12" s="2" t="s">
        <v>164</v>
      </c>
      <c r="C12" s="259">
        <f>SUMIF(Dépense!L:L,$A12,Dépense!S:S)+SUMIF(Dépense!N:N,$A12,Dépense!T:T)+SUMIF(Dépense!P:P,$A12,Dépense!U:U)</f>
        <v>0</v>
      </c>
      <c r="D12" s="260" t="e">
        <f>SUMIF(Dépense!L:L,$A12,Dépense!#REF!)+SUMIF(Dépense!N:N,$A12,Dépense!#REF!)+SUMIF(Dépense!P:P,$A12,Dépense!#REF!)</f>
        <v>#REF!</v>
      </c>
      <c r="E12" s="261" t="e">
        <f t="shared" si="0"/>
        <v>#REF!</v>
      </c>
    </row>
    <row r="13" spans="1:5">
      <c r="A13" s="6" t="s">
        <v>166</v>
      </c>
      <c r="B13" s="2" t="s">
        <v>167</v>
      </c>
      <c r="C13" s="259">
        <f>SUMIF(Dépense!L:L,$A13,Dépense!S:S)+SUMIF(Dépense!N:N,$A13,Dépense!T:T)+SUMIF(Dépense!P:P,$A13,Dépense!U:U)</f>
        <v>0</v>
      </c>
      <c r="D13" s="260" t="e">
        <f>SUMIF(Dépense!L:L,$A13,Dépense!#REF!)+SUMIF(Dépense!N:N,$A13,Dépense!#REF!)+SUMIF(Dépense!P:P,$A13,Dépense!#REF!)</f>
        <v>#REF!</v>
      </c>
      <c r="E13" s="261" t="e">
        <f t="shared" si="0"/>
        <v>#REF!</v>
      </c>
    </row>
    <row r="14" spans="1:5">
      <c r="A14" s="6" t="s">
        <v>168</v>
      </c>
      <c r="B14" s="2" t="s">
        <v>169</v>
      </c>
      <c r="C14" s="259">
        <f>SUMIF(Dépense!L:L,$A14,Dépense!S:S)+SUMIF(Dépense!N:N,$A14,Dépense!T:T)+SUMIF(Dépense!P:P,$A14,Dépense!U:U)</f>
        <v>0</v>
      </c>
      <c r="D14" s="260" t="e">
        <f>SUMIF(Dépense!L:L,$A14,Dépense!#REF!)+SUMIF(Dépense!N:N,$A14,Dépense!#REF!)+SUMIF(Dépense!P:P,$A14,Dépense!#REF!)</f>
        <v>#REF!</v>
      </c>
      <c r="E14" s="261" t="e">
        <f t="shared" si="0"/>
        <v>#REF!</v>
      </c>
    </row>
    <row r="15" spans="1:5">
      <c r="A15" s="6" t="s">
        <v>175</v>
      </c>
      <c r="B15" s="2" t="s">
        <v>171</v>
      </c>
      <c r="C15" s="259">
        <f>SUMIF(Dépense!L:L,$A15,Dépense!S:S)+SUMIF(Dépense!N:N,$A15,Dépense!T:T)+SUMIF(Dépense!P:P,$A15,Dépense!U:U)</f>
        <v>0</v>
      </c>
      <c r="D15" s="260" t="e">
        <f>SUMIF(Dépense!L:L,$A15,Dépense!#REF!)+SUMIF(Dépense!N:N,$A15,Dépense!#REF!)+SUMIF(Dépense!P:P,$A15,Dépense!#REF!)</f>
        <v>#REF!</v>
      </c>
      <c r="E15" s="261" t="e">
        <f t="shared" si="0"/>
        <v>#REF!</v>
      </c>
    </row>
    <row r="16" spans="1:5">
      <c r="A16" s="6" t="s">
        <v>176</v>
      </c>
      <c r="B16" s="2" t="s">
        <v>172</v>
      </c>
      <c r="C16" s="259">
        <f>SUMIF(Dépense!L:L,$A16,Dépense!S:S)+SUMIF(Dépense!N:N,$A16,Dépense!T:T)+SUMIF(Dépense!P:P,$A16,Dépense!U:U)</f>
        <v>0</v>
      </c>
      <c r="D16" s="260" t="e">
        <f>SUMIF(Dépense!L:L,$A16,Dépense!#REF!)+SUMIF(Dépense!N:N,$A16,Dépense!#REF!)+SUMIF(Dépense!P:P,$A16,Dépense!#REF!)</f>
        <v>#REF!</v>
      </c>
      <c r="E16" s="261" t="e">
        <f t="shared" si="0"/>
        <v>#REF!</v>
      </c>
    </row>
    <row r="17" spans="1:5">
      <c r="A17" s="6" t="s">
        <v>177</v>
      </c>
      <c r="B17" s="2" t="s">
        <v>173</v>
      </c>
      <c r="C17" s="259">
        <f>SUMIF(Dépense!L:L,$A17,Dépense!S:S)+SUMIF(Dépense!N:N,$A17,Dépense!T:T)+SUMIF(Dépense!P:P,$A17,Dépense!U:U)</f>
        <v>0</v>
      </c>
      <c r="D17" s="260" t="e">
        <f>SUMIF(Dépense!L:L,$A17,Dépense!#REF!)+SUMIF(Dépense!N:N,$A17,Dépense!#REF!)+SUMIF(Dépense!P:P,$A17,Dépense!#REF!)</f>
        <v>#REF!</v>
      </c>
      <c r="E17" s="261" t="e">
        <f t="shared" si="0"/>
        <v>#REF!</v>
      </c>
    </row>
    <row r="18" spans="1:5" ht="13.5" thickBot="1">
      <c r="A18" s="29" t="s">
        <v>170</v>
      </c>
      <c r="B18" s="189" t="s">
        <v>174</v>
      </c>
      <c r="C18" s="273">
        <f>SUMIF(Dépense!L:L,$A18,Dépense!S:S)+SUMIF(Dépense!N:N,$A18,Dépense!T:T)+SUMIF(Dépense!P:P,$A18,Dépense!U:U)</f>
        <v>0</v>
      </c>
      <c r="D18" s="263" t="e">
        <f>SUMIF(Dépense!L:L,$A18,Dépense!#REF!)+SUMIF(Dépense!N:N,$A18,Dépense!#REF!)+SUMIF(Dépense!P:P,$A18,Dépense!#REF!)</f>
        <v>#REF!</v>
      </c>
      <c r="E18" s="264" t="e">
        <f t="shared" si="0"/>
        <v>#REF!</v>
      </c>
    </row>
    <row r="19" spans="1:5">
      <c r="A19" s="6"/>
      <c r="B19" s="2"/>
      <c r="C19" s="260"/>
      <c r="D19" s="260"/>
      <c r="E19" s="261"/>
    </row>
    <row r="20" spans="1:5">
      <c r="A20" s="6"/>
      <c r="B20" s="2"/>
      <c r="C20" s="260"/>
      <c r="D20" s="260"/>
      <c r="E20" s="261"/>
    </row>
    <row r="21" spans="1:5">
      <c r="A21" s="6"/>
      <c r="B21" s="2"/>
      <c r="C21" s="260"/>
      <c r="D21" s="260"/>
      <c r="E21" s="261"/>
    </row>
    <row r="22" spans="1:5">
      <c r="A22" s="6"/>
      <c r="B22" s="2"/>
      <c r="C22" s="260"/>
      <c r="D22" s="260"/>
      <c r="E22" s="261"/>
    </row>
    <row r="23" spans="1:5">
      <c r="A23" s="6"/>
      <c r="B23" s="2"/>
      <c r="C23" s="260"/>
      <c r="D23" s="260"/>
      <c r="E23" s="261"/>
    </row>
    <row r="24" spans="1:5">
      <c r="A24" s="6"/>
      <c r="B24" s="2"/>
      <c r="C24" s="260"/>
      <c r="D24" s="260"/>
      <c r="E24" s="261"/>
    </row>
    <row r="25" spans="1:5">
      <c r="A25" s="6"/>
      <c r="B25" s="2"/>
      <c r="C25" s="260"/>
      <c r="D25" s="260"/>
      <c r="E25" s="261"/>
    </row>
    <row r="26" spans="1:5">
      <c r="A26" s="6"/>
      <c r="B26" s="2"/>
      <c r="C26" s="260"/>
      <c r="D26" s="260"/>
      <c r="E26" s="261"/>
    </row>
    <row r="27" spans="1:5">
      <c r="A27" s="6"/>
      <c r="B27" s="2"/>
      <c r="C27" s="260"/>
      <c r="D27" s="260"/>
      <c r="E27" s="261"/>
    </row>
    <row r="28" spans="1:5">
      <c r="A28" s="6"/>
      <c r="B28" s="2"/>
      <c r="C28" s="260"/>
      <c r="D28" s="260"/>
      <c r="E28" s="261"/>
    </row>
    <row r="29" spans="1:5">
      <c r="A29" s="6"/>
      <c r="B29" s="2"/>
      <c r="C29" s="260"/>
      <c r="D29" s="260"/>
      <c r="E29" s="261"/>
    </row>
    <row r="30" spans="1:5" ht="13.5" thickBot="1">
      <c r="A30" s="29"/>
      <c r="B30" s="189"/>
      <c r="C30" s="263"/>
      <c r="D30" s="263"/>
      <c r="E30" s="264"/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C00000"/>
    <pageSetUpPr fitToPage="1"/>
  </sheetPr>
  <dimension ref="A2:N47"/>
  <sheetViews>
    <sheetView showGridLines="0" zoomScale="70" zoomScaleNormal="70" workbookViewId="0">
      <selection activeCell="P20" sqref="P20"/>
    </sheetView>
  </sheetViews>
  <sheetFormatPr baseColWidth="10" defaultColWidth="11.42578125" defaultRowHeight="12.75"/>
  <cols>
    <col min="1" max="1" width="41.85546875" customWidth="1"/>
    <col min="2" max="2" width="19.5703125" customWidth="1"/>
    <col min="3" max="3" width="20.7109375" customWidth="1"/>
    <col min="4" max="4" width="16.85546875" customWidth="1"/>
    <col min="5" max="5" width="14" bestFit="1" customWidth="1"/>
    <col min="6" max="6" width="14" customWidth="1"/>
    <col min="7" max="7" width="12" customWidth="1"/>
    <col min="8" max="8" width="14.42578125" bestFit="1" customWidth="1"/>
    <col min="9" max="9" width="34.140625" customWidth="1"/>
    <col min="10" max="10" width="13" customWidth="1"/>
    <col min="12" max="12" width="12.5703125" customWidth="1"/>
  </cols>
  <sheetData>
    <row r="2" spans="1:12" ht="13.5" thickBot="1"/>
    <row r="3" spans="1:12">
      <c r="A3" s="336" t="e">
        <f>CONCATENATE("BILAN AU ",#REF!,"/",#REF!)</f>
        <v>#REF!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8"/>
    </row>
    <row r="4" spans="1:12" ht="13.5" thickBot="1">
      <c r="A4" s="339"/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1"/>
    </row>
    <row r="5" spans="1:12" ht="17.25" thickBot="1">
      <c r="A5" s="342" t="s">
        <v>34</v>
      </c>
      <c r="B5" s="343"/>
      <c r="C5" s="346" t="e">
        <f>#REF!</f>
        <v>#REF!</v>
      </c>
      <c r="D5" s="346"/>
      <c r="E5" s="346"/>
      <c r="F5" s="347" t="e">
        <f>C5-1</f>
        <v>#REF!</v>
      </c>
      <c r="G5" s="349" t="e">
        <f>CONCATENATE("Ecart ","(",#REF!,"/",#REF!-1,")")</f>
        <v>#REF!</v>
      </c>
      <c r="H5" s="342" t="s">
        <v>35</v>
      </c>
      <c r="I5" s="351"/>
      <c r="J5" s="336" t="e">
        <f>C5</f>
        <v>#REF!</v>
      </c>
      <c r="K5" s="347" t="e">
        <f>F5</f>
        <v>#REF!</v>
      </c>
      <c r="L5" s="354" t="e">
        <f>CONCATENATE("Ecart ","(",#REF!,"/",#REF!-1,")")</f>
        <v>#REF!</v>
      </c>
    </row>
    <row r="6" spans="1:12" ht="17.25" thickBot="1">
      <c r="A6" s="344"/>
      <c r="B6" s="345"/>
      <c r="C6" s="78" t="s">
        <v>36</v>
      </c>
      <c r="D6" s="79" t="s">
        <v>37</v>
      </c>
      <c r="E6" s="80" t="s">
        <v>38</v>
      </c>
      <c r="F6" s="348"/>
      <c r="G6" s="350"/>
      <c r="H6" s="344"/>
      <c r="I6" s="352"/>
      <c r="J6" s="339"/>
      <c r="K6" s="353"/>
      <c r="L6" s="355"/>
    </row>
    <row r="7" spans="1:12" s="109" customFormat="1" ht="14.25" customHeight="1">
      <c r="A7" s="101"/>
      <c r="B7" s="102"/>
      <c r="C7" s="103"/>
      <c r="D7" s="104"/>
      <c r="E7" s="105"/>
      <c r="F7" s="105"/>
      <c r="G7" s="105"/>
      <c r="H7" s="106"/>
      <c r="I7" s="102"/>
      <c r="J7" s="107"/>
      <c r="K7" s="105"/>
      <c r="L7" s="108"/>
    </row>
    <row r="8" spans="1:12" s="109" customFormat="1" ht="14.25" customHeight="1">
      <c r="A8" s="101"/>
      <c r="B8" s="110" t="s">
        <v>183</v>
      </c>
      <c r="C8" s="111"/>
      <c r="D8" s="112"/>
      <c r="E8" s="113"/>
      <c r="F8" s="113"/>
      <c r="G8" s="113"/>
      <c r="H8" s="114"/>
      <c r="I8" s="110" t="s">
        <v>133</v>
      </c>
      <c r="J8" s="107"/>
      <c r="K8" s="105"/>
      <c r="L8" s="108"/>
    </row>
    <row r="9" spans="1:12" s="109" customFormat="1" ht="14.25" customHeight="1">
      <c r="A9" s="332"/>
      <c r="B9" s="333"/>
      <c r="C9" s="111"/>
      <c r="D9" s="111"/>
      <c r="E9" s="111"/>
      <c r="F9" s="111"/>
      <c r="G9" s="111"/>
      <c r="H9" s="330" t="s">
        <v>135</v>
      </c>
      <c r="I9" s="334"/>
      <c r="J9" s="107"/>
      <c r="K9" s="111"/>
      <c r="L9" s="117"/>
    </row>
    <row r="10" spans="1:12" s="109" customFormat="1" ht="14.25" customHeight="1">
      <c r="A10" s="332" t="s">
        <v>112</v>
      </c>
      <c r="B10" s="333"/>
      <c r="C10" s="111" t="e">
        <f ca="1">SUMIF(#REF!,"&gt;=200000",OFFSET(#REF!,0,4))-SUMIF(#REF!,"&gt;=210000",OFFSET(#REF!,0,4))</f>
        <v>#REF!</v>
      </c>
      <c r="D10" s="111" t="e">
        <f ca="1">SUMIF(#REF!,"&gt;=280000",OFFSET(#REF!,0,5))-SUMIF(#REF!,"&gt;=281000",OFFSET(#REF!,0,5))+SUMIF(#REF!,"&gt;=290000",OFFSET(#REF!,0,5))-SUMIF(#REF!,"&gt;=291000",OFFSET(#REF!,0,5))</f>
        <v>#REF!</v>
      </c>
      <c r="E10" s="111" t="e">
        <f ca="1">C10-D10</f>
        <v>#REF!</v>
      </c>
      <c r="F10" s="111">
        <v>0</v>
      </c>
      <c r="G10" s="111" t="e">
        <f ca="1">E10-F10</f>
        <v>#REF!</v>
      </c>
      <c r="H10" s="335" t="s">
        <v>136</v>
      </c>
      <c r="I10" s="333"/>
      <c r="J10" s="111" t="e">
        <f ca="1">SUMIF(#REF!,"&gt;=102000",OFFSET(#REF!,0,5))-SUMIF(#REF!,"&gt;=103000",OFFSET(#REF!,0,5))</f>
        <v>#REF!</v>
      </c>
      <c r="K10" s="111">
        <v>0</v>
      </c>
      <c r="L10" s="117" t="e">
        <f t="shared" ref="L10:L16" ca="1" si="0">J10-K10</f>
        <v>#REF!</v>
      </c>
    </row>
    <row r="11" spans="1:12" s="109" customFormat="1" ht="14.25" customHeight="1">
      <c r="A11" s="115" t="s">
        <v>113</v>
      </c>
      <c r="B11" s="116"/>
      <c r="C11" s="111" t="e">
        <f ca="1">SUMIF(#REF!,"&gt;=210000",OFFSET(#REF!,0,4))-SUMIF(#REF!,"&gt;=240000",OFFSET(#REF!,0,4))</f>
        <v>#REF!</v>
      </c>
      <c r="D11" s="111" t="e">
        <f ca="1">SUMIF(#REF!,"&gt;=281000",OFFSET(#REF!,0,5))-SUMIF(#REF!,"&gt;=282000",OFFSET(#REF!,0,5))+SUMIF(#REF!,"&gt;=291000",OFFSET(#REF!,0,5))-SUMIF(#REF!,"&gt;=292000",OFFSET(#REF!,0,5))</f>
        <v>#REF!</v>
      </c>
      <c r="E11" s="111" t="e">
        <f ca="1">C11-D11</f>
        <v>#REF!</v>
      </c>
      <c r="F11" s="111">
        <v>0</v>
      </c>
      <c r="G11" s="111" t="e">
        <f ca="1">E11-F11</f>
        <v>#REF!</v>
      </c>
      <c r="H11" s="141" t="s">
        <v>139</v>
      </c>
      <c r="I11" s="116"/>
      <c r="J11" s="150" t="e">
        <f ca="1">SUMIF(#REF!,"&gt;=102600",OFFSET(#REF!,0,5))-SUMIF(#REF!,"&gt;=102700",OFFSET(#REF!,0,5))</f>
        <v>#REF!</v>
      </c>
      <c r="K11" s="150">
        <v>0</v>
      </c>
      <c r="L11" s="164" t="e">
        <f t="shared" ca="1" si="0"/>
        <v>#REF!</v>
      </c>
    </row>
    <row r="12" spans="1:12" s="109" customFormat="1" ht="14.25" customHeight="1">
      <c r="A12" s="332" t="s">
        <v>114</v>
      </c>
      <c r="B12" s="333"/>
      <c r="C12" s="111" t="e">
        <f ca="1">SUMIF(#REF!,"&gt;=250000",OFFSET(#REF!,0,4))-SUMIF(#REF!,"&gt;=280000",OFFSET(#REF!,0,4))</f>
        <v>#REF!</v>
      </c>
      <c r="D12" s="111" t="e">
        <f ca="1">SUMIF(#REF!,"&gt;=297000",OFFSET(#REF!,0,5))-SUMIF(#REF!,"&gt;=298000",OFFSET(#REF!,0,5))</f>
        <v>#REF!</v>
      </c>
      <c r="E12" s="111" t="e">
        <f ca="1">C12-D12</f>
        <v>#REF!</v>
      </c>
      <c r="F12" s="111">
        <v>0</v>
      </c>
      <c r="G12" s="111" t="e">
        <f ca="1">E12-F12</f>
        <v>#REF!</v>
      </c>
      <c r="H12" s="142" t="s">
        <v>137</v>
      </c>
      <c r="I12" s="116"/>
      <c r="J12" s="111" t="e">
        <f ca="1">SUMIF(#REF!,"&gt;=106000",OFFSET(#REF!,0,5))-SUMIF(#REF!,"&gt;=107000",OFFSET(#REF!,0,5))</f>
        <v>#REF!</v>
      </c>
      <c r="K12" s="111">
        <v>0</v>
      </c>
      <c r="L12" s="117" t="e">
        <f t="shared" ca="1" si="0"/>
        <v>#REF!</v>
      </c>
    </row>
    <row r="13" spans="1:12" s="109" customFormat="1" ht="14.25" customHeight="1">
      <c r="A13" s="115"/>
      <c r="B13" s="116"/>
      <c r="C13" s="111"/>
      <c r="D13" s="120"/>
      <c r="E13" s="111"/>
      <c r="F13" s="111"/>
      <c r="G13" s="111"/>
      <c r="H13" s="142" t="s">
        <v>116</v>
      </c>
      <c r="I13" s="116"/>
      <c r="J13" s="111" t="e">
        <f ca="1">(SUMIF(#REF!,"&gt;=110000",OFFSET(#REF!,0,5))-SUMIF(#REF!,"&gt;=120000",OFFSET(#REF!,0,5)))-(SUMIF(#REF!,"&gt;=110000",OFFSET(#REF!,0,4))-SUMIF(#REF!,"&gt;=120000",OFFSET(#REF!,0,4)))</f>
        <v>#REF!</v>
      </c>
      <c r="K13" s="111">
        <v>0</v>
      </c>
      <c r="L13" s="117" t="e">
        <f t="shared" ca="1" si="0"/>
        <v>#REF!</v>
      </c>
    </row>
    <row r="14" spans="1:12" s="109" customFormat="1" ht="14.25" customHeight="1">
      <c r="A14" s="115"/>
      <c r="B14" s="116"/>
      <c r="C14" s="111"/>
      <c r="D14" s="120"/>
      <c r="E14" s="111"/>
      <c r="F14" s="111"/>
      <c r="G14" s="111"/>
      <c r="H14" s="142" t="s">
        <v>39</v>
      </c>
      <c r="I14" s="116"/>
      <c r="J14" s="111" t="e">
        <f ca="1">(SUMIF(#REF!,"&gt;=120000",OFFSET(#REF!,0,5))-SUMIF(#REF!,"&gt;=121000",OFFSET(#REF!,0,5)))-(SUMIF(#REF!,"&gt;=129000",OFFSET(#REF!,0,4))-SUMIF(#REF!,"&gt;=130000",OFFSET(#REF!,0,4)))</f>
        <v>#REF!</v>
      </c>
      <c r="K14" s="111">
        <v>0</v>
      </c>
      <c r="L14" s="117" t="e">
        <f t="shared" ca="1" si="0"/>
        <v>#REF!</v>
      </c>
    </row>
    <row r="15" spans="1:12" s="109" customFormat="1" ht="18" customHeight="1">
      <c r="A15" s="115"/>
      <c r="B15" s="116"/>
      <c r="C15" s="111"/>
      <c r="D15" s="120"/>
      <c r="E15" s="111"/>
      <c r="F15" s="111"/>
      <c r="G15" s="111"/>
      <c r="H15" s="330" t="s">
        <v>138</v>
      </c>
      <c r="I15" s="331"/>
      <c r="J15" s="111" t="e">
        <f ca="1">SUMIF(#REF!,"&gt;=103000",OFFSET(#REF!,0,5))-SUMIF(#REF!,"&gt;=104000",OFFSET(#REF!,0,5))+SUMIF(#REF!,"&gt;=130000",OFFSET(#REF!,0,5))-SUMIF(#REF!,"&gt;=150000",OFFSET(#REF!,0,5))</f>
        <v>#REF!</v>
      </c>
      <c r="K15" s="111">
        <v>0</v>
      </c>
      <c r="L15" s="117" t="e">
        <f t="shared" ca="1" si="0"/>
        <v>#REF!</v>
      </c>
    </row>
    <row r="16" spans="1:12" s="109" customFormat="1" ht="18" customHeight="1">
      <c r="A16" s="115"/>
      <c r="B16" s="116"/>
      <c r="C16" s="111"/>
      <c r="D16" s="120"/>
      <c r="E16" s="111"/>
      <c r="F16" s="111"/>
      <c r="G16" s="111"/>
      <c r="H16" s="362" t="s">
        <v>178</v>
      </c>
      <c r="I16" s="363"/>
      <c r="J16" s="150" t="e">
        <f ca="1">SUMIF(#REF!,"&gt;=130000",OFFSET(#REF!,0,5))-SUMIF(#REF!,"&gt;=140000",OFFSET(#REF!,0,5))</f>
        <v>#REF!</v>
      </c>
      <c r="K16" s="150">
        <v>0</v>
      </c>
      <c r="L16" s="164" t="e">
        <f t="shared" ca="1" si="0"/>
        <v>#REF!</v>
      </c>
    </row>
    <row r="17" spans="1:14" s="109" customFormat="1" ht="14.25" customHeight="1">
      <c r="A17" s="101"/>
      <c r="B17" s="119"/>
      <c r="C17" s="111"/>
      <c r="D17" s="120"/>
      <c r="E17" s="111"/>
      <c r="F17" s="111"/>
      <c r="G17" s="111"/>
      <c r="H17" s="121"/>
      <c r="I17" s="121"/>
      <c r="J17" s="122"/>
      <c r="K17" s="123"/>
      <c r="L17" s="124"/>
    </row>
    <row r="18" spans="1:14" s="109" customFormat="1" ht="14.25" customHeight="1" thickBot="1">
      <c r="A18" s="360" t="s">
        <v>13</v>
      </c>
      <c r="B18" s="361"/>
      <c r="C18" s="125" t="e">
        <f ca="1">SUM(C10:C12)</f>
        <v>#REF!</v>
      </c>
      <c r="D18" s="125" t="e">
        <f ca="1">SUM(D10:D12)</f>
        <v>#REF!</v>
      </c>
      <c r="E18" s="125" t="e">
        <f ca="1">SUM(E10:E12)</f>
        <v>#REF!</v>
      </c>
      <c r="F18" s="125">
        <f>SUM(F10:F12)</f>
        <v>0</v>
      </c>
      <c r="G18" s="125" t="e">
        <f ca="1">SUM(G10:G12)</f>
        <v>#REF!</v>
      </c>
      <c r="H18" s="360" t="s">
        <v>13</v>
      </c>
      <c r="I18" s="361"/>
      <c r="J18" s="126" t="e">
        <f ca="1">SUM(J9:J16)-J11-J16</f>
        <v>#REF!</v>
      </c>
      <c r="K18" s="127">
        <f>SUM(K9:K16)-K11-K16</f>
        <v>0</v>
      </c>
      <c r="L18" s="128" t="e">
        <f ca="1">J18-K18</f>
        <v>#REF!</v>
      </c>
    </row>
    <row r="19" spans="1:14" s="109" customFormat="1" ht="14.25" customHeight="1" thickTop="1">
      <c r="A19" s="129"/>
      <c r="B19" s="130"/>
      <c r="C19" s="131"/>
      <c r="D19" s="132"/>
      <c r="E19" s="131"/>
      <c r="F19" s="131"/>
      <c r="G19" s="131"/>
      <c r="H19" s="130"/>
      <c r="I19" s="130"/>
      <c r="J19" s="133"/>
      <c r="K19" s="134"/>
      <c r="L19" s="135"/>
    </row>
    <row r="20" spans="1:14" s="109" customFormat="1" ht="14.25" customHeight="1">
      <c r="A20" s="101"/>
      <c r="B20" s="110" t="s">
        <v>115</v>
      </c>
      <c r="C20" s="111"/>
      <c r="D20" s="120"/>
      <c r="E20" s="136"/>
      <c r="F20" s="136"/>
      <c r="G20" s="136"/>
      <c r="I20" s="110" t="s">
        <v>134</v>
      </c>
      <c r="J20" s="111" t="e">
        <f ca="1">SUMIF(#REF!,"&gt;=150000",OFFSET(#REF!,0,5))-SUMIF(#REF!,"&gt;=159000",OFFSET(#REF!,0,5))</f>
        <v>#REF!</v>
      </c>
      <c r="K20" s="159">
        <v>0</v>
      </c>
      <c r="L20" s="161" t="e">
        <f ca="1">J20-K20</f>
        <v>#REF!</v>
      </c>
    </row>
    <row r="21" spans="1:14" s="109" customFormat="1" ht="14.25" customHeight="1">
      <c r="A21" s="137" t="s">
        <v>40</v>
      </c>
      <c r="B21" s="138"/>
      <c r="C21" s="111" t="e">
        <f ca="1">SUMIF(#REF!,"&gt;=300000",OFFSET(#REF!,0,4))-SUMIF(#REF!,"&gt;=380000",OFFSET(#REF!,0,4))</f>
        <v>#REF!</v>
      </c>
      <c r="D21" s="111" t="e">
        <f ca="1">SUMIF(#REF!,"&gt;=390000",OFFSET(#REF!,0,5))-SUMIF(#REF!,"&gt;=399000",OFFSET(#REF!,0,5))</f>
        <v>#REF!</v>
      </c>
      <c r="E21" s="111" t="e">
        <f ca="1">C21-D21</f>
        <v>#REF!</v>
      </c>
      <c r="F21" s="111">
        <v>0</v>
      </c>
      <c r="G21" s="111" t="e">
        <f t="shared" ref="G21:G28" ca="1" si="1">E21-F21</f>
        <v>#REF!</v>
      </c>
      <c r="H21" s="119"/>
      <c r="J21" s="107"/>
      <c r="K21" s="123"/>
      <c r="L21" s="108"/>
    </row>
    <row r="22" spans="1:14" s="109" customFormat="1" ht="14.25" customHeight="1" thickBot="1">
      <c r="A22" s="143" t="s">
        <v>187</v>
      </c>
      <c r="B22" s="138"/>
      <c r="C22" s="111" t="e">
        <f ca="1">SUMIF(#REF!,"&gt;=409100",OFFSET(#REF!,0,4))-SUMIF(#REF!,"&gt;=409500",OFFSET(#REF!,0,4))</f>
        <v>#REF!</v>
      </c>
      <c r="D22" s="111"/>
      <c r="E22" s="111"/>
      <c r="F22" s="111"/>
      <c r="G22" s="111"/>
      <c r="H22" s="360" t="s">
        <v>29</v>
      </c>
      <c r="I22" s="361"/>
      <c r="J22" s="126" t="e">
        <f ca="1">J20</f>
        <v>#REF!</v>
      </c>
      <c r="K22" s="127">
        <f>K20</f>
        <v>0</v>
      </c>
      <c r="L22" s="128" t="e">
        <f ca="1">J22-K22</f>
        <v>#REF!</v>
      </c>
    </row>
    <row r="23" spans="1:14" s="109" customFormat="1" ht="14.25" customHeight="1" thickTop="1">
      <c r="A23" s="115" t="s">
        <v>41</v>
      </c>
      <c r="B23" s="116"/>
      <c r="C23" s="111" t="e">
        <f ca="1">SUMIF(#REF!,"&gt;=411000",OFFSET(#REF!,0,4))-SUMIF(#REF!,"&gt;=420000",OFFSET(#REF!,0,4))</f>
        <v>#REF!</v>
      </c>
      <c r="D23" s="111" t="e">
        <f ca="1">SUMIF(#REF!,"&gt;=491000",OFFSET(#REF!,0,5))-SUMIF(#REF!,"&gt;=492000",OFFSET(#REF!,0,5))</f>
        <v>#REF!</v>
      </c>
      <c r="E23" s="111" t="e">
        <f t="shared" ref="E23:E28" ca="1" si="2">C23-D23</f>
        <v>#REF!</v>
      </c>
      <c r="F23" s="111">
        <v>0</v>
      </c>
      <c r="G23" s="111" t="e">
        <f t="shared" ca="1" si="1"/>
        <v>#REF!</v>
      </c>
      <c r="H23" s="130"/>
      <c r="I23" s="130"/>
      <c r="J23" s="133"/>
      <c r="K23" s="134"/>
      <c r="L23" s="135"/>
    </row>
    <row r="24" spans="1:14" s="109" customFormat="1" ht="14.25" customHeight="1">
      <c r="A24" s="332" t="s">
        <v>42</v>
      </c>
      <c r="B24" s="333"/>
      <c r="C24" s="111" t="e">
        <f ca="1">SUMIF(#REF!,"&gt;=421000",OFFSET(#REF!,0,4))-SUMIF(#REF!,"&gt;=468000",OFFSET(#REF!,0,4))+SUMIF(#REF!,"&gt;=409000",OFFSET(#REF!,0,4))-SUMIF(#REF!,"&gt;=410000",OFFSET(#REF!,0,4))-C22+SUMIF(#REF!,"&gt;=400000",OFFSET(#REF!,0,4))-SUMIF(#REF!,"&gt;=410000",OFFSET(#REF!,0,4))</f>
        <v>#REF!</v>
      </c>
      <c r="D24" s="111" t="e">
        <f ca="1">SUMIF(#REF!,"&gt;=496000",OFFSET(#REF!,0,5))-SUMIF(#REF!,"&gt;=497000",OFFSET(#REF!,0,5))</f>
        <v>#REF!</v>
      </c>
      <c r="E24" s="111" t="e">
        <f t="shared" ca="1" si="2"/>
        <v>#REF!</v>
      </c>
      <c r="F24" s="111">
        <v>0</v>
      </c>
      <c r="G24" s="111" t="e">
        <f t="shared" ca="1" si="1"/>
        <v>#REF!</v>
      </c>
      <c r="H24" s="130"/>
      <c r="I24" s="110" t="s">
        <v>179</v>
      </c>
      <c r="J24" s="133"/>
      <c r="K24" s="134"/>
      <c r="L24" s="135"/>
    </row>
    <row r="25" spans="1:14" s="109" customFormat="1" ht="18" customHeight="1">
      <c r="A25" s="141" t="s">
        <v>132</v>
      </c>
      <c r="B25" s="116"/>
      <c r="C25" s="150" t="e">
        <f ca="1">SUMIF(#REF!,"&gt;=441000",OFFSET(#REF!,0,4))-SUMIF(#REF!,"&gt;=442000",OFFSET(#REF!,0,4))</f>
        <v>#REF!</v>
      </c>
      <c r="D25" s="150"/>
      <c r="E25" s="150" t="e">
        <f t="shared" ca="1" si="2"/>
        <v>#REF!</v>
      </c>
      <c r="F25" s="150">
        <v>0</v>
      </c>
      <c r="G25" s="150" t="e">
        <f t="shared" ca="1" si="1"/>
        <v>#REF!</v>
      </c>
      <c r="H25" s="158" t="s">
        <v>181</v>
      </c>
      <c r="I25" s="130"/>
      <c r="J25" s="111" t="e">
        <f ca="1">SUMIF(#REF!,"&gt;=194000",OFFSET(#REF!,0,5))-SUMIF(#REF!,"&gt;=195000",OFFSET(#REF!,0,5))</f>
        <v>#REF!</v>
      </c>
      <c r="K25" s="159">
        <v>0</v>
      </c>
      <c r="L25" s="161" t="e">
        <f ca="1">J25-K25</f>
        <v>#REF!</v>
      </c>
    </row>
    <row r="26" spans="1:14" s="109" customFormat="1" ht="14.25" customHeight="1">
      <c r="A26" s="142" t="s">
        <v>129</v>
      </c>
      <c r="B26" s="116"/>
      <c r="C26" s="111" t="e">
        <f ca="1">SUMIF(#REF!,"&gt;=500000",OFFSET(#REF!,0,4))-SUMIF(#REF!,"&gt;=510000",OFFSET(#REF!,0,4))</f>
        <v>#REF!</v>
      </c>
      <c r="D26" s="111" t="e">
        <f ca="1">SUMIF(#REF!,"&gt;=590000",OFFSET(#REF!,0,5))-SUMIF(#REF!,"&gt;=599000",OFFSET(#REF!,0,5))</f>
        <v>#REF!</v>
      </c>
      <c r="E26" s="111" t="e">
        <f t="shared" ca="1" si="2"/>
        <v>#REF!</v>
      </c>
      <c r="F26" s="111">
        <v>0</v>
      </c>
      <c r="G26" s="111" t="e">
        <f t="shared" ca="1" si="1"/>
        <v>#REF!</v>
      </c>
      <c r="H26" s="158" t="s">
        <v>182</v>
      </c>
      <c r="J26" s="111" t="e">
        <f ca="1">SUMIF(#REF!,"&gt;=195000",OFFSET(#REF!,0,5))-SUMIF(#REF!,"&gt;=198000",OFFSET(#REF!,0,5))</f>
        <v>#REF!</v>
      </c>
      <c r="K26" s="160">
        <v>0</v>
      </c>
      <c r="L26" s="161" t="e">
        <f ca="1">J26-K26</f>
        <v>#REF!</v>
      </c>
    </row>
    <row r="27" spans="1:14" s="109" customFormat="1" ht="14.25" customHeight="1">
      <c r="A27" s="358" t="s">
        <v>130</v>
      </c>
      <c r="B27" s="359"/>
      <c r="C27" s="111" t="e">
        <f ca="1">SUMIF(#REF!,"&gt;=510000",OFFSET(#REF!,0,4))-SUMIF(#REF!,"&gt;=588000",OFFSET(#REF!,0,4))-C28</f>
        <v>#REF!</v>
      </c>
      <c r="D27" s="111"/>
      <c r="E27" s="111" t="e">
        <f t="shared" ca="1" si="2"/>
        <v>#REF!</v>
      </c>
      <c r="F27" s="111">
        <v>0</v>
      </c>
      <c r="G27" s="111" t="e">
        <f t="shared" ca="1" si="1"/>
        <v>#REF!</v>
      </c>
      <c r="H27" s="116"/>
      <c r="J27" s="162"/>
      <c r="K27" s="160"/>
      <c r="L27" s="161"/>
    </row>
    <row r="28" spans="1:14" s="109" customFormat="1" ht="14.25" customHeight="1">
      <c r="A28" s="143" t="s">
        <v>131</v>
      </c>
      <c r="B28" s="140"/>
      <c r="C28" s="111" t="e">
        <f ca="1">SUMIF(#REF!,"&gt;=530000",OFFSET(#REF!,0,4))-SUMIF(#REF!,"&gt;=539000",OFFSET(#REF!,0,4))</f>
        <v>#REF!</v>
      </c>
      <c r="D28" s="111"/>
      <c r="E28" s="111" t="e">
        <f t="shared" ca="1" si="2"/>
        <v>#REF!</v>
      </c>
      <c r="F28" s="111">
        <v>0</v>
      </c>
      <c r="G28" s="111" t="e">
        <f t="shared" ca="1" si="1"/>
        <v>#REF!</v>
      </c>
      <c r="I28" s="110" t="s">
        <v>180</v>
      </c>
      <c r="J28" s="162"/>
      <c r="K28" s="160"/>
      <c r="L28" s="161"/>
    </row>
    <row r="29" spans="1:14" s="109" customFormat="1" ht="14.25" customHeight="1">
      <c r="A29" s="143"/>
      <c r="B29" s="140"/>
      <c r="C29" s="111"/>
      <c r="D29" s="111"/>
      <c r="E29" s="111"/>
      <c r="F29" s="111"/>
      <c r="G29" s="111"/>
      <c r="H29" s="142" t="s">
        <v>191</v>
      </c>
      <c r="I29" s="116"/>
      <c r="J29" s="111" t="e">
        <f ca="1">SUMIF(#REF!,"&gt;=160000",OFFSET(#REF!,0,5))-SUMIF(#REF!,"&gt;=170000",OFFSET(#REF!,0,5))</f>
        <v>#REF!</v>
      </c>
      <c r="K29" s="160">
        <v>0</v>
      </c>
      <c r="L29" s="161" t="e">
        <f ca="1">J29-K29</f>
        <v>#REF!</v>
      </c>
    </row>
    <row r="30" spans="1:14" s="109" customFormat="1" ht="14.25" customHeight="1" thickBot="1">
      <c r="A30" s="360" t="s">
        <v>29</v>
      </c>
      <c r="B30" s="361"/>
      <c r="C30" s="125" t="e">
        <f ca="1">SUM(C21:C28)-C25</f>
        <v>#REF!</v>
      </c>
      <c r="D30" s="125" t="e">
        <f ca="1">SUM(D21:D28)-D25</f>
        <v>#REF!</v>
      </c>
      <c r="E30" s="125" t="e">
        <f ca="1">SUM(E21:E28)-E25</f>
        <v>#REF!</v>
      </c>
      <c r="F30" s="125">
        <f>SUM(F21:F28)-F25</f>
        <v>0</v>
      </c>
      <c r="G30" s="125" t="e">
        <f ca="1">SUM(G21:G28)-G25</f>
        <v>#REF!</v>
      </c>
      <c r="H30" s="170" t="s">
        <v>192</v>
      </c>
      <c r="J30" s="111" t="e">
        <f ca="1">SUMIF(#REF!,"&gt;=500000",OFFSET(#REF!,0,5))-SUMIF(#REF!,"&gt;=590000",OFFSET(#REF!,0,5))</f>
        <v>#REF!</v>
      </c>
      <c r="K30" s="160">
        <v>0</v>
      </c>
      <c r="L30" s="161" t="e">
        <f ca="1">J30-K30</f>
        <v>#REF!</v>
      </c>
    </row>
    <row r="31" spans="1:14" s="109" customFormat="1" ht="14.25" customHeight="1" thickTop="1">
      <c r="A31" s="144"/>
      <c r="B31" s="145"/>
      <c r="C31" s="146"/>
      <c r="D31" s="121"/>
      <c r="E31" s="146"/>
      <c r="F31" s="146"/>
      <c r="G31" s="146"/>
      <c r="H31" s="142" t="s">
        <v>184</v>
      </c>
      <c r="I31" s="116"/>
      <c r="J31" s="111" t="e">
        <f ca="1">SUMIF(#REF!,"&gt;=419100",OFFSET(#REF!,0,5))-SUMIF(#REF!,"&gt;=419500",OFFSET(#REF!,0,5))</f>
        <v>#REF!</v>
      </c>
      <c r="K31" s="160">
        <v>0</v>
      </c>
      <c r="L31" s="161" t="e">
        <f ca="1">J31-K31</f>
        <v>#REF!</v>
      </c>
      <c r="N31" s="147"/>
    </row>
    <row r="32" spans="1:14" s="109" customFormat="1" ht="14.25" customHeight="1">
      <c r="A32" s="144"/>
      <c r="B32" s="145"/>
      <c r="C32" s="146"/>
      <c r="D32" s="121"/>
      <c r="E32" s="146"/>
      <c r="F32" s="146"/>
      <c r="G32" s="146"/>
      <c r="H32" s="142" t="s">
        <v>185</v>
      </c>
      <c r="I32" s="116"/>
      <c r="J32" s="111" t="e">
        <f ca="1">SUMIF(#REF!,"&gt;=400000",OFFSET(#REF!,0,5))-SUMIF(#REF!,"&gt;=410000",OFFSET(#REF!,0,5))</f>
        <v>#REF!</v>
      </c>
      <c r="K32" s="160">
        <v>0</v>
      </c>
      <c r="L32" s="161" t="e">
        <f ca="1">J32-K32</f>
        <v>#REF!</v>
      </c>
      <c r="N32" s="147"/>
    </row>
    <row r="33" spans="1:12" s="109" customFormat="1" ht="14.25" customHeight="1">
      <c r="A33" s="144"/>
      <c r="B33" s="145"/>
      <c r="C33" s="146"/>
      <c r="D33" s="121"/>
      <c r="E33" s="146"/>
      <c r="F33" s="146"/>
      <c r="G33" s="146"/>
      <c r="H33" s="142" t="s">
        <v>186</v>
      </c>
      <c r="I33" s="116"/>
      <c r="J33" s="111" t="e">
        <f ca="1">SUMIF(#REF!,"&gt;=419000",OFFSET(#REF!,0,5))-SUMIF(#REF!,"&gt;=470000",OFFSET(#REF!,0,5))+SUMIF(#REF!,"&gt;=411000",OFFSET(#REF!,0,5))-SUMIF(#REF!,"&gt;=420000",OFFSET(#REF!,0,5))</f>
        <v>#REF!</v>
      </c>
      <c r="K33" s="160">
        <v>0</v>
      </c>
      <c r="L33" s="161" t="e">
        <f ca="1">J33-K33</f>
        <v>#REF!</v>
      </c>
    </row>
    <row r="34" spans="1:12" s="109" customFormat="1" ht="14.25" customHeight="1">
      <c r="A34" s="144"/>
      <c r="B34" s="145"/>
      <c r="C34" s="146"/>
      <c r="D34" s="121"/>
      <c r="E34" s="146"/>
      <c r="F34" s="146"/>
      <c r="G34" s="146"/>
      <c r="H34" s="115"/>
      <c r="I34" s="116"/>
      <c r="J34" s="163"/>
      <c r="K34" s="160"/>
      <c r="L34" s="161"/>
    </row>
    <row r="35" spans="1:12" s="109" customFormat="1" ht="14.25" customHeight="1" thickBot="1">
      <c r="A35" s="144"/>
      <c r="B35" s="145"/>
      <c r="C35" s="146"/>
      <c r="D35" s="121"/>
      <c r="E35" s="146"/>
      <c r="F35" s="146"/>
      <c r="G35" s="146"/>
      <c r="H35" s="360" t="s">
        <v>32</v>
      </c>
      <c r="I35" s="361"/>
      <c r="J35" s="126" t="e">
        <f ca="1">SUM(J29:J34)+SUM(J25:J26)</f>
        <v>#REF!</v>
      </c>
      <c r="K35" s="127">
        <f>SUM(K29:K34)+SUM(K25:K26)</f>
        <v>0</v>
      </c>
      <c r="L35" s="128" t="e">
        <f ca="1">SUM(L29:L34)+SUM(L25:L26)</f>
        <v>#REF!</v>
      </c>
    </row>
    <row r="36" spans="1:12" s="109" customFormat="1" ht="18" customHeight="1" thickTop="1">
      <c r="A36" s="101"/>
      <c r="B36" s="148"/>
      <c r="C36" s="136"/>
      <c r="D36" s="149"/>
      <c r="E36" s="136"/>
      <c r="F36" s="136"/>
      <c r="G36" s="136"/>
      <c r="H36" s="130"/>
      <c r="I36" s="130"/>
      <c r="J36" s="133"/>
      <c r="K36" s="134"/>
      <c r="L36" s="135"/>
    </row>
    <row r="37" spans="1:12" s="109" customFormat="1" ht="18" customHeight="1">
      <c r="A37" s="101"/>
      <c r="B37" s="110" t="s">
        <v>117</v>
      </c>
      <c r="C37" s="150"/>
      <c r="D37" s="151"/>
      <c r="E37" s="136"/>
      <c r="F37" s="136"/>
      <c r="G37" s="136"/>
      <c r="I37" s="110" t="s">
        <v>43</v>
      </c>
      <c r="J37" s="101"/>
      <c r="K37" s="123"/>
      <c r="L37" s="124"/>
    </row>
    <row r="38" spans="1:12">
      <c r="A38" s="332" t="s">
        <v>44</v>
      </c>
      <c r="B38" s="333"/>
      <c r="C38" s="111" t="e">
        <f ca="1">SUMIF(#REF!,"&gt;=486000",OFFSET(#REF!,0,4))-SUMIF(#REF!,"&gt;=487000",OFFSET(#REF!,0,4))</f>
        <v>#REF!</v>
      </c>
      <c r="D38" s="111"/>
      <c r="E38" s="111" t="e">
        <f ca="1">C38</f>
        <v>#REF!</v>
      </c>
      <c r="F38" s="111">
        <v>0</v>
      </c>
      <c r="G38" s="136" t="e">
        <f ca="1">E38-F38</f>
        <v>#REF!</v>
      </c>
      <c r="H38" s="332" t="s">
        <v>45</v>
      </c>
      <c r="I38" s="333"/>
      <c r="J38" s="111" t="e">
        <f ca="1">SUMIF(#REF!,"&gt;=487000",OFFSET(#REF!,0,5))-SUMIF(#REF!,"&gt;=488000",OFFSET(#REF!,0,5))</f>
        <v>#REF!</v>
      </c>
      <c r="K38" s="139">
        <v>0</v>
      </c>
      <c r="L38" s="108" t="e">
        <f ca="1">J38-K38</f>
        <v>#REF!</v>
      </c>
    </row>
    <row r="39" spans="1:12">
      <c r="A39" s="115"/>
      <c r="B39" s="116"/>
      <c r="C39" s="111"/>
      <c r="D39" s="120"/>
      <c r="E39" s="111"/>
      <c r="F39" s="111"/>
      <c r="G39" s="136"/>
      <c r="H39" s="115"/>
      <c r="I39" s="116"/>
      <c r="J39" s="118"/>
      <c r="K39" s="139"/>
      <c r="L39" s="108"/>
    </row>
    <row r="40" spans="1:12" ht="17.25" thickBot="1">
      <c r="A40" s="360" t="s">
        <v>32</v>
      </c>
      <c r="B40" s="361"/>
      <c r="C40" s="125" t="e">
        <f ca="1">SUM(C38:C38)</f>
        <v>#REF!</v>
      </c>
      <c r="D40" s="152">
        <f>D38</f>
        <v>0</v>
      </c>
      <c r="E40" s="125" t="e">
        <f ca="1">SUM(E38:E38)</f>
        <v>#REF!</v>
      </c>
      <c r="F40" s="125">
        <f>SUM(F38:F38)</f>
        <v>0</v>
      </c>
      <c r="G40" s="125" t="e">
        <f ca="1">SUM(G38:G38)</f>
        <v>#REF!</v>
      </c>
      <c r="H40" s="360" t="s">
        <v>33</v>
      </c>
      <c r="I40" s="361"/>
      <c r="J40" s="126" t="e">
        <f ca="1">J38</f>
        <v>#REF!</v>
      </c>
      <c r="K40" s="127">
        <f>K38</f>
        <v>0</v>
      </c>
      <c r="L40" s="128" t="e">
        <f ca="1">L38</f>
        <v>#REF!</v>
      </c>
    </row>
    <row r="41" spans="1:12" ht="18" thickTop="1" thickBot="1">
      <c r="A41" s="356" t="s">
        <v>46</v>
      </c>
      <c r="B41" s="357"/>
      <c r="C41" s="153" t="e">
        <f ca="1">SUM(C18,C30,C40)</f>
        <v>#REF!</v>
      </c>
      <c r="D41" s="154" t="e">
        <f ca="1">D18+D30+D40</f>
        <v>#REF!</v>
      </c>
      <c r="E41" s="153" t="e">
        <f ca="1">E18+E30+E40</f>
        <v>#REF!</v>
      </c>
      <c r="F41" s="153">
        <f>+F18+F30+F40</f>
        <v>0</v>
      </c>
      <c r="G41" s="153" t="e">
        <f ca="1">E41-F41</f>
        <v>#REF!</v>
      </c>
      <c r="H41" s="356" t="s">
        <v>47</v>
      </c>
      <c r="I41" s="357"/>
      <c r="J41" s="155" t="e">
        <f ca="1">J18+J22+J35+J40</f>
        <v>#REF!</v>
      </c>
      <c r="K41" s="156">
        <f>K18+K22+K35+K40</f>
        <v>0</v>
      </c>
      <c r="L41" s="157" t="e">
        <f ca="1">L18+L22+L35+L40</f>
        <v>#REF!</v>
      </c>
    </row>
    <row r="42" spans="1:12" ht="13.5" thickTop="1">
      <c r="E42" s="3"/>
      <c r="J42" s="3"/>
    </row>
    <row r="43" spans="1:12">
      <c r="D43" s="3"/>
      <c r="E43" s="3"/>
      <c r="K43" s="3"/>
    </row>
    <row r="44" spans="1:12">
      <c r="E44" s="3"/>
      <c r="F44" s="3"/>
    </row>
    <row r="45" spans="1:12">
      <c r="H45" s="168" t="s">
        <v>188</v>
      </c>
      <c r="I45" s="169" t="e">
        <f ca="1">I46-I47</f>
        <v>#REF!</v>
      </c>
    </row>
    <row r="46" spans="1:12">
      <c r="H46" s="165" t="s">
        <v>189</v>
      </c>
      <c r="I46" s="167" t="e">
        <f ca="1">E41-J41</f>
        <v>#REF!</v>
      </c>
      <c r="J46" s="3"/>
    </row>
    <row r="47" spans="1:12">
      <c r="H47" s="165" t="s">
        <v>190</v>
      </c>
      <c r="I47" s="167" t="e">
        <f ca="1">'Compte de résultat'!C84</f>
        <v>#REF!</v>
      </c>
    </row>
  </sheetData>
  <sheetProtection password="C7D8" sheet="1"/>
  <mergeCells count="29">
    <mergeCell ref="H16:I16"/>
    <mergeCell ref="A18:B18"/>
    <mergeCell ref="H18:I18"/>
    <mergeCell ref="A24:B24"/>
    <mergeCell ref="H22:I22"/>
    <mergeCell ref="A41:B41"/>
    <mergeCell ref="H41:I41"/>
    <mergeCell ref="A27:B27"/>
    <mergeCell ref="A30:B30"/>
    <mergeCell ref="H35:I35"/>
    <mergeCell ref="A38:B38"/>
    <mergeCell ref="H38:I38"/>
    <mergeCell ref="A40:B40"/>
    <mergeCell ref="H40:I40"/>
    <mergeCell ref="A3:L4"/>
    <mergeCell ref="A5:B6"/>
    <mergeCell ref="C5:E5"/>
    <mergeCell ref="F5:F6"/>
    <mergeCell ref="G5:G6"/>
    <mergeCell ref="H5:I6"/>
    <mergeCell ref="J5:J6"/>
    <mergeCell ref="K5:K6"/>
    <mergeCell ref="L5:L6"/>
    <mergeCell ref="H15:I15"/>
    <mergeCell ref="A12:B12"/>
    <mergeCell ref="A9:B9"/>
    <mergeCell ref="H9:I9"/>
    <mergeCell ref="A10:B10"/>
    <mergeCell ref="H10:I1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C00000"/>
    <pageSetUpPr fitToPage="1"/>
  </sheetPr>
  <dimension ref="A1:H100"/>
  <sheetViews>
    <sheetView showGridLines="0" topLeftCell="A34" zoomScale="70" zoomScaleNormal="70" workbookViewId="0">
      <selection activeCell="F33" sqref="F33"/>
    </sheetView>
  </sheetViews>
  <sheetFormatPr baseColWidth="10" defaultColWidth="11.42578125" defaultRowHeight="12.75"/>
  <cols>
    <col min="1" max="1" width="11.42578125" customWidth="1"/>
    <col min="2" max="2" width="50.5703125" customWidth="1"/>
    <col min="3" max="3" width="15.7109375" customWidth="1"/>
    <col min="4" max="4" width="15.85546875" bestFit="1" customWidth="1"/>
    <col min="5" max="5" width="14.42578125" bestFit="1" customWidth="1"/>
    <col min="6" max="9" width="11.42578125" customWidth="1"/>
    <col min="10" max="10" width="13.42578125" bestFit="1" customWidth="1"/>
  </cols>
  <sheetData>
    <row r="1" spans="1:8" ht="13.5" thickBot="1"/>
    <row r="2" spans="1:8" ht="12.75" customHeight="1">
      <c r="A2" s="383" t="e">
        <f>CONCATENATE("COMPTE DE RESULTAT ",#REF!)</f>
        <v>#REF!</v>
      </c>
      <c r="B2" s="384" t="e">
        <f>CONCATENATE("COMPTE DE RESULTAT ",#REF!)</f>
        <v>#REF!</v>
      </c>
      <c r="C2" s="384" t="e">
        <f>CONCATENATE("COMPTE DE RESULTAT ",#REF!)</f>
        <v>#REF!</v>
      </c>
      <c r="D2" s="384" t="e">
        <f>CONCATENATE("COMPTE DE RESULTAT ",#REF!)</f>
        <v>#REF!</v>
      </c>
      <c r="E2" s="385" t="e">
        <f>CONCATENATE("COMPTE DE RESULTAT ",#REF!)</f>
        <v>#REF!</v>
      </c>
    </row>
    <row r="3" spans="1:8" ht="13.5" customHeight="1" thickBot="1">
      <c r="A3" s="386" t="e">
        <f>CONCATENATE("COMPTE DE RESULTAT ",#REF!)</f>
        <v>#REF!</v>
      </c>
      <c r="B3" s="387" t="e">
        <f>CONCATENATE("COMPTE DE RESULTAT ",#REF!)</f>
        <v>#REF!</v>
      </c>
      <c r="C3" s="387" t="e">
        <f>CONCATENATE("COMPTE DE RESULTAT ",#REF!)</f>
        <v>#REF!</v>
      </c>
      <c r="D3" s="387" t="e">
        <f>CONCATENATE("COMPTE DE RESULTAT ",#REF!)</f>
        <v>#REF!</v>
      </c>
      <c r="E3" s="388" t="e">
        <f>CONCATENATE("COMPTE DE RESULTAT ",#REF!)</f>
        <v>#REF!</v>
      </c>
    </row>
    <row r="4" spans="1:8" ht="15" customHeight="1">
      <c r="A4" s="364" t="s">
        <v>11</v>
      </c>
      <c r="B4" s="365"/>
      <c r="C4" s="342" t="e">
        <f>CONCATENATE("AU ",#REF!,"/",#REF!)</f>
        <v>#REF!</v>
      </c>
      <c r="D4" s="389" t="e">
        <f>CONCATENATE("AU ",#REF!,"/",#REF!-1)</f>
        <v>#REF!</v>
      </c>
      <c r="E4" s="391" t="e">
        <f>CONCATENATE("Ecart ","(",#REF!,"/",#REF!-1,")")</f>
        <v>#REF!</v>
      </c>
      <c r="G4" s="4"/>
      <c r="H4" s="5"/>
    </row>
    <row r="5" spans="1:8" ht="19.5" customHeight="1" thickBot="1">
      <c r="A5" s="367"/>
      <c r="B5" s="368"/>
      <c r="C5" s="344"/>
      <c r="D5" s="390"/>
      <c r="E5" s="392"/>
    </row>
    <row r="6" spans="1:8">
      <c r="A6" s="6"/>
      <c r="B6" s="7"/>
      <c r="C6" s="8"/>
      <c r="D6" s="9"/>
      <c r="E6" s="82"/>
    </row>
    <row r="7" spans="1:8">
      <c r="A7" s="6"/>
      <c r="B7" s="11"/>
      <c r="C7" s="6"/>
      <c r="D7" s="9"/>
      <c r="E7" s="9"/>
    </row>
    <row r="8" spans="1:8">
      <c r="A8" s="393" t="s">
        <v>48</v>
      </c>
      <c r="B8" s="394"/>
      <c r="C8" s="17" t="e">
        <f ca="1">SUMIF(#REF!,"&gt;=700000",OFFSET(#REF!,0,5))-SUMIF(#REF!,"&gt;=710000",OFFSET(#REF!,0,5))</f>
        <v>#REF!</v>
      </c>
      <c r="D8" s="17">
        <v>0</v>
      </c>
      <c r="E8" s="18" t="e">
        <f ca="1">C8-D8</f>
        <v>#REF!</v>
      </c>
    </row>
    <row r="9" spans="1:8">
      <c r="A9" s="374"/>
      <c r="B9" s="375"/>
      <c r="C9" s="17"/>
      <c r="D9" s="17"/>
      <c r="E9" s="18"/>
    </row>
    <row r="10" spans="1:8">
      <c r="A10" s="393" t="s">
        <v>49</v>
      </c>
      <c r="B10" s="394"/>
      <c r="C10" s="17" t="e">
        <f ca="1">(SUMIF(#REF!,"&gt;=710000",OFFSET(#REF!,0,3))-SUMIF(#REF!,"&gt;=740000",OFFSET(#REF!,0,3)))-(SUMIF(#REF!,"&gt;=710000",OFFSET(#REF!,0,2))-SUMIF(#REF!,"&gt;=720000",OFFSET(#REF!,0,2)))</f>
        <v>#REF!</v>
      </c>
      <c r="D10" s="17">
        <v>0</v>
      </c>
      <c r="E10" s="18" t="e">
        <f t="shared" ref="E10:E21" ca="1" si="0">C10-D10</f>
        <v>#REF!</v>
      </c>
    </row>
    <row r="11" spans="1:8">
      <c r="A11" s="81"/>
      <c r="B11" s="2"/>
      <c r="C11" s="14"/>
      <c r="D11" s="17"/>
      <c r="E11" s="18"/>
    </row>
    <row r="12" spans="1:8">
      <c r="A12" s="393" t="s">
        <v>50</v>
      </c>
      <c r="B12" s="394"/>
      <c r="C12" s="17" t="e">
        <f ca="1">SUMIF(#REF!,"&gt;=740000",OFFSET(#REF!,0,5))-SUMIF(#REF!,"&gt;=750000",OFFSET(#REF!,0,5))</f>
        <v>#REF!</v>
      </c>
      <c r="D12" s="17">
        <v>0</v>
      </c>
      <c r="E12" s="18" t="e">
        <f t="shared" ca="1" si="0"/>
        <v>#REF!</v>
      </c>
    </row>
    <row r="13" spans="1:8">
      <c r="A13" s="81"/>
      <c r="B13" s="2"/>
      <c r="C13" s="14"/>
      <c r="D13" s="17"/>
      <c r="E13" s="18"/>
    </row>
    <row r="14" spans="1:8">
      <c r="A14" s="376" t="s">
        <v>51</v>
      </c>
      <c r="B14" s="377"/>
      <c r="C14" s="17" t="e">
        <f ca="1">SUMIF(#REF!,"&gt;=750000",OFFSET(#REF!,0,5))-SUMIF(#REF!,"&gt;=760000",OFFSET(#REF!,0,5))</f>
        <v>#REF!</v>
      </c>
      <c r="D14" s="17">
        <f>SUM(D16:D19)</f>
        <v>0</v>
      </c>
      <c r="E14" s="18" t="e">
        <f t="shared" ca="1" si="0"/>
        <v>#REF!</v>
      </c>
    </row>
    <row r="15" spans="1:8">
      <c r="A15" s="81" t="s">
        <v>52</v>
      </c>
      <c r="B15" s="22"/>
      <c r="C15" s="14"/>
      <c r="D15" s="17"/>
      <c r="E15" s="18"/>
    </row>
    <row r="16" spans="1:8">
      <c r="A16" s="23" t="s">
        <v>12</v>
      </c>
      <c r="B16" s="24"/>
      <c r="C16" s="17" t="e">
        <f ca="1">SUMIF(#REF!,"&gt;=756000",OFFSET(#REF!,0,5))-SUMIF(#REF!,"&gt;=757000",OFFSET(#REF!,0,5))</f>
        <v>#REF!</v>
      </c>
      <c r="D16" s="17">
        <v>0</v>
      </c>
      <c r="E16" s="18" t="e">
        <f t="shared" ca="1" si="0"/>
        <v>#REF!</v>
      </c>
    </row>
    <row r="17" spans="1:5">
      <c r="A17" s="25" t="s">
        <v>53</v>
      </c>
      <c r="B17" s="24"/>
      <c r="C17" s="17" t="e">
        <f ca="1">SUMIF(#REF!,"&gt;=758000",OFFSET(#REF!,0,5))-SUMIF(#REF!,"&gt;=759000",OFFSET(#REF!,0,5))</f>
        <v>#REF!</v>
      </c>
      <c r="D17" s="17">
        <v>0</v>
      </c>
      <c r="E17" s="18" t="e">
        <f t="shared" ca="1" si="0"/>
        <v>#REF!</v>
      </c>
    </row>
    <row r="18" spans="1:5">
      <c r="A18" s="26"/>
      <c r="B18" s="27"/>
      <c r="C18" s="17"/>
      <c r="D18" s="17"/>
      <c r="E18" s="18"/>
    </row>
    <row r="19" spans="1:5">
      <c r="A19" s="376" t="s">
        <v>54</v>
      </c>
      <c r="B19" s="377"/>
      <c r="C19" s="17" t="e">
        <f ca="1">SUMIF(#REF!,"&gt;=781000",OFFSET(#REF!,0,5))-SUMIF(#REF!,"&gt;=782000",OFFSET(#REF!,0,5))</f>
        <v>#REF!</v>
      </c>
      <c r="D19" s="17">
        <v>0</v>
      </c>
      <c r="E19" s="18" t="e">
        <f t="shared" ca="1" si="0"/>
        <v>#REF!</v>
      </c>
    </row>
    <row r="20" spans="1:5">
      <c r="A20" s="16"/>
      <c r="B20" s="27"/>
      <c r="C20" s="17"/>
      <c r="D20" s="17"/>
      <c r="E20" s="18"/>
    </row>
    <row r="21" spans="1:5">
      <c r="A21" s="376" t="s">
        <v>55</v>
      </c>
      <c r="B21" s="377"/>
      <c r="C21" s="17" t="e">
        <f ca="1">SUMIF(#REF!,"&gt;=791000",OFFSET(#REF!,0,5))-SUMIF(#REF!,"&gt;=792000",OFFSET(#REF!,0,5))</f>
        <v>#REF!</v>
      </c>
      <c r="D21" s="17">
        <v>0</v>
      </c>
      <c r="E21" s="18" t="e">
        <f t="shared" ca="1" si="0"/>
        <v>#REF!</v>
      </c>
    </row>
    <row r="22" spans="1:5" ht="13.5" thickBot="1">
      <c r="A22" s="6"/>
      <c r="B22" s="2"/>
      <c r="C22" s="12"/>
      <c r="D22" s="13"/>
      <c r="E22" s="83"/>
    </row>
    <row r="23" spans="1:5" ht="17.25" thickBot="1">
      <c r="A23" s="378" t="s">
        <v>13</v>
      </c>
      <c r="B23" s="379"/>
      <c r="C23" s="30" t="e">
        <f ca="1">SUM(C8:C14,C19:C21)</f>
        <v>#REF!</v>
      </c>
      <c r="D23" s="30">
        <f>SUM(D8:D14,D19:D21)</f>
        <v>0</v>
      </c>
      <c r="E23" s="31" t="e">
        <f ca="1">SUM(E8:E14,E19:E21)</f>
        <v>#REF!</v>
      </c>
    </row>
    <row r="24" spans="1:5">
      <c r="A24" s="364" t="s">
        <v>14</v>
      </c>
      <c r="B24" s="365"/>
      <c r="C24" s="342" t="e">
        <f>C4</f>
        <v>#REF!</v>
      </c>
      <c r="D24" s="380" t="e">
        <f>D4</f>
        <v>#REF!</v>
      </c>
      <c r="E24" s="354" t="e">
        <f>E4</f>
        <v>#REF!</v>
      </c>
    </row>
    <row r="25" spans="1:5" ht="24" customHeight="1" thickBot="1">
      <c r="A25" s="367"/>
      <c r="B25" s="368"/>
      <c r="C25" s="339"/>
      <c r="D25" s="353"/>
      <c r="E25" s="355"/>
    </row>
    <row r="26" spans="1:5">
      <c r="A26" s="8"/>
      <c r="B26" s="33"/>
      <c r="C26" s="8"/>
      <c r="D26" s="34"/>
      <c r="E26" s="35"/>
    </row>
    <row r="27" spans="1:5">
      <c r="A27" s="376" t="s">
        <v>56</v>
      </c>
      <c r="B27" s="377"/>
      <c r="C27" s="37" t="e">
        <f ca="1">(SUMIF(#REF!,"&gt;=600000",OFFSET(#REF!,0,2))-SUMIF(#REF!,"&gt;=610000",OFFSET(#REF!,0,2)))-(SUMIF(#REF!,"&gt;=603000",OFFSET(#REF!,0,3))-SUMIF(#REF!,"&gt;=604000",OFFSET(#REF!,0,3)))</f>
        <v>#REF!</v>
      </c>
      <c r="D27" s="38">
        <v>0</v>
      </c>
      <c r="E27" s="19" t="e">
        <f ca="1">C27-D27</f>
        <v>#REF!</v>
      </c>
    </row>
    <row r="28" spans="1:5">
      <c r="A28" s="20"/>
      <c r="B28" s="21"/>
      <c r="C28" s="36"/>
      <c r="D28" s="38"/>
      <c r="E28" s="19"/>
    </row>
    <row r="29" spans="1:5">
      <c r="A29" s="376" t="s">
        <v>95</v>
      </c>
      <c r="B29" s="377"/>
      <c r="C29" s="37" t="e">
        <f ca="1">SUMIF(#REF!,"&gt;=610000",OFFSET(#REF!,0,4))-SUMIF(#REF!,"&gt;=620000",OFFSET(#REF!,0,4))</f>
        <v>#REF!</v>
      </c>
      <c r="D29" s="38">
        <v>0</v>
      </c>
      <c r="E29" s="19" t="e">
        <f ca="1">C29-D29</f>
        <v>#REF!</v>
      </c>
    </row>
    <row r="30" spans="1:5">
      <c r="A30" s="81" t="s">
        <v>52</v>
      </c>
      <c r="B30" s="28"/>
      <c r="C30" s="6"/>
      <c r="D30" s="38"/>
      <c r="E30" s="85"/>
    </row>
    <row r="31" spans="1:5">
      <c r="A31" s="381" t="s">
        <v>15</v>
      </c>
      <c r="B31" s="382"/>
      <c r="C31" s="37" t="e">
        <f ca="1">SUMIF(#REF!,"&gt;=611000",OFFSET(#REF!,0,4))-SUMIF(#REF!,"&gt;=612000",OFFSET(#REF!,0,4))</f>
        <v>#REF!</v>
      </c>
      <c r="D31" s="38">
        <v>0</v>
      </c>
      <c r="E31" s="19" t="e">
        <f ca="1">C31-D31</f>
        <v>#REF!</v>
      </c>
    </row>
    <row r="32" spans="1:5">
      <c r="A32" s="381" t="s">
        <v>16</v>
      </c>
      <c r="B32" s="382"/>
      <c r="C32" s="37" t="e">
        <f ca="1">SUMIF(#REF!,"&gt;=613000",OFFSET(#REF!,0,4))-SUMIF(#REF!,"&gt;=615000",OFFSET(#REF!,0,4))</f>
        <v>#REF!</v>
      </c>
      <c r="D32" s="38">
        <v>0</v>
      </c>
      <c r="E32" s="19" t="e">
        <f ca="1">C32-D32</f>
        <v>#REF!</v>
      </c>
    </row>
    <row r="33" spans="1:5">
      <c r="A33" s="381" t="s">
        <v>17</v>
      </c>
      <c r="B33" s="382"/>
      <c r="C33" s="37" t="e">
        <f ca="1">SUMIF(#REF!,"&gt;=615000",OFFSET(#REF!,0,4))-SUMIF(#REF!,"&gt;=616000",OFFSET(#REF!,0,4))</f>
        <v>#REF!</v>
      </c>
      <c r="D33" s="38">
        <v>0</v>
      </c>
      <c r="E33" s="19" t="e">
        <f ca="1">C33-D33</f>
        <v>#REF!</v>
      </c>
    </row>
    <row r="34" spans="1:5">
      <c r="A34" s="381" t="s">
        <v>18</v>
      </c>
      <c r="B34" s="382"/>
      <c r="C34" s="37" t="e">
        <f ca="1">SUMIF(#REF!,"&gt;=616000",OFFSET(#REF!,0,4))-SUMIF(#REF!,"&gt;=617000",OFFSET(#REF!,0,4))</f>
        <v>#REF!</v>
      </c>
      <c r="D34" s="38">
        <v>0</v>
      </c>
      <c r="E34" s="19" t="e">
        <f ca="1">C34-D34</f>
        <v>#REF!</v>
      </c>
    </row>
    <row r="35" spans="1:5">
      <c r="A35" s="381" t="s">
        <v>93</v>
      </c>
      <c r="B35" s="382"/>
      <c r="C35" s="37" t="e">
        <f ca="1">SUMIF(#REF!,"&gt;=617000",OFFSET(#REF!,0,4))-SUMIF(#REF!,"&gt;=619000",OFFSET(#REF!,0,4))</f>
        <v>#REF!</v>
      </c>
      <c r="D35" s="38">
        <v>0</v>
      </c>
      <c r="E35" s="19" t="e">
        <f ca="1">C35-D35</f>
        <v>#REF!</v>
      </c>
    </row>
    <row r="36" spans="1:5">
      <c r="A36" s="6"/>
      <c r="B36" s="2"/>
      <c r="C36" s="6"/>
      <c r="D36" s="18"/>
      <c r="E36" s="85"/>
    </row>
    <row r="37" spans="1:5">
      <c r="A37" s="376" t="s">
        <v>96</v>
      </c>
      <c r="B37" s="377"/>
      <c r="C37" s="37" t="e">
        <f ca="1">SUMIF(#REF!,"&gt;=620000",OFFSET(#REF!,0,4))-SUMIF(#REF!,"&gt;=630000",OFFSET(#REF!,0,4))</f>
        <v>#REF!</v>
      </c>
      <c r="D37" s="38">
        <v>0</v>
      </c>
      <c r="E37" s="19" t="e">
        <f ca="1">C37-D37</f>
        <v>#REF!</v>
      </c>
    </row>
    <row r="38" spans="1:5">
      <c r="A38" s="81" t="s">
        <v>52</v>
      </c>
      <c r="B38" s="7"/>
      <c r="C38" s="6"/>
      <c r="D38" s="38"/>
      <c r="E38" s="85"/>
    </row>
    <row r="39" spans="1:5">
      <c r="A39" s="381" t="s">
        <v>19</v>
      </c>
      <c r="B39" s="382"/>
      <c r="C39" s="37" t="e">
        <f ca="1">SUMIF(#REF!,"&gt;=622000",OFFSET(#REF!,0,4))-SUMIF(#REF!,"&gt;=623000",OFFSET(#REF!,0,4))</f>
        <v>#REF!</v>
      </c>
      <c r="D39" s="38">
        <v>0</v>
      </c>
      <c r="E39" s="19" t="e">
        <f ca="1">C39-D39</f>
        <v>#REF!</v>
      </c>
    </row>
    <row r="40" spans="1:5">
      <c r="A40" s="381" t="s">
        <v>20</v>
      </c>
      <c r="B40" s="382"/>
      <c r="C40" s="37" t="e">
        <f ca="1">SUMIF(#REF!,"&gt;=623000",OFFSET(#REF!,0,4))-SUMIF(#REF!,"&gt;=624000",OFFSET(#REF!,0,4))</f>
        <v>#REF!</v>
      </c>
      <c r="D40" s="38">
        <v>0</v>
      </c>
      <c r="E40" s="19" t="e">
        <f ca="1">C40-D40</f>
        <v>#REF!</v>
      </c>
    </row>
    <row r="41" spans="1:5">
      <c r="A41" s="381" t="s">
        <v>21</v>
      </c>
      <c r="B41" s="382"/>
      <c r="C41" s="37" t="e">
        <f ca="1">SUMIF(#REF!,"&gt;=625000",OFFSET(#REF!,0,4))-SUMIF(#REF!,"&gt;=626000",OFFSET(#REF!,0,4))</f>
        <v>#REF!</v>
      </c>
      <c r="D41" s="38">
        <v>0</v>
      </c>
      <c r="E41" s="19" t="e">
        <f ca="1">+C41-D41</f>
        <v>#REF!</v>
      </c>
    </row>
    <row r="42" spans="1:5">
      <c r="A42" s="381" t="s">
        <v>22</v>
      </c>
      <c r="B42" s="382"/>
      <c r="C42" s="37" t="e">
        <f ca="1">SUMIF(#REF!,"&gt;=626000",OFFSET(#REF!,0,4))-SUMIF(#REF!,"&gt;=627000",OFFSET(#REF!,0,4))</f>
        <v>#REF!</v>
      </c>
      <c r="D42" s="38">
        <v>0</v>
      </c>
      <c r="E42" s="19" t="e">
        <f ca="1">+C42-D42</f>
        <v>#REF!</v>
      </c>
    </row>
    <row r="43" spans="1:5">
      <c r="A43" s="381" t="s">
        <v>23</v>
      </c>
      <c r="B43" s="382"/>
      <c r="C43" s="37" t="e">
        <f ca="1">SUMIF(#REF!,"&gt;=627000",OFFSET(#REF!,0,4))-SUMIF(#REF!,"&gt;=628000",OFFSET(#REF!,0,4))</f>
        <v>#REF!</v>
      </c>
      <c r="D43" s="38">
        <v>0</v>
      </c>
      <c r="E43" s="19" t="e">
        <f ca="1">+C43-D43</f>
        <v>#REF!</v>
      </c>
    </row>
    <row r="44" spans="1:5">
      <c r="A44" s="381" t="s">
        <v>24</v>
      </c>
      <c r="B44" s="382"/>
      <c r="C44" s="37" t="e">
        <f ca="1">SUMIF(#REF!,"&gt;=628000",OFFSET(#REF!,0,4))-SUMIF(#REF!,"&gt;=629000",OFFSET(#REF!,0,4))</f>
        <v>#REF!</v>
      </c>
      <c r="D44" s="38">
        <v>0</v>
      </c>
      <c r="E44" s="19" t="e">
        <f ca="1">+C44-D44</f>
        <v>#REF!</v>
      </c>
    </row>
    <row r="45" spans="1:5">
      <c r="A45" s="6"/>
      <c r="B45" s="2"/>
      <c r="C45" s="6"/>
      <c r="D45" s="18"/>
      <c r="E45" s="85"/>
    </row>
    <row r="46" spans="1:5">
      <c r="A46" s="376" t="s">
        <v>97</v>
      </c>
      <c r="B46" s="377"/>
      <c r="C46" s="37" t="e">
        <f ca="1">SUMIF(#REF!,"&gt;=630000",OFFSET(#REF!,0,4))-SUMIF(#REF!,"&gt;=640000",OFFSET(#REF!,0,4))</f>
        <v>#REF!</v>
      </c>
      <c r="D46" s="38">
        <v>0</v>
      </c>
      <c r="E46" s="19" t="e">
        <f ca="1">+C46-D46</f>
        <v>#REF!</v>
      </c>
    </row>
    <row r="47" spans="1:5">
      <c r="A47" s="6"/>
      <c r="B47" s="7"/>
      <c r="C47" s="6"/>
      <c r="D47" s="38"/>
      <c r="E47" s="85"/>
    </row>
    <row r="48" spans="1:5">
      <c r="A48" s="376" t="s">
        <v>98</v>
      </c>
      <c r="B48" s="377"/>
      <c r="C48" s="37" t="e">
        <f ca="1">SUM(C50,C51)</f>
        <v>#REF!</v>
      </c>
      <c r="D48" s="38">
        <f>SUM(D50,D51)</f>
        <v>0</v>
      </c>
      <c r="E48" s="19" t="e">
        <f ca="1">+C48-D48</f>
        <v>#REF!</v>
      </c>
    </row>
    <row r="49" spans="1:6">
      <c r="A49" s="6"/>
      <c r="B49" s="22"/>
      <c r="C49" s="6"/>
      <c r="D49" s="38"/>
      <c r="E49" s="85"/>
    </row>
    <row r="50" spans="1:6">
      <c r="A50" s="381" t="s">
        <v>25</v>
      </c>
      <c r="B50" s="382"/>
      <c r="C50" s="37" t="e">
        <f ca="1">SUMIF(#REF!,"&gt;=641000",OFFSET(#REF!,0,4))-SUMIF(#REF!,"&gt;=642000",OFFSET(#REF!,0,4))</f>
        <v>#REF!</v>
      </c>
      <c r="D50" s="38">
        <v>0</v>
      </c>
      <c r="E50" s="19" t="e">
        <f ca="1">+C50-D50</f>
        <v>#REF!</v>
      </c>
    </row>
    <row r="51" spans="1:6">
      <c r="A51" s="381" t="s">
        <v>26</v>
      </c>
      <c r="B51" s="382"/>
      <c r="C51" s="37" t="e">
        <f ca="1">SUMIF(#REF!,"&gt;=645000",OFFSET(#REF!,0,4))-SUMIF(#REF!,"&gt;=648000",OFFSET(#REF!,0,4))</f>
        <v>#REF!</v>
      </c>
      <c r="D51" s="38">
        <v>0</v>
      </c>
      <c r="E51" s="19" t="e">
        <f ca="1">C51-D51</f>
        <v>#REF!</v>
      </c>
    </row>
    <row r="52" spans="1:6" ht="15">
      <c r="A52" s="39"/>
      <c r="B52" s="40"/>
      <c r="C52" s="41"/>
      <c r="D52" s="38"/>
      <c r="E52" s="19"/>
    </row>
    <row r="53" spans="1:6" ht="15">
      <c r="A53" s="42" t="s">
        <v>27</v>
      </c>
      <c r="B53" s="40"/>
      <c r="C53" s="37" t="e">
        <f ca="1">SUMIF(#REF!,"&gt;=650000",OFFSET(#REF!,0,4))-SUMIF(#REF!,"&gt;=660000",OFFSET(#REF!,0,4))</f>
        <v>#REF!</v>
      </c>
      <c r="D53" s="84">
        <v>0</v>
      </c>
      <c r="E53" s="19" t="e">
        <f ca="1">C53-D53</f>
        <v>#REF!</v>
      </c>
    </row>
    <row r="54" spans="1:6">
      <c r="A54" s="43"/>
      <c r="B54" s="44"/>
      <c r="C54" s="81"/>
      <c r="D54" s="38"/>
      <c r="E54" s="10"/>
    </row>
    <row r="55" spans="1:6">
      <c r="A55" s="376" t="s">
        <v>94</v>
      </c>
      <c r="B55" s="377"/>
      <c r="C55" s="37" t="e">
        <f ca="1">SUMIF(#REF!,"&gt;=681000",OFFSET(#REF!,0,4))-SUMIF(#REF!,"&gt;=686000",OFFSET(#REF!,0,4))</f>
        <v>#REF!</v>
      </c>
      <c r="D55" s="38">
        <v>0</v>
      </c>
      <c r="E55" s="45" t="e">
        <f ca="1">C55-D55</f>
        <v>#REF!</v>
      </c>
    </row>
    <row r="56" spans="1:6" ht="13.5" thickBot="1">
      <c r="A56" s="46"/>
      <c r="B56" s="47"/>
      <c r="C56" s="29"/>
      <c r="D56" s="48"/>
      <c r="E56" s="49"/>
    </row>
    <row r="57" spans="1:6" ht="17.25" thickBot="1">
      <c r="A57" s="378" t="s">
        <v>13</v>
      </c>
      <c r="B57" s="379"/>
      <c r="C57" s="50" t="e">
        <f ca="1">SUM(C55,C48,C46,C37,C29,C27,C53)</f>
        <v>#REF!</v>
      </c>
      <c r="D57" s="31">
        <f>SUM(D55,D48,D46,D37,D29,D27,D53)</f>
        <v>0</v>
      </c>
      <c r="E57" s="32" t="e">
        <f ca="1">SUM(E55,E48,E46,E37,E29,E27,E53)</f>
        <v>#REF!</v>
      </c>
    </row>
    <row r="58" spans="1:6" ht="13.5" thickBot="1">
      <c r="A58" s="51"/>
      <c r="B58" s="52"/>
      <c r="C58" s="53"/>
      <c r="D58" s="54"/>
      <c r="E58" s="55"/>
    </row>
    <row r="59" spans="1:6" ht="18" thickTop="1" thickBot="1">
      <c r="A59" s="395" t="s">
        <v>28</v>
      </c>
      <c r="B59" s="396"/>
      <c r="C59" s="57" t="e">
        <f ca="1">C23-C57</f>
        <v>#REF!</v>
      </c>
      <c r="D59" s="58">
        <f>D23-D57</f>
        <v>0</v>
      </c>
      <c r="E59" s="59" t="e">
        <f ca="1">C59-D59</f>
        <v>#REF!</v>
      </c>
      <c r="F59" s="3"/>
    </row>
    <row r="60" spans="1:6" ht="13.5" thickTop="1">
      <c r="A60" s="6"/>
      <c r="B60" s="60"/>
      <c r="C60" s="2"/>
      <c r="D60" s="9"/>
      <c r="E60" s="10"/>
    </row>
    <row r="61" spans="1:6">
      <c r="A61" s="372" t="s">
        <v>102</v>
      </c>
      <c r="B61" s="397"/>
      <c r="C61" s="17" t="e">
        <f ca="1">SUMIF(#REF!,"&gt;=760000",OFFSET(#REF!,0,5))-SUMIF(#REF!,"&gt;=770000",OFFSET(#REF!,0,5))+SUMIF(#REF!,"&gt;=786000",OFFSET(#REF!,0,5))-SUMIF(#REF!,"&gt;=787000",OFFSET(#REF!,0,5))</f>
        <v>#REF!</v>
      </c>
      <c r="D61" s="18">
        <v>0</v>
      </c>
      <c r="E61" s="19" t="e">
        <f ca="1">C61-D61</f>
        <v>#REF!</v>
      </c>
    </row>
    <row r="62" spans="1:6">
      <c r="A62" s="6"/>
      <c r="B62" s="60"/>
      <c r="C62" s="94"/>
      <c r="D62" s="18"/>
      <c r="E62" s="19"/>
    </row>
    <row r="63" spans="1:6">
      <c r="A63" s="372" t="s">
        <v>103</v>
      </c>
      <c r="B63" s="397"/>
      <c r="C63" s="37" t="e">
        <f ca="1">SUMIF(#REF!,"&gt;=660000",OFFSET(#REF!,0,4))-SUMIF(#REF!,"&gt;=670000",OFFSET(#REF!,0,4))+(SUMIF(#REF!,"&gt;=686000",OFFSET(#REF!,0,4))-SUMIF(#REF!,"&gt;=687000",OFFSET(#REF!,0,4)))</f>
        <v>#REF!</v>
      </c>
      <c r="D63" s="18">
        <v>0</v>
      </c>
      <c r="E63" s="19" t="e">
        <f ca="1">C63-D63</f>
        <v>#REF!</v>
      </c>
    </row>
    <row r="64" spans="1:6" ht="13.5" thickBot="1">
      <c r="A64" s="61"/>
      <c r="B64" s="60"/>
      <c r="C64" s="2"/>
      <c r="D64" s="15"/>
      <c r="E64" s="10"/>
    </row>
    <row r="65" spans="1:5" ht="18" thickTop="1" thickBot="1">
      <c r="A65" s="398" t="s">
        <v>30</v>
      </c>
      <c r="B65" s="399"/>
      <c r="C65" s="86" t="e">
        <f ca="1">C61-C63</f>
        <v>#REF!</v>
      </c>
      <c r="D65" s="88">
        <f>D61-D63</f>
        <v>0</v>
      </c>
      <c r="E65" s="95" t="e">
        <f ca="1">E61-E63</f>
        <v>#REF!</v>
      </c>
    </row>
    <row r="66" spans="1:5" ht="14.25" thickTop="1" thickBot="1">
      <c r="A66" s="62"/>
      <c r="B66" s="63"/>
      <c r="C66" s="64"/>
      <c r="D66" s="65"/>
      <c r="E66" s="66"/>
    </row>
    <row r="67" spans="1:5" ht="18" thickTop="1" thickBot="1">
      <c r="A67" s="67"/>
      <c r="B67" s="56" t="s">
        <v>31</v>
      </c>
      <c r="C67" s="57" t="e">
        <f ca="1">+C65+C59</f>
        <v>#REF!</v>
      </c>
      <c r="D67" s="58">
        <f>+D65+D59</f>
        <v>0</v>
      </c>
      <c r="E67" s="59" t="e">
        <f ca="1">C67-D67</f>
        <v>#REF!</v>
      </c>
    </row>
    <row r="68" spans="1:5" ht="13.5" thickTop="1">
      <c r="A68" s="68"/>
      <c r="B68" s="69"/>
      <c r="C68" s="2"/>
      <c r="D68" s="9"/>
      <c r="E68" s="10"/>
    </row>
    <row r="69" spans="1:5">
      <c r="A69" s="370" t="s">
        <v>100</v>
      </c>
      <c r="B69" s="371"/>
      <c r="C69" s="17" t="e">
        <f ca="1">SUMIF(#REF!,"&gt;=770000",OFFSET(#REF!,0,5))-SUMIF(#REF!,"&gt;=780000",OFFSET(#REF!,0,5))+SUMIF(#REF!,"&gt;=787000",OFFSET(#REF!,0,5))-SUMIF(#REF!,"&gt;=788000",OFFSET(#REF!,0,5))</f>
        <v>#REF!</v>
      </c>
      <c r="D69" s="38">
        <v>0</v>
      </c>
      <c r="E69" s="91" t="e">
        <f ca="1">C69-D69</f>
        <v>#REF!</v>
      </c>
    </row>
    <row r="70" spans="1:5">
      <c r="A70" s="90" t="s">
        <v>52</v>
      </c>
      <c r="B70" s="89"/>
      <c r="C70" s="17"/>
      <c r="D70" s="38"/>
      <c r="E70" s="91"/>
    </row>
    <row r="71" spans="1:5">
      <c r="A71" s="26" t="s">
        <v>104</v>
      </c>
      <c r="B71" s="89"/>
      <c r="C71" s="17" t="e">
        <f ca="1">SUMIF(#REF!,"&gt;=775000",OFFSET(#REF!,0,5))-SUMIF(#REF!,"&gt;=776000",OFFSET(#REF!,0,5))</f>
        <v>#REF!</v>
      </c>
      <c r="D71" s="38">
        <v>0</v>
      </c>
      <c r="E71" s="91" t="e">
        <f ca="1">C71-D71</f>
        <v>#REF!</v>
      </c>
    </row>
    <row r="72" spans="1:5">
      <c r="A72" s="26" t="s">
        <v>105</v>
      </c>
      <c r="B72" s="89"/>
      <c r="C72" s="17" t="e">
        <f ca="1">SUMIF(#REF!,"&gt;=777000",OFFSET(#REF!,0,5))-SUMIF(#REF!,"&gt;=778000",OFFSET(#REF!,0,5))</f>
        <v>#REF!</v>
      </c>
      <c r="D72" s="38">
        <v>0</v>
      </c>
      <c r="E72" s="91" t="e">
        <f ca="1">C72-D72</f>
        <v>#REF!</v>
      </c>
    </row>
    <row r="73" spans="1:5">
      <c r="A73" s="6"/>
      <c r="B73" s="7"/>
      <c r="C73" s="81"/>
      <c r="D73" s="18"/>
      <c r="E73" s="85"/>
    </row>
    <row r="74" spans="1:5">
      <c r="A74" s="372" t="s">
        <v>101</v>
      </c>
      <c r="B74" s="373"/>
      <c r="C74" s="37" t="e">
        <f ca="1">SUMIF(#REF!,"&gt;=670000",OFFSET(#REF!,0,4))-SUMIF(#REF!,"&gt;=680000",OFFSET(#REF!,0,4))+(SUMIF(#REF!,"&gt;=687000",OFFSET(#REF!,0,4))-SUMIF(#REF!,"&gt;=688000",OFFSET(#REF!,0,4)))</f>
        <v>#REF!</v>
      </c>
      <c r="D74" s="18">
        <v>0</v>
      </c>
      <c r="E74" s="19" t="e">
        <f ca="1">C74-D74</f>
        <v>#REF!</v>
      </c>
    </row>
    <row r="75" spans="1:5">
      <c r="A75" s="90" t="s">
        <v>52</v>
      </c>
      <c r="B75" s="70"/>
      <c r="C75" s="37"/>
      <c r="D75" s="18"/>
      <c r="E75" s="19"/>
    </row>
    <row r="76" spans="1:5">
      <c r="A76" s="26" t="s">
        <v>106</v>
      </c>
      <c r="B76" s="70"/>
      <c r="C76" s="37" t="e">
        <f ca="1">SUMIF(#REF!,"&gt;=675000",OFFSET(#REF!,0,4))-SUMIF(#REF!,"&gt;=676000",OFFSET(#REF!,0,4))</f>
        <v>#REF!</v>
      </c>
      <c r="D76" s="18">
        <v>0</v>
      </c>
      <c r="E76" s="19" t="e">
        <f ca="1">C76-D76</f>
        <v>#REF!</v>
      </c>
    </row>
    <row r="77" spans="1:5" ht="13.5" thickBot="1">
      <c r="A77" s="75"/>
      <c r="B77" s="72"/>
      <c r="C77" s="73"/>
      <c r="D77" s="76"/>
      <c r="E77" s="77"/>
    </row>
    <row r="78" spans="1:5" ht="18" thickTop="1" thickBot="1">
      <c r="A78" s="395" t="s">
        <v>107</v>
      </c>
      <c r="B78" s="396"/>
      <c r="C78" s="57" t="e">
        <f ca="1">C69-C74</f>
        <v>#REF!</v>
      </c>
      <c r="D78" s="87">
        <f>D69-D74</f>
        <v>0</v>
      </c>
      <c r="E78" s="87" t="e">
        <f ca="1">E69-E74</f>
        <v>#REF!</v>
      </c>
    </row>
    <row r="79" spans="1:5" ht="13.5" thickTop="1">
      <c r="A79" s="68"/>
      <c r="B79" s="69"/>
      <c r="C79" s="2"/>
      <c r="D79" s="92"/>
      <c r="E79" s="92"/>
    </row>
    <row r="80" spans="1:5">
      <c r="A80" s="96" t="s">
        <v>99</v>
      </c>
      <c r="B80" s="69"/>
      <c r="C80" s="37" t="e">
        <f ca="1">SUMIF(#REF!,"&gt;=695000",OFFSET(#REF!,0,4))-SUMIF(#REF!,"&gt;=696000",OFFSET(#REF!,0,4))</f>
        <v>#REF!</v>
      </c>
      <c r="D80" s="18">
        <v>0</v>
      </c>
      <c r="E80" s="19" t="e">
        <f ca="1">C80-D80</f>
        <v>#REF!</v>
      </c>
    </row>
    <row r="81" spans="1:7">
      <c r="A81" s="96" t="s">
        <v>108</v>
      </c>
      <c r="B81" s="69"/>
      <c r="C81" s="17" t="e">
        <f ca="1">SUMIF(#REF!,"&gt;=789000",OFFSET(#REF!,0,5))-SUMIF(#REF!,"&gt;=790000",OFFSET(#REF!,0,5))</f>
        <v>#REF!</v>
      </c>
      <c r="D81" s="18">
        <v>0</v>
      </c>
      <c r="E81" s="19" t="e">
        <f ca="1">C81-D81</f>
        <v>#REF!</v>
      </c>
    </row>
    <row r="82" spans="1:7">
      <c r="A82" s="96" t="s">
        <v>109</v>
      </c>
      <c r="B82" s="69"/>
      <c r="C82" s="37" t="e">
        <f ca="1">SUMIF(#REF!,"&gt;=689000",OFFSET(#REF!,0,4))-SUMIF(#REF!,"&gt;=690000",OFFSET(#REF!,0,4))</f>
        <v>#REF!</v>
      </c>
      <c r="D82" s="18">
        <v>0</v>
      </c>
      <c r="E82" s="19" t="e">
        <f ca="1">C82-D82</f>
        <v>#REF!</v>
      </c>
    </row>
    <row r="83" spans="1:7" ht="13.5" thickBot="1">
      <c r="A83" s="71"/>
      <c r="B83" s="72"/>
      <c r="C83" s="73"/>
      <c r="D83" s="74"/>
      <c r="E83" s="93"/>
    </row>
    <row r="84" spans="1:7" ht="18" thickTop="1" thickBot="1">
      <c r="A84" s="97"/>
      <c r="B84" s="166" t="e">
        <f ca="1">IF(C84&lt;0,"Résultat de l'exercice : déficit (-)",IF(C84&gt;0,"Résultat de l'exercice : excédent (+)","Résultat de l'exercice : excédent (+) ou déficit (-)"))</f>
        <v>#REF!</v>
      </c>
      <c r="C84" s="98" t="e">
        <f ca="1">C67+C78-C80+C81-C82</f>
        <v>#REF!</v>
      </c>
      <c r="D84" s="98">
        <f>D67+D78-D80+D81-D82</f>
        <v>0</v>
      </c>
      <c r="E84" s="99" t="e">
        <f ca="1">C84-D84</f>
        <v>#REF!</v>
      </c>
      <c r="G84" s="3"/>
    </row>
    <row r="85" spans="1:7" ht="13.5" thickBot="1">
      <c r="C85" s="3"/>
    </row>
    <row r="86" spans="1:7" ht="12.75" customHeight="1">
      <c r="A86" s="364" t="s">
        <v>118</v>
      </c>
      <c r="B86" s="365"/>
      <c r="C86" s="365"/>
      <c r="D86" s="365"/>
      <c r="E86" s="366"/>
    </row>
    <row r="87" spans="1:7" ht="13.5" customHeight="1" thickBot="1">
      <c r="A87" s="367"/>
      <c r="B87" s="368"/>
      <c r="C87" s="368"/>
      <c r="D87" s="368"/>
      <c r="E87" s="369"/>
    </row>
    <row r="88" spans="1:7">
      <c r="A88" s="68"/>
      <c r="B88" s="69"/>
      <c r="C88" s="2"/>
      <c r="D88" s="9"/>
      <c r="E88" s="10"/>
    </row>
    <row r="89" spans="1:7">
      <c r="A89" s="370" t="s">
        <v>119</v>
      </c>
      <c r="B89" s="371"/>
      <c r="C89" s="17"/>
      <c r="D89" s="38"/>
      <c r="E89" s="91"/>
    </row>
    <row r="90" spans="1:7">
      <c r="A90" s="100" t="s">
        <v>120</v>
      </c>
      <c r="B90" s="89"/>
      <c r="C90" s="17" t="e">
        <f ca="1">SUMIF(#REF!,"&gt;=870000",OFFSET(#REF!,0,5))-SUMIF(#REF!,"&gt;=871000",OFFSET(#REF!,0,5))</f>
        <v>#REF!</v>
      </c>
      <c r="D90" s="38">
        <v>0</v>
      </c>
      <c r="E90" s="19" t="e">
        <f ca="1">C90-D90</f>
        <v>#REF!</v>
      </c>
    </row>
    <row r="91" spans="1:7">
      <c r="A91" s="16" t="s">
        <v>121</v>
      </c>
      <c r="B91" s="89"/>
      <c r="C91" s="17" t="e">
        <f ca="1">SUMIF(#REF!,"&gt;=871000",OFFSET(#REF!,0,5))-SUMIF(#REF!,"&gt;=875000",OFFSET(#REF!,0,5))</f>
        <v>#REF!</v>
      </c>
      <c r="D91" s="38">
        <v>0</v>
      </c>
      <c r="E91" s="19" t="e">
        <f ca="1">C91-D91</f>
        <v>#REF!</v>
      </c>
    </row>
    <row r="92" spans="1:7">
      <c r="A92" s="16" t="s">
        <v>122</v>
      </c>
      <c r="B92" s="89"/>
      <c r="C92" s="17" t="e">
        <f ca="1">SUMIF(#REF!,"&gt;=875000",OFFSET(#REF!,0,5))-SUMIF(#REF!,"&gt;=876000",OFFSET(#REF!,0,5))</f>
        <v>#REF!</v>
      </c>
      <c r="D92" s="38">
        <v>0</v>
      </c>
      <c r="E92" s="19" t="e">
        <f ca="1">C92-D92</f>
        <v>#REF!</v>
      </c>
    </row>
    <row r="93" spans="1:7">
      <c r="A93" s="6"/>
      <c r="B93" s="11" t="s">
        <v>125</v>
      </c>
      <c r="C93" s="17" t="e">
        <f ca="1">SUM(C90:C92)</f>
        <v>#REF!</v>
      </c>
      <c r="D93" s="38">
        <f>SUM(D90:D92)</f>
        <v>0</v>
      </c>
      <c r="E93" s="19" t="e">
        <f ca="1">C93-D93</f>
        <v>#REF!</v>
      </c>
    </row>
    <row r="94" spans="1:7">
      <c r="A94" s="372" t="s">
        <v>123</v>
      </c>
      <c r="B94" s="373"/>
      <c r="C94" s="37"/>
      <c r="D94" s="18"/>
      <c r="E94" s="19"/>
    </row>
    <row r="95" spans="1:7">
      <c r="A95" s="100" t="s">
        <v>126</v>
      </c>
      <c r="B95" s="70"/>
      <c r="C95" s="37" t="e">
        <f ca="1">SUMIF(#REF!,"&gt;=860000",OFFSET(#REF!,0,4))-SUMIF(#REF!,"&gt;=861000",OFFSET(#REF!,0,4))</f>
        <v>#REF!</v>
      </c>
      <c r="D95" s="18">
        <v>0</v>
      </c>
      <c r="E95" s="19" t="e">
        <f ca="1">C95-D95</f>
        <v>#REF!</v>
      </c>
    </row>
    <row r="96" spans="1:7">
      <c r="A96" s="16" t="s">
        <v>127</v>
      </c>
      <c r="B96" s="70"/>
      <c r="C96" s="37" t="e">
        <f ca="1">SUMIF(#REF!,"&gt;=861000",OFFSET(#REF!,0,4))-SUMIF(#REF!,"&gt;=864000",OFFSET(#REF!,0,4))</f>
        <v>#REF!</v>
      </c>
      <c r="D96" s="18">
        <v>0</v>
      </c>
      <c r="E96" s="19" t="e">
        <f ca="1">C96-D96</f>
        <v>#REF!</v>
      </c>
    </row>
    <row r="97" spans="1:5">
      <c r="A97" s="16" t="s">
        <v>128</v>
      </c>
      <c r="B97" s="70"/>
      <c r="C97" s="37" t="e">
        <f ca="1">SUMIF(#REF!,"&gt;=865000",OFFSET(#REF!,0,4))-SUMIF(#REF!,"&gt;=864000",OFFSET(#REF!,0,4))</f>
        <v>#REF!</v>
      </c>
      <c r="D97" s="18">
        <v>0</v>
      </c>
      <c r="E97" s="19" t="e">
        <f ca="1">C97-D97</f>
        <v>#REF!</v>
      </c>
    </row>
    <row r="98" spans="1:5">
      <c r="A98" s="16"/>
      <c r="B98" s="11" t="s">
        <v>124</v>
      </c>
      <c r="C98" s="37" t="e">
        <f ca="1">SUM(C95:C97)</f>
        <v>#REF!</v>
      </c>
      <c r="D98" s="18">
        <f>SUM(D95:D97)</f>
        <v>0</v>
      </c>
      <c r="E98" s="19" t="e">
        <f ca="1">C98-D98</f>
        <v>#REF!</v>
      </c>
    </row>
    <row r="99" spans="1:5" ht="13.5" thickBot="1">
      <c r="A99" s="75"/>
      <c r="B99" s="72"/>
      <c r="C99" s="73"/>
      <c r="D99" s="76"/>
      <c r="E99" s="77"/>
    </row>
    <row r="100" spans="1:5" ht="13.5" thickTop="1"/>
  </sheetData>
  <sheetProtection password="C7D8" sheet="1"/>
  <mergeCells count="47">
    <mergeCell ref="A35:B35"/>
    <mergeCell ref="A37:B37"/>
    <mergeCell ref="A69:B69"/>
    <mergeCell ref="A74:B74"/>
    <mergeCell ref="A78:B78"/>
    <mergeCell ref="A57:B57"/>
    <mergeCell ref="A59:B59"/>
    <mergeCell ref="A61:B61"/>
    <mergeCell ref="A63:B63"/>
    <mergeCell ref="A65:B65"/>
    <mergeCell ref="A32:B32"/>
    <mergeCell ref="A8:B8"/>
    <mergeCell ref="A50:B50"/>
    <mergeCell ref="A51:B51"/>
    <mergeCell ref="A55:B55"/>
    <mergeCell ref="A10:B10"/>
    <mergeCell ref="A12:B12"/>
    <mergeCell ref="A41:B41"/>
    <mergeCell ref="A42:B42"/>
    <mergeCell ref="A43:B43"/>
    <mergeCell ref="A44:B44"/>
    <mergeCell ref="A46:B46"/>
    <mergeCell ref="A29:B29"/>
    <mergeCell ref="A48:B48"/>
    <mergeCell ref="A33:B33"/>
    <mergeCell ref="A34:B34"/>
    <mergeCell ref="A2:E3"/>
    <mergeCell ref="A4:B5"/>
    <mergeCell ref="C4:C5"/>
    <mergeCell ref="D4:D5"/>
    <mergeCell ref="E4:E5"/>
    <mergeCell ref="A86:E87"/>
    <mergeCell ref="A89:B89"/>
    <mergeCell ref="A94:B94"/>
    <mergeCell ref="A9:B9"/>
    <mergeCell ref="A14:B14"/>
    <mergeCell ref="A19:B19"/>
    <mergeCell ref="A21:B21"/>
    <mergeCell ref="A23:B23"/>
    <mergeCell ref="A24:B25"/>
    <mergeCell ref="C24:C25"/>
    <mergeCell ref="D24:D25"/>
    <mergeCell ref="E24:E25"/>
    <mergeCell ref="A27:B27"/>
    <mergeCell ref="A39:B39"/>
    <mergeCell ref="A40:B40"/>
    <mergeCell ref="A31:B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Données_générales</vt:lpstr>
      <vt:lpstr>Plan_compta</vt:lpstr>
      <vt:lpstr>BD</vt:lpstr>
      <vt:lpstr>Dépense</vt:lpstr>
      <vt:lpstr>Recette</vt:lpstr>
      <vt:lpstr>Virement</vt:lpstr>
      <vt:lpstr>Analytique</vt:lpstr>
      <vt:lpstr>Bilan</vt:lpstr>
      <vt:lpstr>Compte de résultat</vt:lpstr>
      <vt:lpstr>CODE_ANAL</vt:lpstr>
      <vt:lpstr>MODE_PAIEMENT</vt:lpstr>
      <vt:lpstr>N_COMPTE</vt:lpstr>
      <vt:lpstr>OPERATION</vt:lpstr>
    </vt:vector>
  </TitlesOfParts>
  <Company>ANCC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 Jean-François</dc:creator>
  <cp:lastModifiedBy>fa.dissart</cp:lastModifiedBy>
  <cp:lastPrinted>2010-05-26T16:58:27Z</cp:lastPrinted>
  <dcterms:created xsi:type="dcterms:W3CDTF">2005-04-15T12:35:21Z</dcterms:created>
  <dcterms:modified xsi:type="dcterms:W3CDTF">2014-12-12T12:50:42Z</dcterms:modified>
</cp:coreProperties>
</file>