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Desktop\Projet Pricing - Collectif Energie\Old-Outils-Génération Synthèse GAZ\"/>
    </mc:Choice>
  </mc:AlternateContent>
  <xr:revisionPtr revIDLastSave="0" documentId="13_ncr:1_{9741354D-870F-4638-970F-E0D4B567F7B1}" xr6:coauthVersionLast="45" xr6:coauthVersionMax="45" xr10:uidLastSave="{00000000-0000-0000-0000-000000000000}"/>
  <bookViews>
    <workbookView xWindow="765" yWindow="0" windowWidth="23265" windowHeight="14295" activeTab="1" xr2:uid="{2499B288-7C88-4DDB-BE67-167ADDB5583D}"/>
  </bookViews>
  <sheets>
    <sheet name="Demande_cotation" sheetId="1" r:id="rId1"/>
    <sheet name="Calculs" sheetId="2" r:id="rId2"/>
    <sheet name="Synthèse" sheetId="4" r:id="rId3"/>
    <sheet name="Données utile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2" l="1"/>
  <c r="E9" i="2"/>
  <c r="L17" i="2"/>
  <c r="U27" i="2"/>
  <c r="K28" i="2"/>
  <c r="U13" i="2" s="1"/>
  <c r="K27" i="2"/>
  <c r="K23" i="2"/>
  <c r="U9" i="2" s="1"/>
  <c r="K22" i="2"/>
  <c r="K18" i="2"/>
  <c r="U61" i="2" s="1"/>
  <c r="K17" i="2"/>
  <c r="U65" i="2" l="1"/>
  <c r="U23" i="2"/>
  <c r="U19" i="2"/>
  <c r="U47" i="2"/>
  <c r="U69" i="2"/>
  <c r="K24" i="2"/>
  <c r="K29" i="2"/>
  <c r="U5" i="2"/>
  <c r="V5" i="2" s="1"/>
  <c r="K19" i="2"/>
  <c r="V61" i="2" l="1"/>
  <c r="V47" i="2"/>
  <c r="V33" i="2"/>
  <c r="V19" i="2"/>
  <c r="G8" i="2" l="1" a="1"/>
  <c r="G8" i="2" s="1"/>
  <c r="H8" i="2" s="1"/>
  <c r="G9" i="2" a="1"/>
  <c r="G9" i="2" s="1"/>
  <c r="H9" i="2" s="1"/>
  <c r="G7" i="2" a="1"/>
  <c r="G7" i="2" s="1"/>
  <c r="H7" i="2" s="1"/>
  <c r="G5" i="2" a="1"/>
  <c r="G5" i="2" s="1"/>
  <c r="G6" i="2" a="1"/>
  <c r="G6" i="2" s="1"/>
  <c r="H6" i="2" s="1"/>
  <c r="K6" i="2" l="1"/>
  <c r="L6" i="2" s="1"/>
  <c r="I6" i="2"/>
  <c r="J6" i="2"/>
  <c r="J7" i="2"/>
  <c r="K7" i="2"/>
  <c r="L7" i="2" s="1"/>
  <c r="I7" i="2"/>
  <c r="K8" i="2"/>
  <c r="L8" i="2" s="1"/>
  <c r="I8" i="2"/>
  <c r="J8" i="2"/>
  <c r="K5" i="2"/>
  <c r="L5" i="2" s="1"/>
  <c r="I5" i="2"/>
  <c r="J5" i="2"/>
  <c r="J9" i="2"/>
  <c r="K9" i="2"/>
  <c r="L9" i="2" s="1"/>
  <c r="I9" i="2"/>
  <c r="E7" i="2"/>
  <c r="E6" i="2"/>
  <c r="K10" i="2" l="1"/>
  <c r="K11" i="2"/>
  <c r="E11" i="2"/>
  <c r="E10" i="2"/>
  <c r="E8" i="2"/>
  <c r="E4" i="2"/>
  <c r="E2" i="1"/>
  <c r="C67" i="1"/>
  <c r="B51" i="1"/>
  <c r="C43" i="1"/>
  <c r="B27" i="1"/>
  <c r="C19" i="1"/>
  <c r="B3" i="1"/>
  <c r="C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tc={4658CD75-40B0-40DA-8A52-D3C95E9994E8}</author>
    <author>tc={9F4FEAE5-9D89-4DCF-B216-651B3B0651A7}</author>
    <author>tc={FF8583F9-2E14-4A7C-B087-124A2B607C66}</author>
  </authors>
  <commentList>
    <comment ref="B2" authorId="0" shapeId="0" xr:uid="{4658CD75-40B0-40DA-8A52-D3C95E9994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Prix moyen des dernières enchères connues</t>
      </text>
    </comment>
    <comment ref="N2" authorId="1" shapeId="0" xr:uid="{9F4FEAE5-9D89-4DCF-B216-651B3B0651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Lorsqu'il y a un prix unique remplir ce même prix pour chaque poste</t>
      </text>
    </comment>
    <comment ref="D15" authorId="2" shapeId="0" xr:uid="{FF8583F9-2E14-4A7C-B087-124A2B607C6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Lorsqu'il y a un prix unique remplir ce même prix pour chaque poste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<sst xmlns="http://schemas.openxmlformats.org/spreadsheetml/2006/main" count="232" uniqueCount="83">
  <si>
    <t>Entreprise</t>
  </si>
  <si>
    <t>GLM</t>
  </si>
  <si>
    <t>Code Naf</t>
  </si>
  <si>
    <t>5530Z</t>
  </si>
  <si>
    <t>Nom du Site</t>
  </si>
  <si>
    <t>GLM-13127</t>
  </si>
  <si>
    <t>Siret</t>
  </si>
  <si>
    <t>Voie</t>
  </si>
  <si>
    <t>ALLÉE DAVID GUILLERMET CAMPING MARINA PLAGE</t>
  </si>
  <si>
    <t>Code Postal</t>
  </si>
  <si>
    <t>Ville</t>
  </si>
  <si>
    <t>VITROLLES</t>
  </si>
  <si>
    <t>Nom prénom du représentant</t>
  </si>
  <si>
    <t>Virginie VIGHETTO</t>
  </si>
  <si>
    <t>Téléphone du représentant</t>
  </si>
  <si>
    <t>Mail du représenrtant</t>
  </si>
  <si>
    <t>virginie.vighetto@marina-plage.com</t>
  </si>
  <si>
    <t>Échéance</t>
  </si>
  <si>
    <t>31/12/2020</t>
  </si>
  <si>
    <t>RAE/PDL</t>
  </si>
  <si>
    <t>Consomation (MWh)</t>
  </si>
  <si>
    <t>Type de compteur</t>
  </si>
  <si>
    <t>C2</t>
  </si>
  <si>
    <t>Version d'utilisation</t>
  </si>
  <si>
    <t>CU</t>
  </si>
  <si>
    <t>Date d'effet souhaitée</t>
  </si>
  <si>
    <t xml:space="preserve">Nature du prix </t>
  </si>
  <si>
    <t>Prix fixe-swap</t>
  </si>
  <si>
    <t>Durée du contrat (mois)</t>
  </si>
  <si>
    <t>Durée de validité souhaitée (h)</t>
  </si>
  <si>
    <t>Date de remise de la cotation</t>
  </si>
  <si>
    <t>Commission Collectif Energie (EUR/MWh)</t>
  </si>
  <si>
    <t>Fixe/SWAP ARENH</t>
  </si>
  <si>
    <t>Client</t>
  </si>
  <si>
    <t xml:space="preserve"> HPH</t>
  </si>
  <si>
    <t>HPH</t>
  </si>
  <si>
    <t>HPE</t>
  </si>
  <si>
    <t>Réponse des fournisseurs</t>
  </si>
  <si>
    <t>Nombre de sites</t>
  </si>
  <si>
    <t>Rang</t>
  </si>
  <si>
    <t>Prix moyen</t>
  </si>
  <si>
    <t>Budget total</t>
  </si>
  <si>
    <t>% d'économies</t>
  </si>
  <si>
    <t>économies/an</t>
  </si>
  <si>
    <t>Prix énergie du nouveau fournisseur</t>
  </si>
  <si>
    <t>Prix capacités du nouveau fournisseur</t>
  </si>
  <si>
    <t>PRM capacités (€/MW)</t>
  </si>
  <si>
    <t>Effacer les données</t>
  </si>
  <si>
    <t>LE</t>
  </si>
  <si>
    <t>Mettre à jour le tableau</t>
  </si>
  <si>
    <t>Effacer toutes les valeurs</t>
  </si>
  <si>
    <t>Date de début du contrat</t>
  </si>
  <si>
    <t>Code NAF</t>
  </si>
  <si>
    <t>Marge CE Totale(€)</t>
  </si>
  <si>
    <t xml:space="preserve">Données du contrat </t>
  </si>
  <si>
    <t>Ancien Fournisseur</t>
  </si>
  <si>
    <t>Données à remplir/ancien contrat</t>
  </si>
  <si>
    <t>Données à remplir/ nouveau contrat</t>
  </si>
  <si>
    <t>Consommation totale de tous les sites (MWh)</t>
  </si>
  <si>
    <t>Marge CE (€/an)</t>
  </si>
  <si>
    <t>économies Totales</t>
  </si>
  <si>
    <t>Résultat &amp; classement *Capacités incluses</t>
  </si>
  <si>
    <t xml:space="preserve">Coller la demande de cotation envoyée ici, Selon le même format que le fichier envoyé aux fournisseurs </t>
  </si>
  <si>
    <t>Version d'utilisation/site</t>
  </si>
  <si>
    <t>PTE</t>
  </si>
  <si>
    <t>Fournisseur</t>
  </si>
  <si>
    <t>HCE</t>
  </si>
  <si>
    <t>Consommation (MWh)</t>
  </si>
  <si>
    <t>Prix énergie de l'ancien fournisseur (€/MWh)</t>
  </si>
  <si>
    <t>Prix capacités de l'ancien fournieurs (€/MWh)</t>
  </si>
  <si>
    <t>Prix Moyen P (€/MWh)</t>
  </si>
  <si>
    <t>Budget (€)</t>
  </si>
  <si>
    <t>Conso Totale (MWh)</t>
  </si>
  <si>
    <t>Prix Moy/Site</t>
  </si>
  <si>
    <t>Prix Moy total</t>
  </si>
  <si>
    <t>Marge Moy CE (€/MWh/an)</t>
  </si>
  <si>
    <t>Nom des fournisseurs</t>
  </si>
  <si>
    <t>engie</t>
  </si>
  <si>
    <t>vattenfall</t>
  </si>
  <si>
    <t>uniper</t>
  </si>
  <si>
    <t>selia</t>
  </si>
  <si>
    <t>loi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</si>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</sst>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Arial"/>
      <family val="2"/>
    </font>
    <font>
      <sz val="11"/>
      <color theme="2" tint="-0.749992370372631"/>
      <name val="Calibri"/>
      <family val="2"/>
      <scheme val="minor"/>
    </font>
    <font>
      <sz val="11"/>
      <color rgb="FF080707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80707"/>
      <name val="Arial"/>
      <family val="2"/>
    </font>
    <font>
      <b/>
      <sz val="11"/>
      <color rgb="FF0070C0"/>
      <name val="Arial"/>
      <family val="2"/>
    </font>
    <font>
      <sz val="11"/>
      <color rgb="FF32C864"/>
      <name val="Calibri"/>
      <family val="2"/>
      <scheme val="minor"/>
    </font>
    <font>
      <sz val="11"/>
      <color rgb="FF0002FF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8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/>
    <xf numFmtId="0" fontId="3" fillId="2" borderId="3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0" fillId="2" borderId="0" xfId="0" applyFill="1" applyAlignment="1">
      <alignment vertical="center"/>
    </xf>
    <xf numFmtId="0" fontId="6" fillId="2" borderId="5" xfId="0" applyFont="1" applyFill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1" fontId="1" fillId="0" borderId="5" xfId="1" applyNumberFormat="1" applyFont="1" applyBorder="1" applyAlignment="1">
      <alignment horizontal="center" vertical="center"/>
    </xf>
    <xf numFmtId="1" fontId="9" fillId="0" borderId="5" xfId="0" applyNumberFormat="1" applyFont="1" applyBorder="1" applyAlignment="1">
      <alignment horizontal="center" vertical="center"/>
    </xf>
    <xf numFmtId="14" fontId="6" fillId="2" borderId="5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4" fontId="4" fillId="2" borderId="7" xfId="0" applyNumberFormat="1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2" borderId="0" xfId="0" applyFont="1" applyFill="1"/>
    <xf numFmtId="0" fontId="0" fillId="4" borderId="0" xfId="0" applyFill="1"/>
    <xf numFmtId="14" fontId="6" fillId="2" borderId="5" xfId="0" applyNumberFormat="1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2" fillId="4" borderId="0" xfId="0" applyFont="1" applyFill="1" applyBorder="1"/>
    <xf numFmtId="0" fontId="11" fillId="2" borderId="0" xfId="0" applyFont="1" applyFill="1" applyBorder="1"/>
    <xf numFmtId="0" fontId="13" fillId="2" borderId="0" xfId="0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4" fillId="2" borderId="0" xfId="0" applyFont="1" applyFill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0" fontId="0" fillId="0" borderId="0" xfId="2" applyNumberFormat="1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2" fontId="0" fillId="5" borderId="0" xfId="0" applyNumberFormat="1" applyFill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762003</xdr:colOff>
      <xdr:row>4</xdr:row>
      <xdr:rowOff>129888</xdr:rowOff>
    </xdr:from>
    <xdr:to>
      <xdr:col>4</xdr:col>
      <xdr:colOff>1168981</xdr:colOff>
      <xdr:row>6</xdr:row>
      <xdr:rowOff>95252</xdr:rowOff>
    </xdr:to>
    <xdr:pic macro="[0]!Feuil2.Effacer_valeur_Tableau">
      <xdr:nvPicPr>
        <xdr:cNvPr id="3" name="Graphique 2" descr="Gomme">
          <a:extLst>
            <a:ext uri="{FF2B5EF4-FFF2-40B4-BE49-F238E27FC236}">
              <a16:creationId xmlns:a16="http://schemas.microsoft.com/office/drawing/2014/main" id="{98C2C34B-4076-4BC9-B9D8-2E0A011D57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840935" y="1212274"/>
          <a:ext cx="406978" cy="406978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iyongomartin" id="{A6DAC38C-CA83-4FB7-9090-154D9533BC33}" userId="iyongomartin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" dT="2020-03-12T14:10:36.52" personId="{A6DAC38C-CA83-4FB7-9090-154D9533BC33}" id="{4658CD75-40B0-40DA-8A52-D3C95E9994E8}">
    <text>Prix moyen des dernières enchères connues</text>
  </threadedComment>
  <threadedComment ref="N2" dT="2020-03-12T11:53:38.68" personId="{A6DAC38C-CA83-4FB7-9090-154D9533BC33}" id="{9F4FEAE5-9D89-4DCF-B216-651B3B0651A7}">
    <text>Lorsqu'il y a un prix unique remplir ce même prix pour chaque poste</text>
  </threadedComment>
  <threadedComment ref="D15" dT="2020-03-12T11:53:38.68" personId="{A6DAC38C-CA83-4FB7-9090-154D9533BC33}" id="{FF8583F9-2E14-4A7C-B087-124A2B607C66}">
    <text>Lorsqu'il y a un prix unique remplir ce même prix pour chaque poste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2BFDD-97B2-4237-8F2D-F81B4E5C3024}">
  <sheetPr codeName="Feuil2"/>
  <dimension ref="A1:E99"/>
  <sheetViews>
    <sheetView topLeftCell="A52" zoomScale="110" zoomScaleNormal="110" workbookViewId="0">
      <selection activeCell="A58" sqref="A58"/>
    </sheetView>
  </sheetViews>
  <sheetFormatPr baseColWidth="10" defaultColWidth="10.85546875" defaultRowHeight="15" x14ac:dyDescent="0.25"/>
  <cols>
    <col min="1" max="1" width="49" style="3" bestFit="1" customWidth="1"/>
    <col min="2" max="2" width="41.140625" style="3" bestFit="1" customWidth="1"/>
    <col min="3" max="3" width="50.42578125" style="3" customWidth="1"/>
    <col min="4" max="4" width="18.140625" style="3" customWidth="1"/>
    <col min="5" max="5" width="31" style="3" customWidth="1"/>
    <col min="6" max="6" width="24.7109375" style="3" bestFit="1" customWidth="1"/>
    <col min="7" max="7" width="43" style="3" customWidth="1"/>
    <col min="8" max="8" width="31.140625" style="3" bestFit="1" customWidth="1"/>
    <col min="9" max="9" width="29.140625" style="3" bestFit="1" customWidth="1"/>
    <col min="10" max="16384" width="10.85546875" style="3"/>
  </cols>
  <sheetData>
    <row r="1" spans="1:5" s="1" customFormat="1" ht="26.25" x14ac:dyDescent="0.25">
      <c r="A1" s="38" t="s">
        <v>62</v>
      </c>
      <c r="B1" s="33" t="s">
        <v>38</v>
      </c>
      <c r="C1" s="33">
        <f>COUNTA(B3,B27,B51)</f>
        <v>3</v>
      </c>
      <c r="E1" s="2" t="s">
        <v>48</v>
      </c>
    </row>
    <row r="2" spans="1:5" ht="18.75" customHeight="1" thickBot="1" x14ac:dyDescent="0.3">
      <c r="E2" s="34">
        <f ca="1">TODAY()</f>
        <v>43903</v>
      </c>
    </row>
    <row r="3" spans="1:5" ht="16.5" customHeight="1" thickBot="1" x14ac:dyDescent="0.3">
      <c r="B3" s="46" t="str">
        <f>"Site "&amp;(ROW()-3)/24+1</f>
        <v>Site 1</v>
      </c>
      <c r="C3" s="47"/>
      <c r="E3" s="24"/>
    </row>
    <row r="4" spans="1:5" x14ac:dyDescent="0.25">
      <c r="B4" s="4" t="s">
        <v>0</v>
      </c>
      <c r="C4" s="5" t="s">
        <v>1</v>
      </c>
      <c r="E4" s="30" t="s">
        <v>47</v>
      </c>
    </row>
    <row r="5" spans="1:5" ht="19.5" customHeight="1" x14ac:dyDescent="0.25">
      <c r="B5" s="6" t="s">
        <v>2</v>
      </c>
      <c r="C5" s="7" t="s">
        <v>3</v>
      </c>
    </row>
    <row r="6" spans="1:5" x14ac:dyDescent="0.25">
      <c r="B6" s="6" t="s">
        <v>4</v>
      </c>
      <c r="C6" s="9" t="s">
        <v>5</v>
      </c>
    </row>
    <row r="7" spans="1:5" x14ac:dyDescent="0.25">
      <c r="B7" s="6" t="s">
        <v>6</v>
      </c>
      <c r="C7" s="10">
        <v>3212753720027</v>
      </c>
    </row>
    <row r="8" spans="1:5" x14ac:dyDescent="0.25">
      <c r="B8" s="6" t="s">
        <v>7</v>
      </c>
      <c r="C8" s="7" t="s">
        <v>8</v>
      </c>
    </row>
    <row r="9" spans="1:5" x14ac:dyDescent="0.25">
      <c r="B9" s="6" t="s">
        <v>9</v>
      </c>
      <c r="C9" s="9">
        <v>13127</v>
      </c>
    </row>
    <row r="10" spans="1:5" x14ac:dyDescent="0.25">
      <c r="B10" s="6" t="s">
        <v>10</v>
      </c>
      <c r="C10" s="9" t="s">
        <v>11</v>
      </c>
    </row>
    <row r="11" spans="1:5" x14ac:dyDescent="0.25">
      <c r="B11" s="6" t="s">
        <v>12</v>
      </c>
      <c r="C11" s="9" t="s">
        <v>13</v>
      </c>
    </row>
    <row r="12" spans="1:5" x14ac:dyDescent="0.25">
      <c r="B12" s="6" t="s">
        <v>14</v>
      </c>
      <c r="C12" s="9"/>
    </row>
    <row r="13" spans="1:5" x14ac:dyDescent="0.25">
      <c r="B13" s="6" t="s">
        <v>15</v>
      </c>
      <c r="C13" s="9" t="s">
        <v>16</v>
      </c>
    </row>
    <row r="14" spans="1:5" x14ac:dyDescent="0.25">
      <c r="B14" s="6" t="s">
        <v>17</v>
      </c>
      <c r="C14" s="7" t="s">
        <v>18</v>
      </c>
    </row>
    <row r="15" spans="1:5" x14ac:dyDescent="0.25">
      <c r="B15" s="6" t="s">
        <v>19</v>
      </c>
      <c r="C15" s="11">
        <v>30002521676979</v>
      </c>
    </row>
    <row r="16" spans="1:5" x14ac:dyDescent="0.25">
      <c r="B16" s="6" t="s">
        <v>20</v>
      </c>
      <c r="C16" s="7">
        <v>1010.143</v>
      </c>
    </row>
    <row r="17" spans="1:3" x14ac:dyDescent="0.25">
      <c r="B17" s="6" t="s">
        <v>21</v>
      </c>
      <c r="C17" s="12" t="s">
        <v>22</v>
      </c>
    </row>
    <row r="18" spans="1:3" x14ac:dyDescent="0.25">
      <c r="B18" s="6" t="s">
        <v>23</v>
      </c>
      <c r="C18" s="13" t="s">
        <v>24</v>
      </c>
    </row>
    <row r="19" spans="1:3" ht="15.75" thickBot="1" x14ac:dyDescent="0.3">
      <c r="B19" s="14" t="s">
        <v>25</v>
      </c>
      <c r="C19" s="15">
        <f>C14+1</f>
        <v>44197</v>
      </c>
    </row>
    <row r="20" spans="1:3" x14ac:dyDescent="0.25">
      <c r="B20" s="16" t="s">
        <v>26</v>
      </c>
      <c r="C20" s="17" t="s">
        <v>27</v>
      </c>
    </row>
    <row r="21" spans="1:3" x14ac:dyDescent="0.25">
      <c r="B21" s="16" t="s">
        <v>28</v>
      </c>
      <c r="C21" s="17">
        <v>24</v>
      </c>
    </row>
    <row r="22" spans="1:3" x14ac:dyDescent="0.25">
      <c r="B22" s="16" t="s">
        <v>29</v>
      </c>
      <c r="C22" s="17">
        <v>72</v>
      </c>
    </row>
    <row r="23" spans="1:3" x14ac:dyDescent="0.25">
      <c r="B23" s="16" t="s">
        <v>30</v>
      </c>
      <c r="C23" s="18">
        <v>43903</v>
      </c>
    </row>
    <row r="24" spans="1:3" ht="15.75" thickBot="1" x14ac:dyDescent="0.3">
      <c r="B24" s="19" t="s">
        <v>31</v>
      </c>
      <c r="C24" s="20">
        <v>1.6</v>
      </c>
    </row>
    <row r="25" spans="1:3" x14ac:dyDescent="0.25">
      <c r="B25" s="21"/>
      <c r="C25" s="8"/>
    </row>
    <row r="26" spans="1:3" ht="15.75" thickBot="1" x14ac:dyDescent="0.3">
      <c r="A26" s="22"/>
      <c r="B26" s="22"/>
      <c r="C26" s="22"/>
    </row>
    <row r="27" spans="1:3" ht="15.75" thickBot="1" x14ac:dyDescent="0.3">
      <c r="A27" s="22"/>
      <c r="B27" s="46" t="str">
        <f>"Site "&amp;(ROW()-3)/24+1</f>
        <v>Site 2</v>
      </c>
      <c r="C27" s="47"/>
    </row>
    <row r="28" spans="1:3" x14ac:dyDescent="0.25">
      <c r="A28" s="22"/>
      <c r="B28" s="4" t="s">
        <v>0</v>
      </c>
      <c r="C28" s="5" t="s">
        <v>1</v>
      </c>
    </row>
    <row r="29" spans="1:3" x14ac:dyDescent="0.25">
      <c r="A29" s="22"/>
      <c r="B29" s="6" t="s">
        <v>2</v>
      </c>
      <c r="C29" s="7" t="s">
        <v>3</v>
      </c>
    </row>
    <row r="30" spans="1:3" x14ac:dyDescent="0.25">
      <c r="A30" s="22"/>
      <c r="B30" s="6" t="s">
        <v>4</v>
      </c>
      <c r="C30" s="9" t="s">
        <v>5</v>
      </c>
    </row>
    <row r="31" spans="1:3" x14ac:dyDescent="0.25">
      <c r="A31" s="22"/>
      <c r="B31" s="6" t="s">
        <v>6</v>
      </c>
      <c r="C31" s="10">
        <v>3212753720027</v>
      </c>
    </row>
    <row r="32" spans="1:3" x14ac:dyDescent="0.25">
      <c r="A32" s="22"/>
      <c r="B32" s="6" t="s">
        <v>7</v>
      </c>
      <c r="C32" s="7" t="s">
        <v>8</v>
      </c>
    </row>
    <row r="33" spans="1:3" x14ac:dyDescent="0.25">
      <c r="A33" s="22"/>
      <c r="B33" s="6" t="s">
        <v>9</v>
      </c>
      <c r="C33" s="9">
        <v>13127</v>
      </c>
    </row>
    <row r="34" spans="1:3" x14ac:dyDescent="0.25">
      <c r="A34" s="22"/>
      <c r="B34" s="6" t="s">
        <v>10</v>
      </c>
      <c r="C34" s="9" t="s">
        <v>11</v>
      </c>
    </row>
    <row r="35" spans="1:3" x14ac:dyDescent="0.25">
      <c r="A35" s="22"/>
      <c r="B35" s="6" t="s">
        <v>12</v>
      </c>
      <c r="C35" s="9" t="s">
        <v>13</v>
      </c>
    </row>
    <row r="36" spans="1:3" x14ac:dyDescent="0.25">
      <c r="A36" s="22"/>
      <c r="B36" s="6" t="s">
        <v>14</v>
      </c>
      <c r="C36" s="9"/>
    </row>
    <row r="37" spans="1:3" x14ac:dyDescent="0.25">
      <c r="A37" s="22"/>
      <c r="B37" s="6" t="s">
        <v>15</v>
      </c>
      <c r="C37" s="9" t="s">
        <v>16</v>
      </c>
    </row>
    <row r="38" spans="1:3" x14ac:dyDescent="0.25">
      <c r="A38" s="22"/>
      <c r="B38" s="6" t="s">
        <v>17</v>
      </c>
      <c r="C38" s="23">
        <v>44196</v>
      </c>
    </row>
    <row r="39" spans="1:3" x14ac:dyDescent="0.25">
      <c r="A39" s="22"/>
      <c r="B39" s="6" t="s">
        <v>19</v>
      </c>
      <c r="C39" s="11">
        <v>30002520426670</v>
      </c>
    </row>
    <row r="40" spans="1:3" x14ac:dyDescent="0.25">
      <c r="A40" s="22"/>
      <c r="B40" s="6" t="s">
        <v>20</v>
      </c>
      <c r="C40" s="7">
        <v>1218.239</v>
      </c>
    </row>
    <row r="41" spans="1:3" x14ac:dyDescent="0.25">
      <c r="A41" s="22"/>
      <c r="B41" s="6" t="s">
        <v>21</v>
      </c>
      <c r="C41" s="12" t="s">
        <v>22</v>
      </c>
    </row>
    <row r="42" spans="1:3" x14ac:dyDescent="0.25">
      <c r="A42" s="22"/>
      <c r="B42" s="6" t="s">
        <v>23</v>
      </c>
      <c r="C42" s="13" t="s">
        <v>24</v>
      </c>
    </row>
    <row r="43" spans="1:3" ht="15.75" thickBot="1" x14ac:dyDescent="0.3">
      <c r="A43" s="22"/>
      <c r="B43" s="14" t="s">
        <v>25</v>
      </c>
      <c r="C43" s="15">
        <f>C38+1</f>
        <v>44197</v>
      </c>
    </row>
    <row r="44" spans="1:3" x14ac:dyDescent="0.25">
      <c r="A44" s="22"/>
      <c r="B44" s="16" t="s">
        <v>26</v>
      </c>
      <c r="C44" s="17" t="s">
        <v>32</v>
      </c>
    </row>
    <row r="45" spans="1:3" x14ac:dyDescent="0.25">
      <c r="A45" s="22"/>
      <c r="B45" s="16" t="s">
        <v>28</v>
      </c>
      <c r="C45" s="17">
        <v>24</v>
      </c>
    </row>
    <row r="46" spans="1:3" x14ac:dyDescent="0.25">
      <c r="A46" s="22"/>
      <c r="B46" s="16" t="s">
        <v>29</v>
      </c>
      <c r="C46" s="17">
        <v>72</v>
      </c>
    </row>
    <row r="47" spans="1:3" x14ac:dyDescent="0.25">
      <c r="A47" s="22"/>
      <c r="B47" s="16" t="s">
        <v>30</v>
      </c>
      <c r="C47" s="18">
        <v>43903</v>
      </c>
    </row>
    <row r="48" spans="1:3" ht="15.75" thickBot="1" x14ac:dyDescent="0.3">
      <c r="A48" s="22"/>
      <c r="B48" s="19" t="s">
        <v>31</v>
      </c>
      <c r="C48" s="20">
        <v>1.6</v>
      </c>
    </row>
    <row r="49" spans="1:3" x14ac:dyDescent="0.25">
      <c r="A49" s="22"/>
      <c r="B49" s="22"/>
      <c r="C49" s="22"/>
    </row>
    <row r="50" spans="1:3" ht="15.75" thickBot="1" x14ac:dyDescent="0.3">
      <c r="A50" s="22"/>
      <c r="B50" s="22"/>
      <c r="C50" s="22"/>
    </row>
    <row r="51" spans="1:3" ht="15.75" thickBot="1" x14ac:dyDescent="0.3">
      <c r="A51" s="22"/>
      <c r="B51" s="46" t="str">
        <f>"Site "&amp;(ROW()-3)/24+1</f>
        <v>Site 3</v>
      </c>
      <c r="C51" s="47"/>
    </row>
    <row r="52" spans="1:3" x14ac:dyDescent="0.25">
      <c r="A52" s="22"/>
      <c r="B52" s="4" t="s">
        <v>0</v>
      </c>
      <c r="C52" s="5" t="s">
        <v>1</v>
      </c>
    </row>
    <row r="53" spans="1:3" x14ac:dyDescent="0.25">
      <c r="A53" s="22"/>
      <c r="B53" s="6" t="s">
        <v>2</v>
      </c>
      <c r="C53" s="7" t="s">
        <v>3</v>
      </c>
    </row>
    <row r="54" spans="1:3" x14ac:dyDescent="0.25">
      <c r="A54" s="22"/>
      <c r="B54" s="6" t="s">
        <v>4</v>
      </c>
      <c r="C54" s="9" t="s">
        <v>5</v>
      </c>
    </row>
    <row r="55" spans="1:3" x14ac:dyDescent="0.25">
      <c r="A55" s="22"/>
      <c r="B55" s="6" t="s">
        <v>6</v>
      </c>
      <c r="C55" s="10">
        <v>3212753720027</v>
      </c>
    </row>
    <row r="56" spans="1:3" x14ac:dyDescent="0.25">
      <c r="A56" s="22"/>
      <c r="B56" s="6" t="s">
        <v>7</v>
      </c>
      <c r="C56" s="7" t="s">
        <v>8</v>
      </c>
    </row>
    <row r="57" spans="1:3" x14ac:dyDescent="0.25">
      <c r="A57" s="22"/>
      <c r="B57" s="6" t="s">
        <v>9</v>
      </c>
      <c r="C57" s="9">
        <v>13127</v>
      </c>
    </row>
    <row r="58" spans="1:3" x14ac:dyDescent="0.25">
      <c r="A58" s="22"/>
      <c r="B58" s="6" t="s">
        <v>10</v>
      </c>
      <c r="C58" s="9" t="s">
        <v>11</v>
      </c>
    </row>
    <row r="59" spans="1:3" x14ac:dyDescent="0.25">
      <c r="A59" s="22"/>
      <c r="B59" s="6" t="s">
        <v>12</v>
      </c>
      <c r="C59" s="9" t="s">
        <v>13</v>
      </c>
    </row>
    <row r="60" spans="1:3" x14ac:dyDescent="0.25">
      <c r="A60" s="22"/>
      <c r="B60" s="6" t="s">
        <v>14</v>
      </c>
      <c r="C60" s="9"/>
    </row>
    <row r="61" spans="1:3" x14ac:dyDescent="0.25">
      <c r="A61" s="22"/>
      <c r="B61" s="6" t="s">
        <v>15</v>
      </c>
      <c r="C61" s="9" t="s">
        <v>16</v>
      </c>
    </row>
    <row r="62" spans="1:3" x14ac:dyDescent="0.25">
      <c r="A62" s="22"/>
      <c r="B62" s="6" t="s">
        <v>17</v>
      </c>
      <c r="C62" s="23">
        <v>44196</v>
      </c>
    </row>
    <row r="63" spans="1:3" x14ac:dyDescent="0.25">
      <c r="A63" s="22"/>
      <c r="B63" s="6" t="s">
        <v>19</v>
      </c>
      <c r="C63" s="11">
        <v>30002520426670</v>
      </c>
    </row>
    <row r="64" spans="1:3" x14ac:dyDescent="0.25">
      <c r="A64" s="22"/>
      <c r="B64" s="6" t="s">
        <v>20</v>
      </c>
      <c r="C64" s="7">
        <v>1218.239</v>
      </c>
    </row>
    <row r="65" spans="1:3" x14ac:dyDescent="0.25">
      <c r="A65" s="22"/>
      <c r="B65" s="6" t="s">
        <v>21</v>
      </c>
      <c r="C65" s="12" t="s">
        <v>22</v>
      </c>
    </row>
    <row r="66" spans="1:3" x14ac:dyDescent="0.25">
      <c r="A66" s="22"/>
      <c r="B66" s="6" t="s">
        <v>23</v>
      </c>
      <c r="C66" s="13" t="s">
        <v>24</v>
      </c>
    </row>
    <row r="67" spans="1:3" ht="15.75" thickBot="1" x14ac:dyDescent="0.3">
      <c r="A67" s="22"/>
      <c r="B67" s="14" t="s">
        <v>25</v>
      </c>
      <c r="C67" s="15">
        <f>C62+1</f>
        <v>44197</v>
      </c>
    </row>
    <row r="68" spans="1:3" x14ac:dyDescent="0.25">
      <c r="A68" s="22"/>
      <c r="B68" s="16" t="s">
        <v>26</v>
      </c>
      <c r="C68" s="17" t="s">
        <v>32</v>
      </c>
    </row>
    <row r="69" spans="1:3" x14ac:dyDescent="0.25">
      <c r="A69" s="22"/>
      <c r="B69" s="16" t="s">
        <v>28</v>
      </c>
      <c r="C69" s="17">
        <v>24</v>
      </c>
    </row>
    <row r="70" spans="1:3" x14ac:dyDescent="0.25">
      <c r="A70" s="22"/>
      <c r="B70" s="16" t="s">
        <v>29</v>
      </c>
      <c r="C70" s="17">
        <v>72</v>
      </c>
    </row>
    <row r="71" spans="1:3" x14ac:dyDescent="0.25">
      <c r="A71" s="22"/>
      <c r="B71" s="16" t="s">
        <v>30</v>
      </c>
      <c r="C71" s="18">
        <v>43903</v>
      </c>
    </row>
    <row r="72" spans="1:3" ht="15.75" thickBot="1" x14ac:dyDescent="0.3">
      <c r="A72" s="22"/>
      <c r="B72" s="19" t="s">
        <v>31</v>
      </c>
      <c r="C72" s="20">
        <v>1.6</v>
      </c>
    </row>
    <row r="73" spans="1:3" x14ac:dyDescent="0.25">
      <c r="A73" s="22"/>
      <c r="B73" s="32"/>
      <c r="C73" s="31"/>
    </row>
    <row r="74" spans="1:3" x14ac:dyDescent="0.25">
      <c r="A74" s="22"/>
      <c r="B74" s="32"/>
      <c r="C74" s="31"/>
    </row>
    <row r="75" spans="1:3" x14ac:dyDescent="0.25">
      <c r="A75" s="22"/>
      <c r="B75" s="32"/>
      <c r="C75" s="31"/>
    </row>
    <row r="76" spans="1:3" x14ac:dyDescent="0.25">
      <c r="A76" s="22"/>
      <c r="B76" s="32"/>
      <c r="C76" s="31"/>
    </row>
    <row r="77" spans="1:3" x14ac:dyDescent="0.25">
      <c r="A77" s="22"/>
      <c r="B77" s="32"/>
      <c r="C77" s="31"/>
    </row>
    <row r="78" spans="1:3" x14ac:dyDescent="0.25">
      <c r="A78" s="22"/>
      <c r="B78" s="32"/>
      <c r="C78" s="31"/>
    </row>
    <row r="79" spans="1:3" x14ac:dyDescent="0.25">
      <c r="A79" s="22"/>
      <c r="B79" s="32"/>
      <c r="C79" s="31"/>
    </row>
    <row r="80" spans="1:3" x14ac:dyDescent="0.25">
      <c r="A80" s="22"/>
      <c r="B80" s="32"/>
      <c r="C80" s="31"/>
    </row>
    <row r="81" spans="1:3" x14ac:dyDescent="0.25">
      <c r="A81" s="22"/>
      <c r="B81" s="32"/>
      <c r="C81" s="31"/>
    </row>
    <row r="82" spans="1:3" x14ac:dyDescent="0.25">
      <c r="A82" s="22"/>
      <c r="B82" s="32"/>
      <c r="C82" s="31"/>
    </row>
    <row r="83" spans="1:3" x14ac:dyDescent="0.25">
      <c r="A83" s="22"/>
      <c r="B83" s="32"/>
      <c r="C83" s="31"/>
    </row>
    <row r="84" spans="1:3" x14ac:dyDescent="0.25">
      <c r="A84" s="22"/>
      <c r="B84" s="32"/>
      <c r="C84" s="31"/>
    </row>
    <row r="85" spans="1:3" x14ac:dyDescent="0.25">
      <c r="A85" s="22"/>
      <c r="B85" s="32"/>
      <c r="C85" s="31"/>
    </row>
    <row r="86" spans="1:3" x14ac:dyDescent="0.25">
      <c r="A86" s="22"/>
      <c r="B86" s="32"/>
      <c r="C86" s="31"/>
    </row>
    <row r="87" spans="1:3" x14ac:dyDescent="0.25">
      <c r="A87" s="22"/>
      <c r="B87" s="32"/>
      <c r="C87" s="31"/>
    </row>
    <row r="88" spans="1:3" x14ac:dyDescent="0.25">
      <c r="A88" s="22"/>
      <c r="B88" s="32"/>
      <c r="C88" s="31"/>
    </row>
    <row r="89" spans="1:3" x14ac:dyDescent="0.25">
      <c r="A89" s="22"/>
      <c r="B89" s="32"/>
      <c r="C89" s="31"/>
    </row>
    <row r="90" spans="1:3" x14ac:dyDescent="0.25">
      <c r="A90" s="22"/>
      <c r="B90" s="32"/>
      <c r="C90" s="31"/>
    </row>
    <row r="91" spans="1:3" x14ac:dyDescent="0.25">
      <c r="A91" s="22"/>
      <c r="C91" s="22"/>
    </row>
    <row r="92" spans="1:3" x14ac:dyDescent="0.25">
      <c r="A92" s="22"/>
      <c r="C92" s="22"/>
    </row>
    <row r="93" spans="1:3" x14ac:dyDescent="0.25">
      <c r="A93" s="22"/>
      <c r="C93" s="22"/>
    </row>
    <row r="94" spans="1:3" x14ac:dyDescent="0.25">
      <c r="A94" s="22"/>
      <c r="C94" s="22"/>
    </row>
    <row r="95" spans="1:3" x14ac:dyDescent="0.25">
      <c r="A95" s="22"/>
      <c r="C95" s="22"/>
    </row>
    <row r="96" spans="1:3" x14ac:dyDescent="0.25">
      <c r="A96" s="22"/>
      <c r="C96" s="22"/>
    </row>
    <row r="97" spans="1:3" x14ac:dyDescent="0.25">
      <c r="A97" s="22"/>
      <c r="C97" s="22"/>
    </row>
    <row r="98" spans="1:3" x14ac:dyDescent="0.25">
      <c r="A98" s="22"/>
      <c r="C98" s="22"/>
    </row>
    <row r="99" spans="1:3" x14ac:dyDescent="0.25">
      <c r="A99" s="22"/>
      <c r="C99" s="22"/>
    </row>
  </sheetData>
  <mergeCells count="3">
    <mergeCell ref="B3:C3"/>
    <mergeCell ref="B27:C27"/>
    <mergeCell ref="B51:C5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4457FB-58E3-4E26-B563-8B9480113522}">
  <sheetPr codeName="Feuil1"/>
  <dimension ref="A1:Z74"/>
  <sheetViews>
    <sheetView tabSelected="1" zoomScale="85" zoomScaleNormal="85" workbookViewId="0">
      <selection activeCell="V4" sqref="V4:W69"/>
    </sheetView>
  </sheetViews>
  <sheetFormatPr baseColWidth="10" defaultRowHeight="15" x14ac:dyDescent="0.25"/>
  <cols>
    <col min="1" max="1" width="21.7109375" bestFit="1" customWidth="1"/>
    <col min="2" max="2" width="22.140625" bestFit="1" customWidth="1"/>
    <col min="4" max="4" width="44.28515625" bestFit="1" customWidth="1"/>
    <col min="5" max="5" width="18.5703125" customWidth="1"/>
    <col min="6" max="6" width="17.7109375" bestFit="1" customWidth="1"/>
    <col min="7" max="7" width="12.42578125" customWidth="1"/>
    <col min="8" max="8" width="18.85546875" bestFit="1" customWidth="1"/>
    <col min="9" max="9" width="12.42578125" customWidth="1"/>
    <col min="10" max="10" width="21.28515625" bestFit="1" customWidth="1"/>
    <col min="11" max="12" width="17.7109375" bestFit="1" customWidth="1"/>
    <col min="14" max="14" width="36.5703125" bestFit="1" customWidth="1"/>
    <col min="15" max="15" width="14.140625" customWidth="1"/>
    <col min="16" max="16" width="9.5703125" customWidth="1"/>
    <col min="17" max="17" width="8.5703125" customWidth="1"/>
    <col min="18" max="18" width="7.140625" customWidth="1"/>
    <col min="19" max="19" width="8" customWidth="1"/>
    <col min="20" max="20" width="21.28515625" bestFit="1" customWidth="1"/>
    <col min="21" max="21" width="33.28515625" style="42" bestFit="1" customWidth="1"/>
    <col min="22" max="22" width="15.7109375" style="42" bestFit="1" customWidth="1"/>
    <col min="23" max="23" width="11.42578125" style="42"/>
    <col min="28" max="28" width="33.28515625" bestFit="1" customWidth="1"/>
  </cols>
  <sheetData>
    <row r="1" spans="1:26" x14ac:dyDescent="0.25">
      <c r="N1">
        <v>5</v>
      </c>
    </row>
    <row r="2" spans="1:26" x14ac:dyDescent="0.25">
      <c r="A2" t="s">
        <v>76</v>
      </c>
      <c r="B2" s="26" t="s">
        <v>46</v>
      </c>
      <c r="C2" s="26">
        <v>19458</v>
      </c>
      <c r="D2" s="26" t="s">
        <v>54</v>
      </c>
      <c r="F2" s="49" t="s">
        <v>61</v>
      </c>
      <c r="G2" s="49"/>
      <c r="H2" s="49"/>
      <c r="I2" s="49"/>
      <c r="J2" s="49"/>
      <c r="K2" s="49"/>
      <c r="L2" s="49"/>
      <c r="N2" s="48" t="s">
        <v>57</v>
      </c>
      <c r="O2" s="48"/>
      <c r="P2" s="48"/>
      <c r="Q2" s="48"/>
      <c r="R2" s="48"/>
      <c r="S2" s="48"/>
    </row>
    <row r="3" spans="1:26" x14ac:dyDescent="0.25">
      <c r="A3" s="54" t="s">
        <v>77</v>
      </c>
      <c r="E3" s="26"/>
      <c r="F3" s="26"/>
      <c r="H3" s="26"/>
      <c r="I3" s="26"/>
      <c r="J3" s="26"/>
      <c r="K3" s="26"/>
      <c r="L3" s="26"/>
      <c r="N3" s="48" t="s">
        <v>37</v>
      </c>
      <c r="O3" s="48"/>
      <c r="P3" s="48"/>
      <c r="Q3" s="48"/>
      <c r="R3" s="48"/>
      <c r="S3" s="48"/>
      <c r="T3" s="48"/>
      <c r="X3" s="51"/>
      <c r="Y3" s="51"/>
      <c r="Z3" s="51"/>
    </row>
    <row r="4" spans="1:26" x14ac:dyDescent="0.25">
      <c r="A4" s="54" t="s">
        <v>78</v>
      </c>
      <c r="D4" s="26" t="s">
        <v>33</v>
      </c>
      <c r="E4" s="26" t="str">
        <f>Demande_cotation!C4</f>
        <v>GLM</v>
      </c>
      <c r="F4" s="26" t="s">
        <v>39</v>
      </c>
      <c r="G4" s="26" t="s">
        <v>40</v>
      </c>
      <c r="H4" s="53" t="s">
        <v>82</v>
      </c>
      <c r="I4" s="26" t="s">
        <v>41</v>
      </c>
      <c r="J4" s="26" t="s">
        <v>42</v>
      </c>
      <c r="K4" s="26" t="s">
        <v>43</v>
      </c>
      <c r="L4" s="26" t="s">
        <v>60</v>
      </c>
      <c r="N4" s="26" t="s">
        <v>65</v>
      </c>
      <c r="U4" s="42" t="s">
        <v>73</v>
      </c>
      <c r="V4" s="53" t="s">
        <v>74</v>
      </c>
      <c r="W4" s="53"/>
    </row>
    <row r="5" spans="1:26" x14ac:dyDescent="0.25">
      <c r="A5" s="54" t="s">
        <v>79</v>
      </c>
      <c r="D5" s="26" t="s">
        <v>38</v>
      </c>
      <c r="E5" s="26">
        <v>3</v>
      </c>
      <c r="F5" s="26">
        <v>1</v>
      </c>
      <c r="G5" s="50" cm="1">
        <f t="array" ref="G5">_xlfn.SWITCH(N1,1,SMALL($V$5:$V$30,$F$5),2,SMALL($V$5:$V$30,$F$5),3,SMALL($V$5:$V$45,$F$5),4,SMALL($V$5:$V$59,$F$5),5,SMALL($V$5:$V$70,$F$5),"aucune correspondance")</f>
        <v>0</v>
      </c>
      <c r="H5" s="53" t="e">
        <f>INDEX(A3:A7,MATCH(G5,V3:W69,0))</f>
        <v>#N/A</v>
      </c>
      <c r="I5" s="37">
        <f>G5*$E$10</f>
        <v>0</v>
      </c>
      <c r="J5" s="52">
        <f>(G5-$L$17)/$L$17</f>
        <v>-1</v>
      </c>
      <c r="K5" s="37">
        <f>($L$17-G5)*$E$10</f>
        <v>196562.99304906972</v>
      </c>
      <c r="L5" s="37">
        <f>K5*$E$8/12</f>
        <v>393125.98609813937</v>
      </c>
      <c r="N5" s="36">
        <v>30002521676979</v>
      </c>
      <c r="O5" s="27" t="s">
        <v>64</v>
      </c>
      <c r="P5" s="27" t="s">
        <v>34</v>
      </c>
      <c r="Q5" s="27" t="s">
        <v>35</v>
      </c>
      <c r="R5" s="27" t="s">
        <v>36</v>
      </c>
      <c r="S5" s="27" t="s">
        <v>66</v>
      </c>
      <c r="T5" s="27" t="s">
        <v>70</v>
      </c>
      <c r="U5" s="50">
        <f>(SUMPRODUCT($E$18:$I$18,O6:S6)+SUMPRODUCT($E$18:$I$18,O7:S7))/$K$18</f>
        <v>53.547244094488192</v>
      </c>
      <c r="V5" s="55">
        <f>AVERAGE(U5:U15)</f>
        <v>53.559302038464715</v>
      </c>
      <c r="W5" s="54" t="s">
        <v>77</v>
      </c>
    </row>
    <row r="6" spans="1:26" x14ac:dyDescent="0.25">
      <c r="A6" s="54" t="s">
        <v>80</v>
      </c>
      <c r="B6" t="s">
        <v>50</v>
      </c>
      <c r="D6" s="26" t="s">
        <v>52</v>
      </c>
      <c r="E6" s="26" t="str">
        <f>CONCATENATE(Demande_cotation!C5," ",
Demande_cotation!C5," ",Demande_cotation!C53)</f>
        <v>5530Z 5530Z 5530Z</v>
      </c>
      <c r="F6" s="26">
        <v>2</v>
      </c>
      <c r="G6" s="50" cm="1">
        <f t="array" ref="G6">_xlfn.SWITCH(N1,1,SMALL($V$5:$V$30,$F$6),2,SMALL($V$5:$V$30,$F$6),3,SMALL($V$5:$V$45,$F$6),4,SMALL($V$5:$V$59,$F$6),5,SMALL($V$5:$V$70,$F$6),"aucune correspondance")</f>
        <v>2.6666666666666665</v>
      </c>
      <c r="H6" s="53" t="e">
        <f>INDEX(A4:A8,MATCH(G6,V5:V70,0))</f>
        <v>#REF!</v>
      </c>
      <c r="I6" s="37">
        <f>G6*$E$10</f>
        <v>9190.989333333333</v>
      </c>
      <c r="J6" s="52">
        <f>(G6-$L$17)/$L$17</f>
        <v>-0.95324150700615906</v>
      </c>
      <c r="K6" s="37">
        <f>($L$17-G6)*$E$10</f>
        <v>187372.00371573638</v>
      </c>
      <c r="L6" s="37">
        <f t="shared" ref="L6:L10" si="0">K6*$E$8/12</f>
        <v>374744.00743147283</v>
      </c>
      <c r="N6" s="26" t="s">
        <v>44</v>
      </c>
      <c r="O6" s="43">
        <v>40</v>
      </c>
      <c r="P6" s="43">
        <v>45</v>
      </c>
      <c r="Q6" s="43">
        <v>55</v>
      </c>
      <c r="R6" s="43">
        <v>55</v>
      </c>
      <c r="S6" s="43">
        <v>56</v>
      </c>
      <c r="V6" s="53"/>
      <c r="W6" s="53"/>
    </row>
    <row r="7" spans="1:26" ht="30.75" customHeight="1" x14ac:dyDescent="0.25">
      <c r="A7" s="54" t="s">
        <v>81</v>
      </c>
      <c r="D7" s="26" t="s">
        <v>51</v>
      </c>
      <c r="E7" s="35">
        <f>Demande_cotation!C47</f>
        <v>43903</v>
      </c>
      <c r="F7" s="26">
        <v>3</v>
      </c>
      <c r="G7" s="50" cm="1">
        <f t="array" ref="G7">_xlfn.SWITCH(N1,1,SMALL($V$5:$V$30,$F$7),2,SMALL($V$5:$V$30,$F$7),3,SMALL($V$5:$V$45,$F$7),4,SMALL($V$5:$V$59,$F$7),5,SMALL($V$5:$V$70,$F$7),"aucune correspondance")</f>
        <v>53.559302038464715</v>
      </c>
      <c r="H7" s="53" t="e">
        <f>INDEX(A5:A9,MATCH(G7,V6:V71,0))</f>
        <v>#N/A</v>
      </c>
      <c r="I7" s="37">
        <f>G7*$E$10</f>
        <v>184598.61515111529</v>
      </c>
      <c r="J7" s="52">
        <f>(G7-$L$17)/$L$17</f>
        <v>-6.0867906579788592E-2</v>
      </c>
      <c r="K7" s="37">
        <f>($L$17-G7)*$E$10</f>
        <v>11964.377897954409</v>
      </c>
      <c r="L7" s="37">
        <f t="shared" si="0"/>
        <v>23928.755795908819</v>
      </c>
      <c r="N7" s="26" t="s">
        <v>45</v>
      </c>
      <c r="O7" s="43">
        <v>1.5</v>
      </c>
      <c r="P7" s="43">
        <v>1.5</v>
      </c>
      <c r="Q7" s="43">
        <v>1.5</v>
      </c>
      <c r="R7" s="43">
        <v>1.5</v>
      </c>
      <c r="S7" s="43">
        <v>1.5</v>
      </c>
      <c r="T7" s="27"/>
      <c r="V7" s="55"/>
      <c r="W7" s="53"/>
    </row>
    <row r="8" spans="1:26" x14ac:dyDescent="0.25">
      <c r="D8" s="26" t="s">
        <v>28</v>
      </c>
      <c r="E8" s="26">
        <f>Demande_cotation!C21</f>
        <v>24</v>
      </c>
      <c r="F8" s="26">
        <v>4</v>
      </c>
      <c r="G8" s="50" cm="1">
        <f t="array" ref="G8">_xlfn.SWITCH(N1,1,SMALL($V$5:$V$30,$F$8),2,SMALL($V$5:$V$30,$F$8),3,SMALL($V$5:$V$45,$F$8),4,SMALL($V$5:$V$59,$F$8),5,SMALL($V$5:$V$70,$F$8),"aucune correspondance")</f>
        <v>54.808940803131314</v>
      </c>
      <c r="H8" s="53" t="e">
        <f>INDEX(A6:A10,MATCH(G8,V7:V72,0))</f>
        <v>#REF!</v>
      </c>
      <c r="I8" s="37">
        <f>G8*$E$10</f>
        <v>188905.64635982926</v>
      </c>
      <c r="J8" s="52">
        <f>(G8-$L$17)/$L$17</f>
        <v>-3.8956197046352878E-2</v>
      </c>
      <c r="K8" s="37">
        <f>($L$17-G8)*$E$10</f>
        <v>7657.3466892404504</v>
      </c>
      <c r="L8" s="37">
        <f t="shared" si="0"/>
        <v>15314.693378480901</v>
      </c>
      <c r="N8" s="26"/>
      <c r="V8" s="53"/>
      <c r="W8" s="53"/>
    </row>
    <row r="9" spans="1:26" x14ac:dyDescent="0.25">
      <c r="D9" s="26" t="s">
        <v>75</v>
      </c>
      <c r="E9" s="26">
        <f>AVERAGE(Demande_cotation!C24,Demande_cotation!C48,Demande_cotation!C72)</f>
        <v>1.6000000000000003</v>
      </c>
      <c r="F9" s="26">
        <v>5</v>
      </c>
      <c r="G9" s="50" cm="1">
        <f t="array" ref="G9">_xlfn.SWITCH(N1,1,SMALL($V$5:$V$30,$F$9),2,SMALL($V$5:$V$30,$F$9),3,SMALL($V$5:$V$45,$F$9),4,SMALL($V$5:$V$59,$F$9),5,SMALL($V$5:$V$70,$F$9),"aucune correspondance")</f>
        <v>58.666666666666664</v>
      </c>
      <c r="H9" s="53" t="e">
        <f>INDEX(A7:A11,MATCH(G9,V8:V73,0))</f>
        <v>#REF!</v>
      </c>
      <c r="I9" s="37">
        <f>G9*$E$10</f>
        <v>202201.76533333334</v>
      </c>
      <c r="J9" s="52">
        <f>(G9-$L$17)/$L$17</f>
        <v>2.868684586450089E-2</v>
      </c>
      <c r="K9" s="37">
        <f>($L$17-G9)*$E$10</f>
        <v>-5638.7722842636222</v>
      </c>
      <c r="L9" s="37">
        <f t="shared" si="0"/>
        <v>-11277.544568527244</v>
      </c>
      <c r="N9" s="36">
        <v>30002520426670</v>
      </c>
      <c r="O9" s="27" t="s">
        <v>64</v>
      </c>
      <c r="P9" s="27" t="s">
        <v>34</v>
      </c>
      <c r="Q9" s="27" t="s">
        <v>35</v>
      </c>
      <c r="R9" s="27" t="s">
        <v>36</v>
      </c>
      <c r="S9" s="27" t="s">
        <v>66</v>
      </c>
      <c r="T9" s="27" t="s">
        <v>70</v>
      </c>
      <c r="U9" s="50">
        <f>(SUMPRODUCT($E$23:$I$23,O10:S10)+SUMPRODUCT($E$23:$I$23,O11:S11))/$K$23</f>
        <v>53.267857142857146</v>
      </c>
      <c r="V9" s="55"/>
      <c r="W9" s="53"/>
    </row>
    <row r="10" spans="1:26" x14ac:dyDescent="0.25">
      <c r="B10" t="s">
        <v>49</v>
      </c>
      <c r="D10" s="26" t="s">
        <v>58</v>
      </c>
      <c r="E10" s="36">
        <f>Demande_cotation!C16+Demande_cotation!C40+Demande_cotation!C64</f>
        <v>3446.6210000000001</v>
      </c>
      <c r="G10" s="26"/>
      <c r="H10" s="53"/>
      <c r="J10" s="26" t="s">
        <v>59</v>
      </c>
      <c r="K10" s="37">
        <f>E9*E10</f>
        <v>5514.5936000000011</v>
      </c>
      <c r="L10" s="37"/>
      <c r="N10" s="26" t="s">
        <v>44</v>
      </c>
      <c r="O10" s="43">
        <v>40</v>
      </c>
      <c r="P10" s="43">
        <v>45</v>
      </c>
      <c r="Q10" s="43">
        <v>55</v>
      </c>
      <c r="R10" s="43">
        <v>55</v>
      </c>
      <c r="S10" s="43">
        <v>56</v>
      </c>
      <c r="T10" s="27"/>
      <c r="V10" s="53"/>
      <c r="W10" s="53"/>
    </row>
    <row r="11" spans="1:26" x14ac:dyDescent="0.25">
      <c r="D11" s="26" t="s">
        <v>63</v>
      </c>
      <c r="E11" s="26" t="str">
        <f>_xlfn.CONCAT(Demande_cotation!C18," ",Demande_cotation!C42," ",Demande_cotation!C66)</f>
        <v>CU CU CU</v>
      </c>
      <c r="G11" s="26"/>
      <c r="H11" s="53"/>
      <c r="J11" s="26" t="s">
        <v>53</v>
      </c>
      <c r="K11" s="37">
        <f>E9*E10*E8/12</f>
        <v>11029.187200000002</v>
      </c>
      <c r="N11" s="26" t="s">
        <v>45</v>
      </c>
      <c r="O11" s="43">
        <v>1.5</v>
      </c>
      <c r="P11" s="43">
        <v>1.5</v>
      </c>
      <c r="Q11" s="43">
        <v>1.5</v>
      </c>
      <c r="R11" s="43">
        <v>1.5</v>
      </c>
      <c r="S11" s="43">
        <v>1.5</v>
      </c>
      <c r="T11" s="27"/>
      <c r="V11" s="53"/>
      <c r="W11" s="53"/>
    </row>
    <row r="12" spans="1:26" x14ac:dyDescent="0.25">
      <c r="D12" s="26"/>
      <c r="E12" s="26"/>
      <c r="F12" s="26"/>
      <c r="G12" s="26"/>
      <c r="H12" s="26"/>
      <c r="I12" s="26"/>
      <c r="J12" s="26"/>
      <c r="K12" s="26"/>
      <c r="L12" s="26"/>
      <c r="N12" s="26"/>
      <c r="V12" s="53"/>
      <c r="W12" s="53"/>
    </row>
    <row r="13" spans="1:26" x14ac:dyDescent="0.25">
      <c r="D13" s="26"/>
      <c r="E13" s="26"/>
      <c r="F13" s="26"/>
      <c r="G13" s="26"/>
      <c r="H13" s="26"/>
      <c r="I13" s="26"/>
      <c r="J13" s="26"/>
      <c r="K13" s="26"/>
      <c r="L13" s="26"/>
      <c r="N13" s="36">
        <v>30002520426670</v>
      </c>
      <c r="O13" s="27" t="s">
        <v>64</v>
      </c>
      <c r="P13" s="27" t="s">
        <v>34</v>
      </c>
      <c r="Q13" s="27" t="s">
        <v>35</v>
      </c>
      <c r="R13" s="27" t="s">
        <v>36</v>
      </c>
      <c r="S13" s="27" t="s">
        <v>66</v>
      </c>
      <c r="T13" s="27" t="s">
        <v>70</v>
      </c>
      <c r="U13" s="50">
        <f>(SUMPRODUCT($E$28:$I$28,O14:S14)+SUMPRODUCT($E$28:$I$28,O15:S15))/$K$28</f>
        <v>53.862804878048777</v>
      </c>
      <c r="V13" s="53"/>
      <c r="W13" s="53"/>
    </row>
    <row r="14" spans="1:26" x14ac:dyDescent="0.25">
      <c r="D14" s="26"/>
      <c r="E14" s="26"/>
      <c r="F14" s="26"/>
      <c r="G14" s="26"/>
      <c r="H14" s="26"/>
      <c r="I14" s="26"/>
      <c r="J14" s="26"/>
      <c r="K14" s="26"/>
      <c r="L14" s="26"/>
      <c r="N14" s="26" t="s">
        <v>44</v>
      </c>
      <c r="O14" s="43">
        <v>40</v>
      </c>
      <c r="P14" s="43">
        <v>45</v>
      </c>
      <c r="Q14" s="43">
        <v>55</v>
      </c>
      <c r="R14" s="43">
        <v>55</v>
      </c>
      <c r="S14" s="43">
        <v>56</v>
      </c>
      <c r="T14" s="27"/>
      <c r="V14" s="53"/>
      <c r="W14" s="53"/>
    </row>
    <row r="15" spans="1:26" x14ac:dyDescent="0.25">
      <c r="D15" s="48" t="s">
        <v>56</v>
      </c>
      <c r="E15" s="48"/>
      <c r="F15" s="48"/>
      <c r="G15" s="48"/>
      <c r="H15" s="48"/>
      <c r="I15" s="48"/>
      <c r="J15" s="26"/>
      <c r="K15" s="26"/>
      <c r="L15" s="26"/>
      <c r="N15" s="26" t="s">
        <v>45</v>
      </c>
      <c r="O15" s="43">
        <v>1.5</v>
      </c>
      <c r="P15" s="43">
        <v>1.5</v>
      </c>
      <c r="Q15" s="43">
        <v>1.5</v>
      </c>
      <c r="R15" s="43">
        <v>1.5</v>
      </c>
      <c r="S15" s="43">
        <v>1.5</v>
      </c>
      <c r="T15" s="27"/>
      <c r="V15" s="53"/>
      <c r="W15" s="53"/>
    </row>
    <row r="16" spans="1:26" x14ac:dyDescent="0.25">
      <c r="D16" s="29" t="s">
        <v>55</v>
      </c>
      <c r="J16" s="42"/>
      <c r="K16" s="42" t="s">
        <v>73</v>
      </c>
      <c r="L16" s="42" t="s">
        <v>74</v>
      </c>
      <c r="N16" s="26"/>
      <c r="V16" s="53"/>
      <c r="W16" s="53"/>
    </row>
    <row r="17" spans="3:23" x14ac:dyDescent="0.25">
      <c r="C17" s="26" t="s">
        <v>19</v>
      </c>
      <c r="D17" s="36">
        <v>30002521676979</v>
      </c>
      <c r="E17" s="26" t="s">
        <v>64</v>
      </c>
      <c r="F17" s="26" t="s">
        <v>34</v>
      </c>
      <c r="G17" s="26" t="s">
        <v>35</v>
      </c>
      <c r="H17" s="26" t="s">
        <v>36</v>
      </c>
      <c r="I17" s="26" t="s">
        <v>66</v>
      </c>
      <c r="J17" s="26" t="s">
        <v>70</v>
      </c>
      <c r="K17" s="50">
        <f>(SUMPRODUCT($E$18:$I$18,$E$19:$I$19)+SUMPRODUCT($E$20:$I$20,$E$18:$I$18))/SUM($E$18:$I$18)</f>
        <v>56.303149606299215</v>
      </c>
      <c r="L17" s="50">
        <f>AVERAGE(K17,K22,K27)</f>
        <v>57.030637557500434</v>
      </c>
      <c r="N17" s="26"/>
      <c r="V17" s="54"/>
      <c r="W17" s="53"/>
    </row>
    <row r="18" spans="3:23" x14ac:dyDescent="0.25">
      <c r="C18" s="25"/>
      <c r="D18" s="26" t="s">
        <v>67</v>
      </c>
      <c r="E18" s="28">
        <v>35</v>
      </c>
      <c r="F18" s="28">
        <v>150</v>
      </c>
      <c r="G18" s="28">
        <v>100</v>
      </c>
      <c r="H18" s="28">
        <v>200</v>
      </c>
      <c r="I18" s="28">
        <v>150</v>
      </c>
      <c r="J18" s="27" t="s">
        <v>72</v>
      </c>
      <c r="K18" s="36">
        <f>SUM($E$18:$I$18)</f>
        <v>635</v>
      </c>
      <c r="L18" s="26"/>
      <c r="N18" s="42" t="s">
        <v>65</v>
      </c>
      <c r="U18" s="42" t="s">
        <v>73</v>
      </c>
      <c r="V18" s="53" t="s">
        <v>74</v>
      </c>
      <c r="W18" s="53"/>
    </row>
    <row r="19" spans="3:23" x14ac:dyDescent="0.25">
      <c r="C19" s="25"/>
      <c r="D19" s="26" t="s">
        <v>68</v>
      </c>
      <c r="E19" s="28">
        <v>55.2</v>
      </c>
      <c r="F19" s="28">
        <v>53.12</v>
      </c>
      <c r="G19" s="28">
        <v>55</v>
      </c>
      <c r="H19" s="28">
        <v>55</v>
      </c>
      <c r="I19" s="28">
        <v>56</v>
      </c>
      <c r="J19" s="27" t="s">
        <v>71</v>
      </c>
      <c r="K19" s="37">
        <f>$K$17*$K$18</f>
        <v>35752.5</v>
      </c>
      <c r="L19" s="26"/>
      <c r="N19" s="36">
        <v>30002521676979</v>
      </c>
      <c r="O19" s="42" t="s">
        <v>64</v>
      </c>
      <c r="P19" s="42" t="s">
        <v>34</v>
      </c>
      <c r="Q19" s="42" t="s">
        <v>35</v>
      </c>
      <c r="R19" s="42" t="s">
        <v>36</v>
      </c>
      <c r="S19" s="42" t="s">
        <v>66</v>
      </c>
      <c r="T19" s="42" t="s">
        <v>70</v>
      </c>
      <c r="U19" s="50">
        <f>(SUMPRODUCT($E$18:$I$18,O20:S20)+SUMPRODUCT($E$18:$I$18,O21:S21))/$K$18</f>
        <v>54.098425196850393</v>
      </c>
      <c r="V19" s="55">
        <f>AVERAGE(U19:U29)</f>
        <v>54.808940803131314</v>
      </c>
      <c r="W19" s="54" t="s">
        <v>78</v>
      </c>
    </row>
    <row r="20" spans="3:23" x14ac:dyDescent="0.25">
      <c r="C20" s="25"/>
      <c r="D20" s="26" t="s">
        <v>69</v>
      </c>
      <c r="E20" s="28">
        <v>1.5</v>
      </c>
      <c r="F20" s="28">
        <v>1.5</v>
      </c>
      <c r="G20" s="28">
        <v>1.5</v>
      </c>
      <c r="H20" s="28">
        <v>1.5</v>
      </c>
      <c r="I20" s="28">
        <v>1.5</v>
      </c>
      <c r="N20" s="42" t="s">
        <v>44</v>
      </c>
      <c r="O20" s="43">
        <v>50</v>
      </c>
      <c r="P20" s="43">
        <v>45</v>
      </c>
      <c r="Q20" s="43">
        <v>55</v>
      </c>
      <c r="R20" s="43">
        <v>55</v>
      </c>
      <c r="S20" s="43">
        <v>56</v>
      </c>
      <c r="V20" s="53"/>
      <c r="W20" s="53"/>
    </row>
    <row r="21" spans="3:23" x14ac:dyDescent="0.25">
      <c r="C21" s="25"/>
      <c r="N21" s="42" t="s">
        <v>45</v>
      </c>
      <c r="O21" s="43">
        <v>1.5</v>
      </c>
      <c r="P21" s="43">
        <v>1.5</v>
      </c>
      <c r="Q21" s="43">
        <v>1.5</v>
      </c>
      <c r="R21" s="43">
        <v>1.5</v>
      </c>
      <c r="S21" s="43">
        <v>1.5</v>
      </c>
      <c r="T21" s="42"/>
      <c r="V21" s="55"/>
      <c r="W21" s="53"/>
    </row>
    <row r="22" spans="3:23" x14ac:dyDescent="0.25">
      <c r="C22" s="41" t="s">
        <v>19</v>
      </c>
      <c r="D22" s="44">
        <v>30002520426670</v>
      </c>
      <c r="E22" s="41" t="s">
        <v>64</v>
      </c>
      <c r="F22" s="41" t="s">
        <v>34</v>
      </c>
      <c r="G22" s="41" t="s">
        <v>35</v>
      </c>
      <c r="H22" s="41" t="s">
        <v>36</v>
      </c>
      <c r="I22" s="41" t="s">
        <v>66</v>
      </c>
      <c r="J22" s="42" t="s">
        <v>70</v>
      </c>
      <c r="K22" s="50">
        <f>(SUMPRODUCT($E$23:$I$23,$E$24:$I$24)+SUMPRODUCT($E$25:$I$25,$E$23:$I$23))/SUM($E$23:$I$23)</f>
        <v>57.910714285714285</v>
      </c>
      <c r="L22" s="26"/>
      <c r="N22" s="42"/>
      <c r="V22" s="53"/>
      <c r="W22" s="53"/>
    </row>
    <row r="23" spans="3:23" x14ac:dyDescent="0.25">
      <c r="C23" s="39"/>
      <c r="D23" s="41" t="s">
        <v>67</v>
      </c>
      <c r="E23" s="41">
        <v>50</v>
      </c>
      <c r="F23" s="41">
        <v>120</v>
      </c>
      <c r="G23" s="41">
        <v>150</v>
      </c>
      <c r="H23" s="41">
        <v>100</v>
      </c>
      <c r="I23" s="41">
        <v>140</v>
      </c>
      <c r="J23" s="42" t="s">
        <v>72</v>
      </c>
      <c r="K23" s="36">
        <f>SUM($E$23:$I$23)</f>
        <v>560</v>
      </c>
      <c r="L23" s="26"/>
      <c r="N23" s="36">
        <v>30002520426670</v>
      </c>
      <c r="O23" s="42" t="s">
        <v>64</v>
      </c>
      <c r="P23" s="42" t="s">
        <v>34</v>
      </c>
      <c r="Q23" s="42" t="s">
        <v>35</v>
      </c>
      <c r="R23" s="42" t="s">
        <v>36</v>
      </c>
      <c r="S23" s="42" t="s">
        <v>66</v>
      </c>
      <c r="T23" s="42" t="s">
        <v>70</v>
      </c>
      <c r="U23" s="50">
        <f>(SUMPRODUCT($E$23:$I$23,O24:S24)+SUMPRODUCT($E$23:$I$23,O25:S25))/$K$23</f>
        <v>55.660714285714285</v>
      </c>
      <c r="V23" s="55"/>
      <c r="W23" s="53"/>
    </row>
    <row r="24" spans="3:23" x14ac:dyDescent="0.25">
      <c r="C24" s="39"/>
      <c r="D24" s="41" t="s">
        <v>68</v>
      </c>
      <c r="E24" s="41">
        <v>55</v>
      </c>
      <c r="F24" s="41">
        <v>56</v>
      </c>
      <c r="G24" s="41">
        <v>56</v>
      </c>
      <c r="H24" s="41">
        <v>56</v>
      </c>
      <c r="I24" s="41">
        <v>56</v>
      </c>
      <c r="J24" s="42" t="s">
        <v>71</v>
      </c>
      <c r="K24" s="37">
        <f>$K$22*$K$23</f>
        <v>32430</v>
      </c>
      <c r="L24" s="26"/>
      <c r="N24" s="42" t="s">
        <v>44</v>
      </c>
      <c r="O24" s="43">
        <v>50</v>
      </c>
      <c r="P24" s="43">
        <v>45</v>
      </c>
      <c r="Q24" s="43">
        <v>55</v>
      </c>
      <c r="R24" s="43">
        <v>55</v>
      </c>
      <c r="S24" s="43">
        <v>56</v>
      </c>
      <c r="T24" s="42"/>
      <c r="V24" s="53"/>
      <c r="W24" s="53"/>
    </row>
    <row r="25" spans="3:23" x14ac:dyDescent="0.25">
      <c r="C25" s="39"/>
      <c r="D25" s="41" t="s">
        <v>69</v>
      </c>
      <c r="E25" s="29">
        <v>2</v>
      </c>
      <c r="F25" s="29">
        <v>2</v>
      </c>
      <c r="G25" s="29">
        <v>2</v>
      </c>
      <c r="H25" s="29">
        <v>2</v>
      </c>
      <c r="I25" s="29">
        <v>2</v>
      </c>
      <c r="N25" s="42" t="s">
        <v>45</v>
      </c>
      <c r="O25" s="43">
        <v>3</v>
      </c>
      <c r="P25" s="43">
        <v>3</v>
      </c>
      <c r="Q25" s="43">
        <v>3</v>
      </c>
      <c r="R25" s="43">
        <v>3</v>
      </c>
      <c r="S25" s="43">
        <v>3</v>
      </c>
      <c r="T25" s="42"/>
      <c r="V25" s="53"/>
      <c r="W25" s="53"/>
    </row>
    <row r="26" spans="3:23" x14ac:dyDescent="0.25">
      <c r="C26" s="39"/>
      <c r="D26" s="40"/>
      <c r="E26" s="40"/>
      <c r="F26" s="40"/>
      <c r="G26" s="40"/>
      <c r="H26" s="40"/>
      <c r="I26" s="40"/>
      <c r="J26" s="40"/>
      <c r="N26" s="42"/>
      <c r="V26" s="53"/>
      <c r="W26" s="53"/>
    </row>
    <row r="27" spans="3:23" x14ac:dyDescent="0.25">
      <c r="C27" s="41" t="s">
        <v>19</v>
      </c>
      <c r="D27" s="45">
        <v>30002520426670</v>
      </c>
      <c r="E27" s="41" t="s">
        <v>64</v>
      </c>
      <c r="F27" s="41" t="s">
        <v>34</v>
      </c>
      <c r="G27" s="41" t="s">
        <v>35</v>
      </c>
      <c r="H27" s="41" t="s">
        <v>36</v>
      </c>
      <c r="I27" s="41" t="s">
        <v>66</v>
      </c>
      <c r="J27" s="42" t="s">
        <v>70</v>
      </c>
      <c r="K27" s="50">
        <f>(SUMPRODUCT($E$28:$I$28,$E$29:$I$29)+SUMPRODUCT($E$30:$I$30,$E$28:$I$28))/SUM($E$28:$I$28)</f>
        <v>56.878048780487802</v>
      </c>
      <c r="L27" s="26"/>
      <c r="N27" s="36">
        <v>30002520426670</v>
      </c>
      <c r="O27" s="42" t="s">
        <v>64</v>
      </c>
      <c r="P27" s="42" t="s">
        <v>34</v>
      </c>
      <c r="Q27" s="42" t="s">
        <v>35</v>
      </c>
      <c r="R27" s="42" t="s">
        <v>36</v>
      </c>
      <c r="S27" s="42" t="s">
        <v>66</v>
      </c>
      <c r="T27" s="42" t="s">
        <v>70</v>
      </c>
      <c r="U27" s="50">
        <f>(SUMPRODUCT($E$28:$I$28,O28:S28)+SUMPRODUCT($E$28:$I$28,O29:S29))/$K$28</f>
        <v>54.667682926829265</v>
      </c>
      <c r="V27" s="53"/>
      <c r="W27" s="53"/>
    </row>
    <row r="28" spans="3:23" x14ac:dyDescent="0.25">
      <c r="C28" s="39"/>
      <c r="D28" s="41" t="s">
        <v>67</v>
      </c>
      <c r="E28" s="41">
        <v>200</v>
      </c>
      <c r="F28" s="41">
        <v>1560</v>
      </c>
      <c r="G28" s="41">
        <v>1000</v>
      </c>
      <c r="H28" s="41">
        <v>2500</v>
      </c>
      <c r="I28" s="41">
        <v>1300</v>
      </c>
      <c r="J28" s="42" t="s">
        <v>72</v>
      </c>
      <c r="K28" s="36">
        <f>SUM($E$28:$I$28)</f>
        <v>6560</v>
      </c>
      <c r="L28" s="26"/>
      <c r="N28" s="42" t="s">
        <v>44</v>
      </c>
      <c r="O28" s="43">
        <v>50</v>
      </c>
      <c r="P28" s="43">
        <v>45</v>
      </c>
      <c r="Q28" s="43">
        <v>55</v>
      </c>
      <c r="R28" s="43">
        <v>55</v>
      </c>
      <c r="S28" s="43">
        <v>56</v>
      </c>
      <c r="T28" s="42"/>
      <c r="V28" s="53"/>
      <c r="W28" s="53"/>
    </row>
    <row r="29" spans="3:23" x14ac:dyDescent="0.25">
      <c r="C29" s="39"/>
      <c r="D29" s="41" t="s">
        <v>68</v>
      </c>
      <c r="E29" s="41">
        <v>55</v>
      </c>
      <c r="F29" s="41">
        <v>55</v>
      </c>
      <c r="G29" s="41">
        <v>55</v>
      </c>
      <c r="H29" s="41">
        <v>55</v>
      </c>
      <c r="I29" s="41">
        <v>55</v>
      </c>
      <c r="J29" s="42" t="s">
        <v>71</v>
      </c>
      <c r="K29" s="37">
        <f>$K$27*$K$28</f>
        <v>373120</v>
      </c>
      <c r="L29" s="26"/>
      <c r="N29" s="42" t="s">
        <v>45</v>
      </c>
      <c r="O29" s="43">
        <v>2</v>
      </c>
      <c r="P29" s="43">
        <v>2</v>
      </c>
      <c r="Q29" s="43">
        <v>2</v>
      </c>
      <c r="R29" s="43">
        <v>2</v>
      </c>
      <c r="S29" s="43">
        <v>2</v>
      </c>
      <c r="T29" s="42"/>
      <c r="V29" s="53"/>
      <c r="W29" s="53"/>
    </row>
    <row r="30" spans="3:23" x14ac:dyDescent="0.25">
      <c r="C30" s="39"/>
      <c r="D30" s="41" t="s">
        <v>69</v>
      </c>
      <c r="E30" s="29">
        <v>7</v>
      </c>
      <c r="F30" s="29">
        <v>7</v>
      </c>
      <c r="G30" s="29">
        <v>0</v>
      </c>
      <c r="H30" s="29">
        <v>0</v>
      </c>
      <c r="I30" s="29">
        <v>0</v>
      </c>
      <c r="J30" s="40"/>
      <c r="N30" s="26"/>
      <c r="V30" s="53"/>
      <c r="W30" s="53"/>
    </row>
    <row r="31" spans="3:23" x14ac:dyDescent="0.25">
      <c r="C31" s="40"/>
      <c r="D31" s="40"/>
      <c r="E31" s="40"/>
      <c r="F31" s="40"/>
      <c r="G31" s="40"/>
      <c r="H31" s="40"/>
      <c r="I31" s="40"/>
      <c r="J31" s="40"/>
      <c r="N31" s="26"/>
      <c r="V31" s="54"/>
      <c r="W31" s="53"/>
    </row>
    <row r="32" spans="3:23" x14ac:dyDescent="0.25">
      <c r="C32" s="40"/>
      <c r="D32" s="40"/>
      <c r="E32" s="40"/>
      <c r="F32" s="40"/>
      <c r="G32" s="40"/>
      <c r="H32" s="40"/>
      <c r="I32" s="40"/>
      <c r="J32" s="40"/>
      <c r="N32" s="42"/>
      <c r="U32" s="42" t="s">
        <v>73</v>
      </c>
      <c r="V32" s="53" t="s">
        <v>74</v>
      </c>
      <c r="W32" s="53"/>
    </row>
    <row r="33" spans="3:23" x14ac:dyDescent="0.25">
      <c r="C33" s="40"/>
      <c r="D33" s="40"/>
      <c r="E33" s="40"/>
      <c r="F33" s="40"/>
      <c r="G33" s="40"/>
      <c r="H33" s="40"/>
      <c r="I33" s="40"/>
      <c r="J33" s="40"/>
      <c r="N33" s="36"/>
      <c r="O33" s="42"/>
      <c r="P33" s="42"/>
      <c r="Q33" s="42"/>
      <c r="R33" s="42"/>
      <c r="S33" s="42"/>
      <c r="T33" s="42"/>
      <c r="U33" s="50">
        <v>45</v>
      </c>
      <c r="V33" s="55">
        <f>AVERAGE(U33:U43)</f>
        <v>58.666666666666664</v>
      </c>
      <c r="W33" s="53"/>
    </row>
    <row r="34" spans="3:23" x14ac:dyDescent="0.25">
      <c r="C34" s="40"/>
      <c r="D34" s="40"/>
      <c r="E34" s="40"/>
      <c r="F34" s="40"/>
      <c r="G34" s="40"/>
      <c r="H34" s="40"/>
      <c r="I34" s="40"/>
      <c r="J34" s="40"/>
      <c r="N34" s="42"/>
      <c r="P34" s="42"/>
      <c r="Q34" s="42"/>
      <c r="R34" s="42"/>
      <c r="S34" s="42"/>
      <c r="V34" s="53"/>
      <c r="W34" s="53"/>
    </row>
    <row r="35" spans="3:23" x14ac:dyDescent="0.25">
      <c r="C35" s="40"/>
      <c r="D35" s="40"/>
      <c r="E35" s="40"/>
      <c r="F35" s="40"/>
      <c r="G35" s="40"/>
      <c r="H35" s="40"/>
      <c r="I35" s="40"/>
      <c r="J35" s="40"/>
      <c r="N35" s="42"/>
      <c r="T35" s="42"/>
      <c r="V35" s="55"/>
      <c r="W35" s="53"/>
    </row>
    <row r="36" spans="3:23" x14ac:dyDescent="0.25">
      <c r="C36" s="40"/>
      <c r="D36" s="40"/>
      <c r="E36" s="40"/>
      <c r="F36" s="40"/>
      <c r="G36" s="40"/>
      <c r="H36" s="40"/>
      <c r="I36" s="40"/>
      <c r="J36" s="40"/>
      <c r="N36" s="42"/>
      <c r="V36" s="53"/>
      <c r="W36" s="53"/>
    </row>
    <row r="37" spans="3:23" x14ac:dyDescent="0.25">
      <c r="C37" s="40"/>
      <c r="D37" s="40"/>
      <c r="E37" s="40"/>
      <c r="F37" s="40"/>
      <c r="G37" s="40"/>
      <c r="H37" s="40"/>
      <c r="I37" s="40"/>
      <c r="J37" s="40"/>
      <c r="N37" s="36"/>
      <c r="O37" s="42"/>
      <c r="P37" s="42"/>
      <c r="Q37" s="42"/>
      <c r="R37" s="42"/>
      <c r="S37" s="42"/>
      <c r="T37" s="42"/>
      <c r="U37" s="50">
        <v>100</v>
      </c>
      <c r="V37" s="55"/>
      <c r="W37" s="53"/>
    </row>
    <row r="38" spans="3:23" x14ac:dyDescent="0.25">
      <c r="C38" s="40"/>
      <c r="D38" s="40"/>
      <c r="E38" s="40"/>
      <c r="F38" s="40"/>
      <c r="G38" s="40"/>
      <c r="H38" s="40"/>
      <c r="I38" s="40"/>
      <c r="J38" s="40"/>
      <c r="N38" s="42"/>
      <c r="P38" s="42"/>
      <c r="Q38" s="42"/>
      <c r="R38" s="42"/>
      <c r="S38" s="42"/>
      <c r="T38" s="42"/>
      <c r="V38" s="53"/>
      <c r="W38" s="53"/>
    </row>
    <row r="39" spans="3:23" x14ac:dyDescent="0.25">
      <c r="C39" s="40"/>
      <c r="D39" s="40"/>
      <c r="E39" s="40"/>
      <c r="F39" s="40"/>
      <c r="G39" s="40"/>
      <c r="H39" s="40"/>
      <c r="I39" s="40"/>
      <c r="J39" s="40"/>
      <c r="N39" s="42"/>
      <c r="T39" s="42"/>
      <c r="V39" s="53"/>
      <c r="W39" s="53"/>
    </row>
    <row r="40" spans="3:23" x14ac:dyDescent="0.25">
      <c r="C40" s="40"/>
      <c r="D40" s="40"/>
      <c r="E40" s="40"/>
      <c r="F40" s="40"/>
      <c r="G40" s="40"/>
      <c r="H40" s="40"/>
      <c r="I40" s="40"/>
      <c r="J40" s="40"/>
      <c r="N40" s="42"/>
      <c r="V40" s="53"/>
      <c r="W40" s="53"/>
    </row>
    <row r="41" spans="3:23" x14ac:dyDescent="0.25">
      <c r="N41" s="36"/>
      <c r="O41" s="42"/>
      <c r="P41" s="42"/>
      <c r="Q41" s="42"/>
      <c r="R41" s="42"/>
      <c r="S41" s="42"/>
      <c r="T41" s="42"/>
      <c r="U41" s="50">
        <v>31</v>
      </c>
      <c r="V41" s="53"/>
      <c r="W41" s="53"/>
    </row>
    <row r="42" spans="3:23" x14ac:dyDescent="0.25">
      <c r="N42" s="42"/>
      <c r="P42" s="42"/>
      <c r="Q42" s="42"/>
      <c r="R42" s="42"/>
      <c r="S42" s="42"/>
      <c r="T42" s="42"/>
      <c r="V42" s="53"/>
      <c r="W42" s="53"/>
    </row>
    <row r="43" spans="3:23" x14ac:dyDescent="0.25">
      <c r="N43" s="42"/>
      <c r="T43" s="42"/>
      <c r="V43" s="53"/>
      <c r="W43" s="53"/>
    </row>
    <row r="44" spans="3:23" x14ac:dyDescent="0.25">
      <c r="N44" s="26"/>
      <c r="V44" s="53"/>
      <c r="W44" s="53"/>
    </row>
    <row r="45" spans="3:23" x14ac:dyDescent="0.25">
      <c r="N45" s="26"/>
      <c r="V45" s="54"/>
      <c r="W45" s="53"/>
    </row>
    <row r="46" spans="3:23" x14ac:dyDescent="0.25">
      <c r="N46" s="42"/>
      <c r="U46" s="42" t="s">
        <v>73</v>
      </c>
      <c r="V46" s="53" t="s">
        <v>74</v>
      </c>
      <c r="W46" s="53"/>
    </row>
    <row r="47" spans="3:23" x14ac:dyDescent="0.25">
      <c r="N47" s="36"/>
      <c r="O47" s="42"/>
      <c r="P47" s="42"/>
      <c r="Q47" s="42"/>
      <c r="R47" s="42"/>
      <c r="S47" s="42"/>
      <c r="T47" s="42"/>
      <c r="U47" s="50">
        <f>(SUMPRODUCT($E$18:$I$18,O48:S48)+SUMPRODUCT($E$18:$I$18,O49:S49))/$K$18</f>
        <v>0</v>
      </c>
      <c r="V47" s="55">
        <f>AVERAGE(U47:U57)</f>
        <v>2.6666666666666665</v>
      </c>
      <c r="W47" s="54" t="s">
        <v>79</v>
      </c>
    </row>
    <row r="48" spans="3:23" x14ac:dyDescent="0.25">
      <c r="N48" s="42"/>
      <c r="P48" s="42"/>
      <c r="Q48" s="42"/>
      <c r="R48" s="42"/>
      <c r="S48" s="42"/>
      <c r="V48" s="53"/>
      <c r="W48" s="53"/>
    </row>
    <row r="49" spans="14:23" x14ac:dyDescent="0.25">
      <c r="N49" s="42"/>
      <c r="T49" s="42"/>
      <c r="V49" s="55"/>
      <c r="W49" s="53"/>
    </row>
    <row r="50" spans="14:23" x14ac:dyDescent="0.25">
      <c r="N50" s="42"/>
      <c r="V50" s="53"/>
      <c r="W50" s="53"/>
    </row>
    <row r="51" spans="14:23" x14ac:dyDescent="0.25">
      <c r="N51" s="36"/>
      <c r="O51" s="42"/>
      <c r="P51" s="42"/>
      <c r="Q51" s="42"/>
      <c r="R51" s="42"/>
      <c r="S51" s="42"/>
      <c r="T51" s="42"/>
      <c r="U51" s="50">
        <v>5</v>
      </c>
      <c r="V51" s="55"/>
      <c r="W51" s="53"/>
    </row>
    <row r="52" spans="14:23" x14ac:dyDescent="0.25">
      <c r="N52" s="42"/>
      <c r="P52" s="42"/>
      <c r="Q52" s="42"/>
      <c r="R52" s="42"/>
      <c r="S52" s="42"/>
      <c r="T52" s="42"/>
      <c r="V52" s="53"/>
      <c r="W52" s="53"/>
    </row>
    <row r="53" spans="14:23" x14ac:dyDescent="0.25">
      <c r="N53" s="42"/>
      <c r="T53" s="42"/>
      <c r="V53" s="53"/>
      <c r="W53" s="53"/>
    </row>
    <row r="54" spans="14:23" x14ac:dyDescent="0.25">
      <c r="N54" s="42"/>
      <c r="V54" s="53"/>
      <c r="W54" s="53"/>
    </row>
    <row r="55" spans="14:23" x14ac:dyDescent="0.25">
      <c r="N55" s="36"/>
      <c r="O55" s="42"/>
      <c r="P55" s="42"/>
      <c r="Q55" s="42"/>
      <c r="R55" s="42"/>
      <c r="S55" s="42"/>
      <c r="T55" s="42"/>
      <c r="U55" s="50">
        <v>3</v>
      </c>
      <c r="V55" s="53"/>
      <c r="W55" s="53"/>
    </row>
    <row r="56" spans="14:23" x14ac:dyDescent="0.25">
      <c r="N56" s="42"/>
      <c r="P56" s="42"/>
      <c r="Q56" s="42"/>
      <c r="R56" s="42"/>
      <c r="S56" s="42"/>
      <c r="T56" s="42"/>
      <c r="V56" s="53"/>
      <c r="W56" s="53"/>
    </row>
    <row r="57" spans="14:23" x14ac:dyDescent="0.25">
      <c r="N57" s="42"/>
      <c r="T57" s="42"/>
      <c r="V57" s="53"/>
      <c r="W57" s="53"/>
    </row>
    <row r="58" spans="14:23" x14ac:dyDescent="0.25">
      <c r="N58" s="26"/>
      <c r="P58" s="26"/>
      <c r="Q58" s="26"/>
      <c r="R58" s="26"/>
      <c r="S58" s="26"/>
      <c r="V58" s="53"/>
      <c r="W58" s="53"/>
    </row>
    <row r="59" spans="14:23" x14ac:dyDescent="0.25">
      <c r="N59" s="26"/>
      <c r="V59" s="53"/>
      <c r="W59" s="53"/>
    </row>
    <row r="60" spans="14:23" x14ac:dyDescent="0.25">
      <c r="N60" s="42"/>
      <c r="U60" s="42" t="s">
        <v>73</v>
      </c>
      <c r="V60" s="53" t="s">
        <v>74</v>
      </c>
      <c r="W60" s="53"/>
    </row>
    <row r="61" spans="14:23" x14ac:dyDescent="0.25">
      <c r="N61" s="36"/>
      <c r="O61" s="42"/>
      <c r="P61" s="42"/>
      <c r="Q61" s="42"/>
      <c r="R61" s="42"/>
      <c r="S61" s="42"/>
      <c r="T61" s="42"/>
      <c r="U61" s="50">
        <f>(SUMPRODUCT($E$18:$I$18,O62:S62)+SUMPRODUCT($E$18:$I$18,O63:S63))/$K$18</f>
        <v>0</v>
      </c>
      <c r="V61" s="55">
        <f>AVERAGE(U61:U71)</f>
        <v>0</v>
      </c>
      <c r="W61" s="54" t="s">
        <v>81</v>
      </c>
    </row>
    <row r="62" spans="14:23" x14ac:dyDescent="0.25">
      <c r="N62" s="42"/>
      <c r="P62" s="42"/>
      <c r="Q62" s="42"/>
      <c r="R62" s="42"/>
      <c r="S62" s="42"/>
      <c r="V62" s="53"/>
      <c r="W62" s="53"/>
    </row>
    <row r="63" spans="14:23" x14ac:dyDescent="0.25">
      <c r="N63" s="42"/>
      <c r="T63" s="42"/>
      <c r="V63" s="55"/>
      <c r="W63" s="53"/>
    </row>
    <row r="64" spans="14:23" x14ac:dyDescent="0.25">
      <c r="N64" s="42"/>
      <c r="V64" s="53"/>
      <c r="W64" s="53"/>
    </row>
    <row r="65" spans="14:23" x14ac:dyDescent="0.25">
      <c r="N65" s="36"/>
      <c r="O65" s="42"/>
      <c r="P65" s="42"/>
      <c r="Q65" s="42"/>
      <c r="R65" s="42"/>
      <c r="S65" s="42"/>
      <c r="T65" s="42"/>
      <c r="U65" s="50">
        <f>(SUMPRODUCT($E$23:$I$23,O66:S66)+SUMPRODUCT($E$23:$I$23,O67:S67))/$K$23</f>
        <v>0</v>
      </c>
      <c r="V65" s="55"/>
      <c r="W65" s="53"/>
    </row>
    <row r="66" spans="14:23" x14ac:dyDescent="0.25">
      <c r="N66" s="42"/>
      <c r="P66" s="42"/>
      <c r="Q66" s="42"/>
      <c r="R66" s="42"/>
      <c r="S66" s="42"/>
      <c r="T66" s="42"/>
      <c r="V66" s="53"/>
      <c r="W66" s="53"/>
    </row>
    <row r="67" spans="14:23" x14ac:dyDescent="0.25">
      <c r="N67" s="42"/>
      <c r="T67" s="42"/>
      <c r="V67" s="53"/>
      <c r="W67" s="53"/>
    </row>
    <row r="68" spans="14:23" x14ac:dyDescent="0.25">
      <c r="N68" s="42"/>
      <c r="V68" s="53"/>
      <c r="W68" s="53"/>
    </row>
    <row r="69" spans="14:23" x14ac:dyDescent="0.25">
      <c r="N69" s="36"/>
      <c r="O69" s="42"/>
      <c r="P69" s="42"/>
      <c r="Q69" s="42"/>
      <c r="R69" s="42"/>
      <c r="S69" s="42"/>
      <c r="T69" s="42"/>
      <c r="U69" s="50">
        <f>(SUMPRODUCT($E$28:$I$28,O70:S70)+SUMPRODUCT($E$28:$I$28,O71:S71))/$K$28</f>
        <v>0</v>
      </c>
      <c r="V69" s="53"/>
      <c r="W69" s="53"/>
    </row>
    <row r="70" spans="14:23" x14ac:dyDescent="0.25">
      <c r="N70" s="42"/>
      <c r="P70" s="42"/>
      <c r="Q70" s="42"/>
      <c r="R70" s="42"/>
      <c r="S70" s="42"/>
      <c r="T70" s="42"/>
    </row>
    <row r="71" spans="14:23" x14ac:dyDescent="0.25">
      <c r="N71" s="42"/>
      <c r="T71" s="42"/>
    </row>
    <row r="72" spans="14:23" x14ac:dyDescent="0.25">
      <c r="N72" s="26"/>
      <c r="O72" s="26"/>
      <c r="P72" s="26"/>
      <c r="Q72" s="26"/>
      <c r="R72" s="26"/>
      <c r="S72" s="26"/>
    </row>
    <row r="73" spans="14:23" x14ac:dyDescent="0.25">
      <c r="N73" s="26"/>
      <c r="P73" s="26"/>
      <c r="Q73" s="26"/>
      <c r="R73" s="26"/>
      <c r="S73" s="26"/>
    </row>
    <row r="74" spans="14:23" x14ac:dyDescent="0.25">
      <c r="N74" s="26"/>
    </row>
  </sheetData>
  <mergeCells count="4">
    <mergeCell ref="D15:I15"/>
    <mergeCell ref="F2:L2"/>
    <mergeCell ref="N2:S2"/>
    <mergeCell ref="N3:T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75C9D-0095-4F1D-AF3A-FA1BC0DAE5CF}">
  <sheetPr codeName="Feuil3"/>
  <dimension ref="A1"/>
  <sheetViews>
    <sheetView workbookViewId="0">
      <selection activeCell="E17" sqref="E1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11F8D-705C-48DD-BE0E-2372B122536A}">
  <sheetPr codeName="Feuil4"/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Demande_cotation</vt:lpstr>
      <vt:lpstr>Calculs</vt:lpstr>
      <vt:lpstr>Synthèse</vt:lpstr>
      <vt:lpstr>Données utiles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iyongomartin</dc:creator>
  <cp:lastModifiedBy>iyongomartin</cp:lastModifiedBy>
  <dcterms:created xsi:type="dcterms:W3CDTF">2020-03-10T11:10:47Z</dcterms:created>
  <dcterms:modified xsi:type="dcterms:W3CDTF">2020-03-13T17:05:44Z</dcterms:modified>
</cp:coreProperties>
</file>